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0C203FD-82DD-D542-B760-B394F1BD613B}" xr6:coauthVersionLast="47" xr6:coauthVersionMax="47" xr10:uidLastSave="{00000000-0000-0000-0000-000000000000}"/>
  <bookViews>
    <workbookView xWindow="0" yWindow="760" windowWidth="28760" windowHeight="16000" firstSheet="41" activeTab="46"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kick scooter - LFP" sheetId="30" r:id="rId10"/>
    <sheet name="lci-kick scooter - NCA" sheetId="31" r:id="rId11"/>
    <sheet name="lci-motorbikes&lt;4kW - NMC" sheetId="19" r:id="rId12"/>
    <sheet name="lci-motorbikes&lt;4kW - LFP" sheetId="32" r:id="rId13"/>
    <sheet name="lci-motorbikes&lt;4kW - NCA" sheetId="33" r:id="rId14"/>
    <sheet name="lci-motorbikes-4-11kW - NMC" sheetId="20" r:id="rId15"/>
    <sheet name="lci-motorbikes-4-11kW - LFP" sheetId="34" r:id="rId16"/>
    <sheet name="lci-motorbikes-4-11kW - NCA" sheetId="35" r:id="rId17"/>
    <sheet name="lci-motorbikes-11-35kW - NMC" sheetId="21" r:id="rId18"/>
    <sheet name="lci-motorbikes-11-35kW - LFP" sheetId="36" r:id="rId19"/>
    <sheet name="lci-motorbikes-11-35kW - NCA" sheetId="37" r:id="rId20"/>
    <sheet name="lci-motorbikes&gt;35kW - NMC" sheetId="22" r:id="rId21"/>
    <sheet name="lci-motorbikes&gt;35kW - LFP" sheetId="38" r:id="rId22"/>
    <sheet name="lci-motorbikes&gt;35kW - NCA" sheetId="39" r:id="rId23"/>
    <sheet name="lci-motorbikes-gas-4-11kW" sheetId="16" r:id="rId24"/>
    <sheet name="lci-motorbikes-gas-11-35kW" sheetId="17" r:id="rId25"/>
    <sheet name="lci-motorbikes-gas-&gt;35kW" sheetId="18" r:id="rId26"/>
    <sheet name="lci-scooter&lt;4kW" sheetId="28" r:id="rId27"/>
    <sheet name="lci-scooter-4-11kW" sheetId="14" r:id="rId28"/>
    <sheet name="lci-scooter-electric&lt;4kW - NMC" sheetId="29" r:id="rId29"/>
    <sheet name="lci-scooter-electric&lt;4kW -  LFP" sheetId="40" r:id="rId30"/>
    <sheet name="lci-scooter-electric&lt;4kW -  NCA" sheetId="41" r:id="rId31"/>
    <sheet name="lci-scooter-elec-4-11kW - NMC" sheetId="15" r:id="rId32"/>
    <sheet name="lci-scooter-elec-4-11kW - LFP" sheetId="42" r:id="rId33"/>
    <sheet name="lci-scooter-elec-4-11kW - NCA" sheetId="43" r:id="rId34"/>
    <sheet name="lci-moped" sheetId="13" r:id="rId35"/>
    <sheet name="lci-bicycle" sheetId="8" r:id="rId36"/>
    <sheet name="lci-elec-bicycle-25kmh - NMC" sheetId="9" r:id="rId37"/>
    <sheet name="lci-elec-bicycle-25kmh - LFP" sheetId="44" r:id="rId38"/>
    <sheet name="lci-elec-bicycle-25kmh - NCA" sheetId="45" r:id="rId39"/>
    <sheet name="lci-elec-bicycle-45kmh - NMC" sheetId="10" r:id="rId40"/>
    <sheet name="lci-elec-bicycle-45kmh - LFP" sheetId="46" r:id="rId41"/>
    <sheet name="lci-elec-bicycle-45kmh - NCA" sheetId="47" r:id="rId42"/>
    <sheet name="lci-elec-bicycle-cargo - NMC" sheetId="11" r:id="rId43"/>
    <sheet name="lci-elec-bicycle-cargo - LFP" sheetId="48" r:id="rId44"/>
    <sheet name="lci-elec-bicycle-cargo - NCA" sheetId="49" r:id="rId45"/>
    <sheet name="lci-tram" sheetId="12" r:id="rId46"/>
    <sheet name="lci-others" sheetId="23" r:id="rId47"/>
  </sheets>
  <definedNames>
    <definedName name="_xlnm._FilterDatabase" localSheetId="2" hidden="1">'LCIA results'!$A$2:$BA$275</definedName>
    <definedName name="_xlnm._FilterDatabase" localSheetId="1" hidden="1">'vehicles specifications'!$A$2:$CW$166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182" i="23"/>
  <c r="E656" i="14"/>
  <c r="D656" i="14"/>
  <c r="A656" i="14"/>
  <c r="E578" i="14"/>
  <c r="D578" i="14"/>
  <c r="A578" i="14"/>
  <c r="E500" i="14"/>
  <c r="D500" i="14"/>
  <c r="A500" i="14"/>
  <c r="E422" i="14"/>
  <c r="D422" i="14"/>
  <c r="A422" i="14"/>
  <c r="E344" i="14"/>
  <c r="D344" i="14"/>
  <c r="A344" i="14"/>
  <c r="E266" i="14"/>
  <c r="D266" i="14"/>
  <c r="A266" i="14"/>
  <c r="E656" i="28"/>
  <c r="D656" i="28"/>
  <c r="A656" i="28"/>
  <c r="E578" i="28"/>
  <c r="D578" i="28"/>
  <c r="A578" i="28"/>
  <c r="E500" i="28"/>
  <c r="D500" i="28"/>
  <c r="A500" i="28"/>
  <c r="E422" i="28"/>
  <c r="D422" i="28"/>
  <c r="A422" i="28"/>
  <c r="E344" i="28"/>
  <c r="D344" i="28"/>
  <c r="A344" i="28"/>
  <c r="E266" i="28"/>
  <c r="D266" i="28"/>
  <c r="A266" i="28"/>
  <c r="E656" i="18"/>
  <c r="D656" i="18"/>
  <c r="A656" i="18"/>
  <c r="E578" i="18"/>
  <c r="D578" i="18"/>
  <c r="A578" i="18"/>
  <c r="E500" i="18"/>
  <c r="D500" i="18"/>
  <c r="A500" i="18"/>
  <c r="E422" i="18"/>
  <c r="D422" i="18"/>
  <c r="A422" i="18"/>
  <c r="E344" i="18"/>
  <c r="D344" i="18"/>
  <c r="A344" i="18"/>
  <c r="E266" i="18"/>
  <c r="D266" i="18"/>
  <c r="A266" i="18"/>
  <c r="E656" i="17"/>
  <c r="D656" i="17"/>
  <c r="A656" i="17"/>
  <c r="E578" i="17"/>
  <c r="D578" i="17"/>
  <c r="A578" i="17"/>
  <c r="E500" i="17"/>
  <c r="D500" i="17"/>
  <c r="A500" i="17"/>
  <c r="E422" i="17"/>
  <c r="D422" i="17"/>
  <c r="A422" i="17"/>
  <c r="E344" i="17"/>
  <c r="D344" i="17"/>
  <c r="A344" i="17"/>
  <c r="E266" i="17"/>
  <c r="D266" i="17"/>
  <c r="A266" i="17"/>
  <c r="E656" i="16"/>
  <c r="D656" i="16"/>
  <c r="A656" i="16"/>
  <c r="E578" i="16"/>
  <c r="D578" i="16"/>
  <c r="A578" i="16"/>
  <c r="E500" i="16"/>
  <c r="D500" i="16"/>
  <c r="A500" i="16"/>
  <c r="E422" i="16"/>
  <c r="D422" i="16"/>
  <c r="A422" i="16"/>
  <c r="E344" i="16"/>
  <c r="D344" i="16"/>
  <c r="A344" i="16"/>
  <c r="A266" i="16"/>
  <c r="D266" i="16"/>
  <c r="T192" i="7"/>
  <c r="T191" i="7"/>
  <c r="T190" i="7"/>
  <c r="T189" i="7"/>
  <c r="E266" i="16"/>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H331" i="49"/>
  <c r="D331" i="49"/>
  <c r="C331" i="49"/>
  <c r="A331" i="49"/>
  <c r="H330" i="49"/>
  <c r="D330" i="49"/>
  <c r="C330" i="49"/>
  <c r="A330" i="49"/>
  <c r="H329" i="49"/>
  <c r="D329" i="49"/>
  <c r="C329" i="49"/>
  <c r="A329" i="49"/>
  <c r="H328" i="49"/>
  <c r="D328" i="49"/>
  <c r="C328" i="49"/>
  <c r="A328" i="49"/>
  <c r="H327" i="49"/>
  <c r="D327" i="49"/>
  <c r="C327" i="49"/>
  <c r="A327" i="49"/>
  <c r="H326" i="49"/>
  <c r="D326" i="49"/>
  <c r="C326" i="49"/>
  <c r="A326" i="49"/>
  <c r="C325" i="49"/>
  <c r="C324" i="49"/>
  <c r="B301" i="49"/>
  <c r="H324" i="49"/>
  <c r="H325" i="49"/>
  <c r="B300" i="49"/>
  <c r="B295" i="49"/>
  <c r="A324" i="49"/>
  <c r="A325" i="49"/>
  <c r="H293" i="49"/>
  <c r="D293" i="49"/>
  <c r="C293" i="49"/>
  <c r="A293" i="49"/>
  <c r="H292" i="49"/>
  <c r="D292" i="49"/>
  <c r="C292" i="49"/>
  <c r="A292" i="49"/>
  <c r="H291" i="49"/>
  <c r="D291" i="49"/>
  <c r="C291" i="49"/>
  <c r="A291" i="49"/>
  <c r="H290" i="49"/>
  <c r="D290" i="49"/>
  <c r="C290" i="49"/>
  <c r="A290" i="49"/>
  <c r="H289" i="49"/>
  <c r="D289" i="49"/>
  <c r="C289" i="49"/>
  <c r="A289" i="49"/>
  <c r="H288" i="49"/>
  <c r="D288" i="49"/>
  <c r="C288" i="49"/>
  <c r="A288" i="49"/>
  <c r="C287" i="49"/>
  <c r="C286" i="49"/>
  <c r="B263" i="49"/>
  <c r="H286" i="49"/>
  <c r="H287" i="49"/>
  <c r="B262" i="49"/>
  <c r="B257" i="49"/>
  <c r="A286" i="49"/>
  <c r="A287" i="49"/>
  <c r="H255" i="49"/>
  <c r="D255" i="49"/>
  <c r="C255" i="49"/>
  <c r="A255" i="49"/>
  <c r="H254" i="49"/>
  <c r="D254" i="49"/>
  <c r="C254" i="49"/>
  <c r="A254" i="49"/>
  <c r="H253" i="49"/>
  <c r="D253" i="49"/>
  <c r="C253" i="49"/>
  <c r="A253" i="49"/>
  <c r="H252" i="49"/>
  <c r="D252" i="49"/>
  <c r="C252" i="49"/>
  <c r="A252" i="49"/>
  <c r="H251" i="49"/>
  <c r="D251" i="49"/>
  <c r="C251" i="49"/>
  <c r="A251" i="49"/>
  <c r="H250" i="49"/>
  <c r="D250" i="49"/>
  <c r="C250" i="49"/>
  <c r="A250" i="49"/>
  <c r="C249" i="49"/>
  <c r="C248" i="49"/>
  <c r="B225" i="49"/>
  <c r="H248" i="49"/>
  <c r="H249" i="49"/>
  <c r="B224" i="49"/>
  <c r="B219" i="49"/>
  <c r="A248" i="49"/>
  <c r="A249" i="49"/>
  <c r="H217" i="49"/>
  <c r="D217" i="49"/>
  <c r="C217" i="49"/>
  <c r="A217" i="49"/>
  <c r="H216" i="49"/>
  <c r="D216" i="49"/>
  <c r="C216" i="49"/>
  <c r="A216" i="49"/>
  <c r="H215" i="49"/>
  <c r="D215" i="49"/>
  <c r="C215" i="49"/>
  <c r="A215" i="49"/>
  <c r="H214" i="49"/>
  <c r="D214" i="49"/>
  <c r="C214" i="49"/>
  <c r="A214" i="49"/>
  <c r="H213" i="49"/>
  <c r="D213" i="49"/>
  <c r="C213" i="49"/>
  <c r="A213" i="49"/>
  <c r="H212" i="49"/>
  <c r="D212" i="49"/>
  <c r="C212" i="49"/>
  <c r="A212" i="49"/>
  <c r="C211" i="49"/>
  <c r="C210" i="49"/>
  <c r="B187" i="49"/>
  <c r="H210" i="49"/>
  <c r="H211" i="49"/>
  <c r="B186" i="49"/>
  <c r="B181" i="49"/>
  <c r="A210" i="49"/>
  <c r="A211" i="49"/>
  <c r="H177" i="49"/>
  <c r="D177" i="49"/>
  <c r="C177" i="49"/>
  <c r="A177" i="49"/>
  <c r="H176" i="49"/>
  <c r="D176" i="49"/>
  <c r="C176" i="49"/>
  <c r="A176" i="49"/>
  <c r="H175" i="49"/>
  <c r="D175" i="49"/>
  <c r="C175" i="49"/>
  <c r="A175" i="49"/>
  <c r="H174" i="49"/>
  <c r="D174" i="49"/>
  <c r="C174" i="49"/>
  <c r="A174" i="49"/>
  <c r="H173" i="49"/>
  <c r="D173" i="49"/>
  <c r="C173" i="49"/>
  <c r="A173" i="49"/>
  <c r="H172" i="49"/>
  <c r="D172" i="49"/>
  <c r="C172" i="49"/>
  <c r="H171" i="49"/>
  <c r="D171" i="49"/>
  <c r="C171" i="49"/>
  <c r="A171" i="49"/>
  <c r="H170" i="49"/>
  <c r="D170" i="49"/>
  <c r="C170" i="49"/>
  <c r="A170" i="49"/>
  <c r="H169" i="49"/>
  <c r="D169" i="49"/>
  <c r="C169" i="49"/>
  <c r="A169" i="49"/>
  <c r="H168" i="49"/>
  <c r="D168" i="49"/>
  <c r="C168" i="49"/>
  <c r="B142" i="49"/>
  <c r="B141" i="49"/>
  <c r="B136" i="49"/>
  <c r="A168" i="49"/>
  <c r="H132" i="49"/>
  <c r="D132" i="49"/>
  <c r="C132" i="49"/>
  <c r="A132" i="49"/>
  <c r="H131" i="49"/>
  <c r="D131" i="49"/>
  <c r="C131" i="49"/>
  <c r="A131" i="49"/>
  <c r="H130" i="49"/>
  <c r="D130" i="49"/>
  <c r="C130" i="49"/>
  <c r="A130" i="49"/>
  <c r="H129" i="49"/>
  <c r="D129" i="49"/>
  <c r="C129" i="49"/>
  <c r="A129" i="49"/>
  <c r="H128" i="49"/>
  <c r="D128" i="49"/>
  <c r="C128" i="49"/>
  <c r="A128" i="49"/>
  <c r="H127" i="49"/>
  <c r="D127" i="49"/>
  <c r="C127" i="49"/>
  <c r="H126" i="49"/>
  <c r="D126" i="49"/>
  <c r="C126" i="49"/>
  <c r="A126" i="49"/>
  <c r="H125" i="49"/>
  <c r="D125" i="49"/>
  <c r="C125" i="49"/>
  <c r="A125" i="49"/>
  <c r="H124" i="49"/>
  <c r="D124" i="49"/>
  <c r="C124" i="49"/>
  <c r="A124" i="49"/>
  <c r="H123" i="49"/>
  <c r="D123" i="49"/>
  <c r="C123" i="49"/>
  <c r="B97" i="49"/>
  <c r="B96" i="49"/>
  <c r="B91" i="49"/>
  <c r="A123" i="49"/>
  <c r="H87" i="49"/>
  <c r="D87" i="49"/>
  <c r="C87" i="49"/>
  <c r="A87" i="49"/>
  <c r="H86" i="49"/>
  <c r="D86" i="49"/>
  <c r="C86" i="49"/>
  <c r="A86" i="49"/>
  <c r="H85" i="49"/>
  <c r="D85" i="49"/>
  <c r="C85" i="49"/>
  <c r="A85" i="49"/>
  <c r="H84" i="49"/>
  <c r="D84" i="49"/>
  <c r="C84" i="49"/>
  <c r="A84" i="49"/>
  <c r="H83" i="49"/>
  <c r="D83" i="49"/>
  <c r="C83" i="49"/>
  <c r="A83" i="49"/>
  <c r="H82" i="49"/>
  <c r="D82" i="49"/>
  <c r="C82" i="49"/>
  <c r="H81" i="49"/>
  <c r="D81" i="49"/>
  <c r="C81" i="49"/>
  <c r="A81" i="49"/>
  <c r="H80" i="49"/>
  <c r="D80" i="49"/>
  <c r="C80" i="49"/>
  <c r="A80" i="49"/>
  <c r="H79" i="49"/>
  <c r="D79" i="49"/>
  <c r="C79" i="49"/>
  <c r="A79" i="49"/>
  <c r="H78" i="49"/>
  <c r="D78" i="49"/>
  <c r="C78" i="49"/>
  <c r="B52" i="49"/>
  <c r="B51" i="49"/>
  <c r="B46" i="49"/>
  <c r="A78" i="49"/>
  <c r="H42" i="49"/>
  <c r="D42" i="49"/>
  <c r="C42" i="49"/>
  <c r="A42" i="49"/>
  <c r="H41" i="49"/>
  <c r="D41" i="49"/>
  <c r="C41" i="49"/>
  <c r="A41" i="49"/>
  <c r="H40" i="49"/>
  <c r="D40" i="49"/>
  <c r="C40" i="49"/>
  <c r="A40" i="49"/>
  <c r="H39" i="49"/>
  <c r="D39" i="49"/>
  <c r="C39" i="49"/>
  <c r="A39" i="49"/>
  <c r="H38" i="49"/>
  <c r="D38" i="49"/>
  <c r="C38" i="49"/>
  <c r="A38" i="49"/>
  <c r="H37" i="49"/>
  <c r="D37" i="49"/>
  <c r="C37" i="49"/>
  <c r="H36" i="49"/>
  <c r="D36" i="49"/>
  <c r="C36" i="49"/>
  <c r="A36" i="49"/>
  <c r="H35" i="49"/>
  <c r="D35" i="49"/>
  <c r="C35" i="49"/>
  <c r="A35" i="49"/>
  <c r="H34" i="49"/>
  <c r="D34" i="49"/>
  <c r="C34" i="49"/>
  <c r="A34" i="49"/>
  <c r="H33" i="49"/>
  <c r="D33" i="49"/>
  <c r="C33" i="49"/>
  <c r="A33" i="49"/>
  <c r="B7" i="49"/>
  <c r="B6" i="49"/>
  <c r="B1" i="49"/>
  <c r="H331" i="48"/>
  <c r="D331" i="48"/>
  <c r="C331" i="48"/>
  <c r="A331" i="48"/>
  <c r="H330" i="48"/>
  <c r="D330" i="48"/>
  <c r="C330" i="48"/>
  <c r="A330" i="48"/>
  <c r="H329" i="48"/>
  <c r="D329" i="48"/>
  <c r="C329" i="48"/>
  <c r="A329" i="48"/>
  <c r="H328" i="48"/>
  <c r="D328" i="48"/>
  <c r="C328" i="48"/>
  <c r="A328" i="48"/>
  <c r="H327" i="48"/>
  <c r="D327" i="48"/>
  <c r="C327" i="48"/>
  <c r="A327" i="48"/>
  <c r="H326" i="48"/>
  <c r="D326" i="48"/>
  <c r="C326" i="48"/>
  <c r="A326" i="48"/>
  <c r="C325" i="48"/>
  <c r="C324" i="48"/>
  <c r="B301" i="48"/>
  <c r="H324" i="48"/>
  <c r="H325" i="48"/>
  <c r="B300" i="48"/>
  <c r="B295" i="48"/>
  <c r="A324" i="48"/>
  <c r="A325" i="48"/>
  <c r="H293" i="48"/>
  <c r="D293" i="48"/>
  <c r="C293" i="48"/>
  <c r="A293" i="48"/>
  <c r="H292" i="48"/>
  <c r="D292" i="48"/>
  <c r="C292" i="48"/>
  <c r="A292" i="48"/>
  <c r="H291" i="48"/>
  <c r="D291" i="48"/>
  <c r="C291" i="48"/>
  <c r="A291" i="48"/>
  <c r="H290" i="48"/>
  <c r="D290" i="48"/>
  <c r="C290" i="48"/>
  <c r="A290" i="48"/>
  <c r="H289" i="48"/>
  <c r="D289" i="48"/>
  <c r="C289" i="48"/>
  <c r="A289" i="48"/>
  <c r="H288" i="48"/>
  <c r="D288" i="48"/>
  <c r="C288" i="48"/>
  <c r="A288" i="48"/>
  <c r="C287" i="48"/>
  <c r="C286" i="48"/>
  <c r="B263" i="48"/>
  <c r="H286" i="48"/>
  <c r="H287" i="48"/>
  <c r="B262" i="48"/>
  <c r="B257" i="48"/>
  <c r="A286" i="48"/>
  <c r="A287" i="48"/>
  <c r="H255" i="48"/>
  <c r="D255" i="48"/>
  <c r="C255" i="48"/>
  <c r="A255" i="48"/>
  <c r="H254" i="48"/>
  <c r="D254" i="48"/>
  <c r="C254" i="48"/>
  <c r="A254" i="48"/>
  <c r="H253" i="48"/>
  <c r="D253" i="48"/>
  <c r="C253" i="48"/>
  <c r="A253" i="48"/>
  <c r="H252" i="48"/>
  <c r="D252" i="48"/>
  <c r="C252" i="48"/>
  <c r="A252" i="48"/>
  <c r="H251" i="48"/>
  <c r="D251" i="48"/>
  <c r="C251" i="48"/>
  <c r="A251" i="48"/>
  <c r="H250" i="48"/>
  <c r="D250" i="48"/>
  <c r="C250" i="48"/>
  <c r="A250" i="48"/>
  <c r="C249" i="48"/>
  <c r="C248" i="48"/>
  <c r="B225" i="48"/>
  <c r="H248" i="48"/>
  <c r="H249" i="48"/>
  <c r="B224" i="48"/>
  <c r="B219" i="48"/>
  <c r="A248" i="48"/>
  <c r="A249" i="48"/>
  <c r="H217" i="48"/>
  <c r="D217" i="48"/>
  <c r="C217" i="48"/>
  <c r="A217" i="48"/>
  <c r="H216" i="48"/>
  <c r="D216" i="48"/>
  <c r="C216" i="48"/>
  <c r="A216" i="48"/>
  <c r="H215" i="48"/>
  <c r="D215" i="48"/>
  <c r="C215" i="48"/>
  <c r="A215" i="48"/>
  <c r="H214" i="48"/>
  <c r="D214" i="48"/>
  <c r="C214" i="48"/>
  <c r="A214" i="48"/>
  <c r="H213" i="48"/>
  <c r="D213" i="48"/>
  <c r="C213" i="48"/>
  <c r="A213" i="48"/>
  <c r="H212" i="48"/>
  <c r="D212" i="48"/>
  <c r="C212" i="48"/>
  <c r="A212" i="48"/>
  <c r="C211" i="48"/>
  <c r="C210" i="48"/>
  <c r="B187" i="48"/>
  <c r="H210" i="48"/>
  <c r="H211" i="48"/>
  <c r="B186" i="48"/>
  <c r="B181" i="48"/>
  <c r="A210" i="48"/>
  <c r="A211" i="48"/>
  <c r="H177" i="48"/>
  <c r="D177" i="48"/>
  <c r="C177" i="48"/>
  <c r="A177" i="48"/>
  <c r="H176" i="48"/>
  <c r="D176" i="48"/>
  <c r="C176" i="48"/>
  <c r="A176" i="48"/>
  <c r="H175" i="48"/>
  <c r="D175" i="48"/>
  <c r="C175" i="48"/>
  <c r="A175" i="48"/>
  <c r="H174" i="48"/>
  <c r="D174" i="48"/>
  <c r="C174" i="48"/>
  <c r="A174" i="48"/>
  <c r="H173" i="48"/>
  <c r="D173" i="48"/>
  <c r="C173" i="48"/>
  <c r="A173" i="48"/>
  <c r="H172" i="48"/>
  <c r="D172" i="48"/>
  <c r="C172" i="48"/>
  <c r="H171" i="48"/>
  <c r="D171" i="48"/>
  <c r="C171" i="48"/>
  <c r="A171" i="48"/>
  <c r="H170" i="48"/>
  <c r="D170" i="48"/>
  <c r="C170" i="48"/>
  <c r="A170" i="48"/>
  <c r="H169" i="48"/>
  <c r="D169" i="48"/>
  <c r="C169" i="48"/>
  <c r="A169" i="48"/>
  <c r="H168" i="48"/>
  <c r="D168" i="48"/>
  <c r="C168" i="48"/>
  <c r="B142" i="48"/>
  <c r="B141" i="48"/>
  <c r="B136" i="48"/>
  <c r="A168" i="48"/>
  <c r="H132" i="48"/>
  <c r="D132" i="48"/>
  <c r="C132" i="48"/>
  <c r="A132" i="48"/>
  <c r="H131" i="48"/>
  <c r="D131" i="48"/>
  <c r="C131" i="48"/>
  <c r="A131" i="48"/>
  <c r="H130" i="48"/>
  <c r="D130" i="48"/>
  <c r="C130" i="48"/>
  <c r="A130" i="48"/>
  <c r="H129" i="48"/>
  <c r="D129" i="48"/>
  <c r="C129" i="48"/>
  <c r="A129" i="48"/>
  <c r="H128" i="48"/>
  <c r="D128" i="48"/>
  <c r="C128" i="48"/>
  <c r="A128" i="48"/>
  <c r="H127" i="48"/>
  <c r="D127" i="48"/>
  <c r="C127" i="48"/>
  <c r="H126" i="48"/>
  <c r="D126" i="48"/>
  <c r="C126" i="48"/>
  <c r="A126" i="48"/>
  <c r="H125" i="48"/>
  <c r="D125" i="48"/>
  <c r="C125" i="48"/>
  <c r="A125" i="48"/>
  <c r="H124" i="48"/>
  <c r="D124" i="48"/>
  <c r="C124" i="48"/>
  <c r="A124" i="48"/>
  <c r="H123" i="48"/>
  <c r="D123" i="48"/>
  <c r="C123" i="48"/>
  <c r="B97" i="48"/>
  <c r="B96" i="48"/>
  <c r="B91" i="48"/>
  <c r="A123" i="48"/>
  <c r="H87" i="48"/>
  <c r="D87" i="48"/>
  <c r="C87" i="48"/>
  <c r="A87" i="48"/>
  <c r="H86" i="48"/>
  <c r="D86" i="48"/>
  <c r="C86" i="48"/>
  <c r="A86" i="48"/>
  <c r="H85" i="48"/>
  <c r="D85" i="48"/>
  <c r="C85" i="48"/>
  <c r="A85" i="48"/>
  <c r="H84" i="48"/>
  <c r="D84" i="48"/>
  <c r="C84" i="48"/>
  <c r="A84" i="48"/>
  <c r="H83" i="48"/>
  <c r="D83" i="48"/>
  <c r="C83" i="48"/>
  <c r="A83" i="48"/>
  <c r="H82" i="48"/>
  <c r="D82" i="48"/>
  <c r="C82" i="48"/>
  <c r="H81" i="48"/>
  <c r="D81" i="48"/>
  <c r="C81" i="48"/>
  <c r="A81" i="48"/>
  <c r="H80" i="48"/>
  <c r="D80" i="48"/>
  <c r="C80" i="48"/>
  <c r="A80" i="48"/>
  <c r="H79" i="48"/>
  <c r="D79" i="48"/>
  <c r="C79" i="48"/>
  <c r="A79" i="48"/>
  <c r="H78" i="48"/>
  <c r="D78" i="48"/>
  <c r="C78" i="48"/>
  <c r="B52" i="48"/>
  <c r="B51" i="48"/>
  <c r="B46" i="48"/>
  <c r="A78" i="48"/>
  <c r="H42" i="48"/>
  <c r="D42" i="48"/>
  <c r="C42" i="48"/>
  <c r="A42" i="48"/>
  <c r="H41" i="48"/>
  <c r="D41" i="48"/>
  <c r="C41" i="48"/>
  <c r="A41" i="48"/>
  <c r="H40" i="48"/>
  <c r="D40" i="48"/>
  <c r="C40" i="48"/>
  <c r="A40" i="48"/>
  <c r="H39" i="48"/>
  <c r="D39" i="48"/>
  <c r="C39" i="48"/>
  <c r="A39" i="48"/>
  <c r="H38" i="48"/>
  <c r="D38" i="48"/>
  <c r="C38" i="48"/>
  <c r="A38" i="48"/>
  <c r="H37" i="48"/>
  <c r="D37" i="48"/>
  <c r="C37" i="48"/>
  <c r="H36" i="48"/>
  <c r="D36" i="48"/>
  <c r="C36" i="48"/>
  <c r="A36" i="48"/>
  <c r="H35" i="48"/>
  <c r="D35" i="48"/>
  <c r="C35" i="48"/>
  <c r="A35" i="48"/>
  <c r="H34" i="48"/>
  <c r="D34" i="48"/>
  <c r="C34" i="48"/>
  <c r="A34" i="48"/>
  <c r="H33" i="48"/>
  <c r="D33" i="48"/>
  <c r="C33" i="48"/>
  <c r="B7" i="48"/>
  <c r="B6" i="48"/>
  <c r="B1" i="48"/>
  <c r="A33" i="48"/>
  <c r="H331" i="47"/>
  <c r="D331" i="47"/>
  <c r="C331" i="47"/>
  <c r="A331" i="47"/>
  <c r="H330" i="47"/>
  <c r="D330" i="47"/>
  <c r="C330" i="47"/>
  <c r="A330" i="47"/>
  <c r="H329" i="47"/>
  <c r="D329" i="47"/>
  <c r="C329" i="47"/>
  <c r="A329" i="47"/>
  <c r="H328" i="47"/>
  <c r="D328" i="47"/>
  <c r="C328" i="47"/>
  <c r="A328" i="47"/>
  <c r="H327" i="47"/>
  <c r="D327" i="47"/>
  <c r="C327" i="47"/>
  <c r="A327" i="47"/>
  <c r="H326" i="47"/>
  <c r="D326" i="47"/>
  <c r="C326" i="47"/>
  <c r="A326" i="47"/>
  <c r="C325" i="47"/>
  <c r="C324" i="47"/>
  <c r="B301" i="47"/>
  <c r="H324" i="47"/>
  <c r="H325" i="47"/>
  <c r="B300" i="47"/>
  <c r="B295" i="47"/>
  <c r="A324" i="47"/>
  <c r="A325" i="47"/>
  <c r="H293" i="47"/>
  <c r="D293" i="47"/>
  <c r="C293" i="47"/>
  <c r="A293" i="47"/>
  <c r="H292" i="47"/>
  <c r="D292" i="47"/>
  <c r="C292" i="47"/>
  <c r="A292" i="47"/>
  <c r="H291" i="47"/>
  <c r="D291" i="47"/>
  <c r="C291" i="47"/>
  <c r="A291" i="47"/>
  <c r="H290" i="47"/>
  <c r="D290" i="47"/>
  <c r="C290" i="47"/>
  <c r="A290" i="47"/>
  <c r="H289" i="47"/>
  <c r="D289" i="47"/>
  <c r="C289" i="47"/>
  <c r="A289" i="47"/>
  <c r="H288" i="47"/>
  <c r="D288" i="47"/>
  <c r="C288" i="47"/>
  <c r="A288" i="47"/>
  <c r="C287" i="47"/>
  <c r="C286" i="47"/>
  <c r="B263" i="47"/>
  <c r="H286" i="47"/>
  <c r="H287" i="47"/>
  <c r="B262" i="47"/>
  <c r="B257" i="47"/>
  <c r="A286" i="47"/>
  <c r="A287" i="47"/>
  <c r="H255" i="47"/>
  <c r="D255" i="47"/>
  <c r="C255" i="47"/>
  <c r="A255" i="47"/>
  <c r="H254" i="47"/>
  <c r="D254" i="47"/>
  <c r="C254" i="47"/>
  <c r="A254" i="47"/>
  <c r="H253" i="47"/>
  <c r="D253" i="47"/>
  <c r="C253" i="47"/>
  <c r="A253" i="47"/>
  <c r="H252" i="47"/>
  <c r="D252" i="47"/>
  <c r="C252" i="47"/>
  <c r="A252" i="47"/>
  <c r="H251" i="47"/>
  <c r="D251" i="47"/>
  <c r="C251" i="47"/>
  <c r="A251" i="47"/>
  <c r="H250" i="47"/>
  <c r="D250" i="47"/>
  <c r="C250" i="47"/>
  <c r="A250" i="47"/>
  <c r="C249" i="47"/>
  <c r="C248" i="47"/>
  <c r="B225" i="47"/>
  <c r="H248" i="47"/>
  <c r="H249" i="47"/>
  <c r="B224" i="47"/>
  <c r="B219" i="47"/>
  <c r="A248" i="47"/>
  <c r="A249" i="47"/>
  <c r="H217" i="47"/>
  <c r="D217" i="47"/>
  <c r="C217" i="47"/>
  <c r="A217" i="47"/>
  <c r="H216" i="47"/>
  <c r="D216" i="47"/>
  <c r="C216" i="47"/>
  <c r="A216" i="47"/>
  <c r="H215" i="47"/>
  <c r="D215" i="47"/>
  <c r="C215" i="47"/>
  <c r="A215" i="47"/>
  <c r="H214" i="47"/>
  <c r="D214" i="47"/>
  <c r="C214" i="47"/>
  <c r="A214" i="47"/>
  <c r="H213" i="47"/>
  <c r="D213" i="47"/>
  <c r="C213" i="47"/>
  <c r="A213" i="47"/>
  <c r="H212" i="47"/>
  <c r="D212" i="47"/>
  <c r="C212" i="47"/>
  <c r="A212" i="47"/>
  <c r="C211" i="47"/>
  <c r="C210" i="47"/>
  <c r="B187" i="47"/>
  <c r="H210" i="47"/>
  <c r="H211" i="47"/>
  <c r="B186" i="47"/>
  <c r="B181" i="47"/>
  <c r="A210" i="47"/>
  <c r="A211" i="47"/>
  <c r="H177" i="47"/>
  <c r="D177" i="47"/>
  <c r="C177" i="47"/>
  <c r="A177" i="47"/>
  <c r="H176" i="47"/>
  <c r="D176" i="47"/>
  <c r="C176" i="47"/>
  <c r="A176" i="47"/>
  <c r="H175" i="47"/>
  <c r="D175" i="47"/>
  <c r="C175" i="47"/>
  <c r="A175" i="47"/>
  <c r="H174" i="47"/>
  <c r="D174" i="47"/>
  <c r="C174" i="47"/>
  <c r="A174" i="47"/>
  <c r="H173" i="47"/>
  <c r="D173" i="47"/>
  <c r="C173" i="47"/>
  <c r="A173" i="47"/>
  <c r="H172" i="47"/>
  <c r="D172" i="47"/>
  <c r="C172" i="47"/>
  <c r="H171" i="47"/>
  <c r="D171" i="47"/>
  <c r="C171" i="47"/>
  <c r="A171" i="47"/>
  <c r="H170" i="47"/>
  <c r="D170" i="47"/>
  <c r="C170" i="47"/>
  <c r="A170" i="47"/>
  <c r="H169" i="47"/>
  <c r="D169" i="47"/>
  <c r="C169" i="47"/>
  <c r="A169" i="47"/>
  <c r="H168" i="47"/>
  <c r="D168" i="47"/>
  <c r="C168" i="47"/>
  <c r="B142" i="47"/>
  <c r="B141" i="47"/>
  <c r="B136" i="47"/>
  <c r="A168" i="47"/>
  <c r="H132" i="47"/>
  <c r="D132" i="47"/>
  <c r="C132" i="47"/>
  <c r="A132" i="47"/>
  <c r="H131" i="47"/>
  <c r="D131" i="47"/>
  <c r="C131" i="47"/>
  <c r="A131" i="47"/>
  <c r="H130" i="47"/>
  <c r="D130" i="47"/>
  <c r="C130" i="47"/>
  <c r="A130" i="47"/>
  <c r="H129" i="47"/>
  <c r="D129" i="47"/>
  <c r="C129" i="47"/>
  <c r="A129" i="47"/>
  <c r="H128" i="47"/>
  <c r="D128" i="47"/>
  <c r="C128" i="47"/>
  <c r="A128" i="47"/>
  <c r="H127" i="47"/>
  <c r="D127" i="47"/>
  <c r="C127" i="47"/>
  <c r="H126" i="47"/>
  <c r="D126" i="47"/>
  <c r="C126" i="47"/>
  <c r="A126" i="47"/>
  <c r="H125" i="47"/>
  <c r="D125" i="47"/>
  <c r="C125" i="47"/>
  <c r="A125" i="47"/>
  <c r="H124" i="47"/>
  <c r="D124" i="47"/>
  <c r="C124" i="47"/>
  <c r="A124" i="47"/>
  <c r="H123" i="47"/>
  <c r="D123" i="47"/>
  <c r="C123" i="47"/>
  <c r="B97" i="47"/>
  <c r="B96" i="47"/>
  <c r="B91" i="47"/>
  <c r="A123" i="47"/>
  <c r="H87" i="47"/>
  <c r="D87" i="47"/>
  <c r="C87" i="47"/>
  <c r="A87" i="47"/>
  <c r="H86" i="47"/>
  <c r="D86" i="47"/>
  <c r="C86" i="47"/>
  <c r="A86" i="47"/>
  <c r="H85" i="47"/>
  <c r="D85" i="47"/>
  <c r="C85" i="47"/>
  <c r="A85" i="47"/>
  <c r="H84" i="47"/>
  <c r="D84" i="47"/>
  <c r="C84" i="47"/>
  <c r="A84" i="47"/>
  <c r="H83" i="47"/>
  <c r="D83" i="47"/>
  <c r="C83" i="47"/>
  <c r="A83" i="47"/>
  <c r="H82" i="47"/>
  <c r="D82" i="47"/>
  <c r="C82" i="47"/>
  <c r="H81" i="47"/>
  <c r="D81" i="47"/>
  <c r="C81" i="47"/>
  <c r="A81" i="47"/>
  <c r="H80" i="47"/>
  <c r="D80" i="47"/>
  <c r="C80" i="47"/>
  <c r="A80" i="47"/>
  <c r="H79" i="47"/>
  <c r="D79" i="47"/>
  <c r="C79" i="47"/>
  <c r="A79" i="47"/>
  <c r="H78" i="47"/>
  <c r="D78" i="47"/>
  <c r="C78" i="47"/>
  <c r="B52" i="47"/>
  <c r="B51" i="47"/>
  <c r="B46" i="47"/>
  <c r="A78" i="47"/>
  <c r="H42" i="47"/>
  <c r="D42" i="47"/>
  <c r="C42" i="47"/>
  <c r="A42" i="47"/>
  <c r="H41" i="47"/>
  <c r="D41" i="47"/>
  <c r="C41" i="47"/>
  <c r="A41" i="47"/>
  <c r="H40" i="47"/>
  <c r="D40" i="47"/>
  <c r="C40" i="47"/>
  <c r="A40" i="47"/>
  <c r="H39" i="47"/>
  <c r="D39" i="47"/>
  <c r="C39" i="47"/>
  <c r="A39" i="47"/>
  <c r="H38" i="47"/>
  <c r="D38" i="47"/>
  <c r="C38" i="47"/>
  <c r="A38" i="47"/>
  <c r="H37" i="47"/>
  <c r="D37" i="47"/>
  <c r="C37" i="47"/>
  <c r="H36" i="47"/>
  <c r="D36" i="47"/>
  <c r="C36" i="47"/>
  <c r="A36" i="47"/>
  <c r="H35" i="47"/>
  <c r="D35" i="47"/>
  <c r="C35" i="47"/>
  <c r="A35" i="47"/>
  <c r="H34" i="47"/>
  <c r="D34" i="47"/>
  <c r="C34" i="47"/>
  <c r="A34" i="47"/>
  <c r="H33" i="47"/>
  <c r="D33" i="47"/>
  <c r="C33" i="47"/>
  <c r="B7" i="47"/>
  <c r="B6" i="47"/>
  <c r="B1" i="47"/>
  <c r="A33" i="47"/>
  <c r="H331" i="46"/>
  <c r="D331" i="46"/>
  <c r="C331" i="46"/>
  <c r="A331" i="46"/>
  <c r="H330" i="46"/>
  <c r="D330" i="46"/>
  <c r="C330" i="46"/>
  <c r="A330" i="46"/>
  <c r="H329" i="46"/>
  <c r="D329" i="46"/>
  <c r="C329" i="46"/>
  <c r="A329" i="46"/>
  <c r="H328" i="46"/>
  <c r="D328" i="46"/>
  <c r="C328" i="46"/>
  <c r="A328" i="46"/>
  <c r="H327" i="46"/>
  <c r="D327" i="46"/>
  <c r="C327" i="46"/>
  <c r="A327" i="46"/>
  <c r="H326" i="46"/>
  <c r="D326" i="46"/>
  <c r="C326" i="46"/>
  <c r="A326" i="46"/>
  <c r="C325" i="46"/>
  <c r="C324" i="46"/>
  <c r="B301" i="46"/>
  <c r="H324" i="46"/>
  <c r="H325" i="46"/>
  <c r="B300" i="46"/>
  <c r="B295" i="46"/>
  <c r="A324" i="46"/>
  <c r="A325" i="46"/>
  <c r="H293" i="46"/>
  <c r="D293" i="46"/>
  <c r="C293" i="46"/>
  <c r="A293" i="46"/>
  <c r="H292" i="46"/>
  <c r="D292" i="46"/>
  <c r="C292" i="46"/>
  <c r="A292" i="46"/>
  <c r="H291" i="46"/>
  <c r="D291" i="46"/>
  <c r="C291" i="46"/>
  <c r="A291" i="46"/>
  <c r="H290" i="46"/>
  <c r="D290" i="46"/>
  <c r="C290" i="46"/>
  <c r="A290" i="46"/>
  <c r="H289" i="46"/>
  <c r="D289" i="46"/>
  <c r="C289" i="46"/>
  <c r="A289" i="46"/>
  <c r="H288" i="46"/>
  <c r="D288" i="46"/>
  <c r="C288" i="46"/>
  <c r="A288" i="46"/>
  <c r="C287" i="46"/>
  <c r="C286" i="46"/>
  <c r="B263" i="46"/>
  <c r="H286" i="46"/>
  <c r="H287" i="46"/>
  <c r="B262" i="46"/>
  <c r="B257" i="46"/>
  <c r="A286" i="46"/>
  <c r="A287" i="46"/>
  <c r="H255" i="46"/>
  <c r="D255" i="46"/>
  <c r="C255" i="46"/>
  <c r="A255" i="46"/>
  <c r="H254" i="46"/>
  <c r="D254" i="46"/>
  <c r="C254" i="46"/>
  <c r="A254" i="46"/>
  <c r="H253" i="46"/>
  <c r="D253" i="46"/>
  <c r="C253" i="46"/>
  <c r="A253" i="46"/>
  <c r="H252" i="46"/>
  <c r="D252" i="46"/>
  <c r="C252" i="46"/>
  <c r="A252" i="46"/>
  <c r="H251" i="46"/>
  <c r="D251" i="46"/>
  <c r="C251" i="46"/>
  <c r="A251" i="46"/>
  <c r="H250" i="46"/>
  <c r="D250" i="46"/>
  <c r="C250" i="46"/>
  <c r="A250" i="46"/>
  <c r="C249" i="46"/>
  <c r="C248" i="46"/>
  <c r="B225" i="46"/>
  <c r="H248" i="46"/>
  <c r="H249" i="46"/>
  <c r="B224" i="46"/>
  <c r="B219" i="46"/>
  <c r="A248" i="46"/>
  <c r="A249" i="46"/>
  <c r="H217" i="46"/>
  <c r="D217" i="46"/>
  <c r="C217" i="46"/>
  <c r="A217" i="46"/>
  <c r="H216" i="46"/>
  <c r="D216" i="46"/>
  <c r="C216" i="46"/>
  <c r="A216" i="46"/>
  <c r="H215" i="46"/>
  <c r="D215" i="46"/>
  <c r="C215" i="46"/>
  <c r="A215" i="46"/>
  <c r="H214" i="46"/>
  <c r="D214" i="46"/>
  <c r="C214" i="46"/>
  <c r="A214" i="46"/>
  <c r="H213" i="46"/>
  <c r="D213" i="46"/>
  <c r="C213" i="46"/>
  <c r="A213" i="46"/>
  <c r="H212" i="46"/>
  <c r="D212" i="46"/>
  <c r="C212" i="46"/>
  <c r="A212" i="46"/>
  <c r="C211" i="46"/>
  <c r="C210" i="46"/>
  <c r="B187" i="46"/>
  <c r="H210" i="46"/>
  <c r="H211" i="46"/>
  <c r="B186" i="46"/>
  <c r="B181" i="46"/>
  <c r="A210" i="46"/>
  <c r="A211" i="46"/>
  <c r="H177" i="46"/>
  <c r="D177" i="46"/>
  <c r="C177" i="46"/>
  <c r="A177" i="46"/>
  <c r="H176" i="46"/>
  <c r="D176" i="46"/>
  <c r="C176" i="46"/>
  <c r="A176" i="46"/>
  <c r="H175" i="46"/>
  <c r="D175" i="46"/>
  <c r="C175" i="46"/>
  <c r="A175" i="46"/>
  <c r="H174" i="46"/>
  <c r="D174" i="46"/>
  <c r="C174" i="46"/>
  <c r="A174" i="46"/>
  <c r="H173" i="46"/>
  <c r="D173" i="46"/>
  <c r="C173" i="46"/>
  <c r="A173" i="46"/>
  <c r="H172" i="46"/>
  <c r="D172" i="46"/>
  <c r="C172" i="46"/>
  <c r="H171" i="46"/>
  <c r="D171" i="46"/>
  <c r="C171" i="46"/>
  <c r="A171" i="46"/>
  <c r="H170" i="46"/>
  <c r="D170" i="46"/>
  <c r="C170" i="46"/>
  <c r="A170" i="46"/>
  <c r="H169" i="46"/>
  <c r="D169" i="46"/>
  <c r="C169" i="46"/>
  <c r="A169" i="46"/>
  <c r="H168" i="46"/>
  <c r="D168" i="46"/>
  <c r="C168" i="46"/>
  <c r="B142" i="46"/>
  <c r="B141" i="46"/>
  <c r="B136" i="46"/>
  <c r="A168" i="46"/>
  <c r="H132" i="46"/>
  <c r="D132" i="46"/>
  <c r="C132" i="46"/>
  <c r="A132" i="46"/>
  <c r="H131" i="46"/>
  <c r="D131" i="46"/>
  <c r="C131" i="46"/>
  <c r="A131" i="46"/>
  <c r="H130" i="46"/>
  <c r="D130" i="46"/>
  <c r="C130" i="46"/>
  <c r="A130" i="46"/>
  <c r="H129" i="46"/>
  <c r="D129" i="46"/>
  <c r="C129" i="46"/>
  <c r="A129" i="46"/>
  <c r="H128" i="46"/>
  <c r="D128" i="46"/>
  <c r="C128" i="46"/>
  <c r="A128" i="46"/>
  <c r="H127" i="46"/>
  <c r="D127" i="46"/>
  <c r="C127" i="46"/>
  <c r="H126" i="46"/>
  <c r="D126" i="46"/>
  <c r="C126" i="46"/>
  <c r="A126" i="46"/>
  <c r="H125" i="46"/>
  <c r="D125" i="46"/>
  <c r="C125" i="46"/>
  <c r="A125" i="46"/>
  <c r="H124" i="46"/>
  <c r="D124" i="46"/>
  <c r="C124" i="46"/>
  <c r="A124" i="46"/>
  <c r="H123" i="46"/>
  <c r="D123" i="46"/>
  <c r="C123" i="46"/>
  <c r="B97" i="46"/>
  <c r="B96" i="46"/>
  <c r="B91" i="46"/>
  <c r="A123" i="46"/>
  <c r="H87" i="46"/>
  <c r="D87" i="46"/>
  <c r="C87" i="46"/>
  <c r="A87" i="46"/>
  <c r="H86" i="46"/>
  <c r="D86" i="46"/>
  <c r="C86" i="46"/>
  <c r="A86" i="46"/>
  <c r="H85" i="46"/>
  <c r="D85" i="46"/>
  <c r="C85" i="46"/>
  <c r="A85" i="46"/>
  <c r="H84" i="46"/>
  <c r="D84" i="46"/>
  <c r="C84" i="46"/>
  <c r="A84" i="46"/>
  <c r="H83" i="46"/>
  <c r="D83" i="46"/>
  <c r="C83" i="46"/>
  <c r="A83" i="46"/>
  <c r="H82" i="46"/>
  <c r="D82" i="46"/>
  <c r="C82" i="46"/>
  <c r="H81" i="46"/>
  <c r="D81" i="46"/>
  <c r="C81" i="46"/>
  <c r="A81" i="46"/>
  <c r="H80" i="46"/>
  <c r="D80" i="46"/>
  <c r="C80" i="46"/>
  <c r="A80" i="46"/>
  <c r="H79" i="46"/>
  <c r="D79" i="46"/>
  <c r="C79" i="46"/>
  <c r="A79" i="46"/>
  <c r="H78" i="46"/>
  <c r="D78" i="46"/>
  <c r="C78" i="46"/>
  <c r="B52" i="46"/>
  <c r="B51" i="46"/>
  <c r="B46" i="46"/>
  <c r="A78" i="46"/>
  <c r="H42" i="46"/>
  <c r="D42" i="46"/>
  <c r="C42" i="46"/>
  <c r="A42" i="46"/>
  <c r="H41" i="46"/>
  <c r="D41" i="46"/>
  <c r="C41" i="46"/>
  <c r="A41" i="46"/>
  <c r="H40" i="46"/>
  <c r="D40" i="46"/>
  <c r="C40" i="46"/>
  <c r="A40" i="46"/>
  <c r="H39" i="46"/>
  <c r="D39" i="46"/>
  <c r="C39" i="46"/>
  <c r="A39" i="46"/>
  <c r="H38" i="46"/>
  <c r="D38" i="46"/>
  <c r="C38" i="46"/>
  <c r="A38" i="46"/>
  <c r="H37" i="46"/>
  <c r="D37" i="46"/>
  <c r="C37" i="46"/>
  <c r="H36" i="46"/>
  <c r="D36" i="46"/>
  <c r="C36" i="46"/>
  <c r="A36" i="46"/>
  <c r="H35" i="46"/>
  <c r="D35" i="46"/>
  <c r="C35" i="46"/>
  <c r="A35" i="46"/>
  <c r="H34" i="46"/>
  <c r="D34" i="46"/>
  <c r="C34" i="46"/>
  <c r="A34" i="46"/>
  <c r="H33" i="46"/>
  <c r="D33" i="46"/>
  <c r="C33" i="46"/>
  <c r="B7" i="46"/>
  <c r="B6" i="46"/>
  <c r="B1" i="46"/>
  <c r="A33" i="46"/>
  <c r="H332" i="45"/>
  <c r="D332" i="45"/>
  <c r="C332" i="45"/>
  <c r="A332" i="45"/>
  <c r="H331" i="45"/>
  <c r="D331" i="45"/>
  <c r="C331" i="45"/>
  <c r="A331" i="45"/>
  <c r="H330" i="45"/>
  <c r="D330" i="45"/>
  <c r="C330" i="45"/>
  <c r="A330" i="45"/>
  <c r="H329" i="45"/>
  <c r="D329" i="45"/>
  <c r="C329" i="45"/>
  <c r="A329" i="45"/>
  <c r="H328" i="45"/>
  <c r="D328" i="45"/>
  <c r="C328" i="45"/>
  <c r="A328" i="45"/>
  <c r="H327" i="45"/>
  <c r="D327" i="45"/>
  <c r="C327" i="45"/>
  <c r="A327" i="45"/>
  <c r="C326" i="45"/>
  <c r="C325" i="45"/>
  <c r="B302" i="45"/>
  <c r="H325" i="45"/>
  <c r="H326" i="45"/>
  <c r="B301" i="45"/>
  <c r="B296" i="45"/>
  <c r="A325" i="45"/>
  <c r="A326" i="45"/>
  <c r="H294" i="45"/>
  <c r="D294" i="45"/>
  <c r="C294" i="45"/>
  <c r="A294" i="45"/>
  <c r="H293" i="45"/>
  <c r="D293" i="45"/>
  <c r="C293" i="45"/>
  <c r="A293" i="45"/>
  <c r="H292" i="45"/>
  <c r="D292" i="45"/>
  <c r="C292" i="45"/>
  <c r="A292" i="45"/>
  <c r="H291" i="45"/>
  <c r="D291" i="45"/>
  <c r="C291" i="45"/>
  <c r="A291" i="45"/>
  <c r="H290" i="45"/>
  <c r="D290" i="45"/>
  <c r="C290" i="45"/>
  <c r="A290" i="45"/>
  <c r="H289" i="45"/>
  <c r="D289" i="45"/>
  <c r="C289" i="45"/>
  <c r="A289" i="45"/>
  <c r="C288" i="45"/>
  <c r="C287" i="45"/>
  <c r="B264" i="45"/>
  <c r="H287" i="45"/>
  <c r="H288" i="45"/>
  <c r="B263" i="45"/>
  <c r="B258" i="45"/>
  <c r="A287" i="45"/>
  <c r="A288" i="45"/>
  <c r="H256" i="45"/>
  <c r="D256" i="45"/>
  <c r="C256" i="45"/>
  <c r="A256" i="45"/>
  <c r="H255" i="45"/>
  <c r="D255" i="45"/>
  <c r="C255" i="45"/>
  <c r="A255" i="45"/>
  <c r="H254" i="45"/>
  <c r="D254" i="45"/>
  <c r="C254" i="45"/>
  <c r="A254" i="45"/>
  <c r="H253" i="45"/>
  <c r="D253" i="45"/>
  <c r="C253" i="45"/>
  <c r="A253" i="45"/>
  <c r="H252" i="45"/>
  <c r="D252" i="45"/>
  <c r="C252" i="45"/>
  <c r="A252" i="45"/>
  <c r="H251" i="45"/>
  <c r="D251" i="45"/>
  <c r="C251" i="45"/>
  <c r="A251" i="45"/>
  <c r="C250" i="45"/>
  <c r="C249" i="45"/>
  <c r="B226" i="45"/>
  <c r="H249" i="45"/>
  <c r="H250" i="45"/>
  <c r="B225" i="45"/>
  <c r="B220" i="45"/>
  <c r="A249" i="45"/>
  <c r="A250" i="45"/>
  <c r="H218" i="45"/>
  <c r="D218" i="45"/>
  <c r="C218" i="45"/>
  <c r="A218" i="45"/>
  <c r="H217" i="45"/>
  <c r="D217" i="45"/>
  <c r="C217" i="45"/>
  <c r="A217" i="45"/>
  <c r="H216" i="45"/>
  <c r="D216" i="45"/>
  <c r="C216" i="45"/>
  <c r="A216" i="45"/>
  <c r="H215" i="45"/>
  <c r="D215" i="45"/>
  <c r="C215" i="45"/>
  <c r="A215" i="45"/>
  <c r="H214" i="45"/>
  <c r="D214" i="45"/>
  <c r="C214" i="45"/>
  <c r="A214" i="45"/>
  <c r="H213" i="45"/>
  <c r="D213" i="45"/>
  <c r="C213" i="45"/>
  <c r="A213" i="45"/>
  <c r="C212" i="45"/>
  <c r="C211" i="45"/>
  <c r="B188" i="45"/>
  <c r="H211" i="45"/>
  <c r="H212" i="45"/>
  <c r="B187" i="45"/>
  <c r="B182" i="45"/>
  <c r="A211" i="45"/>
  <c r="A212" i="45"/>
  <c r="H177" i="45"/>
  <c r="D177" i="45"/>
  <c r="C177" i="45"/>
  <c r="A177" i="45"/>
  <c r="H176" i="45"/>
  <c r="D176" i="45"/>
  <c r="C176" i="45"/>
  <c r="A176" i="45"/>
  <c r="H175" i="45"/>
  <c r="D175" i="45"/>
  <c r="C175" i="45"/>
  <c r="A175" i="45"/>
  <c r="H174" i="45"/>
  <c r="D174" i="45"/>
  <c r="C174" i="45"/>
  <c r="A174" i="45"/>
  <c r="H173" i="45"/>
  <c r="D173" i="45"/>
  <c r="C173" i="45"/>
  <c r="A173" i="45"/>
  <c r="H172" i="45"/>
  <c r="D172" i="45"/>
  <c r="C172" i="45"/>
  <c r="H171" i="45"/>
  <c r="D171" i="45"/>
  <c r="C171" i="45"/>
  <c r="A171" i="45"/>
  <c r="H170" i="45"/>
  <c r="D170" i="45"/>
  <c r="C170" i="45"/>
  <c r="A170" i="45"/>
  <c r="H169" i="45"/>
  <c r="D169" i="45"/>
  <c r="C169" i="45"/>
  <c r="A169" i="45"/>
  <c r="H168" i="45"/>
  <c r="D168" i="45"/>
  <c r="C168" i="45"/>
  <c r="B142" i="45"/>
  <c r="B141" i="45"/>
  <c r="B136" i="45"/>
  <c r="A168" i="45"/>
  <c r="H132" i="45"/>
  <c r="D132" i="45"/>
  <c r="C132" i="45"/>
  <c r="A132" i="45"/>
  <c r="H131" i="45"/>
  <c r="D131" i="45"/>
  <c r="C131" i="45"/>
  <c r="A131" i="45"/>
  <c r="H130" i="45"/>
  <c r="D130" i="45"/>
  <c r="C130" i="45"/>
  <c r="A130" i="45"/>
  <c r="H129" i="45"/>
  <c r="D129" i="45"/>
  <c r="C129" i="45"/>
  <c r="A129" i="45"/>
  <c r="H128" i="45"/>
  <c r="D128" i="45"/>
  <c r="C128" i="45"/>
  <c r="A128" i="45"/>
  <c r="H127" i="45"/>
  <c r="D127" i="45"/>
  <c r="C127" i="45"/>
  <c r="H126" i="45"/>
  <c r="D126" i="45"/>
  <c r="C126" i="45"/>
  <c r="A126" i="45"/>
  <c r="H125" i="45"/>
  <c r="D125" i="45"/>
  <c r="C125" i="45"/>
  <c r="A125" i="45"/>
  <c r="H124" i="45"/>
  <c r="D124" i="45"/>
  <c r="C124" i="45"/>
  <c r="A124" i="45"/>
  <c r="H123" i="45"/>
  <c r="D123" i="45"/>
  <c r="C123" i="45"/>
  <c r="B97" i="45"/>
  <c r="B96" i="45"/>
  <c r="B91" i="45"/>
  <c r="A123" i="45"/>
  <c r="H87" i="45"/>
  <c r="D87" i="45"/>
  <c r="C87" i="45"/>
  <c r="A87" i="45"/>
  <c r="H86" i="45"/>
  <c r="D86" i="45"/>
  <c r="C86" i="45"/>
  <c r="A86" i="45"/>
  <c r="H85" i="45"/>
  <c r="D85" i="45"/>
  <c r="C85" i="45"/>
  <c r="A85" i="45"/>
  <c r="H84" i="45"/>
  <c r="D84" i="45"/>
  <c r="C84" i="45"/>
  <c r="A84" i="45"/>
  <c r="H83" i="45"/>
  <c r="D83" i="45"/>
  <c r="C83" i="45"/>
  <c r="A83" i="45"/>
  <c r="H82" i="45"/>
  <c r="D82" i="45"/>
  <c r="C82" i="45"/>
  <c r="H81" i="45"/>
  <c r="D81" i="45"/>
  <c r="C81" i="45"/>
  <c r="A81" i="45"/>
  <c r="H80" i="45"/>
  <c r="D80" i="45"/>
  <c r="C80" i="45"/>
  <c r="A80" i="45"/>
  <c r="H79" i="45"/>
  <c r="D79" i="45"/>
  <c r="C79" i="45"/>
  <c r="A79" i="45"/>
  <c r="H78" i="45"/>
  <c r="D78" i="45"/>
  <c r="C78" i="45"/>
  <c r="B52" i="45"/>
  <c r="B51" i="45"/>
  <c r="B46" i="45"/>
  <c r="A78" i="45"/>
  <c r="H42" i="45"/>
  <c r="D42" i="45"/>
  <c r="C42" i="45"/>
  <c r="A42" i="45"/>
  <c r="H41" i="45"/>
  <c r="D41" i="45"/>
  <c r="C41" i="45"/>
  <c r="A41" i="45"/>
  <c r="H40" i="45"/>
  <c r="D40" i="45"/>
  <c r="C40" i="45"/>
  <c r="A40" i="45"/>
  <c r="H39" i="45"/>
  <c r="D39" i="45"/>
  <c r="C39" i="45"/>
  <c r="A39" i="45"/>
  <c r="H38" i="45"/>
  <c r="D38" i="45"/>
  <c r="C38" i="45"/>
  <c r="A38" i="45"/>
  <c r="H37" i="45"/>
  <c r="D37" i="45"/>
  <c r="C37" i="45"/>
  <c r="H36" i="45"/>
  <c r="D36" i="45"/>
  <c r="C36" i="45"/>
  <c r="A36" i="45"/>
  <c r="H35" i="45"/>
  <c r="D35" i="45"/>
  <c r="C35" i="45"/>
  <c r="A35" i="45"/>
  <c r="H34" i="45"/>
  <c r="D34" i="45"/>
  <c r="C34" i="45"/>
  <c r="A34" i="45"/>
  <c r="H33" i="45"/>
  <c r="D33" i="45"/>
  <c r="C33" i="45"/>
  <c r="B7" i="45"/>
  <c r="B6" i="45"/>
  <c r="B1" i="45"/>
  <c r="A33" i="45"/>
  <c r="B141" i="44"/>
  <c r="B96" i="44"/>
  <c r="B51" i="44"/>
  <c r="B6" i="44"/>
  <c r="B96" i="9"/>
  <c r="B51" i="9"/>
  <c r="B6" i="9"/>
  <c r="H332" i="44"/>
  <c r="D332" i="44"/>
  <c r="C332" i="44"/>
  <c r="A332" i="44"/>
  <c r="H331" i="44"/>
  <c r="D331" i="44"/>
  <c r="C331" i="44"/>
  <c r="A331" i="44"/>
  <c r="H330" i="44"/>
  <c r="D330" i="44"/>
  <c r="C330" i="44"/>
  <c r="A330" i="44"/>
  <c r="H329" i="44"/>
  <c r="D329" i="44"/>
  <c r="C329" i="44"/>
  <c r="A329" i="44"/>
  <c r="H328" i="44"/>
  <c r="D328" i="44"/>
  <c r="C328" i="44"/>
  <c r="A328" i="44"/>
  <c r="H327" i="44"/>
  <c r="D327" i="44"/>
  <c r="C327" i="44"/>
  <c r="A327" i="44"/>
  <c r="C326" i="44"/>
  <c r="C325" i="44"/>
  <c r="B302" i="44"/>
  <c r="H325" i="44"/>
  <c r="H326" i="44"/>
  <c r="B301" i="44"/>
  <c r="B296" i="44"/>
  <c r="A325" i="44"/>
  <c r="A326" i="44"/>
  <c r="H294" i="44"/>
  <c r="D294" i="44"/>
  <c r="C294" i="44"/>
  <c r="A294" i="44"/>
  <c r="H293" i="44"/>
  <c r="D293" i="44"/>
  <c r="C293" i="44"/>
  <c r="A293" i="44"/>
  <c r="H292" i="44"/>
  <c r="D292" i="44"/>
  <c r="C292" i="44"/>
  <c r="A292" i="44"/>
  <c r="H291" i="44"/>
  <c r="D291" i="44"/>
  <c r="C291" i="44"/>
  <c r="A291" i="44"/>
  <c r="H290" i="44"/>
  <c r="D290" i="44"/>
  <c r="C290" i="44"/>
  <c r="A290" i="44"/>
  <c r="H289" i="44"/>
  <c r="D289" i="44"/>
  <c r="C289" i="44"/>
  <c r="A289" i="44"/>
  <c r="C288" i="44"/>
  <c r="C287" i="44"/>
  <c r="B264" i="44"/>
  <c r="H287" i="44"/>
  <c r="H288" i="44"/>
  <c r="B263" i="44"/>
  <c r="B258" i="44"/>
  <c r="A287" i="44"/>
  <c r="A288" i="44"/>
  <c r="H256" i="44"/>
  <c r="D256" i="44"/>
  <c r="C256" i="44"/>
  <c r="A256" i="44"/>
  <c r="H255" i="44"/>
  <c r="D255" i="44"/>
  <c r="C255" i="44"/>
  <c r="A255" i="44"/>
  <c r="H254" i="44"/>
  <c r="D254" i="44"/>
  <c r="C254" i="44"/>
  <c r="A254" i="44"/>
  <c r="H253" i="44"/>
  <c r="D253" i="44"/>
  <c r="C253" i="44"/>
  <c r="A253" i="44"/>
  <c r="H252" i="44"/>
  <c r="D252" i="44"/>
  <c r="C252" i="44"/>
  <c r="A252" i="44"/>
  <c r="H251" i="44"/>
  <c r="D251" i="44"/>
  <c r="C251" i="44"/>
  <c r="A251" i="44"/>
  <c r="C250" i="44"/>
  <c r="C249" i="44"/>
  <c r="B226" i="44"/>
  <c r="H249" i="44"/>
  <c r="H250" i="44"/>
  <c r="B225" i="44"/>
  <c r="B220" i="44"/>
  <c r="A249" i="44"/>
  <c r="A250" i="44"/>
  <c r="H218" i="44"/>
  <c r="D218" i="44"/>
  <c r="C218" i="44"/>
  <c r="A218" i="44"/>
  <c r="H217" i="44"/>
  <c r="D217" i="44"/>
  <c r="C217" i="44"/>
  <c r="A217" i="44"/>
  <c r="H216" i="44"/>
  <c r="D216" i="44"/>
  <c r="C216" i="44"/>
  <c r="A216" i="44"/>
  <c r="H215" i="44"/>
  <c r="D215" i="44"/>
  <c r="C215" i="44"/>
  <c r="A215" i="44"/>
  <c r="H214" i="44"/>
  <c r="D214" i="44"/>
  <c r="C214" i="44"/>
  <c r="A214" i="44"/>
  <c r="H213" i="44"/>
  <c r="D213" i="44"/>
  <c r="C213" i="44"/>
  <c r="A213" i="44"/>
  <c r="C212" i="44"/>
  <c r="C211" i="44"/>
  <c r="B188" i="44"/>
  <c r="H211" i="44"/>
  <c r="H212" i="44"/>
  <c r="B187" i="44"/>
  <c r="B182" i="44"/>
  <c r="A211" i="44"/>
  <c r="A212" i="44"/>
  <c r="H177" i="44"/>
  <c r="D177" i="44"/>
  <c r="C177" i="44"/>
  <c r="A177" i="44"/>
  <c r="H176" i="44"/>
  <c r="D176" i="44"/>
  <c r="C176" i="44"/>
  <c r="A176" i="44"/>
  <c r="H175" i="44"/>
  <c r="D175" i="44"/>
  <c r="C175" i="44"/>
  <c r="A175" i="44"/>
  <c r="H174" i="44"/>
  <c r="D174" i="44"/>
  <c r="C174" i="44"/>
  <c r="A174" i="44"/>
  <c r="H173" i="44"/>
  <c r="D173" i="44"/>
  <c r="C173" i="44"/>
  <c r="A173" i="44"/>
  <c r="H172" i="44"/>
  <c r="D172" i="44"/>
  <c r="C172" i="44"/>
  <c r="H171" i="44"/>
  <c r="D171" i="44"/>
  <c r="C171" i="44"/>
  <c r="A171" i="44"/>
  <c r="H170" i="44"/>
  <c r="D170" i="44"/>
  <c r="C170" i="44"/>
  <c r="A170" i="44"/>
  <c r="H169" i="44"/>
  <c r="D169" i="44"/>
  <c r="C169" i="44"/>
  <c r="A169" i="44"/>
  <c r="H168" i="44"/>
  <c r="D168" i="44"/>
  <c r="C168" i="44"/>
  <c r="B142" i="44"/>
  <c r="B136" i="44"/>
  <c r="A168" i="44"/>
  <c r="H132" i="44"/>
  <c r="D132" i="44"/>
  <c r="C132" i="44"/>
  <c r="A132" i="44"/>
  <c r="H131" i="44"/>
  <c r="D131" i="44"/>
  <c r="C131" i="44"/>
  <c r="A131" i="44"/>
  <c r="H130" i="44"/>
  <c r="D130" i="44"/>
  <c r="C130" i="44"/>
  <c r="A130" i="44"/>
  <c r="H129" i="44"/>
  <c r="D129" i="44"/>
  <c r="C129" i="44"/>
  <c r="A129" i="44"/>
  <c r="H128" i="44"/>
  <c r="D128" i="44"/>
  <c r="C128" i="44"/>
  <c r="A128" i="44"/>
  <c r="H127" i="44"/>
  <c r="D127" i="44"/>
  <c r="C127" i="44"/>
  <c r="H126" i="44"/>
  <c r="D126" i="44"/>
  <c r="C126" i="44"/>
  <c r="A126" i="44"/>
  <c r="H125" i="44"/>
  <c r="D125" i="44"/>
  <c r="C125" i="44"/>
  <c r="A125" i="44"/>
  <c r="H124" i="44"/>
  <c r="D124" i="44"/>
  <c r="C124" i="44"/>
  <c r="A124" i="44"/>
  <c r="H123" i="44"/>
  <c r="D123" i="44"/>
  <c r="C123" i="44"/>
  <c r="B97" i="44"/>
  <c r="B91" i="44"/>
  <c r="A123" i="44"/>
  <c r="H87" i="44"/>
  <c r="D87" i="44"/>
  <c r="C87" i="44"/>
  <c r="A87" i="44"/>
  <c r="H86" i="44"/>
  <c r="D86" i="44"/>
  <c r="C86" i="44"/>
  <c r="A86" i="44"/>
  <c r="H85" i="44"/>
  <c r="D85" i="44"/>
  <c r="C85" i="44"/>
  <c r="A85" i="44"/>
  <c r="H84" i="44"/>
  <c r="D84" i="44"/>
  <c r="C84" i="44"/>
  <c r="A84" i="44"/>
  <c r="H83" i="44"/>
  <c r="D83" i="44"/>
  <c r="C83" i="44"/>
  <c r="A83" i="44"/>
  <c r="H82" i="44"/>
  <c r="D82" i="44"/>
  <c r="C82" i="44"/>
  <c r="H81" i="44"/>
  <c r="D81" i="44"/>
  <c r="C81" i="44"/>
  <c r="A81" i="44"/>
  <c r="H80" i="44"/>
  <c r="D80" i="44"/>
  <c r="C80" i="44"/>
  <c r="A80" i="44"/>
  <c r="H79" i="44"/>
  <c r="D79" i="44"/>
  <c r="C79" i="44"/>
  <c r="A79" i="44"/>
  <c r="H78" i="44"/>
  <c r="D78" i="44"/>
  <c r="C78" i="44"/>
  <c r="B52" i="44"/>
  <c r="B46" i="44"/>
  <c r="A78" i="44"/>
  <c r="H42" i="44"/>
  <c r="D42" i="44"/>
  <c r="C42" i="44"/>
  <c r="A42" i="44"/>
  <c r="H41" i="44"/>
  <c r="D41" i="44"/>
  <c r="C41" i="44"/>
  <c r="A41" i="44"/>
  <c r="H40" i="44"/>
  <c r="D40" i="44"/>
  <c r="C40" i="44"/>
  <c r="A40" i="44"/>
  <c r="H39" i="44"/>
  <c r="D39" i="44"/>
  <c r="C39" i="44"/>
  <c r="A39" i="44"/>
  <c r="H38" i="44"/>
  <c r="D38" i="44"/>
  <c r="C38" i="44"/>
  <c r="A38" i="44"/>
  <c r="H37" i="44"/>
  <c r="D37" i="44"/>
  <c r="C37" i="44"/>
  <c r="H36" i="44"/>
  <c r="D36" i="44"/>
  <c r="C36" i="44"/>
  <c r="A36" i="44"/>
  <c r="H35" i="44"/>
  <c r="D35" i="44"/>
  <c r="C35" i="44"/>
  <c r="A35" i="44"/>
  <c r="H34" i="44"/>
  <c r="D34" i="44"/>
  <c r="C34" i="44"/>
  <c r="A34" i="44"/>
  <c r="H33" i="44"/>
  <c r="D33" i="44"/>
  <c r="C33" i="44"/>
  <c r="B7" i="44"/>
  <c r="B1" i="44"/>
  <c r="A33" i="44"/>
  <c r="B189" i="43"/>
  <c r="B184" i="43"/>
  <c r="B189" i="42"/>
  <c r="B184" i="42"/>
  <c r="B295" i="11"/>
  <c r="B257" i="11"/>
  <c r="B219" i="11"/>
  <c r="B181" i="11"/>
  <c r="B295" i="10"/>
  <c r="B257" i="10"/>
  <c r="B219" i="10"/>
  <c r="B181" i="10"/>
  <c r="B296" i="9"/>
  <c r="B258" i="9"/>
  <c r="B220" i="9"/>
  <c r="B182" i="9"/>
  <c r="B189" i="15"/>
  <c r="B184" i="15"/>
  <c r="B300" i="11"/>
  <c r="B262" i="11"/>
  <c r="B224" i="11"/>
  <c r="B186" i="11"/>
  <c r="B141" i="11"/>
  <c r="B96" i="11"/>
  <c r="B51" i="11"/>
  <c r="B6" i="11"/>
  <c r="B300" i="10"/>
  <c r="B262" i="10"/>
  <c r="B224" i="10"/>
  <c r="B186" i="10"/>
  <c r="B141" i="10"/>
  <c r="B96" i="10"/>
  <c r="B51" i="10"/>
  <c r="B6" i="10"/>
  <c r="B301" i="9"/>
  <c r="B263" i="9"/>
  <c r="B225" i="9"/>
  <c r="B187" i="9"/>
  <c r="B141" i="9"/>
  <c r="B136" i="11"/>
  <c r="B91" i="11"/>
  <c r="B46" i="11"/>
  <c r="B1" i="11"/>
  <c r="B136" i="10"/>
  <c r="B91" i="10"/>
  <c r="B46" i="10"/>
  <c r="B1" i="10"/>
  <c r="B136" i="9"/>
  <c r="B91" i="9"/>
  <c r="B46" i="9"/>
  <c r="B1" i="9"/>
  <c r="H338" i="43"/>
  <c r="D338" i="43"/>
  <c r="C338" i="43"/>
  <c r="A338" i="43"/>
  <c r="H337" i="43"/>
  <c r="D337" i="43"/>
  <c r="C337" i="43"/>
  <c r="A337" i="43"/>
  <c r="H336" i="43"/>
  <c r="D336" i="43"/>
  <c r="C336" i="43"/>
  <c r="A336" i="43"/>
  <c r="H335" i="43"/>
  <c r="D335" i="43"/>
  <c r="C335" i="43"/>
  <c r="A335" i="43"/>
  <c r="H334" i="43"/>
  <c r="D334" i="43"/>
  <c r="C334" i="43"/>
  <c r="A334" i="43"/>
  <c r="H333" i="43"/>
  <c r="D333" i="43"/>
  <c r="C333" i="43"/>
  <c r="A333" i="43"/>
  <c r="H332" i="43"/>
  <c r="D332" i="43"/>
  <c r="C332" i="43"/>
  <c r="A332" i="43"/>
  <c r="C331" i="43"/>
  <c r="C330" i="43"/>
  <c r="B307" i="43"/>
  <c r="H330" i="43"/>
  <c r="H331" i="43"/>
  <c r="B306" i="43"/>
  <c r="B301" i="43"/>
  <c r="A330" i="43"/>
  <c r="A331" i="43"/>
  <c r="H299" i="43"/>
  <c r="D299" i="43"/>
  <c r="C299" i="43"/>
  <c r="A299" i="43"/>
  <c r="H298" i="43"/>
  <c r="D298" i="43"/>
  <c r="C298" i="43"/>
  <c r="A298" i="43"/>
  <c r="H297" i="43"/>
  <c r="D297" i="43"/>
  <c r="C297" i="43"/>
  <c r="A297" i="43"/>
  <c r="H296" i="43"/>
  <c r="D296" i="43"/>
  <c r="C296" i="43"/>
  <c r="A296" i="43"/>
  <c r="H295" i="43"/>
  <c r="D295" i="43"/>
  <c r="C295" i="43"/>
  <c r="A295" i="43"/>
  <c r="H294" i="43"/>
  <c r="D294" i="43"/>
  <c r="C294" i="43"/>
  <c r="A294" i="43"/>
  <c r="H293" i="43"/>
  <c r="D293" i="43"/>
  <c r="C293" i="43"/>
  <c r="A293" i="43"/>
  <c r="C292" i="43"/>
  <c r="C291" i="43"/>
  <c r="B268" i="43"/>
  <c r="H291" i="43"/>
  <c r="H292" i="43"/>
  <c r="B267" i="43"/>
  <c r="B262" i="43"/>
  <c r="A291" i="43"/>
  <c r="A292" i="43"/>
  <c r="H260" i="43"/>
  <c r="D260" i="43"/>
  <c r="C260" i="43"/>
  <c r="A260" i="43"/>
  <c r="H259" i="43"/>
  <c r="D259" i="43"/>
  <c r="C259" i="43"/>
  <c r="A259" i="43"/>
  <c r="H258" i="43"/>
  <c r="D258" i="43"/>
  <c r="C258" i="43"/>
  <c r="A258" i="43"/>
  <c r="H257" i="43"/>
  <c r="D257" i="43"/>
  <c r="C257" i="43"/>
  <c r="A257" i="43"/>
  <c r="H256" i="43"/>
  <c r="D256" i="43"/>
  <c r="C256" i="43"/>
  <c r="A256" i="43"/>
  <c r="H255" i="43"/>
  <c r="D255" i="43"/>
  <c r="C255" i="43"/>
  <c r="A255" i="43"/>
  <c r="H254" i="43"/>
  <c r="D254" i="43"/>
  <c r="C254" i="43"/>
  <c r="A254" i="43"/>
  <c r="C253" i="43"/>
  <c r="C252" i="43"/>
  <c r="B229" i="43"/>
  <c r="H252" i="43"/>
  <c r="H253" i="43"/>
  <c r="B228" i="43"/>
  <c r="B223" i="43"/>
  <c r="A252" i="43"/>
  <c r="A253" i="43"/>
  <c r="H221" i="43"/>
  <c r="D221" i="43"/>
  <c r="C221" i="43"/>
  <c r="A221" i="43"/>
  <c r="H220" i="43"/>
  <c r="D220" i="43"/>
  <c r="C220" i="43"/>
  <c r="A220" i="43"/>
  <c r="H219" i="43"/>
  <c r="D219" i="43"/>
  <c r="C219" i="43"/>
  <c r="A219" i="43"/>
  <c r="H218" i="43"/>
  <c r="D218" i="43"/>
  <c r="C218" i="43"/>
  <c r="A218" i="43"/>
  <c r="H217" i="43"/>
  <c r="D217" i="43"/>
  <c r="C217" i="43"/>
  <c r="A217" i="43"/>
  <c r="H216" i="43"/>
  <c r="D216" i="43"/>
  <c r="C216" i="43"/>
  <c r="A216" i="43"/>
  <c r="H215" i="43"/>
  <c r="D215" i="43"/>
  <c r="C215" i="43"/>
  <c r="A215" i="43"/>
  <c r="C214" i="43"/>
  <c r="C213" i="43"/>
  <c r="B190" i="43"/>
  <c r="H213" i="43"/>
  <c r="H214" i="43"/>
  <c r="H180" i="43"/>
  <c r="D180" i="43"/>
  <c r="C180" i="43"/>
  <c r="A180" i="43"/>
  <c r="H179" i="43"/>
  <c r="D179" i="43"/>
  <c r="C179" i="43"/>
  <c r="A179" i="43"/>
  <c r="H178" i="43"/>
  <c r="D178" i="43"/>
  <c r="C178" i="43"/>
  <c r="A178" i="43"/>
  <c r="H177" i="43"/>
  <c r="D177" i="43"/>
  <c r="C177" i="43"/>
  <c r="A177" i="43"/>
  <c r="H176" i="43"/>
  <c r="D176" i="43"/>
  <c r="C176" i="43"/>
  <c r="A176" i="43"/>
  <c r="H175" i="43"/>
  <c r="D175" i="43"/>
  <c r="C175" i="43"/>
  <c r="H174" i="43"/>
  <c r="D174" i="43"/>
  <c r="C174" i="43"/>
  <c r="A174" i="43"/>
  <c r="H173" i="43"/>
  <c r="D173" i="43"/>
  <c r="C173" i="43"/>
  <c r="A173" i="43"/>
  <c r="H172" i="43"/>
  <c r="D172" i="43"/>
  <c r="C172" i="43"/>
  <c r="A172" i="43"/>
  <c r="H171" i="43"/>
  <c r="D171" i="43"/>
  <c r="C171" i="43"/>
  <c r="A171" i="43"/>
  <c r="H170" i="43"/>
  <c r="D170" i="43"/>
  <c r="C170" i="43"/>
  <c r="B144" i="43"/>
  <c r="B143" i="43"/>
  <c r="B138" i="43"/>
  <c r="A170" i="43"/>
  <c r="H134" i="43"/>
  <c r="D134" i="43"/>
  <c r="C134" i="43"/>
  <c r="A134" i="43"/>
  <c r="H133" i="43"/>
  <c r="D133" i="43"/>
  <c r="C133" i="43"/>
  <c r="A133" i="43"/>
  <c r="H132" i="43"/>
  <c r="D132" i="43"/>
  <c r="C132" i="43"/>
  <c r="A132" i="43"/>
  <c r="H131" i="43"/>
  <c r="D131" i="43"/>
  <c r="C131" i="43"/>
  <c r="A131" i="43"/>
  <c r="H130" i="43"/>
  <c r="D130" i="43"/>
  <c r="C130" i="43"/>
  <c r="A130" i="43"/>
  <c r="H129" i="43"/>
  <c r="D129" i="43"/>
  <c r="C129" i="43"/>
  <c r="H128" i="43"/>
  <c r="D128" i="43"/>
  <c r="C128" i="43"/>
  <c r="A128" i="43"/>
  <c r="H127" i="43"/>
  <c r="D127" i="43"/>
  <c r="C127" i="43"/>
  <c r="A127" i="43"/>
  <c r="H126" i="43"/>
  <c r="D126" i="43"/>
  <c r="C126" i="43"/>
  <c r="A126" i="43"/>
  <c r="H125" i="43"/>
  <c r="D125" i="43"/>
  <c r="C125" i="43"/>
  <c r="A125" i="43"/>
  <c r="H124" i="43"/>
  <c r="D124" i="43"/>
  <c r="C124" i="43"/>
  <c r="B98" i="43"/>
  <c r="B97" i="43"/>
  <c r="B92" i="43"/>
  <c r="A124" i="43"/>
  <c r="H88" i="43"/>
  <c r="D88" i="43"/>
  <c r="C88" i="43"/>
  <c r="A88" i="43"/>
  <c r="H87" i="43"/>
  <c r="D87" i="43"/>
  <c r="C87" i="43"/>
  <c r="A87" i="43"/>
  <c r="H86" i="43"/>
  <c r="D86" i="43"/>
  <c r="C86" i="43"/>
  <c r="A86" i="43"/>
  <c r="H85" i="43"/>
  <c r="D85" i="43"/>
  <c r="C85" i="43"/>
  <c r="A85" i="43"/>
  <c r="H84" i="43"/>
  <c r="D84" i="43"/>
  <c r="C84" i="43"/>
  <c r="A84" i="43"/>
  <c r="H83" i="43"/>
  <c r="D83" i="43"/>
  <c r="C83" i="43"/>
  <c r="H82" i="43"/>
  <c r="D82" i="43"/>
  <c r="C82" i="43"/>
  <c r="A82" i="43"/>
  <c r="H81" i="43"/>
  <c r="D81" i="43"/>
  <c r="C81" i="43"/>
  <c r="A81" i="43"/>
  <c r="H80" i="43"/>
  <c r="D80" i="43"/>
  <c r="C80" i="43"/>
  <c r="A80" i="43"/>
  <c r="H79" i="43"/>
  <c r="D79" i="43"/>
  <c r="C79" i="43"/>
  <c r="A79" i="43"/>
  <c r="H78" i="43"/>
  <c r="D78" i="43"/>
  <c r="C78" i="43"/>
  <c r="B52" i="43"/>
  <c r="B51" i="43"/>
  <c r="B46" i="43"/>
  <c r="A78" i="43"/>
  <c r="H42" i="43"/>
  <c r="D42" i="43"/>
  <c r="C42" i="43"/>
  <c r="A42" i="43"/>
  <c r="H41" i="43"/>
  <c r="D41" i="43"/>
  <c r="C41" i="43"/>
  <c r="A41" i="43"/>
  <c r="H40" i="43"/>
  <c r="D40" i="43"/>
  <c r="C40" i="43"/>
  <c r="A40" i="43"/>
  <c r="H39" i="43"/>
  <c r="D39" i="43"/>
  <c r="C39" i="43"/>
  <c r="A39" i="43"/>
  <c r="H38" i="43"/>
  <c r="D38" i="43"/>
  <c r="C38" i="43"/>
  <c r="A38" i="43"/>
  <c r="H37" i="43"/>
  <c r="D37" i="43"/>
  <c r="C37" i="43"/>
  <c r="H36" i="43"/>
  <c r="D36" i="43"/>
  <c r="C36" i="43"/>
  <c r="A36" i="43"/>
  <c r="H35" i="43"/>
  <c r="D35" i="43"/>
  <c r="C35" i="43"/>
  <c r="A35" i="43"/>
  <c r="H34" i="43"/>
  <c r="D34" i="43"/>
  <c r="C34" i="43"/>
  <c r="A34" i="43"/>
  <c r="H33" i="43"/>
  <c r="D33" i="43"/>
  <c r="C33" i="43"/>
  <c r="B7" i="43"/>
  <c r="B6" i="43"/>
  <c r="B1" i="43"/>
  <c r="A33" i="43"/>
  <c r="H338" i="42"/>
  <c r="D338" i="42"/>
  <c r="C338" i="42"/>
  <c r="A338" i="42"/>
  <c r="H337" i="42"/>
  <c r="D337" i="42"/>
  <c r="C337" i="42"/>
  <c r="A337" i="42"/>
  <c r="H336" i="42"/>
  <c r="D336" i="42"/>
  <c r="C336" i="42"/>
  <c r="A336" i="42"/>
  <c r="H335" i="42"/>
  <c r="D335" i="42"/>
  <c r="C335" i="42"/>
  <c r="A335" i="42"/>
  <c r="H334" i="42"/>
  <c r="D334" i="42"/>
  <c r="C334" i="42"/>
  <c r="A334" i="42"/>
  <c r="H333" i="42"/>
  <c r="D333" i="42"/>
  <c r="C333" i="42"/>
  <c r="A333" i="42"/>
  <c r="H332" i="42"/>
  <c r="D332" i="42"/>
  <c r="C332" i="42"/>
  <c r="A332" i="42"/>
  <c r="C331" i="42"/>
  <c r="C330" i="42"/>
  <c r="B307" i="42"/>
  <c r="H330" i="42"/>
  <c r="H331" i="42"/>
  <c r="B306" i="42"/>
  <c r="B301" i="42"/>
  <c r="A330" i="42"/>
  <c r="A331" i="42"/>
  <c r="H299" i="42"/>
  <c r="D299" i="42"/>
  <c r="C299" i="42"/>
  <c r="A299" i="42"/>
  <c r="H298" i="42"/>
  <c r="D298" i="42"/>
  <c r="C298" i="42"/>
  <c r="A298" i="42"/>
  <c r="H297" i="42"/>
  <c r="D297" i="42"/>
  <c r="C297" i="42"/>
  <c r="A297" i="42"/>
  <c r="H296" i="42"/>
  <c r="D296" i="42"/>
  <c r="C296" i="42"/>
  <c r="A296" i="42"/>
  <c r="H295" i="42"/>
  <c r="D295" i="42"/>
  <c r="C295" i="42"/>
  <c r="A295" i="42"/>
  <c r="H294" i="42"/>
  <c r="D294" i="42"/>
  <c r="C294" i="42"/>
  <c r="A294" i="42"/>
  <c r="H293" i="42"/>
  <c r="D293" i="42"/>
  <c r="C293" i="42"/>
  <c r="A293" i="42"/>
  <c r="C292" i="42"/>
  <c r="C291" i="42"/>
  <c r="B268" i="42"/>
  <c r="H291" i="42"/>
  <c r="H292" i="42"/>
  <c r="B267" i="42"/>
  <c r="B262" i="42"/>
  <c r="A291" i="42"/>
  <c r="A292" i="42"/>
  <c r="H260" i="42"/>
  <c r="D260" i="42"/>
  <c r="C260" i="42"/>
  <c r="A260" i="42"/>
  <c r="H259" i="42"/>
  <c r="D259" i="42"/>
  <c r="C259" i="42"/>
  <c r="A259" i="42"/>
  <c r="H258" i="42"/>
  <c r="D258" i="42"/>
  <c r="C258" i="42"/>
  <c r="A258" i="42"/>
  <c r="H257" i="42"/>
  <c r="D257" i="42"/>
  <c r="C257" i="42"/>
  <c r="A257" i="42"/>
  <c r="H256" i="42"/>
  <c r="D256" i="42"/>
  <c r="C256" i="42"/>
  <c r="A256" i="42"/>
  <c r="H255" i="42"/>
  <c r="D255" i="42"/>
  <c r="C255" i="42"/>
  <c r="A255" i="42"/>
  <c r="H254" i="42"/>
  <c r="D254" i="42"/>
  <c r="C254" i="42"/>
  <c r="A254" i="42"/>
  <c r="C253" i="42"/>
  <c r="H252" i="42"/>
  <c r="H253" i="42"/>
  <c r="C252" i="42"/>
  <c r="B229" i="42"/>
  <c r="B228" i="42"/>
  <c r="B223" i="42"/>
  <c r="A252" i="42"/>
  <c r="A253" i="42"/>
  <c r="H221" i="42"/>
  <c r="D221" i="42"/>
  <c r="C221" i="42"/>
  <c r="A221" i="42"/>
  <c r="H220" i="42"/>
  <c r="D220" i="42"/>
  <c r="C220" i="42"/>
  <c r="A220" i="42"/>
  <c r="H219" i="42"/>
  <c r="D219" i="42"/>
  <c r="C219" i="42"/>
  <c r="A219" i="42"/>
  <c r="H218" i="42"/>
  <c r="D218" i="42"/>
  <c r="C218" i="42"/>
  <c r="A218" i="42"/>
  <c r="H217" i="42"/>
  <c r="D217" i="42"/>
  <c r="C217" i="42"/>
  <c r="A217" i="42"/>
  <c r="H216" i="42"/>
  <c r="D216" i="42"/>
  <c r="C216" i="42"/>
  <c r="A216" i="42"/>
  <c r="H215" i="42"/>
  <c r="D215" i="42"/>
  <c r="C215" i="42"/>
  <c r="A215" i="42"/>
  <c r="C214" i="42"/>
  <c r="C213" i="42"/>
  <c r="B190" i="42"/>
  <c r="H213" i="42"/>
  <c r="H214" i="42"/>
  <c r="H180" i="42"/>
  <c r="D180" i="42"/>
  <c r="C180" i="42"/>
  <c r="A180" i="42"/>
  <c r="H179" i="42"/>
  <c r="D179" i="42"/>
  <c r="C179" i="42"/>
  <c r="A179" i="42"/>
  <c r="H178" i="42"/>
  <c r="D178" i="42"/>
  <c r="C178" i="42"/>
  <c r="A178" i="42"/>
  <c r="H177" i="42"/>
  <c r="D177" i="42"/>
  <c r="C177" i="42"/>
  <c r="A177" i="42"/>
  <c r="H176" i="42"/>
  <c r="D176" i="42"/>
  <c r="C176" i="42"/>
  <c r="A176" i="42"/>
  <c r="H175" i="42"/>
  <c r="D175" i="42"/>
  <c r="C175" i="42"/>
  <c r="H174" i="42"/>
  <c r="D174" i="42"/>
  <c r="C174" i="42"/>
  <c r="A174" i="42"/>
  <c r="H173" i="42"/>
  <c r="D173" i="42"/>
  <c r="C173" i="42"/>
  <c r="A173" i="42"/>
  <c r="H172" i="42"/>
  <c r="D172" i="42"/>
  <c r="C172" i="42"/>
  <c r="A172" i="42"/>
  <c r="H171" i="42"/>
  <c r="D171" i="42"/>
  <c r="C171" i="42"/>
  <c r="A171" i="42"/>
  <c r="H170" i="42"/>
  <c r="D170" i="42"/>
  <c r="C170" i="42"/>
  <c r="B144" i="42"/>
  <c r="B143" i="42"/>
  <c r="B138" i="42"/>
  <c r="A170" i="42"/>
  <c r="H134" i="42"/>
  <c r="D134" i="42"/>
  <c r="C134" i="42"/>
  <c r="A134" i="42"/>
  <c r="H133" i="42"/>
  <c r="D133" i="42"/>
  <c r="C133" i="42"/>
  <c r="A133" i="42"/>
  <c r="H132" i="42"/>
  <c r="D132" i="42"/>
  <c r="C132" i="42"/>
  <c r="A132" i="42"/>
  <c r="H131" i="42"/>
  <c r="D131" i="42"/>
  <c r="C131" i="42"/>
  <c r="A131" i="42"/>
  <c r="H130" i="42"/>
  <c r="D130" i="42"/>
  <c r="C130" i="42"/>
  <c r="A130" i="42"/>
  <c r="H129" i="42"/>
  <c r="D129" i="42"/>
  <c r="C129" i="42"/>
  <c r="H128" i="42"/>
  <c r="D128" i="42"/>
  <c r="C128" i="42"/>
  <c r="A128" i="42"/>
  <c r="H127" i="42"/>
  <c r="D127" i="42"/>
  <c r="C127" i="42"/>
  <c r="A127" i="42"/>
  <c r="H126" i="42"/>
  <c r="D126" i="42"/>
  <c r="C126" i="42"/>
  <c r="A126" i="42"/>
  <c r="H125" i="42"/>
  <c r="D125" i="42"/>
  <c r="C125" i="42"/>
  <c r="A125" i="42"/>
  <c r="H124" i="42"/>
  <c r="D124" i="42"/>
  <c r="C124" i="42"/>
  <c r="B98" i="42"/>
  <c r="B97" i="42"/>
  <c r="B92" i="42"/>
  <c r="A124" i="42"/>
  <c r="H88" i="42"/>
  <c r="D88" i="42"/>
  <c r="C88" i="42"/>
  <c r="A88" i="42"/>
  <c r="H87" i="42"/>
  <c r="D87" i="42"/>
  <c r="C87" i="42"/>
  <c r="A87" i="42"/>
  <c r="H86" i="42"/>
  <c r="D86" i="42"/>
  <c r="C86" i="42"/>
  <c r="A86" i="42"/>
  <c r="H85" i="42"/>
  <c r="D85" i="42"/>
  <c r="C85" i="42"/>
  <c r="A85" i="42"/>
  <c r="H84" i="42"/>
  <c r="D84" i="42"/>
  <c r="C84" i="42"/>
  <c r="A84" i="42"/>
  <c r="H83" i="42"/>
  <c r="D83" i="42"/>
  <c r="C83" i="42"/>
  <c r="H82" i="42"/>
  <c r="D82" i="42"/>
  <c r="C82" i="42"/>
  <c r="A82" i="42"/>
  <c r="H81" i="42"/>
  <c r="D81" i="42"/>
  <c r="C81" i="42"/>
  <c r="A81" i="42"/>
  <c r="H80" i="42"/>
  <c r="D80" i="42"/>
  <c r="C80" i="42"/>
  <c r="A80" i="42"/>
  <c r="H79" i="42"/>
  <c r="D79" i="42"/>
  <c r="C79" i="42"/>
  <c r="A79" i="42"/>
  <c r="H78" i="42"/>
  <c r="D78" i="42"/>
  <c r="C78" i="42"/>
  <c r="B52" i="42"/>
  <c r="B51" i="42"/>
  <c r="B46" i="42"/>
  <c r="A78" i="42"/>
  <c r="H42" i="42"/>
  <c r="D42" i="42"/>
  <c r="C42" i="42"/>
  <c r="A42" i="42"/>
  <c r="H41" i="42"/>
  <c r="D41" i="42"/>
  <c r="C41" i="42"/>
  <c r="A41" i="42"/>
  <c r="H40" i="42"/>
  <c r="D40" i="42"/>
  <c r="C40" i="42"/>
  <c r="A40" i="42"/>
  <c r="H39" i="42"/>
  <c r="D39" i="42"/>
  <c r="C39" i="42"/>
  <c r="A39" i="42"/>
  <c r="H38" i="42"/>
  <c r="D38" i="42"/>
  <c r="C38" i="42"/>
  <c r="A38" i="42"/>
  <c r="H37" i="42"/>
  <c r="D37" i="42"/>
  <c r="C37" i="42"/>
  <c r="H36" i="42"/>
  <c r="D36" i="42"/>
  <c r="C36" i="42"/>
  <c r="A36" i="42"/>
  <c r="H35" i="42"/>
  <c r="D35" i="42"/>
  <c r="C35" i="42"/>
  <c r="A35" i="42"/>
  <c r="H34" i="42"/>
  <c r="D34" i="42"/>
  <c r="C34" i="42"/>
  <c r="A34" i="42"/>
  <c r="H33" i="42"/>
  <c r="D33" i="42"/>
  <c r="C33" i="42"/>
  <c r="B7" i="42"/>
  <c r="B6" i="42"/>
  <c r="B1" i="42"/>
  <c r="A33" i="42"/>
  <c r="B301" i="15"/>
  <c r="B262" i="15"/>
  <c r="B223" i="15"/>
  <c r="B306" i="15"/>
  <c r="B267" i="15"/>
  <c r="B228" i="15"/>
  <c r="B143" i="15"/>
  <c r="B97" i="15"/>
  <c r="B51" i="15"/>
  <c r="B6" i="15"/>
  <c r="B138" i="15"/>
  <c r="B92" i="15"/>
  <c r="B46" i="15"/>
  <c r="B1" i="15"/>
  <c r="H338" i="41"/>
  <c r="D338" i="41"/>
  <c r="C338" i="41"/>
  <c r="A338" i="41"/>
  <c r="H337" i="41"/>
  <c r="D337" i="41"/>
  <c r="C337" i="41"/>
  <c r="A337" i="41"/>
  <c r="H336" i="41"/>
  <c r="D336" i="41"/>
  <c r="C336" i="41"/>
  <c r="A336" i="41"/>
  <c r="H335" i="41"/>
  <c r="D335" i="41"/>
  <c r="C335" i="41"/>
  <c r="A335" i="41"/>
  <c r="H334" i="41"/>
  <c r="D334" i="41"/>
  <c r="C334" i="41"/>
  <c r="A334" i="41"/>
  <c r="H333" i="41"/>
  <c r="D333" i="41"/>
  <c r="C333" i="41"/>
  <c r="A333" i="41"/>
  <c r="H332" i="41"/>
  <c r="D332" i="41"/>
  <c r="C332" i="41"/>
  <c r="A332" i="41"/>
  <c r="C331" i="41"/>
  <c r="C330" i="41"/>
  <c r="B307" i="41"/>
  <c r="H330" i="41"/>
  <c r="H331" i="41"/>
  <c r="B306" i="41"/>
  <c r="B301" i="41"/>
  <c r="A330" i="41"/>
  <c r="A331" i="41"/>
  <c r="H299" i="41"/>
  <c r="D299" i="41"/>
  <c r="C299" i="41"/>
  <c r="A299" i="41"/>
  <c r="H298" i="41"/>
  <c r="D298" i="41"/>
  <c r="C298" i="41"/>
  <c r="A298" i="41"/>
  <c r="H297" i="41"/>
  <c r="D297" i="41"/>
  <c r="C297" i="41"/>
  <c r="A297" i="41"/>
  <c r="H296" i="41"/>
  <c r="D296" i="41"/>
  <c r="C296" i="41"/>
  <c r="A296" i="41"/>
  <c r="H295" i="41"/>
  <c r="D295" i="41"/>
  <c r="C295" i="41"/>
  <c r="A295" i="41"/>
  <c r="H294" i="41"/>
  <c r="D294" i="41"/>
  <c r="C294" i="41"/>
  <c r="A294" i="41"/>
  <c r="H293" i="41"/>
  <c r="D293" i="41"/>
  <c r="C293" i="41"/>
  <c r="A293" i="41"/>
  <c r="C292" i="41"/>
  <c r="C291" i="41"/>
  <c r="B268" i="41"/>
  <c r="H291" i="41"/>
  <c r="H292" i="41"/>
  <c r="B267" i="41"/>
  <c r="B262" i="41"/>
  <c r="A291" i="41"/>
  <c r="A292" i="41"/>
  <c r="H260" i="41"/>
  <c r="D260" i="41"/>
  <c r="C260" i="41"/>
  <c r="A260" i="41"/>
  <c r="H259" i="41"/>
  <c r="D259" i="41"/>
  <c r="C259" i="41"/>
  <c r="A259" i="41"/>
  <c r="H258" i="41"/>
  <c r="D258" i="41"/>
  <c r="C258" i="41"/>
  <c r="A258" i="41"/>
  <c r="H257" i="41"/>
  <c r="D257" i="41"/>
  <c r="C257" i="41"/>
  <c r="A257" i="41"/>
  <c r="H256" i="41"/>
  <c r="D256" i="41"/>
  <c r="C256" i="41"/>
  <c r="A256" i="41"/>
  <c r="H255" i="41"/>
  <c r="D255" i="41"/>
  <c r="C255" i="41"/>
  <c r="A255" i="41"/>
  <c r="H254" i="41"/>
  <c r="D254" i="41"/>
  <c r="C254" i="41"/>
  <c r="A254" i="41"/>
  <c r="C253" i="41"/>
  <c r="C252" i="41"/>
  <c r="B229" i="41"/>
  <c r="H252" i="41"/>
  <c r="H253" i="41"/>
  <c r="B228" i="41"/>
  <c r="B223" i="41"/>
  <c r="A252" i="41"/>
  <c r="A253" i="41"/>
  <c r="H221" i="41"/>
  <c r="D221" i="41"/>
  <c r="C221" i="41"/>
  <c r="A221" i="41"/>
  <c r="H220" i="41"/>
  <c r="D220" i="41"/>
  <c r="C220" i="41"/>
  <c r="A220" i="41"/>
  <c r="H219" i="41"/>
  <c r="D219" i="41"/>
  <c r="C219" i="41"/>
  <c r="A219" i="41"/>
  <c r="H218" i="41"/>
  <c r="D218" i="41"/>
  <c r="C218" i="41"/>
  <c r="A218" i="41"/>
  <c r="H217" i="41"/>
  <c r="D217" i="41"/>
  <c r="C217" i="41"/>
  <c r="A217" i="41"/>
  <c r="H216" i="41"/>
  <c r="D216" i="41"/>
  <c r="C216" i="41"/>
  <c r="A216" i="41"/>
  <c r="H215" i="41"/>
  <c r="D215" i="41"/>
  <c r="C215" i="41"/>
  <c r="A215" i="41"/>
  <c r="C214" i="41"/>
  <c r="C213" i="41"/>
  <c r="B190" i="41"/>
  <c r="H213" i="41"/>
  <c r="H214" i="41"/>
  <c r="B189" i="41"/>
  <c r="B184" i="41"/>
  <c r="A213" i="41"/>
  <c r="A214" i="41"/>
  <c r="H180" i="41"/>
  <c r="D180" i="41"/>
  <c r="C180" i="41"/>
  <c r="A180" i="41"/>
  <c r="H179" i="41"/>
  <c r="D179" i="41"/>
  <c r="C179" i="41"/>
  <c r="A179" i="41"/>
  <c r="H178" i="41"/>
  <c r="D178" i="41"/>
  <c r="C178" i="41"/>
  <c r="A178" i="41"/>
  <c r="H177" i="41"/>
  <c r="D177" i="41"/>
  <c r="C177" i="41"/>
  <c r="A177" i="41"/>
  <c r="H176" i="41"/>
  <c r="D176" i="41"/>
  <c r="C176" i="41"/>
  <c r="A176" i="41"/>
  <c r="H175" i="41"/>
  <c r="D175" i="41"/>
  <c r="C175" i="41"/>
  <c r="H174" i="41"/>
  <c r="D174" i="41"/>
  <c r="C174" i="41"/>
  <c r="A174" i="41"/>
  <c r="H173" i="41"/>
  <c r="D173" i="41"/>
  <c r="C173" i="41"/>
  <c r="A173" i="41"/>
  <c r="H172" i="41"/>
  <c r="D172" i="41"/>
  <c r="C172" i="41"/>
  <c r="A172" i="41"/>
  <c r="H171" i="41"/>
  <c r="D171" i="41"/>
  <c r="C171" i="41"/>
  <c r="A171" i="41"/>
  <c r="H170" i="41"/>
  <c r="D170" i="41"/>
  <c r="C170" i="41"/>
  <c r="B144" i="41"/>
  <c r="B143" i="41"/>
  <c r="B138" i="41"/>
  <c r="A170" i="41"/>
  <c r="H134" i="41"/>
  <c r="D134" i="41"/>
  <c r="C134" i="41"/>
  <c r="A134" i="41"/>
  <c r="H133" i="41"/>
  <c r="D133" i="41"/>
  <c r="C133" i="41"/>
  <c r="A133" i="41"/>
  <c r="H132" i="41"/>
  <c r="D132" i="41"/>
  <c r="C132" i="41"/>
  <c r="A132" i="41"/>
  <c r="H131" i="41"/>
  <c r="D131" i="41"/>
  <c r="C131" i="41"/>
  <c r="A131" i="41"/>
  <c r="H130" i="41"/>
  <c r="D130" i="41"/>
  <c r="C130" i="41"/>
  <c r="A130" i="41"/>
  <c r="H129" i="41"/>
  <c r="D129" i="41"/>
  <c r="C129" i="41"/>
  <c r="H128" i="41"/>
  <c r="D128" i="41"/>
  <c r="C128" i="41"/>
  <c r="A128" i="41"/>
  <c r="H127" i="41"/>
  <c r="D127" i="41"/>
  <c r="C127" i="41"/>
  <c r="A127" i="41"/>
  <c r="H126" i="41"/>
  <c r="D126" i="41"/>
  <c r="C126" i="41"/>
  <c r="A126" i="41"/>
  <c r="H125" i="41"/>
  <c r="D125" i="41"/>
  <c r="C125" i="41"/>
  <c r="A125" i="41"/>
  <c r="H124" i="41"/>
  <c r="D124" i="41"/>
  <c r="C124" i="41"/>
  <c r="B98" i="41"/>
  <c r="B97" i="41"/>
  <c r="B92" i="41"/>
  <c r="A124" i="41"/>
  <c r="H88" i="41"/>
  <c r="D88" i="41"/>
  <c r="C88" i="41"/>
  <c r="A88" i="41"/>
  <c r="H87" i="41"/>
  <c r="D87" i="41"/>
  <c r="C87" i="41"/>
  <c r="A87" i="41"/>
  <c r="H86" i="41"/>
  <c r="D86" i="41"/>
  <c r="C86" i="41"/>
  <c r="A86" i="41"/>
  <c r="H85" i="41"/>
  <c r="D85" i="41"/>
  <c r="C85" i="41"/>
  <c r="A85" i="41"/>
  <c r="H84" i="41"/>
  <c r="D84" i="41"/>
  <c r="C84" i="41"/>
  <c r="A84" i="41"/>
  <c r="H83" i="41"/>
  <c r="D83" i="41"/>
  <c r="C83" i="41"/>
  <c r="H82" i="41"/>
  <c r="D82" i="41"/>
  <c r="C82" i="41"/>
  <c r="A82" i="41"/>
  <c r="H81" i="41"/>
  <c r="D81" i="41"/>
  <c r="C81" i="41"/>
  <c r="A81" i="41"/>
  <c r="H80" i="41"/>
  <c r="D80" i="41"/>
  <c r="C80" i="41"/>
  <c r="A80" i="41"/>
  <c r="H79" i="41"/>
  <c r="D79" i="41"/>
  <c r="C79" i="41"/>
  <c r="A79" i="41"/>
  <c r="H78" i="41"/>
  <c r="D78" i="41"/>
  <c r="C78" i="41"/>
  <c r="B52" i="41"/>
  <c r="B51" i="41"/>
  <c r="B46" i="41"/>
  <c r="A78" i="41"/>
  <c r="H42" i="41"/>
  <c r="D42" i="41"/>
  <c r="C42" i="41"/>
  <c r="A42" i="41"/>
  <c r="H41" i="41"/>
  <c r="D41" i="41"/>
  <c r="C41" i="41"/>
  <c r="A41" i="41"/>
  <c r="H40" i="41"/>
  <c r="D40" i="41"/>
  <c r="C40" i="41"/>
  <c r="A40" i="41"/>
  <c r="H39" i="41"/>
  <c r="D39" i="41"/>
  <c r="C39" i="41"/>
  <c r="A39" i="41"/>
  <c r="H38" i="41"/>
  <c r="D38" i="41"/>
  <c r="C38" i="41"/>
  <c r="A38" i="41"/>
  <c r="H37" i="41"/>
  <c r="D37" i="41"/>
  <c r="C37" i="41"/>
  <c r="H36" i="41"/>
  <c r="D36" i="41"/>
  <c r="C36" i="41"/>
  <c r="A36" i="41"/>
  <c r="H35" i="41"/>
  <c r="D35" i="41"/>
  <c r="C35" i="41"/>
  <c r="A35" i="41"/>
  <c r="H34" i="41"/>
  <c r="D34" i="41"/>
  <c r="C34" i="41"/>
  <c r="A34" i="41"/>
  <c r="H33" i="41"/>
  <c r="D33" i="41"/>
  <c r="C33" i="41"/>
  <c r="B7" i="41"/>
  <c r="B6" i="41"/>
  <c r="B1" i="41"/>
  <c r="A33" i="41"/>
  <c r="H338" i="40"/>
  <c r="D338" i="40"/>
  <c r="C338" i="40"/>
  <c r="A338" i="40"/>
  <c r="H337" i="40"/>
  <c r="D337" i="40"/>
  <c r="C337" i="40"/>
  <c r="A337" i="40"/>
  <c r="H336" i="40"/>
  <c r="D336" i="40"/>
  <c r="C336" i="40"/>
  <c r="A336" i="40"/>
  <c r="H335" i="40"/>
  <c r="D335" i="40"/>
  <c r="C335" i="40"/>
  <c r="A335" i="40"/>
  <c r="H334" i="40"/>
  <c r="D334" i="40"/>
  <c r="C334" i="40"/>
  <c r="A334" i="40"/>
  <c r="H333" i="40"/>
  <c r="D333" i="40"/>
  <c r="C333" i="40"/>
  <c r="A333" i="40"/>
  <c r="H332" i="40"/>
  <c r="D332" i="40"/>
  <c r="C332" i="40"/>
  <c r="A332" i="40"/>
  <c r="C331" i="40"/>
  <c r="C330" i="40"/>
  <c r="B307" i="40"/>
  <c r="H330" i="40"/>
  <c r="H331" i="40"/>
  <c r="B306" i="40"/>
  <c r="B301" i="40"/>
  <c r="A330" i="40"/>
  <c r="A331" i="40"/>
  <c r="H299" i="40"/>
  <c r="D299" i="40"/>
  <c r="C299" i="40"/>
  <c r="A299" i="40"/>
  <c r="H298" i="40"/>
  <c r="D298" i="40"/>
  <c r="C298" i="40"/>
  <c r="A298" i="40"/>
  <c r="H297" i="40"/>
  <c r="D297" i="40"/>
  <c r="C297" i="40"/>
  <c r="A297" i="40"/>
  <c r="H296" i="40"/>
  <c r="D296" i="40"/>
  <c r="C296" i="40"/>
  <c r="A296" i="40"/>
  <c r="H295" i="40"/>
  <c r="D295" i="40"/>
  <c r="C295" i="40"/>
  <c r="A295" i="40"/>
  <c r="H294" i="40"/>
  <c r="D294" i="40"/>
  <c r="C294" i="40"/>
  <c r="A294" i="40"/>
  <c r="H293" i="40"/>
  <c r="D293" i="40"/>
  <c r="C293" i="40"/>
  <c r="A293" i="40"/>
  <c r="C292" i="40"/>
  <c r="C291" i="40"/>
  <c r="B268" i="40"/>
  <c r="H291" i="40"/>
  <c r="H292" i="40"/>
  <c r="B267" i="40"/>
  <c r="B262" i="40"/>
  <c r="A291" i="40"/>
  <c r="A292" i="40"/>
  <c r="H260" i="40"/>
  <c r="D260" i="40"/>
  <c r="C260" i="40"/>
  <c r="A260" i="40"/>
  <c r="H259" i="40"/>
  <c r="D259" i="40"/>
  <c r="C259" i="40"/>
  <c r="A259" i="40"/>
  <c r="H258" i="40"/>
  <c r="D258" i="40"/>
  <c r="C258" i="40"/>
  <c r="A258" i="40"/>
  <c r="H257" i="40"/>
  <c r="D257" i="40"/>
  <c r="C257" i="40"/>
  <c r="A257" i="40"/>
  <c r="H256" i="40"/>
  <c r="D256" i="40"/>
  <c r="C256" i="40"/>
  <c r="A256" i="40"/>
  <c r="H255" i="40"/>
  <c r="D255" i="40"/>
  <c r="C255" i="40"/>
  <c r="A255" i="40"/>
  <c r="H254" i="40"/>
  <c r="D254" i="40"/>
  <c r="C254" i="40"/>
  <c r="A254" i="40"/>
  <c r="C253" i="40"/>
  <c r="C252" i="40"/>
  <c r="B229" i="40"/>
  <c r="H252" i="40"/>
  <c r="H253" i="40"/>
  <c r="B228" i="40"/>
  <c r="B223" i="40"/>
  <c r="A252" i="40"/>
  <c r="A253" i="40"/>
  <c r="H221" i="40"/>
  <c r="D221" i="40"/>
  <c r="C221" i="40"/>
  <c r="A221" i="40"/>
  <c r="H220" i="40"/>
  <c r="D220" i="40"/>
  <c r="C220" i="40"/>
  <c r="A220" i="40"/>
  <c r="H219" i="40"/>
  <c r="D219" i="40"/>
  <c r="C219" i="40"/>
  <c r="A219" i="40"/>
  <c r="H218" i="40"/>
  <c r="D218" i="40"/>
  <c r="C218" i="40"/>
  <c r="A218" i="40"/>
  <c r="H217" i="40"/>
  <c r="D217" i="40"/>
  <c r="C217" i="40"/>
  <c r="A217" i="40"/>
  <c r="H216" i="40"/>
  <c r="D216" i="40"/>
  <c r="C216" i="40"/>
  <c r="A216" i="40"/>
  <c r="H215" i="40"/>
  <c r="D215" i="40"/>
  <c r="C215" i="40"/>
  <c r="A215" i="40"/>
  <c r="C214" i="40"/>
  <c r="C213" i="40"/>
  <c r="B190" i="40"/>
  <c r="H213" i="40"/>
  <c r="H214" i="40"/>
  <c r="B189" i="40"/>
  <c r="B184" i="40"/>
  <c r="A213" i="40"/>
  <c r="A214" i="40"/>
  <c r="H180" i="40"/>
  <c r="D180" i="40"/>
  <c r="C180" i="40"/>
  <c r="A180" i="40"/>
  <c r="H179" i="40"/>
  <c r="D179" i="40"/>
  <c r="C179" i="40"/>
  <c r="A179" i="40"/>
  <c r="H178" i="40"/>
  <c r="D178" i="40"/>
  <c r="C178" i="40"/>
  <c r="A178" i="40"/>
  <c r="H177" i="40"/>
  <c r="D177" i="40"/>
  <c r="C177" i="40"/>
  <c r="A177" i="40"/>
  <c r="H176" i="40"/>
  <c r="D176" i="40"/>
  <c r="C176" i="40"/>
  <c r="A176" i="40"/>
  <c r="H175" i="40"/>
  <c r="D175" i="40"/>
  <c r="C175" i="40"/>
  <c r="H174" i="40"/>
  <c r="D174" i="40"/>
  <c r="C174" i="40"/>
  <c r="A174" i="40"/>
  <c r="H173" i="40"/>
  <c r="D173" i="40"/>
  <c r="C173" i="40"/>
  <c r="A173" i="40"/>
  <c r="H172" i="40"/>
  <c r="D172" i="40"/>
  <c r="C172" i="40"/>
  <c r="A172" i="40"/>
  <c r="H171" i="40"/>
  <c r="D171" i="40"/>
  <c r="C171" i="40"/>
  <c r="A171" i="40"/>
  <c r="H170" i="40"/>
  <c r="D170" i="40"/>
  <c r="C170" i="40"/>
  <c r="A170" i="40"/>
  <c r="B144" i="40"/>
  <c r="B143" i="40"/>
  <c r="B138" i="40"/>
  <c r="H134" i="40"/>
  <c r="D134" i="40"/>
  <c r="C134" i="40"/>
  <c r="A134" i="40"/>
  <c r="H133" i="40"/>
  <c r="D133" i="40"/>
  <c r="C133" i="40"/>
  <c r="A133" i="40"/>
  <c r="H132" i="40"/>
  <c r="D132" i="40"/>
  <c r="C132" i="40"/>
  <c r="A132" i="40"/>
  <c r="H131" i="40"/>
  <c r="D131" i="40"/>
  <c r="C131" i="40"/>
  <c r="A131" i="40"/>
  <c r="H130" i="40"/>
  <c r="D130" i="40"/>
  <c r="C130" i="40"/>
  <c r="A130" i="40"/>
  <c r="H129" i="40"/>
  <c r="D129" i="40"/>
  <c r="C129" i="40"/>
  <c r="H128" i="40"/>
  <c r="D128" i="40"/>
  <c r="C128" i="40"/>
  <c r="A128" i="40"/>
  <c r="H127" i="40"/>
  <c r="D127" i="40"/>
  <c r="C127" i="40"/>
  <c r="A127" i="40"/>
  <c r="H126" i="40"/>
  <c r="D126" i="40"/>
  <c r="C126" i="40"/>
  <c r="A126" i="40"/>
  <c r="H125" i="40"/>
  <c r="D125" i="40"/>
  <c r="C125" i="40"/>
  <c r="A125" i="40"/>
  <c r="H124" i="40"/>
  <c r="D124" i="40"/>
  <c r="C124" i="40"/>
  <c r="B98" i="40"/>
  <c r="B97" i="40"/>
  <c r="B92" i="40"/>
  <c r="A124" i="40"/>
  <c r="H88" i="40"/>
  <c r="D88" i="40"/>
  <c r="C88" i="40"/>
  <c r="A88" i="40"/>
  <c r="H87" i="40"/>
  <c r="D87" i="40"/>
  <c r="C87" i="40"/>
  <c r="A87" i="40"/>
  <c r="H86" i="40"/>
  <c r="D86" i="40"/>
  <c r="C86" i="40"/>
  <c r="A86" i="40"/>
  <c r="H85" i="40"/>
  <c r="D85" i="40"/>
  <c r="C85" i="40"/>
  <c r="A85" i="40"/>
  <c r="H84" i="40"/>
  <c r="D84" i="40"/>
  <c r="C84" i="40"/>
  <c r="A84" i="40"/>
  <c r="H83" i="40"/>
  <c r="D83" i="40"/>
  <c r="C83" i="40"/>
  <c r="H82" i="40"/>
  <c r="D82" i="40"/>
  <c r="C82" i="40"/>
  <c r="A82" i="40"/>
  <c r="H81" i="40"/>
  <c r="D81" i="40"/>
  <c r="C81" i="40"/>
  <c r="A81" i="40"/>
  <c r="H80" i="40"/>
  <c r="D80" i="40"/>
  <c r="C80" i="40"/>
  <c r="A80" i="40"/>
  <c r="H79" i="40"/>
  <c r="D79" i="40"/>
  <c r="C79" i="40"/>
  <c r="A79" i="40"/>
  <c r="H78" i="40"/>
  <c r="D78" i="40"/>
  <c r="C78" i="40"/>
  <c r="B52" i="40"/>
  <c r="B51" i="40"/>
  <c r="B46" i="40"/>
  <c r="A78" i="40"/>
  <c r="H42" i="40"/>
  <c r="D42" i="40"/>
  <c r="C42" i="40"/>
  <c r="A42" i="40"/>
  <c r="H41" i="40"/>
  <c r="D41" i="40"/>
  <c r="C41" i="40"/>
  <c r="A41" i="40"/>
  <c r="H40" i="40"/>
  <c r="D40" i="40"/>
  <c r="C40" i="40"/>
  <c r="A40" i="40"/>
  <c r="H39" i="40"/>
  <c r="D39" i="40"/>
  <c r="C39" i="40"/>
  <c r="A39" i="40"/>
  <c r="H38" i="40"/>
  <c r="D38" i="40"/>
  <c r="C38" i="40"/>
  <c r="A38" i="40"/>
  <c r="H37" i="40"/>
  <c r="D37" i="40"/>
  <c r="C37" i="40"/>
  <c r="H36" i="40"/>
  <c r="D36" i="40"/>
  <c r="C36" i="40"/>
  <c r="A36" i="40"/>
  <c r="H35" i="40"/>
  <c r="D35" i="40"/>
  <c r="C35" i="40"/>
  <c r="A35" i="40"/>
  <c r="H34" i="40"/>
  <c r="D34" i="40"/>
  <c r="C34" i="40"/>
  <c r="A34" i="40"/>
  <c r="H33" i="40"/>
  <c r="D33" i="40"/>
  <c r="C33" i="40"/>
  <c r="B7" i="40"/>
  <c r="B6" i="40"/>
  <c r="B1" i="40"/>
  <c r="A33" i="40"/>
  <c r="B306" i="29"/>
  <c r="B267" i="29"/>
  <c r="B228" i="29"/>
  <c r="B189" i="29"/>
  <c r="B301" i="29"/>
  <c r="B262" i="29"/>
  <c r="B223" i="29"/>
  <c r="B184" i="29"/>
  <c r="B143" i="29"/>
  <c r="B97" i="29"/>
  <c r="B51" i="29"/>
  <c r="B6" i="29"/>
  <c r="B138" i="29"/>
  <c r="B92" i="29"/>
  <c r="B46" i="29"/>
  <c r="B1" i="29"/>
  <c r="H338" i="39"/>
  <c r="D338" i="39"/>
  <c r="C338" i="39"/>
  <c r="A338" i="39"/>
  <c r="H337" i="39"/>
  <c r="D337" i="39"/>
  <c r="C337" i="39"/>
  <c r="A337" i="39"/>
  <c r="H336" i="39"/>
  <c r="D336" i="39"/>
  <c r="C336" i="39"/>
  <c r="A336" i="39"/>
  <c r="H335" i="39"/>
  <c r="D335" i="39"/>
  <c r="C335" i="39"/>
  <c r="A335" i="39"/>
  <c r="H334" i="39"/>
  <c r="D334" i="39"/>
  <c r="C334" i="39"/>
  <c r="A334" i="39"/>
  <c r="H333" i="39"/>
  <c r="D333" i="39"/>
  <c r="C333" i="39"/>
  <c r="A333" i="39"/>
  <c r="H332" i="39"/>
  <c r="D332" i="39"/>
  <c r="C332" i="39"/>
  <c r="A332" i="39"/>
  <c r="C331" i="39"/>
  <c r="C330" i="39"/>
  <c r="B307" i="39"/>
  <c r="H330" i="39"/>
  <c r="H331" i="39"/>
  <c r="B306" i="39"/>
  <c r="B301" i="39"/>
  <c r="A330" i="39"/>
  <c r="A331" i="39"/>
  <c r="H299" i="39"/>
  <c r="D299" i="39"/>
  <c r="C299" i="39"/>
  <c r="A299" i="39"/>
  <c r="H298" i="39"/>
  <c r="D298" i="39"/>
  <c r="C298" i="39"/>
  <c r="A298" i="39"/>
  <c r="H297" i="39"/>
  <c r="D297" i="39"/>
  <c r="C297" i="39"/>
  <c r="A297" i="39"/>
  <c r="H296" i="39"/>
  <c r="D296" i="39"/>
  <c r="C296" i="39"/>
  <c r="A296" i="39"/>
  <c r="H295" i="39"/>
  <c r="D295" i="39"/>
  <c r="C295" i="39"/>
  <c r="A295" i="39"/>
  <c r="H294" i="39"/>
  <c r="D294" i="39"/>
  <c r="C294" i="39"/>
  <c r="A294" i="39"/>
  <c r="H293" i="39"/>
  <c r="D293" i="39"/>
  <c r="C293" i="39"/>
  <c r="A293" i="39"/>
  <c r="C292" i="39"/>
  <c r="C291" i="39"/>
  <c r="A291" i="39"/>
  <c r="A292" i="39"/>
  <c r="B268" i="39"/>
  <c r="H291" i="39"/>
  <c r="H292" i="39"/>
  <c r="B267" i="39"/>
  <c r="B262" i="39"/>
  <c r="H260" i="39"/>
  <c r="D260" i="39"/>
  <c r="C260" i="39"/>
  <c r="A260" i="39"/>
  <c r="H259" i="39"/>
  <c r="D259" i="39"/>
  <c r="C259" i="39"/>
  <c r="A259" i="39"/>
  <c r="H258" i="39"/>
  <c r="D258" i="39"/>
  <c r="C258" i="39"/>
  <c r="A258" i="39"/>
  <c r="H257" i="39"/>
  <c r="D257" i="39"/>
  <c r="C257" i="39"/>
  <c r="A257" i="39"/>
  <c r="H256" i="39"/>
  <c r="D256" i="39"/>
  <c r="C256" i="39"/>
  <c r="A256" i="39"/>
  <c r="H255" i="39"/>
  <c r="D255" i="39"/>
  <c r="C255" i="39"/>
  <c r="A255" i="39"/>
  <c r="H254" i="39"/>
  <c r="D254" i="39"/>
  <c r="C254" i="39"/>
  <c r="A254" i="39"/>
  <c r="C253" i="39"/>
  <c r="C252" i="39"/>
  <c r="A252" i="39"/>
  <c r="A253" i="39"/>
  <c r="B229" i="39"/>
  <c r="H252" i="39"/>
  <c r="H253" i="39"/>
  <c r="B228" i="39"/>
  <c r="B223" i="39"/>
  <c r="H221" i="39"/>
  <c r="D221" i="39"/>
  <c r="C221" i="39"/>
  <c r="A221" i="39"/>
  <c r="H220" i="39"/>
  <c r="D220" i="39"/>
  <c r="C220" i="39"/>
  <c r="A220" i="39"/>
  <c r="H219" i="39"/>
  <c r="D219" i="39"/>
  <c r="C219" i="39"/>
  <c r="A219" i="39"/>
  <c r="H218" i="39"/>
  <c r="D218" i="39"/>
  <c r="C218" i="39"/>
  <c r="A218" i="39"/>
  <c r="H217" i="39"/>
  <c r="D217" i="39"/>
  <c r="C217" i="39"/>
  <c r="A217" i="39"/>
  <c r="H216" i="39"/>
  <c r="D216" i="39"/>
  <c r="C216" i="39"/>
  <c r="A216" i="39"/>
  <c r="H215" i="39"/>
  <c r="D215" i="39"/>
  <c r="C215" i="39"/>
  <c r="A215" i="39"/>
  <c r="C214" i="39"/>
  <c r="C213" i="39"/>
  <c r="B190" i="39"/>
  <c r="H213" i="39"/>
  <c r="H214" i="39"/>
  <c r="B189" i="39"/>
  <c r="B184" i="39"/>
  <c r="A213" i="39"/>
  <c r="A214" i="39"/>
  <c r="H180" i="39"/>
  <c r="D180" i="39"/>
  <c r="C180" i="39"/>
  <c r="A180" i="39"/>
  <c r="H179" i="39"/>
  <c r="D179" i="39"/>
  <c r="C179" i="39"/>
  <c r="A179" i="39"/>
  <c r="H178" i="39"/>
  <c r="D178" i="39"/>
  <c r="C178" i="39"/>
  <c r="A178" i="39"/>
  <c r="H177" i="39"/>
  <c r="D177" i="39"/>
  <c r="C177" i="39"/>
  <c r="A177" i="39"/>
  <c r="H176" i="39"/>
  <c r="D176" i="39"/>
  <c r="C176" i="39"/>
  <c r="A176" i="39"/>
  <c r="H175" i="39"/>
  <c r="D175" i="39"/>
  <c r="C175" i="39"/>
  <c r="H174" i="39"/>
  <c r="D174" i="39"/>
  <c r="C174" i="39"/>
  <c r="A174" i="39"/>
  <c r="H173" i="39"/>
  <c r="D173" i="39"/>
  <c r="C173" i="39"/>
  <c r="A173" i="39"/>
  <c r="H172" i="39"/>
  <c r="D172" i="39"/>
  <c r="C172" i="39"/>
  <c r="A172" i="39"/>
  <c r="H171" i="39"/>
  <c r="D171" i="39"/>
  <c r="C171" i="39"/>
  <c r="A171" i="39"/>
  <c r="H170" i="39"/>
  <c r="D170" i="39"/>
  <c r="C170" i="39"/>
  <c r="B144" i="39"/>
  <c r="B143" i="39"/>
  <c r="B138" i="39"/>
  <c r="A170" i="39"/>
  <c r="H134" i="39"/>
  <c r="D134" i="39"/>
  <c r="C134" i="39"/>
  <c r="A134" i="39"/>
  <c r="H133" i="39"/>
  <c r="D133" i="39"/>
  <c r="C133" i="39"/>
  <c r="A133" i="39"/>
  <c r="H132" i="39"/>
  <c r="D132" i="39"/>
  <c r="C132" i="39"/>
  <c r="A132" i="39"/>
  <c r="H131" i="39"/>
  <c r="D131" i="39"/>
  <c r="C131" i="39"/>
  <c r="A131" i="39"/>
  <c r="H130" i="39"/>
  <c r="D130" i="39"/>
  <c r="C130" i="39"/>
  <c r="A130" i="39"/>
  <c r="H129" i="39"/>
  <c r="D129" i="39"/>
  <c r="C129" i="39"/>
  <c r="H128" i="39"/>
  <c r="D128" i="39"/>
  <c r="C128" i="39"/>
  <c r="A128" i="39"/>
  <c r="H127" i="39"/>
  <c r="D127" i="39"/>
  <c r="C127" i="39"/>
  <c r="A127" i="39"/>
  <c r="H126" i="39"/>
  <c r="D126" i="39"/>
  <c r="C126" i="39"/>
  <c r="A126" i="39"/>
  <c r="H125" i="39"/>
  <c r="D125" i="39"/>
  <c r="C125" i="39"/>
  <c r="A125" i="39"/>
  <c r="H124" i="39"/>
  <c r="D124" i="39"/>
  <c r="C124" i="39"/>
  <c r="B98" i="39"/>
  <c r="B97" i="39"/>
  <c r="B92" i="39"/>
  <c r="A124" i="39"/>
  <c r="H88" i="39"/>
  <c r="D88" i="39"/>
  <c r="C88" i="39"/>
  <c r="A88" i="39"/>
  <c r="H87" i="39"/>
  <c r="D87" i="39"/>
  <c r="C87" i="39"/>
  <c r="A87" i="39"/>
  <c r="H86" i="39"/>
  <c r="D86" i="39"/>
  <c r="C86" i="39"/>
  <c r="A86" i="39"/>
  <c r="H85" i="39"/>
  <c r="D85" i="39"/>
  <c r="C85" i="39"/>
  <c r="A85" i="39"/>
  <c r="H84" i="39"/>
  <c r="D84" i="39"/>
  <c r="C84" i="39"/>
  <c r="A84" i="39"/>
  <c r="H83" i="39"/>
  <c r="D83" i="39"/>
  <c r="C83" i="39"/>
  <c r="H82" i="39"/>
  <c r="D82" i="39"/>
  <c r="C82" i="39"/>
  <c r="A82" i="39"/>
  <c r="H81" i="39"/>
  <c r="D81" i="39"/>
  <c r="C81" i="39"/>
  <c r="A81" i="39"/>
  <c r="H80" i="39"/>
  <c r="D80" i="39"/>
  <c r="C80" i="39"/>
  <c r="A80" i="39"/>
  <c r="H79" i="39"/>
  <c r="D79" i="39"/>
  <c r="C79" i="39"/>
  <c r="A79" i="39"/>
  <c r="H78" i="39"/>
  <c r="D78" i="39"/>
  <c r="C78" i="39"/>
  <c r="B52" i="39"/>
  <c r="B51" i="39"/>
  <c r="B46" i="39"/>
  <c r="A78" i="39"/>
  <c r="H42" i="39"/>
  <c r="D42" i="39"/>
  <c r="C42" i="39"/>
  <c r="A42" i="39"/>
  <c r="H41" i="39"/>
  <c r="D41" i="39"/>
  <c r="C41" i="39"/>
  <c r="A41" i="39"/>
  <c r="H40" i="39"/>
  <c r="D40" i="39"/>
  <c r="C40" i="39"/>
  <c r="A40" i="39"/>
  <c r="H39" i="39"/>
  <c r="D39" i="39"/>
  <c r="C39" i="39"/>
  <c r="A39" i="39"/>
  <c r="H38" i="39"/>
  <c r="D38" i="39"/>
  <c r="C38" i="39"/>
  <c r="A38" i="39"/>
  <c r="H37" i="39"/>
  <c r="D37" i="39"/>
  <c r="C37" i="39"/>
  <c r="H36" i="39"/>
  <c r="D36" i="39"/>
  <c r="C36" i="39"/>
  <c r="A36" i="39"/>
  <c r="H35" i="39"/>
  <c r="D35" i="39"/>
  <c r="C35" i="39"/>
  <c r="A35" i="39"/>
  <c r="H34" i="39"/>
  <c r="D34" i="39"/>
  <c r="C34" i="39"/>
  <c r="A34" i="39"/>
  <c r="H33" i="39"/>
  <c r="D33" i="39"/>
  <c r="C33" i="39"/>
  <c r="B7" i="39"/>
  <c r="B6" i="39"/>
  <c r="B1" i="39"/>
  <c r="A33" i="39"/>
  <c r="H338" i="38"/>
  <c r="D338" i="38"/>
  <c r="C338" i="38"/>
  <c r="A338" i="38"/>
  <c r="H337" i="38"/>
  <c r="D337" i="38"/>
  <c r="C337" i="38"/>
  <c r="A337" i="38"/>
  <c r="H336" i="38"/>
  <c r="D336" i="38"/>
  <c r="C336" i="38"/>
  <c r="A336" i="38"/>
  <c r="H335" i="38"/>
  <c r="D335" i="38"/>
  <c r="C335" i="38"/>
  <c r="A335" i="38"/>
  <c r="H334" i="38"/>
  <c r="D334" i="38"/>
  <c r="C334" i="38"/>
  <c r="A334" i="38"/>
  <c r="H333" i="38"/>
  <c r="D333" i="38"/>
  <c r="C333" i="38"/>
  <c r="A333" i="38"/>
  <c r="H332" i="38"/>
  <c r="D332" i="38"/>
  <c r="C332" i="38"/>
  <c r="A332" i="38"/>
  <c r="C331" i="38"/>
  <c r="C330" i="38"/>
  <c r="B307" i="38"/>
  <c r="H330" i="38"/>
  <c r="H331" i="38"/>
  <c r="B306" i="38"/>
  <c r="B301" i="38"/>
  <c r="A330" i="38"/>
  <c r="A331" i="38"/>
  <c r="H299" i="38"/>
  <c r="D299" i="38"/>
  <c r="C299" i="38"/>
  <c r="A299" i="38"/>
  <c r="H298" i="38"/>
  <c r="D298" i="38"/>
  <c r="C298" i="38"/>
  <c r="A298" i="38"/>
  <c r="H297" i="38"/>
  <c r="D297" i="38"/>
  <c r="C297" i="38"/>
  <c r="A297" i="38"/>
  <c r="H296" i="38"/>
  <c r="D296" i="38"/>
  <c r="C296" i="38"/>
  <c r="A296" i="38"/>
  <c r="H295" i="38"/>
  <c r="D295" i="38"/>
  <c r="C295" i="38"/>
  <c r="A295" i="38"/>
  <c r="H294" i="38"/>
  <c r="D294" i="38"/>
  <c r="C294" i="38"/>
  <c r="A294" i="38"/>
  <c r="H293" i="38"/>
  <c r="D293" i="38"/>
  <c r="C293" i="38"/>
  <c r="A293" i="38"/>
  <c r="C292" i="38"/>
  <c r="C291" i="38"/>
  <c r="B268" i="38"/>
  <c r="H291" i="38"/>
  <c r="H292" i="38"/>
  <c r="B267" i="38"/>
  <c r="B262" i="38"/>
  <c r="A291" i="38"/>
  <c r="A292" i="38"/>
  <c r="H260" i="38"/>
  <c r="D260" i="38"/>
  <c r="C260" i="38"/>
  <c r="A260" i="38"/>
  <c r="H259" i="38"/>
  <c r="D259" i="38"/>
  <c r="C259" i="38"/>
  <c r="A259" i="38"/>
  <c r="H258" i="38"/>
  <c r="D258" i="38"/>
  <c r="C258" i="38"/>
  <c r="A258" i="38"/>
  <c r="H257" i="38"/>
  <c r="D257" i="38"/>
  <c r="C257" i="38"/>
  <c r="A257" i="38"/>
  <c r="H256" i="38"/>
  <c r="D256" i="38"/>
  <c r="C256" i="38"/>
  <c r="A256" i="38"/>
  <c r="H255" i="38"/>
  <c r="D255" i="38"/>
  <c r="C255" i="38"/>
  <c r="A255" i="38"/>
  <c r="H254" i="38"/>
  <c r="D254" i="38"/>
  <c r="C254" i="38"/>
  <c r="A254" i="38"/>
  <c r="C253" i="38"/>
  <c r="C252" i="38"/>
  <c r="B229" i="38"/>
  <c r="H252" i="38"/>
  <c r="H253" i="38"/>
  <c r="B228" i="38"/>
  <c r="B223" i="38"/>
  <c r="A252" i="38"/>
  <c r="A253" i="38"/>
  <c r="H221" i="38"/>
  <c r="D221" i="38"/>
  <c r="C221" i="38"/>
  <c r="A221" i="38"/>
  <c r="H220" i="38"/>
  <c r="D220" i="38"/>
  <c r="C220" i="38"/>
  <c r="A220" i="38"/>
  <c r="H219" i="38"/>
  <c r="D219" i="38"/>
  <c r="C219" i="38"/>
  <c r="A219" i="38"/>
  <c r="H218" i="38"/>
  <c r="D218" i="38"/>
  <c r="C218" i="38"/>
  <c r="A218" i="38"/>
  <c r="H217" i="38"/>
  <c r="D217" i="38"/>
  <c r="C217" i="38"/>
  <c r="A217" i="38"/>
  <c r="H216" i="38"/>
  <c r="D216" i="38"/>
  <c r="C216" i="38"/>
  <c r="A216" i="38"/>
  <c r="H215" i="38"/>
  <c r="D215" i="38"/>
  <c r="C215" i="38"/>
  <c r="A215" i="38"/>
  <c r="C214" i="38"/>
  <c r="C213" i="38"/>
  <c r="B190" i="38"/>
  <c r="H213" i="38"/>
  <c r="H214" i="38"/>
  <c r="B189" i="38"/>
  <c r="B184" i="38"/>
  <c r="A213" i="38"/>
  <c r="A214" i="38"/>
  <c r="H180" i="38"/>
  <c r="D180" i="38"/>
  <c r="C180" i="38"/>
  <c r="A180" i="38"/>
  <c r="H179" i="38"/>
  <c r="D179" i="38"/>
  <c r="C179" i="38"/>
  <c r="A179" i="38"/>
  <c r="H178" i="38"/>
  <c r="D178" i="38"/>
  <c r="C178" i="38"/>
  <c r="A178" i="38"/>
  <c r="H177" i="38"/>
  <c r="D177" i="38"/>
  <c r="C177" i="38"/>
  <c r="A177" i="38"/>
  <c r="H176" i="38"/>
  <c r="D176" i="38"/>
  <c r="C176" i="38"/>
  <c r="A176" i="38"/>
  <c r="H175" i="38"/>
  <c r="D175" i="38"/>
  <c r="C175" i="38"/>
  <c r="H174" i="38"/>
  <c r="D174" i="38"/>
  <c r="C174" i="38"/>
  <c r="A174" i="38"/>
  <c r="H173" i="38"/>
  <c r="D173" i="38"/>
  <c r="C173" i="38"/>
  <c r="A173" i="38"/>
  <c r="H172" i="38"/>
  <c r="D172" i="38"/>
  <c r="C172" i="38"/>
  <c r="A172" i="38"/>
  <c r="H171" i="38"/>
  <c r="D171" i="38"/>
  <c r="C171" i="38"/>
  <c r="A171" i="38"/>
  <c r="H170" i="38"/>
  <c r="D170" i="38"/>
  <c r="C170" i="38"/>
  <c r="B144" i="38"/>
  <c r="B143" i="38"/>
  <c r="B138" i="38"/>
  <c r="A170" i="38"/>
  <c r="H134" i="38"/>
  <c r="D134" i="38"/>
  <c r="C134" i="38"/>
  <c r="A134" i="38"/>
  <c r="H133" i="38"/>
  <c r="D133" i="38"/>
  <c r="C133" i="38"/>
  <c r="A133" i="38"/>
  <c r="H132" i="38"/>
  <c r="D132" i="38"/>
  <c r="C132" i="38"/>
  <c r="A132" i="38"/>
  <c r="H131" i="38"/>
  <c r="D131" i="38"/>
  <c r="C131" i="38"/>
  <c r="A131" i="38"/>
  <c r="H130" i="38"/>
  <c r="D130" i="38"/>
  <c r="C130" i="38"/>
  <c r="A130" i="38"/>
  <c r="H129" i="38"/>
  <c r="D129" i="38"/>
  <c r="C129" i="38"/>
  <c r="H128" i="38"/>
  <c r="D128" i="38"/>
  <c r="C128" i="38"/>
  <c r="A128" i="38"/>
  <c r="H127" i="38"/>
  <c r="D127" i="38"/>
  <c r="C127" i="38"/>
  <c r="A127" i="38"/>
  <c r="H126" i="38"/>
  <c r="D126" i="38"/>
  <c r="C126" i="38"/>
  <c r="A126" i="38"/>
  <c r="H125" i="38"/>
  <c r="D125" i="38"/>
  <c r="C125" i="38"/>
  <c r="A125" i="38"/>
  <c r="H124" i="38"/>
  <c r="D124" i="38"/>
  <c r="C124" i="38"/>
  <c r="B98" i="38"/>
  <c r="B97" i="38"/>
  <c r="B92" i="38"/>
  <c r="A124" i="38"/>
  <c r="H88" i="38"/>
  <c r="D88" i="38"/>
  <c r="C88" i="38"/>
  <c r="A88" i="38"/>
  <c r="H87" i="38"/>
  <c r="D87" i="38"/>
  <c r="C87" i="38"/>
  <c r="A87" i="38"/>
  <c r="H86" i="38"/>
  <c r="D86" i="38"/>
  <c r="C86" i="38"/>
  <c r="A86" i="38"/>
  <c r="H85" i="38"/>
  <c r="D85" i="38"/>
  <c r="C85" i="38"/>
  <c r="A85" i="38"/>
  <c r="H84" i="38"/>
  <c r="D84" i="38"/>
  <c r="C84" i="38"/>
  <c r="A84" i="38"/>
  <c r="H83" i="38"/>
  <c r="D83" i="38"/>
  <c r="C83" i="38"/>
  <c r="H82" i="38"/>
  <c r="D82" i="38"/>
  <c r="C82" i="38"/>
  <c r="A82" i="38"/>
  <c r="H81" i="38"/>
  <c r="D81" i="38"/>
  <c r="C81" i="38"/>
  <c r="A81" i="38"/>
  <c r="H80" i="38"/>
  <c r="D80" i="38"/>
  <c r="C80" i="38"/>
  <c r="A80" i="38"/>
  <c r="H79" i="38"/>
  <c r="D79" i="38"/>
  <c r="C79" i="38"/>
  <c r="A79" i="38"/>
  <c r="H78" i="38"/>
  <c r="D78" i="38"/>
  <c r="C78" i="38"/>
  <c r="B52" i="38"/>
  <c r="B51" i="38"/>
  <c r="B46" i="38"/>
  <c r="A78" i="38"/>
  <c r="H42" i="38"/>
  <c r="D42" i="38"/>
  <c r="C42" i="38"/>
  <c r="A42" i="38"/>
  <c r="H41" i="38"/>
  <c r="D41" i="38"/>
  <c r="C41" i="38"/>
  <c r="A41" i="38"/>
  <c r="H40" i="38"/>
  <c r="D40" i="38"/>
  <c r="C40" i="38"/>
  <c r="A40" i="38"/>
  <c r="H39" i="38"/>
  <c r="D39" i="38"/>
  <c r="C39" i="38"/>
  <c r="A39" i="38"/>
  <c r="H38" i="38"/>
  <c r="D38" i="38"/>
  <c r="C38" i="38"/>
  <c r="A38" i="38"/>
  <c r="H37" i="38"/>
  <c r="D37" i="38"/>
  <c r="C37" i="38"/>
  <c r="H36" i="38"/>
  <c r="D36" i="38"/>
  <c r="C36" i="38"/>
  <c r="A36" i="38"/>
  <c r="H35" i="38"/>
  <c r="D35" i="38"/>
  <c r="C35" i="38"/>
  <c r="A35" i="38"/>
  <c r="H34" i="38"/>
  <c r="D34" i="38"/>
  <c r="C34" i="38"/>
  <c r="A34" i="38"/>
  <c r="H33" i="38"/>
  <c r="D33" i="38"/>
  <c r="C33" i="38"/>
  <c r="B7" i="38"/>
  <c r="B6" i="38"/>
  <c r="B1" i="38"/>
  <c r="A33" i="38"/>
  <c r="B189" i="22"/>
  <c r="B228" i="22"/>
  <c r="B267" i="22"/>
  <c r="B306" i="22"/>
  <c r="B301" i="22"/>
  <c r="B262" i="22"/>
  <c r="B223" i="22"/>
  <c r="B184" i="22"/>
  <c r="B97" i="22"/>
  <c r="B92" i="22"/>
  <c r="B6" i="22"/>
  <c r="B51" i="22"/>
  <c r="B143" i="22"/>
  <c r="B138" i="22"/>
  <c r="B46" i="22"/>
  <c r="B1" i="22"/>
  <c r="H338" i="37"/>
  <c r="D338" i="37"/>
  <c r="C338" i="37"/>
  <c r="A338" i="37"/>
  <c r="H337" i="37"/>
  <c r="D337" i="37"/>
  <c r="C337" i="37"/>
  <c r="A337" i="37"/>
  <c r="H336" i="37"/>
  <c r="D336" i="37"/>
  <c r="C336" i="37"/>
  <c r="A336" i="37"/>
  <c r="H335" i="37"/>
  <c r="D335" i="37"/>
  <c r="C335" i="37"/>
  <c r="A335" i="37"/>
  <c r="H334" i="37"/>
  <c r="D334" i="37"/>
  <c r="C334" i="37"/>
  <c r="A334" i="37"/>
  <c r="H333" i="37"/>
  <c r="D333" i="37"/>
  <c r="C333" i="37"/>
  <c r="A333" i="37"/>
  <c r="H332" i="37"/>
  <c r="D332" i="37"/>
  <c r="C332" i="37"/>
  <c r="A332" i="37"/>
  <c r="C331" i="37"/>
  <c r="C330" i="37"/>
  <c r="B307" i="37"/>
  <c r="H330" i="37"/>
  <c r="H331" i="37"/>
  <c r="B306" i="37"/>
  <c r="B301" i="37"/>
  <c r="A330" i="37"/>
  <c r="A331" i="37"/>
  <c r="H299" i="37"/>
  <c r="D299" i="37"/>
  <c r="C299" i="37"/>
  <c r="A299" i="37"/>
  <c r="H298" i="37"/>
  <c r="D298" i="37"/>
  <c r="C298" i="37"/>
  <c r="A298" i="37"/>
  <c r="H297" i="37"/>
  <c r="D297" i="37"/>
  <c r="C297" i="37"/>
  <c r="A297" i="37"/>
  <c r="H296" i="37"/>
  <c r="D296" i="37"/>
  <c r="C296" i="37"/>
  <c r="A296" i="37"/>
  <c r="H295" i="37"/>
  <c r="D295" i="37"/>
  <c r="C295" i="37"/>
  <c r="A295" i="37"/>
  <c r="H294" i="37"/>
  <c r="D294" i="37"/>
  <c r="C294" i="37"/>
  <c r="A294" i="37"/>
  <c r="H293" i="37"/>
  <c r="D293" i="37"/>
  <c r="C293" i="37"/>
  <c r="A293" i="37"/>
  <c r="C292" i="37"/>
  <c r="C291" i="37"/>
  <c r="B268" i="37"/>
  <c r="H291" i="37"/>
  <c r="H292" i="37"/>
  <c r="B267" i="37"/>
  <c r="B262" i="37"/>
  <c r="A291" i="37"/>
  <c r="A292" i="37"/>
  <c r="H260" i="37"/>
  <c r="D260" i="37"/>
  <c r="C260" i="37"/>
  <c r="A260" i="37"/>
  <c r="H259" i="37"/>
  <c r="D259" i="37"/>
  <c r="C259" i="37"/>
  <c r="A259" i="37"/>
  <c r="H258" i="37"/>
  <c r="D258" i="37"/>
  <c r="C258" i="37"/>
  <c r="A258" i="37"/>
  <c r="H257" i="37"/>
  <c r="D257" i="37"/>
  <c r="C257" i="37"/>
  <c r="A257" i="37"/>
  <c r="H256" i="37"/>
  <c r="D256" i="37"/>
  <c r="C256" i="37"/>
  <c r="A256" i="37"/>
  <c r="H255" i="37"/>
  <c r="D255" i="37"/>
  <c r="C255" i="37"/>
  <c r="A255" i="37"/>
  <c r="H254" i="37"/>
  <c r="D254" i="37"/>
  <c r="C254" i="37"/>
  <c r="A254" i="37"/>
  <c r="C253" i="37"/>
  <c r="C252" i="37"/>
  <c r="B229" i="37"/>
  <c r="H252" i="37"/>
  <c r="H253" i="37"/>
  <c r="B228" i="37"/>
  <c r="B223" i="37"/>
  <c r="A252" i="37"/>
  <c r="A253" i="37"/>
  <c r="H221" i="37"/>
  <c r="D221" i="37"/>
  <c r="C221" i="37"/>
  <c r="A221" i="37"/>
  <c r="H220" i="37"/>
  <c r="D220" i="37"/>
  <c r="C220" i="37"/>
  <c r="A220" i="37"/>
  <c r="H219" i="37"/>
  <c r="D219" i="37"/>
  <c r="C219" i="37"/>
  <c r="A219" i="37"/>
  <c r="H218" i="37"/>
  <c r="D218" i="37"/>
  <c r="C218" i="37"/>
  <c r="A218" i="37"/>
  <c r="H217" i="37"/>
  <c r="D217" i="37"/>
  <c r="C217" i="37"/>
  <c r="A217" i="37"/>
  <c r="H216" i="37"/>
  <c r="D216" i="37"/>
  <c r="C216" i="37"/>
  <c r="A216" i="37"/>
  <c r="H215" i="37"/>
  <c r="D215" i="37"/>
  <c r="C215" i="37"/>
  <c r="A215" i="37"/>
  <c r="C214" i="37"/>
  <c r="C213" i="37"/>
  <c r="B190" i="37"/>
  <c r="H213" i="37"/>
  <c r="H214" i="37"/>
  <c r="B189" i="37"/>
  <c r="B184" i="37"/>
  <c r="A213" i="37"/>
  <c r="A214" i="37"/>
  <c r="H180" i="37"/>
  <c r="D180" i="37"/>
  <c r="C180" i="37"/>
  <c r="A180" i="37"/>
  <c r="H179" i="37"/>
  <c r="D179" i="37"/>
  <c r="C179" i="37"/>
  <c r="A179" i="37"/>
  <c r="H178" i="37"/>
  <c r="D178" i="37"/>
  <c r="C178" i="37"/>
  <c r="A178" i="37"/>
  <c r="H177" i="37"/>
  <c r="D177" i="37"/>
  <c r="C177" i="37"/>
  <c r="A177" i="37"/>
  <c r="H176" i="37"/>
  <c r="D176" i="37"/>
  <c r="C176" i="37"/>
  <c r="A176" i="37"/>
  <c r="H175" i="37"/>
  <c r="D175" i="37"/>
  <c r="C175" i="37"/>
  <c r="H174" i="37"/>
  <c r="D174" i="37"/>
  <c r="C174" i="37"/>
  <c r="A174" i="37"/>
  <c r="H173" i="37"/>
  <c r="D173" i="37"/>
  <c r="C173" i="37"/>
  <c r="A173" i="37"/>
  <c r="H172" i="37"/>
  <c r="D172" i="37"/>
  <c r="C172" i="37"/>
  <c r="A172" i="37"/>
  <c r="H171" i="37"/>
  <c r="D171" i="37"/>
  <c r="C171" i="37"/>
  <c r="A171" i="37"/>
  <c r="H170" i="37"/>
  <c r="D170" i="37"/>
  <c r="C170" i="37"/>
  <c r="B144" i="37"/>
  <c r="B143" i="37"/>
  <c r="B138" i="37"/>
  <c r="A170" i="37"/>
  <c r="H134" i="37"/>
  <c r="D134" i="37"/>
  <c r="C134" i="37"/>
  <c r="A134" i="37"/>
  <c r="H133" i="37"/>
  <c r="D133" i="37"/>
  <c r="C133" i="37"/>
  <c r="A133" i="37"/>
  <c r="H132" i="37"/>
  <c r="D132" i="37"/>
  <c r="C132" i="37"/>
  <c r="A132" i="37"/>
  <c r="H131" i="37"/>
  <c r="D131" i="37"/>
  <c r="C131" i="37"/>
  <c r="A131" i="37"/>
  <c r="H130" i="37"/>
  <c r="D130" i="37"/>
  <c r="C130" i="37"/>
  <c r="A130" i="37"/>
  <c r="H129" i="37"/>
  <c r="D129" i="37"/>
  <c r="C129" i="37"/>
  <c r="H128" i="37"/>
  <c r="D128" i="37"/>
  <c r="C128" i="37"/>
  <c r="A128" i="37"/>
  <c r="H127" i="37"/>
  <c r="D127" i="37"/>
  <c r="C127" i="37"/>
  <c r="A127" i="37"/>
  <c r="H126" i="37"/>
  <c r="D126" i="37"/>
  <c r="C126" i="37"/>
  <c r="A126" i="37"/>
  <c r="H125" i="37"/>
  <c r="D125" i="37"/>
  <c r="C125" i="37"/>
  <c r="A125" i="37"/>
  <c r="H124" i="37"/>
  <c r="D124" i="37"/>
  <c r="C124" i="37"/>
  <c r="B98" i="37"/>
  <c r="B97" i="37"/>
  <c r="B92" i="37"/>
  <c r="A124" i="37"/>
  <c r="H88" i="37"/>
  <c r="D88" i="37"/>
  <c r="C88" i="37"/>
  <c r="A88" i="37"/>
  <c r="H87" i="37"/>
  <c r="D87" i="37"/>
  <c r="C87" i="37"/>
  <c r="A87" i="37"/>
  <c r="H86" i="37"/>
  <c r="D86" i="37"/>
  <c r="C86" i="37"/>
  <c r="A86" i="37"/>
  <c r="H85" i="37"/>
  <c r="D85" i="37"/>
  <c r="C85" i="37"/>
  <c r="A85" i="37"/>
  <c r="H84" i="37"/>
  <c r="D84" i="37"/>
  <c r="C84" i="37"/>
  <c r="A84" i="37"/>
  <c r="H83" i="37"/>
  <c r="D83" i="37"/>
  <c r="C83" i="37"/>
  <c r="H82" i="37"/>
  <c r="D82" i="37"/>
  <c r="C82" i="37"/>
  <c r="A82" i="37"/>
  <c r="H81" i="37"/>
  <c r="D81" i="37"/>
  <c r="C81" i="37"/>
  <c r="A81" i="37"/>
  <c r="H80" i="37"/>
  <c r="D80" i="37"/>
  <c r="C80" i="37"/>
  <c r="A80" i="37"/>
  <c r="H79" i="37"/>
  <c r="D79" i="37"/>
  <c r="C79" i="37"/>
  <c r="A79" i="37"/>
  <c r="H78" i="37"/>
  <c r="D78" i="37"/>
  <c r="C78" i="37"/>
  <c r="B52" i="37"/>
  <c r="B51" i="37"/>
  <c r="B46" i="37"/>
  <c r="A78" i="37"/>
  <c r="H42" i="37"/>
  <c r="D42" i="37"/>
  <c r="C42" i="37"/>
  <c r="A42" i="37"/>
  <c r="H41" i="37"/>
  <c r="D41" i="37"/>
  <c r="C41" i="37"/>
  <c r="A41" i="37"/>
  <c r="H40" i="37"/>
  <c r="D40" i="37"/>
  <c r="C40" i="37"/>
  <c r="A40" i="37"/>
  <c r="H39" i="37"/>
  <c r="D39" i="37"/>
  <c r="C39" i="37"/>
  <c r="A39" i="37"/>
  <c r="H38" i="37"/>
  <c r="D38" i="37"/>
  <c r="C38" i="37"/>
  <c r="A38" i="37"/>
  <c r="H37" i="37"/>
  <c r="D37" i="37"/>
  <c r="C37" i="37"/>
  <c r="H36" i="37"/>
  <c r="D36" i="37"/>
  <c r="C36" i="37"/>
  <c r="A36" i="37"/>
  <c r="H35" i="37"/>
  <c r="D35" i="37"/>
  <c r="C35" i="37"/>
  <c r="A35" i="37"/>
  <c r="H34" i="37"/>
  <c r="D34" i="37"/>
  <c r="C34" i="37"/>
  <c r="A34" i="37"/>
  <c r="H33" i="37"/>
  <c r="D33" i="37"/>
  <c r="C33" i="37"/>
  <c r="B7" i="37"/>
  <c r="B6" i="37"/>
  <c r="B1" i="37"/>
  <c r="A33" i="37"/>
  <c r="H338" i="36"/>
  <c r="D338" i="36"/>
  <c r="C338" i="36"/>
  <c r="A338" i="36"/>
  <c r="H337" i="36"/>
  <c r="D337" i="36"/>
  <c r="C337" i="36"/>
  <c r="A337" i="36"/>
  <c r="H336" i="36"/>
  <c r="D336" i="36"/>
  <c r="C336" i="36"/>
  <c r="A336" i="36"/>
  <c r="H335" i="36"/>
  <c r="D335" i="36"/>
  <c r="C335" i="36"/>
  <c r="A335" i="36"/>
  <c r="H334" i="36"/>
  <c r="D334" i="36"/>
  <c r="C334" i="36"/>
  <c r="A334" i="36"/>
  <c r="H333" i="36"/>
  <c r="D333" i="36"/>
  <c r="C333" i="36"/>
  <c r="A333" i="36"/>
  <c r="H332" i="36"/>
  <c r="D332" i="36"/>
  <c r="C332" i="36"/>
  <c r="A332" i="36"/>
  <c r="C331" i="36"/>
  <c r="C330" i="36"/>
  <c r="B307" i="36"/>
  <c r="H330" i="36"/>
  <c r="H331" i="36"/>
  <c r="B306" i="36"/>
  <c r="B301" i="36"/>
  <c r="A330" i="36"/>
  <c r="A331" i="36"/>
  <c r="H299" i="36"/>
  <c r="D299" i="36"/>
  <c r="C299" i="36"/>
  <c r="A299" i="36"/>
  <c r="H298" i="36"/>
  <c r="D298" i="36"/>
  <c r="C298" i="36"/>
  <c r="A298" i="36"/>
  <c r="H297" i="36"/>
  <c r="D297" i="36"/>
  <c r="C297" i="36"/>
  <c r="A297" i="36"/>
  <c r="H296" i="36"/>
  <c r="D296" i="36"/>
  <c r="C296" i="36"/>
  <c r="A296" i="36"/>
  <c r="H295" i="36"/>
  <c r="D295" i="36"/>
  <c r="C295" i="36"/>
  <c r="A295" i="36"/>
  <c r="H294" i="36"/>
  <c r="D294" i="36"/>
  <c r="C294" i="36"/>
  <c r="A294" i="36"/>
  <c r="H293" i="36"/>
  <c r="D293" i="36"/>
  <c r="C293" i="36"/>
  <c r="A293" i="36"/>
  <c r="C292" i="36"/>
  <c r="C291" i="36"/>
  <c r="B268" i="36"/>
  <c r="H291" i="36"/>
  <c r="H292" i="36"/>
  <c r="B267" i="36"/>
  <c r="B262" i="36"/>
  <c r="A291" i="36"/>
  <c r="A292" i="36"/>
  <c r="H260" i="36"/>
  <c r="D260" i="36"/>
  <c r="C260" i="36"/>
  <c r="A260" i="36"/>
  <c r="H259" i="36"/>
  <c r="D259" i="36"/>
  <c r="C259" i="36"/>
  <c r="A259" i="36"/>
  <c r="H258" i="36"/>
  <c r="D258" i="36"/>
  <c r="C258" i="36"/>
  <c r="A258" i="36"/>
  <c r="H257" i="36"/>
  <c r="D257" i="36"/>
  <c r="C257" i="36"/>
  <c r="A257" i="36"/>
  <c r="H256" i="36"/>
  <c r="D256" i="36"/>
  <c r="C256" i="36"/>
  <c r="A256" i="36"/>
  <c r="H255" i="36"/>
  <c r="D255" i="36"/>
  <c r="C255" i="36"/>
  <c r="A255" i="36"/>
  <c r="H254" i="36"/>
  <c r="D254" i="36"/>
  <c r="C254" i="36"/>
  <c r="A254" i="36"/>
  <c r="C253" i="36"/>
  <c r="C252" i="36"/>
  <c r="B229" i="36"/>
  <c r="H252" i="36"/>
  <c r="H253" i="36"/>
  <c r="B228" i="36"/>
  <c r="B223" i="36"/>
  <c r="A252" i="36"/>
  <c r="A253" i="36"/>
  <c r="H221" i="36"/>
  <c r="D221" i="36"/>
  <c r="C221" i="36"/>
  <c r="A221" i="36"/>
  <c r="H220" i="36"/>
  <c r="D220" i="36"/>
  <c r="C220" i="36"/>
  <c r="A220" i="36"/>
  <c r="H219" i="36"/>
  <c r="D219" i="36"/>
  <c r="C219" i="36"/>
  <c r="A219" i="36"/>
  <c r="H218" i="36"/>
  <c r="D218" i="36"/>
  <c r="C218" i="36"/>
  <c r="A218" i="36"/>
  <c r="H217" i="36"/>
  <c r="D217" i="36"/>
  <c r="C217" i="36"/>
  <c r="A217" i="36"/>
  <c r="H216" i="36"/>
  <c r="D216" i="36"/>
  <c r="C216" i="36"/>
  <c r="A216" i="36"/>
  <c r="H215" i="36"/>
  <c r="D215" i="36"/>
  <c r="C215" i="36"/>
  <c r="A215" i="36"/>
  <c r="C214" i="36"/>
  <c r="C213" i="36"/>
  <c r="B190" i="36"/>
  <c r="H213" i="36"/>
  <c r="H214" i="36"/>
  <c r="B189" i="36"/>
  <c r="B184" i="36"/>
  <c r="A213" i="36"/>
  <c r="A214" i="36"/>
  <c r="H180" i="36"/>
  <c r="D180" i="36"/>
  <c r="C180" i="36"/>
  <c r="A180" i="36"/>
  <c r="H179" i="36"/>
  <c r="D179" i="36"/>
  <c r="C179" i="36"/>
  <c r="A179" i="36"/>
  <c r="H178" i="36"/>
  <c r="D178" i="36"/>
  <c r="C178" i="36"/>
  <c r="A178" i="36"/>
  <c r="H177" i="36"/>
  <c r="D177" i="36"/>
  <c r="C177" i="36"/>
  <c r="A177" i="36"/>
  <c r="H176" i="36"/>
  <c r="D176" i="36"/>
  <c r="C176" i="36"/>
  <c r="A176" i="36"/>
  <c r="H175" i="36"/>
  <c r="D175" i="36"/>
  <c r="C175" i="36"/>
  <c r="H174" i="36"/>
  <c r="D174" i="36"/>
  <c r="C174" i="36"/>
  <c r="A174" i="36"/>
  <c r="H173" i="36"/>
  <c r="D173" i="36"/>
  <c r="C173" i="36"/>
  <c r="A173" i="36"/>
  <c r="H172" i="36"/>
  <c r="D172" i="36"/>
  <c r="C172" i="36"/>
  <c r="A172" i="36"/>
  <c r="H171" i="36"/>
  <c r="D171" i="36"/>
  <c r="C171" i="36"/>
  <c r="A171" i="36"/>
  <c r="H170" i="36"/>
  <c r="D170" i="36"/>
  <c r="C170" i="36"/>
  <c r="A170" i="36"/>
  <c r="B144" i="36"/>
  <c r="B143" i="36"/>
  <c r="B138" i="36"/>
  <c r="H134" i="36"/>
  <c r="D134" i="36"/>
  <c r="C134" i="36"/>
  <c r="A134" i="36"/>
  <c r="H133" i="36"/>
  <c r="D133" i="36"/>
  <c r="C133" i="36"/>
  <c r="A133" i="36"/>
  <c r="H132" i="36"/>
  <c r="D132" i="36"/>
  <c r="C132" i="36"/>
  <c r="A132" i="36"/>
  <c r="H131" i="36"/>
  <c r="D131" i="36"/>
  <c r="C131" i="36"/>
  <c r="A131" i="36"/>
  <c r="H130" i="36"/>
  <c r="D130" i="36"/>
  <c r="C130" i="36"/>
  <c r="A130" i="36"/>
  <c r="H129" i="36"/>
  <c r="D129" i="36"/>
  <c r="C129" i="36"/>
  <c r="H128" i="36"/>
  <c r="D128" i="36"/>
  <c r="C128" i="36"/>
  <c r="A128" i="36"/>
  <c r="H127" i="36"/>
  <c r="D127" i="36"/>
  <c r="C127" i="36"/>
  <c r="A127" i="36"/>
  <c r="H126" i="36"/>
  <c r="D126" i="36"/>
  <c r="C126" i="36"/>
  <c r="A126" i="36"/>
  <c r="H125" i="36"/>
  <c r="D125" i="36"/>
  <c r="C125" i="36"/>
  <c r="A125" i="36"/>
  <c r="H124" i="36"/>
  <c r="D124" i="36"/>
  <c r="C124" i="36"/>
  <c r="B98" i="36"/>
  <c r="B97" i="36"/>
  <c r="B92" i="36"/>
  <c r="A124" i="36"/>
  <c r="H88" i="36"/>
  <c r="D88" i="36"/>
  <c r="C88" i="36"/>
  <c r="A88" i="36"/>
  <c r="H87" i="36"/>
  <c r="D87" i="36"/>
  <c r="C87" i="36"/>
  <c r="A87" i="36"/>
  <c r="H86" i="36"/>
  <c r="D86" i="36"/>
  <c r="C86" i="36"/>
  <c r="A86" i="36"/>
  <c r="H85" i="36"/>
  <c r="D85" i="36"/>
  <c r="C85" i="36"/>
  <c r="A85" i="36"/>
  <c r="H84" i="36"/>
  <c r="D84" i="36"/>
  <c r="C84" i="36"/>
  <c r="A84" i="36"/>
  <c r="H83" i="36"/>
  <c r="D83" i="36"/>
  <c r="C83" i="36"/>
  <c r="H82" i="36"/>
  <c r="D82" i="36"/>
  <c r="C82" i="36"/>
  <c r="A82" i="36"/>
  <c r="H81" i="36"/>
  <c r="D81" i="36"/>
  <c r="C81" i="36"/>
  <c r="A81" i="36"/>
  <c r="H80" i="36"/>
  <c r="D80" i="36"/>
  <c r="C80" i="36"/>
  <c r="A80" i="36"/>
  <c r="H79" i="36"/>
  <c r="D79" i="36"/>
  <c r="C79" i="36"/>
  <c r="A79" i="36"/>
  <c r="H78" i="36"/>
  <c r="D78" i="36"/>
  <c r="C78" i="36"/>
  <c r="B52" i="36"/>
  <c r="B51" i="36"/>
  <c r="B46" i="36"/>
  <c r="A78" i="36"/>
  <c r="H42" i="36"/>
  <c r="D42" i="36"/>
  <c r="C42" i="36"/>
  <c r="A42" i="36"/>
  <c r="H41" i="36"/>
  <c r="D41" i="36"/>
  <c r="C41" i="36"/>
  <c r="A41" i="36"/>
  <c r="H40" i="36"/>
  <c r="D40" i="36"/>
  <c r="C40" i="36"/>
  <c r="A40" i="36"/>
  <c r="H39" i="36"/>
  <c r="D39" i="36"/>
  <c r="C39" i="36"/>
  <c r="A39" i="36"/>
  <c r="H38" i="36"/>
  <c r="D38" i="36"/>
  <c r="C38" i="36"/>
  <c r="A38" i="36"/>
  <c r="H37" i="36"/>
  <c r="D37" i="36"/>
  <c r="C37" i="36"/>
  <c r="H36" i="36"/>
  <c r="D36" i="36"/>
  <c r="C36" i="36"/>
  <c r="A36" i="36"/>
  <c r="H35" i="36"/>
  <c r="D35" i="36"/>
  <c r="C35" i="36"/>
  <c r="A35" i="36"/>
  <c r="H34" i="36"/>
  <c r="D34" i="36"/>
  <c r="C34" i="36"/>
  <c r="A34" i="36"/>
  <c r="H33" i="36"/>
  <c r="D33" i="36"/>
  <c r="C33" i="36"/>
  <c r="B7" i="36"/>
  <c r="B6" i="36"/>
  <c r="B1" i="36"/>
  <c r="A33" i="36"/>
  <c r="B189" i="21"/>
  <c r="B228" i="21"/>
  <c r="B267" i="21"/>
  <c r="B306" i="21"/>
  <c r="B301" i="21"/>
  <c r="B262" i="21"/>
  <c r="B223" i="21"/>
  <c r="B184" i="21"/>
  <c r="B143" i="21"/>
  <c r="B97" i="21"/>
  <c r="B51" i="21"/>
  <c r="B6" i="21"/>
  <c r="B138" i="21"/>
  <c r="B92" i="21"/>
  <c r="B46" i="21"/>
  <c r="B1" i="21"/>
  <c r="H338" i="35"/>
  <c r="D338" i="35"/>
  <c r="C338" i="35"/>
  <c r="A338" i="35"/>
  <c r="H337" i="35"/>
  <c r="D337" i="35"/>
  <c r="C337" i="35"/>
  <c r="A337" i="35"/>
  <c r="H336" i="35"/>
  <c r="D336" i="35"/>
  <c r="C336" i="35"/>
  <c r="A336" i="35"/>
  <c r="H335" i="35"/>
  <c r="D335" i="35"/>
  <c r="C335" i="35"/>
  <c r="A335" i="35"/>
  <c r="H334" i="35"/>
  <c r="D334" i="35"/>
  <c r="C334" i="35"/>
  <c r="A334" i="35"/>
  <c r="H333" i="35"/>
  <c r="D333" i="35"/>
  <c r="C333" i="35"/>
  <c r="A333" i="35"/>
  <c r="H332" i="35"/>
  <c r="D332" i="35"/>
  <c r="C332" i="35"/>
  <c r="A332" i="35"/>
  <c r="C331" i="35"/>
  <c r="C330" i="35"/>
  <c r="A330" i="35"/>
  <c r="A331" i="35"/>
  <c r="B307" i="35"/>
  <c r="H330" i="35"/>
  <c r="H331" i="35"/>
  <c r="B306" i="35"/>
  <c r="B301" i="35"/>
  <c r="H299" i="35"/>
  <c r="D299" i="35"/>
  <c r="C299" i="35"/>
  <c r="A299" i="35"/>
  <c r="H298" i="35"/>
  <c r="D298" i="35"/>
  <c r="C298" i="35"/>
  <c r="A298" i="35"/>
  <c r="H297" i="35"/>
  <c r="D297" i="35"/>
  <c r="C297" i="35"/>
  <c r="A297" i="35"/>
  <c r="H296" i="35"/>
  <c r="D296" i="35"/>
  <c r="C296" i="35"/>
  <c r="A296" i="35"/>
  <c r="H295" i="35"/>
  <c r="D295" i="35"/>
  <c r="C295" i="35"/>
  <c r="A295" i="35"/>
  <c r="H294" i="35"/>
  <c r="D294" i="35"/>
  <c r="C294" i="35"/>
  <c r="A294" i="35"/>
  <c r="H293" i="35"/>
  <c r="D293" i="35"/>
  <c r="C293" i="35"/>
  <c r="A293" i="35"/>
  <c r="C292" i="35"/>
  <c r="C291" i="35"/>
  <c r="B268" i="35"/>
  <c r="H291" i="35"/>
  <c r="H292" i="35"/>
  <c r="B267" i="35"/>
  <c r="B262" i="35"/>
  <c r="A291" i="35"/>
  <c r="A292" i="35"/>
  <c r="H260" i="35"/>
  <c r="D260" i="35"/>
  <c r="C260" i="35"/>
  <c r="A260" i="35"/>
  <c r="H259" i="35"/>
  <c r="D259" i="35"/>
  <c r="C259" i="35"/>
  <c r="A259" i="35"/>
  <c r="H258" i="35"/>
  <c r="D258" i="35"/>
  <c r="C258" i="35"/>
  <c r="A258" i="35"/>
  <c r="H257" i="35"/>
  <c r="D257" i="35"/>
  <c r="C257" i="35"/>
  <c r="A257" i="35"/>
  <c r="H256" i="35"/>
  <c r="D256" i="35"/>
  <c r="C256" i="35"/>
  <c r="A256" i="35"/>
  <c r="H255" i="35"/>
  <c r="D255" i="35"/>
  <c r="C255" i="35"/>
  <c r="A255" i="35"/>
  <c r="H254" i="35"/>
  <c r="D254" i="35"/>
  <c r="C254" i="35"/>
  <c r="A254" i="35"/>
  <c r="C253" i="35"/>
  <c r="H252" i="35"/>
  <c r="H253" i="35"/>
  <c r="C252" i="35"/>
  <c r="B229" i="35"/>
  <c r="B228" i="35"/>
  <c r="B223" i="35"/>
  <c r="A252" i="35"/>
  <c r="A253" i="35"/>
  <c r="H221" i="35"/>
  <c r="D221" i="35"/>
  <c r="C221" i="35"/>
  <c r="A221" i="35"/>
  <c r="H220" i="35"/>
  <c r="D220" i="35"/>
  <c r="C220" i="35"/>
  <c r="A220" i="35"/>
  <c r="H219" i="35"/>
  <c r="D219" i="35"/>
  <c r="C219" i="35"/>
  <c r="A219" i="35"/>
  <c r="H218" i="35"/>
  <c r="D218" i="35"/>
  <c r="C218" i="35"/>
  <c r="A218" i="35"/>
  <c r="H217" i="35"/>
  <c r="D217" i="35"/>
  <c r="C217" i="35"/>
  <c r="A217" i="35"/>
  <c r="H216" i="35"/>
  <c r="D216" i="35"/>
  <c r="C216" i="35"/>
  <c r="A216" i="35"/>
  <c r="H215" i="35"/>
  <c r="D215" i="35"/>
  <c r="C215" i="35"/>
  <c r="A215" i="35"/>
  <c r="C214" i="35"/>
  <c r="C213" i="35"/>
  <c r="B190" i="35"/>
  <c r="H213" i="35"/>
  <c r="H214" i="35"/>
  <c r="B189" i="35"/>
  <c r="B184" i="35"/>
  <c r="A213" i="35"/>
  <c r="A214" i="35"/>
  <c r="H180" i="35"/>
  <c r="D180" i="35"/>
  <c r="C180" i="35"/>
  <c r="A180" i="35"/>
  <c r="H179" i="35"/>
  <c r="D179" i="35"/>
  <c r="C179" i="35"/>
  <c r="A179" i="35"/>
  <c r="H178" i="35"/>
  <c r="D178" i="35"/>
  <c r="C178" i="35"/>
  <c r="A178" i="35"/>
  <c r="H177" i="35"/>
  <c r="D177" i="35"/>
  <c r="C177" i="35"/>
  <c r="A177" i="35"/>
  <c r="H176" i="35"/>
  <c r="D176" i="35"/>
  <c r="C176" i="35"/>
  <c r="A176" i="35"/>
  <c r="H175" i="35"/>
  <c r="D175" i="35"/>
  <c r="C175" i="35"/>
  <c r="H174" i="35"/>
  <c r="D174" i="35"/>
  <c r="C174" i="35"/>
  <c r="A174" i="35"/>
  <c r="H173" i="35"/>
  <c r="D173" i="35"/>
  <c r="C173" i="35"/>
  <c r="A173" i="35"/>
  <c r="H172" i="35"/>
  <c r="D172" i="35"/>
  <c r="C172" i="35"/>
  <c r="A172" i="35"/>
  <c r="H171" i="35"/>
  <c r="D171" i="35"/>
  <c r="C171" i="35"/>
  <c r="A171" i="35"/>
  <c r="H170" i="35"/>
  <c r="D170" i="35"/>
  <c r="C170" i="35"/>
  <c r="B144" i="35"/>
  <c r="B143" i="35"/>
  <c r="B138" i="35"/>
  <c r="A170" i="35"/>
  <c r="H134" i="35"/>
  <c r="D134" i="35"/>
  <c r="C134" i="35"/>
  <c r="A134" i="35"/>
  <c r="H133" i="35"/>
  <c r="D133" i="35"/>
  <c r="C133" i="35"/>
  <c r="A133" i="35"/>
  <c r="H132" i="35"/>
  <c r="D132" i="35"/>
  <c r="C132" i="35"/>
  <c r="A132" i="35"/>
  <c r="H131" i="35"/>
  <c r="D131" i="35"/>
  <c r="C131" i="35"/>
  <c r="A131" i="35"/>
  <c r="H130" i="35"/>
  <c r="D130" i="35"/>
  <c r="C130" i="35"/>
  <c r="A130" i="35"/>
  <c r="H129" i="35"/>
  <c r="D129" i="35"/>
  <c r="C129" i="35"/>
  <c r="H128" i="35"/>
  <c r="D128" i="35"/>
  <c r="C128" i="35"/>
  <c r="A128" i="35"/>
  <c r="H127" i="35"/>
  <c r="D127" i="35"/>
  <c r="C127" i="35"/>
  <c r="A127" i="35"/>
  <c r="H126" i="35"/>
  <c r="D126" i="35"/>
  <c r="C126" i="35"/>
  <c r="A126" i="35"/>
  <c r="H125" i="35"/>
  <c r="D125" i="35"/>
  <c r="C125" i="35"/>
  <c r="A125" i="35"/>
  <c r="H124" i="35"/>
  <c r="D124" i="35"/>
  <c r="C124" i="35"/>
  <c r="B98" i="35"/>
  <c r="B97" i="35"/>
  <c r="B92" i="35"/>
  <c r="A124" i="35"/>
  <c r="H88" i="35"/>
  <c r="D88" i="35"/>
  <c r="C88" i="35"/>
  <c r="A88" i="35"/>
  <c r="H87" i="35"/>
  <c r="D87" i="35"/>
  <c r="C87" i="35"/>
  <c r="A87" i="35"/>
  <c r="H86" i="35"/>
  <c r="D86" i="35"/>
  <c r="C86" i="35"/>
  <c r="A86" i="35"/>
  <c r="H85" i="35"/>
  <c r="D85" i="35"/>
  <c r="C85" i="35"/>
  <c r="A85" i="35"/>
  <c r="H84" i="35"/>
  <c r="D84" i="35"/>
  <c r="C84" i="35"/>
  <c r="A84" i="35"/>
  <c r="H83" i="35"/>
  <c r="D83" i="35"/>
  <c r="C83" i="35"/>
  <c r="H82" i="35"/>
  <c r="D82" i="35"/>
  <c r="C82" i="35"/>
  <c r="A82" i="35"/>
  <c r="H81" i="35"/>
  <c r="D81" i="35"/>
  <c r="C81" i="35"/>
  <c r="A81" i="35"/>
  <c r="H80" i="35"/>
  <c r="D80" i="35"/>
  <c r="C80" i="35"/>
  <c r="A80" i="35"/>
  <c r="H79" i="35"/>
  <c r="D79" i="35"/>
  <c r="C79" i="35"/>
  <c r="A79" i="35"/>
  <c r="H78" i="35"/>
  <c r="D78" i="35"/>
  <c r="C78" i="35"/>
  <c r="B52" i="35"/>
  <c r="B51" i="35"/>
  <c r="B46" i="35"/>
  <c r="A78" i="35"/>
  <c r="H42" i="35"/>
  <c r="D42" i="35"/>
  <c r="C42" i="35"/>
  <c r="A42" i="35"/>
  <c r="H41" i="35"/>
  <c r="D41" i="35"/>
  <c r="C41" i="35"/>
  <c r="A41" i="35"/>
  <c r="H40" i="35"/>
  <c r="D40" i="35"/>
  <c r="C40" i="35"/>
  <c r="A40" i="35"/>
  <c r="H39" i="35"/>
  <c r="D39" i="35"/>
  <c r="C39" i="35"/>
  <c r="A39" i="35"/>
  <c r="H38" i="35"/>
  <c r="D38" i="35"/>
  <c r="C38" i="35"/>
  <c r="A38" i="35"/>
  <c r="H37" i="35"/>
  <c r="D37" i="35"/>
  <c r="C37" i="35"/>
  <c r="H36" i="35"/>
  <c r="D36" i="35"/>
  <c r="C36" i="35"/>
  <c r="A36" i="35"/>
  <c r="H35" i="35"/>
  <c r="D35" i="35"/>
  <c r="C35" i="35"/>
  <c r="A35" i="35"/>
  <c r="H34" i="35"/>
  <c r="D34" i="35"/>
  <c r="C34" i="35"/>
  <c r="A34" i="35"/>
  <c r="H33" i="35"/>
  <c r="D33" i="35"/>
  <c r="C33" i="35"/>
  <c r="B7" i="35"/>
  <c r="B6" i="35"/>
  <c r="B1" i="35"/>
  <c r="A33" i="35"/>
  <c r="H338" i="34"/>
  <c r="D338" i="34"/>
  <c r="C338" i="34"/>
  <c r="A338" i="34"/>
  <c r="H337" i="34"/>
  <c r="D337" i="34"/>
  <c r="C337" i="34"/>
  <c r="A337" i="34"/>
  <c r="H336" i="34"/>
  <c r="D336" i="34"/>
  <c r="C336" i="34"/>
  <c r="A336" i="34"/>
  <c r="H335" i="34"/>
  <c r="D335" i="34"/>
  <c r="C335" i="34"/>
  <c r="A335" i="34"/>
  <c r="H334" i="34"/>
  <c r="D334" i="34"/>
  <c r="C334" i="34"/>
  <c r="A334" i="34"/>
  <c r="H333" i="34"/>
  <c r="D333" i="34"/>
  <c r="C333" i="34"/>
  <c r="A333" i="34"/>
  <c r="H332" i="34"/>
  <c r="D332" i="34"/>
  <c r="C332" i="34"/>
  <c r="A332" i="34"/>
  <c r="C331" i="34"/>
  <c r="C330" i="34"/>
  <c r="B307" i="34"/>
  <c r="H330" i="34"/>
  <c r="H331" i="34"/>
  <c r="B306" i="34"/>
  <c r="B301" i="34"/>
  <c r="A330" i="34"/>
  <c r="A331" i="34"/>
  <c r="H299" i="34"/>
  <c r="D299" i="34"/>
  <c r="C299" i="34"/>
  <c r="A299" i="34"/>
  <c r="H298" i="34"/>
  <c r="D298" i="34"/>
  <c r="C298" i="34"/>
  <c r="A298" i="34"/>
  <c r="H297" i="34"/>
  <c r="D297" i="34"/>
  <c r="C297" i="34"/>
  <c r="A297" i="34"/>
  <c r="H296" i="34"/>
  <c r="D296" i="34"/>
  <c r="C296" i="34"/>
  <c r="A296" i="34"/>
  <c r="H295" i="34"/>
  <c r="D295" i="34"/>
  <c r="C295" i="34"/>
  <c r="A295" i="34"/>
  <c r="H294" i="34"/>
  <c r="D294" i="34"/>
  <c r="C294" i="34"/>
  <c r="A294" i="34"/>
  <c r="H293" i="34"/>
  <c r="D293" i="34"/>
  <c r="C293" i="34"/>
  <c r="A293" i="34"/>
  <c r="C292" i="34"/>
  <c r="C291" i="34"/>
  <c r="B268" i="34"/>
  <c r="H291" i="34"/>
  <c r="H292" i="34"/>
  <c r="B267" i="34"/>
  <c r="B262" i="34"/>
  <c r="A291" i="34"/>
  <c r="A292" i="34"/>
  <c r="H260" i="34"/>
  <c r="D260" i="34"/>
  <c r="C260" i="34"/>
  <c r="A260" i="34"/>
  <c r="H259" i="34"/>
  <c r="D259" i="34"/>
  <c r="C259" i="34"/>
  <c r="A259" i="34"/>
  <c r="H258" i="34"/>
  <c r="D258" i="34"/>
  <c r="C258" i="34"/>
  <c r="A258" i="34"/>
  <c r="H257" i="34"/>
  <c r="D257" i="34"/>
  <c r="C257" i="34"/>
  <c r="A257" i="34"/>
  <c r="H256" i="34"/>
  <c r="D256" i="34"/>
  <c r="C256" i="34"/>
  <c r="A256" i="34"/>
  <c r="H255" i="34"/>
  <c r="D255" i="34"/>
  <c r="C255" i="34"/>
  <c r="A255" i="34"/>
  <c r="H254" i="34"/>
  <c r="D254" i="34"/>
  <c r="C254" i="34"/>
  <c r="A254" i="34"/>
  <c r="C253" i="34"/>
  <c r="C252" i="34"/>
  <c r="B229" i="34"/>
  <c r="H252" i="34"/>
  <c r="H253" i="34"/>
  <c r="B228" i="34"/>
  <c r="B223" i="34"/>
  <c r="A252" i="34"/>
  <c r="A253" i="34"/>
  <c r="H221" i="34"/>
  <c r="D221" i="34"/>
  <c r="C221" i="34"/>
  <c r="A221" i="34"/>
  <c r="H220" i="34"/>
  <c r="D220" i="34"/>
  <c r="C220" i="34"/>
  <c r="A220" i="34"/>
  <c r="H219" i="34"/>
  <c r="D219" i="34"/>
  <c r="C219" i="34"/>
  <c r="A219" i="34"/>
  <c r="H218" i="34"/>
  <c r="D218" i="34"/>
  <c r="C218" i="34"/>
  <c r="A218" i="34"/>
  <c r="H217" i="34"/>
  <c r="D217" i="34"/>
  <c r="C217" i="34"/>
  <c r="A217" i="34"/>
  <c r="H216" i="34"/>
  <c r="D216" i="34"/>
  <c r="C216" i="34"/>
  <c r="A216" i="34"/>
  <c r="H215" i="34"/>
  <c r="D215" i="34"/>
  <c r="C215" i="34"/>
  <c r="A215" i="34"/>
  <c r="C214" i="34"/>
  <c r="C213" i="34"/>
  <c r="B190" i="34"/>
  <c r="H213" i="34"/>
  <c r="H214" i="34"/>
  <c r="B189" i="34"/>
  <c r="B184" i="34"/>
  <c r="A213" i="34"/>
  <c r="A214" i="34"/>
  <c r="H180" i="34"/>
  <c r="D180" i="34"/>
  <c r="C180" i="34"/>
  <c r="A180" i="34"/>
  <c r="H179" i="34"/>
  <c r="D179" i="34"/>
  <c r="C179" i="34"/>
  <c r="A179" i="34"/>
  <c r="H178" i="34"/>
  <c r="D178" i="34"/>
  <c r="C178" i="34"/>
  <c r="A178" i="34"/>
  <c r="H177" i="34"/>
  <c r="D177" i="34"/>
  <c r="C177" i="34"/>
  <c r="A177" i="34"/>
  <c r="H176" i="34"/>
  <c r="D176" i="34"/>
  <c r="C176" i="34"/>
  <c r="A176" i="34"/>
  <c r="H175" i="34"/>
  <c r="D175" i="34"/>
  <c r="C175" i="34"/>
  <c r="H174" i="34"/>
  <c r="D174" i="34"/>
  <c r="C174" i="34"/>
  <c r="A174" i="34"/>
  <c r="H173" i="34"/>
  <c r="D173" i="34"/>
  <c r="C173" i="34"/>
  <c r="A173" i="34"/>
  <c r="H172" i="34"/>
  <c r="D172" i="34"/>
  <c r="C172" i="34"/>
  <c r="A172" i="34"/>
  <c r="H171" i="34"/>
  <c r="D171" i="34"/>
  <c r="C171" i="34"/>
  <c r="A171" i="34"/>
  <c r="H170" i="34"/>
  <c r="D170" i="34"/>
  <c r="C170" i="34"/>
  <c r="B144" i="34"/>
  <c r="B143" i="34"/>
  <c r="B138" i="34"/>
  <c r="A170" i="34"/>
  <c r="H134" i="34"/>
  <c r="D134" i="34"/>
  <c r="C134" i="34"/>
  <c r="A134" i="34"/>
  <c r="H133" i="34"/>
  <c r="D133" i="34"/>
  <c r="C133" i="34"/>
  <c r="A133" i="34"/>
  <c r="H132" i="34"/>
  <c r="D132" i="34"/>
  <c r="C132" i="34"/>
  <c r="A132" i="34"/>
  <c r="H131" i="34"/>
  <c r="D131" i="34"/>
  <c r="C131" i="34"/>
  <c r="A131" i="34"/>
  <c r="H130" i="34"/>
  <c r="D130" i="34"/>
  <c r="C130" i="34"/>
  <c r="A130" i="34"/>
  <c r="H129" i="34"/>
  <c r="D129" i="34"/>
  <c r="C129" i="34"/>
  <c r="H128" i="34"/>
  <c r="D128" i="34"/>
  <c r="C128" i="34"/>
  <c r="A128" i="34"/>
  <c r="H127" i="34"/>
  <c r="D127" i="34"/>
  <c r="C127" i="34"/>
  <c r="A127" i="34"/>
  <c r="H126" i="34"/>
  <c r="D126" i="34"/>
  <c r="C126" i="34"/>
  <c r="A126" i="34"/>
  <c r="H125" i="34"/>
  <c r="D125" i="34"/>
  <c r="C125" i="34"/>
  <c r="A125" i="34"/>
  <c r="H124" i="34"/>
  <c r="D124" i="34"/>
  <c r="C124" i="34"/>
  <c r="B98" i="34"/>
  <c r="B97" i="34"/>
  <c r="B92" i="34"/>
  <c r="A124" i="34"/>
  <c r="H88" i="34"/>
  <c r="D88" i="34"/>
  <c r="C88" i="34"/>
  <c r="A88" i="34"/>
  <c r="H87" i="34"/>
  <c r="D87" i="34"/>
  <c r="C87" i="34"/>
  <c r="A87" i="34"/>
  <c r="H86" i="34"/>
  <c r="D86" i="34"/>
  <c r="C86" i="34"/>
  <c r="A86" i="34"/>
  <c r="H85" i="34"/>
  <c r="D85" i="34"/>
  <c r="C85" i="34"/>
  <c r="A85" i="34"/>
  <c r="H84" i="34"/>
  <c r="D84" i="34"/>
  <c r="C84" i="34"/>
  <c r="A84" i="34"/>
  <c r="H83" i="34"/>
  <c r="D83" i="34"/>
  <c r="C83" i="34"/>
  <c r="H82" i="34"/>
  <c r="D82" i="34"/>
  <c r="C82" i="34"/>
  <c r="A82" i="34"/>
  <c r="H81" i="34"/>
  <c r="D81" i="34"/>
  <c r="C81" i="34"/>
  <c r="A81" i="34"/>
  <c r="H80" i="34"/>
  <c r="D80" i="34"/>
  <c r="C80" i="34"/>
  <c r="A80" i="34"/>
  <c r="H79" i="34"/>
  <c r="D79" i="34"/>
  <c r="C79" i="34"/>
  <c r="A79" i="34"/>
  <c r="H78" i="34"/>
  <c r="D78" i="34"/>
  <c r="C78" i="34"/>
  <c r="B52" i="34"/>
  <c r="B51" i="34"/>
  <c r="B46" i="34"/>
  <c r="A78" i="34"/>
  <c r="H42" i="34"/>
  <c r="D42" i="34"/>
  <c r="C42" i="34"/>
  <c r="A42" i="34"/>
  <c r="H41" i="34"/>
  <c r="D41" i="34"/>
  <c r="C41" i="34"/>
  <c r="A41" i="34"/>
  <c r="H40" i="34"/>
  <c r="D40" i="34"/>
  <c r="C40" i="34"/>
  <c r="A40" i="34"/>
  <c r="H39" i="34"/>
  <c r="D39" i="34"/>
  <c r="C39" i="34"/>
  <c r="A39" i="34"/>
  <c r="H38" i="34"/>
  <c r="D38" i="34"/>
  <c r="C38" i="34"/>
  <c r="A38" i="34"/>
  <c r="H37" i="34"/>
  <c r="D37" i="34"/>
  <c r="C37" i="34"/>
  <c r="H36" i="34"/>
  <c r="D36" i="34"/>
  <c r="C36" i="34"/>
  <c r="A36" i="34"/>
  <c r="H35" i="34"/>
  <c r="D35" i="34"/>
  <c r="C35" i="34"/>
  <c r="A35" i="34"/>
  <c r="H34" i="34"/>
  <c r="D34" i="34"/>
  <c r="C34" i="34"/>
  <c r="A34" i="34"/>
  <c r="H33" i="34"/>
  <c r="D33" i="34"/>
  <c r="C33" i="34"/>
  <c r="B7" i="34"/>
  <c r="B6" i="34"/>
  <c r="B1" i="34"/>
  <c r="A33" i="34"/>
  <c r="B306" i="20"/>
  <c r="B267" i="20"/>
  <c r="B228" i="20"/>
  <c r="B189" i="20"/>
  <c r="B301" i="20"/>
  <c r="B262" i="20"/>
  <c r="B223" i="20"/>
  <c r="B184" i="20"/>
  <c r="B143" i="20"/>
  <c r="B97" i="20"/>
  <c r="B51" i="20"/>
  <c r="B138" i="20"/>
  <c r="B92" i="20"/>
  <c r="B46" i="20"/>
  <c r="B6" i="20"/>
  <c r="B1" i="20"/>
  <c r="R285" i="7"/>
  <c r="O285" i="7"/>
  <c r="M285" i="7"/>
  <c r="L285" i="7"/>
  <c r="G285" i="7"/>
  <c r="F285" i="7"/>
  <c r="C285" i="7"/>
  <c r="H339" i="33"/>
  <c r="D339" i="33"/>
  <c r="C339" i="33"/>
  <c r="A339" i="33"/>
  <c r="H338" i="33"/>
  <c r="D338" i="33"/>
  <c r="C338" i="33"/>
  <c r="A338" i="33"/>
  <c r="H337" i="33"/>
  <c r="D337" i="33"/>
  <c r="C337" i="33"/>
  <c r="A337" i="33"/>
  <c r="H336" i="33"/>
  <c r="D336" i="33"/>
  <c r="C336" i="33"/>
  <c r="A336" i="33"/>
  <c r="H335" i="33"/>
  <c r="D335" i="33"/>
  <c r="C335" i="33"/>
  <c r="A335" i="33"/>
  <c r="H334" i="33"/>
  <c r="D334" i="33"/>
  <c r="C334" i="33"/>
  <c r="A334" i="33"/>
  <c r="H333" i="33"/>
  <c r="D333" i="33"/>
  <c r="C333" i="33"/>
  <c r="A333" i="33"/>
  <c r="C332" i="33"/>
  <c r="C331" i="33"/>
  <c r="B308" i="33"/>
  <c r="H331" i="33"/>
  <c r="H332" i="33"/>
  <c r="B307" i="33"/>
  <c r="B302" i="33"/>
  <c r="A331" i="33"/>
  <c r="A332" i="33"/>
  <c r="H300" i="33"/>
  <c r="D300" i="33"/>
  <c r="C300" i="33"/>
  <c r="A300" i="33"/>
  <c r="H299" i="33"/>
  <c r="D299" i="33"/>
  <c r="C299" i="33"/>
  <c r="A299" i="33"/>
  <c r="H298" i="33"/>
  <c r="D298" i="33"/>
  <c r="C298" i="33"/>
  <c r="A298" i="33"/>
  <c r="H297" i="33"/>
  <c r="D297" i="33"/>
  <c r="C297" i="33"/>
  <c r="A297" i="33"/>
  <c r="H296" i="33"/>
  <c r="D296" i="33"/>
  <c r="C296" i="33"/>
  <c r="A296" i="33"/>
  <c r="H295" i="33"/>
  <c r="D295" i="33"/>
  <c r="C295" i="33"/>
  <c r="A295" i="33"/>
  <c r="H294" i="33"/>
  <c r="D294" i="33"/>
  <c r="C294" i="33"/>
  <c r="A294" i="33"/>
  <c r="C293" i="33"/>
  <c r="C292" i="33"/>
  <c r="B269" i="33"/>
  <c r="H292" i="33"/>
  <c r="H293" i="33"/>
  <c r="B268" i="33"/>
  <c r="B263" i="33"/>
  <c r="A292" i="33"/>
  <c r="A293" i="33"/>
  <c r="H261" i="33"/>
  <c r="D261" i="33"/>
  <c r="C261" i="33"/>
  <c r="A261" i="33"/>
  <c r="H260" i="33"/>
  <c r="D260" i="33"/>
  <c r="C260" i="33"/>
  <c r="A260" i="33"/>
  <c r="H259" i="33"/>
  <c r="D259" i="33"/>
  <c r="C259" i="33"/>
  <c r="A259" i="33"/>
  <c r="H258" i="33"/>
  <c r="D258" i="33"/>
  <c r="C258" i="33"/>
  <c r="A258" i="33"/>
  <c r="H257" i="33"/>
  <c r="D257" i="33"/>
  <c r="C257" i="33"/>
  <c r="A257" i="33"/>
  <c r="H256" i="33"/>
  <c r="D256" i="33"/>
  <c r="C256" i="33"/>
  <c r="A256" i="33"/>
  <c r="H255" i="33"/>
  <c r="D255" i="33"/>
  <c r="C255" i="33"/>
  <c r="A255" i="33"/>
  <c r="C254" i="33"/>
  <c r="H253" i="33"/>
  <c r="H254" i="33"/>
  <c r="C253" i="33"/>
  <c r="B230" i="33"/>
  <c r="B229" i="33"/>
  <c r="B224" i="33"/>
  <c r="A253" i="33"/>
  <c r="A254" i="33"/>
  <c r="H222" i="33"/>
  <c r="D222" i="33"/>
  <c r="C222" i="33"/>
  <c r="A222" i="33"/>
  <c r="H221" i="33"/>
  <c r="D221" i="33"/>
  <c r="C221" i="33"/>
  <c r="A221" i="33"/>
  <c r="H220" i="33"/>
  <c r="D220" i="33"/>
  <c r="C220" i="33"/>
  <c r="A220" i="33"/>
  <c r="H219" i="33"/>
  <c r="D219" i="33"/>
  <c r="C219" i="33"/>
  <c r="A219" i="33"/>
  <c r="H218" i="33"/>
  <c r="D218" i="33"/>
  <c r="C218" i="33"/>
  <c r="A218" i="33"/>
  <c r="H217" i="33"/>
  <c r="D217" i="33"/>
  <c r="C217" i="33"/>
  <c r="A217" i="33"/>
  <c r="H216" i="33"/>
  <c r="D216" i="33"/>
  <c r="C216" i="33"/>
  <c r="A216" i="33"/>
  <c r="C215" i="33"/>
  <c r="C214" i="33"/>
  <c r="B191" i="33"/>
  <c r="H214" i="33"/>
  <c r="H215" i="33"/>
  <c r="B190" i="33"/>
  <c r="B185" i="33"/>
  <c r="A214" i="33"/>
  <c r="A215" i="33"/>
  <c r="H181" i="33"/>
  <c r="C181" i="33"/>
  <c r="A181" i="33"/>
  <c r="H180" i="33"/>
  <c r="D180" i="33"/>
  <c r="C180" i="33"/>
  <c r="A180" i="33"/>
  <c r="H179" i="33"/>
  <c r="D179" i="33"/>
  <c r="C179" i="33"/>
  <c r="A179" i="33"/>
  <c r="H178" i="33"/>
  <c r="D178" i="33"/>
  <c r="C178" i="33"/>
  <c r="A178" i="33"/>
  <c r="H177" i="33"/>
  <c r="D177" i="33"/>
  <c r="C177" i="33"/>
  <c r="A177" i="33"/>
  <c r="H176" i="33"/>
  <c r="D176" i="33"/>
  <c r="C176" i="33"/>
  <c r="H175" i="33"/>
  <c r="D175" i="33"/>
  <c r="C175" i="33"/>
  <c r="A175" i="33"/>
  <c r="H174" i="33"/>
  <c r="D174" i="33"/>
  <c r="C174" i="33"/>
  <c r="A174" i="33"/>
  <c r="H173" i="33"/>
  <c r="D173" i="33"/>
  <c r="C173" i="33"/>
  <c r="A173" i="33"/>
  <c r="H172" i="33"/>
  <c r="D172" i="33"/>
  <c r="C172" i="33"/>
  <c r="A172" i="33"/>
  <c r="H171" i="33"/>
  <c r="D171" i="33"/>
  <c r="C171" i="33"/>
  <c r="B145" i="33"/>
  <c r="D181" i="33"/>
  <c r="B144" i="33"/>
  <c r="B139" i="33"/>
  <c r="A171" i="33"/>
  <c r="H135" i="33"/>
  <c r="C135" i="33"/>
  <c r="A135" i="33"/>
  <c r="H134" i="33"/>
  <c r="D134" i="33"/>
  <c r="C134" i="33"/>
  <c r="A134" i="33"/>
  <c r="H133" i="33"/>
  <c r="D133" i="33"/>
  <c r="C133" i="33"/>
  <c r="A133" i="33"/>
  <c r="H132" i="33"/>
  <c r="D132" i="33"/>
  <c r="C132" i="33"/>
  <c r="A132" i="33"/>
  <c r="H131" i="33"/>
  <c r="D131" i="33"/>
  <c r="C131" i="33"/>
  <c r="A131" i="33"/>
  <c r="H130" i="33"/>
  <c r="D130" i="33"/>
  <c r="C130" i="33"/>
  <c r="H129" i="33"/>
  <c r="D129" i="33"/>
  <c r="C129" i="33"/>
  <c r="A129" i="33"/>
  <c r="H128" i="33"/>
  <c r="D128" i="33"/>
  <c r="C128" i="33"/>
  <c r="A128" i="33"/>
  <c r="H127" i="33"/>
  <c r="D127" i="33"/>
  <c r="C127" i="33"/>
  <c r="A127" i="33"/>
  <c r="H126" i="33"/>
  <c r="D126" i="33"/>
  <c r="C126" i="33"/>
  <c r="A126" i="33"/>
  <c r="H125" i="33"/>
  <c r="D125" i="33"/>
  <c r="C125" i="33"/>
  <c r="B99" i="33"/>
  <c r="D135" i="33"/>
  <c r="B98" i="33"/>
  <c r="B93" i="33"/>
  <c r="A125" i="33"/>
  <c r="H89" i="33"/>
  <c r="C89" i="33"/>
  <c r="A89" i="33"/>
  <c r="H88" i="33"/>
  <c r="D88" i="33"/>
  <c r="C88" i="33"/>
  <c r="A88" i="33"/>
  <c r="H87" i="33"/>
  <c r="D87" i="33"/>
  <c r="C87" i="33"/>
  <c r="A87" i="33"/>
  <c r="H86" i="33"/>
  <c r="D86" i="33"/>
  <c r="C86" i="33"/>
  <c r="A86" i="33"/>
  <c r="H85" i="33"/>
  <c r="D85" i="33"/>
  <c r="C85" i="33"/>
  <c r="A85" i="33"/>
  <c r="H84" i="33"/>
  <c r="D84" i="33"/>
  <c r="C84" i="33"/>
  <c r="H83" i="33"/>
  <c r="D83" i="33"/>
  <c r="C83" i="33"/>
  <c r="A83" i="33"/>
  <c r="H82" i="33"/>
  <c r="D82" i="33"/>
  <c r="C82" i="33"/>
  <c r="A82" i="33"/>
  <c r="H81" i="33"/>
  <c r="D81" i="33"/>
  <c r="C81" i="33"/>
  <c r="A81" i="33"/>
  <c r="H80" i="33"/>
  <c r="D80" i="33"/>
  <c r="C80" i="33"/>
  <c r="A80" i="33"/>
  <c r="H79" i="33"/>
  <c r="D79" i="33"/>
  <c r="C79" i="33"/>
  <c r="B53" i="33"/>
  <c r="D89" i="33"/>
  <c r="B52" i="33"/>
  <c r="B47" i="33"/>
  <c r="A79" i="33"/>
  <c r="H43" i="33"/>
  <c r="C43" i="33"/>
  <c r="A43" i="33"/>
  <c r="H42" i="33"/>
  <c r="D42" i="33"/>
  <c r="C42" i="33"/>
  <c r="A42" i="33"/>
  <c r="H41" i="33"/>
  <c r="D41" i="33"/>
  <c r="C41" i="33"/>
  <c r="A41" i="33"/>
  <c r="H40" i="33"/>
  <c r="D40" i="33"/>
  <c r="C40" i="33"/>
  <c r="A40" i="33"/>
  <c r="H39" i="33"/>
  <c r="D39" i="33"/>
  <c r="C39" i="33"/>
  <c r="A39" i="33"/>
  <c r="H38" i="33"/>
  <c r="D38" i="33"/>
  <c r="C38" i="33"/>
  <c r="H37" i="33"/>
  <c r="D37" i="33"/>
  <c r="C37" i="33"/>
  <c r="A37" i="33"/>
  <c r="H36" i="33"/>
  <c r="D36" i="33"/>
  <c r="C36" i="33"/>
  <c r="A36" i="33"/>
  <c r="H35" i="33"/>
  <c r="D35" i="33"/>
  <c r="C35" i="33"/>
  <c r="A35" i="33"/>
  <c r="H34" i="33"/>
  <c r="D34" i="33"/>
  <c r="C34" i="33"/>
  <c r="A34" i="33"/>
  <c r="H33" i="33"/>
  <c r="D33" i="33"/>
  <c r="C33" i="33"/>
  <c r="B7" i="33"/>
  <c r="D43" i="33"/>
  <c r="B6" i="33"/>
  <c r="B1" i="33"/>
  <c r="A33" i="33"/>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H339" i="32"/>
  <c r="D339" i="32"/>
  <c r="C339" i="32"/>
  <c r="A339" i="32"/>
  <c r="H338" i="32"/>
  <c r="D338" i="32"/>
  <c r="C338" i="32"/>
  <c r="A338" i="32"/>
  <c r="H337" i="32"/>
  <c r="D337" i="32"/>
  <c r="C337" i="32"/>
  <c r="A337" i="32"/>
  <c r="H336" i="32"/>
  <c r="D336" i="32"/>
  <c r="C336" i="32"/>
  <c r="A336" i="32"/>
  <c r="H335" i="32"/>
  <c r="D335" i="32"/>
  <c r="C335" i="32"/>
  <c r="A335" i="32"/>
  <c r="H334" i="32"/>
  <c r="D334" i="32"/>
  <c r="C334" i="32"/>
  <c r="A334" i="32"/>
  <c r="H333" i="32"/>
  <c r="D333" i="32"/>
  <c r="C333" i="32"/>
  <c r="A333" i="32"/>
  <c r="C332" i="32"/>
  <c r="C331" i="32"/>
  <c r="B308" i="32"/>
  <c r="H331" i="32"/>
  <c r="H332" i="32"/>
  <c r="B307" i="32"/>
  <c r="B302" i="32"/>
  <c r="A331" i="32"/>
  <c r="A332" i="32"/>
  <c r="H300" i="32"/>
  <c r="D300" i="32"/>
  <c r="C300" i="32"/>
  <c r="A300" i="32"/>
  <c r="H299" i="32"/>
  <c r="D299" i="32"/>
  <c r="C299" i="32"/>
  <c r="A299" i="32"/>
  <c r="H298" i="32"/>
  <c r="D298" i="32"/>
  <c r="C298" i="32"/>
  <c r="A298" i="32"/>
  <c r="H297" i="32"/>
  <c r="D297" i="32"/>
  <c r="C297" i="32"/>
  <c r="A297" i="32"/>
  <c r="H296" i="32"/>
  <c r="D296" i="32"/>
  <c r="C296" i="32"/>
  <c r="A296" i="32"/>
  <c r="H295" i="32"/>
  <c r="D295" i="32"/>
  <c r="C295" i="32"/>
  <c r="A295" i="32"/>
  <c r="H294" i="32"/>
  <c r="D294" i="32"/>
  <c r="C294" i="32"/>
  <c r="A294" i="32"/>
  <c r="C293" i="32"/>
  <c r="C292" i="32"/>
  <c r="B269" i="32"/>
  <c r="H292" i="32"/>
  <c r="H293" i="32"/>
  <c r="B268" i="32"/>
  <c r="B263" i="32"/>
  <c r="A292" i="32"/>
  <c r="A293" i="32"/>
  <c r="H261" i="32"/>
  <c r="D261" i="32"/>
  <c r="C261" i="32"/>
  <c r="A261" i="32"/>
  <c r="H260" i="32"/>
  <c r="D260" i="32"/>
  <c r="C260" i="32"/>
  <c r="A260" i="32"/>
  <c r="H259" i="32"/>
  <c r="D259" i="32"/>
  <c r="C259" i="32"/>
  <c r="A259" i="32"/>
  <c r="H258" i="32"/>
  <c r="D258" i="32"/>
  <c r="C258" i="32"/>
  <c r="A258" i="32"/>
  <c r="H257" i="32"/>
  <c r="D257" i="32"/>
  <c r="C257" i="32"/>
  <c r="A257" i="32"/>
  <c r="H256" i="32"/>
  <c r="D256" i="32"/>
  <c r="C256" i="32"/>
  <c r="A256" i="32"/>
  <c r="H255" i="32"/>
  <c r="D255" i="32"/>
  <c r="C255" i="32"/>
  <c r="A255" i="32"/>
  <c r="C254" i="32"/>
  <c r="C253" i="32"/>
  <c r="B230" i="32"/>
  <c r="H253" i="32"/>
  <c r="H254" i="32"/>
  <c r="B229" i="32"/>
  <c r="B224" i="32"/>
  <c r="A253" i="32"/>
  <c r="A254" i="32"/>
  <c r="H222" i="32"/>
  <c r="D222" i="32"/>
  <c r="C222" i="32"/>
  <c r="A222" i="32"/>
  <c r="H221" i="32"/>
  <c r="D221" i="32"/>
  <c r="C221" i="32"/>
  <c r="A221" i="32"/>
  <c r="H220" i="32"/>
  <c r="D220" i="32"/>
  <c r="C220" i="32"/>
  <c r="A220" i="32"/>
  <c r="H219" i="32"/>
  <c r="D219" i="32"/>
  <c r="C219" i="32"/>
  <c r="A219" i="32"/>
  <c r="H218" i="32"/>
  <c r="D218" i="32"/>
  <c r="C218" i="32"/>
  <c r="A218" i="32"/>
  <c r="H217" i="32"/>
  <c r="D217" i="32"/>
  <c r="C217" i="32"/>
  <c r="A217" i="32"/>
  <c r="H216" i="32"/>
  <c r="D216" i="32"/>
  <c r="C216" i="32"/>
  <c r="A216" i="32"/>
  <c r="C215" i="32"/>
  <c r="C214" i="32"/>
  <c r="B191" i="32"/>
  <c r="H214" i="32"/>
  <c r="H215" i="32"/>
  <c r="B190" i="32"/>
  <c r="B185" i="32"/>
  <c r="A214" i="32"/>
  <c r="A215" i="32"/>
  <c r="H181" i="32"/>
  <c r="C181" i="32"/>
  <c r="A181" i="32"/>
  <c r="H180" i="32"/>
  <c r="D180" i="32"/>
  <c r="C180" i="32"/>
  <c r="A180" i="32"/>
  <c r="H179" i="32"/>
  <c r="D179" i="32"/>
  <c r="C179" i="32"/>
  <c r="A179" i="32"/>
  <c r="H178" i="32"/>
  <c r="D178" i="32"/>
  <c r="C178" i="32"/>
  <c r="A178" i="32"/>
  <c r="H177" i="32"/>
  <c r="D177" i="32"/>
  <c r="C177" i="32"/>
  <c r="A177" i="32"/>
  <c r="H176" i="32"/>
  <c r="D176" i="32"/>
  <c r="C176" i="32"/>
  <c r="H175" i="32"/>
  <c r="D175" i="32"/>
  <c r="C175" i="32"/>
  <c r="A175" i="32"/>
  <c r="H174" i="32"/>
  <c r="D174" i="32"/>
  <c r="C174" i="32"/>
  <c r="A174" i="32"/>
  <c r="H173" i="32"/>
  <c r="D173" i="32"/>
  <c r="C173" i="32"/>
  <c r="A173" i="32"/>
  <c r="H172" i="32"/>
  <c r="D172" i="32"/>
  <c r="C172" i="32"/>
  <c r="A172" i="32"/>
  <c r="H171" i="32"/>
  <c r="D171" i="32"/>
  <c r="C171" i="32"/>
  <c r="B145" i="32"/>
  <c r="D181" i="32"/>
  <c r="B144" i="32"/>
  <c r="B139" i="32"/>
  <c r="A171" i="32"/>
  <c r="H135" i="32"/>
  <c r="C135" i="32"/>
  <c r="A135" i="32"/>
  <c r="H134" i="32"/>
  <c r="D134" i="32"/>
  <c r="C134" i="32"/>
  <c r="A134" i="32"/>
  <c r="H133" i="32"/>
  <c r="D133" i="32"/>
  <c r="C133" i="32"/>
  <c r="A133" i="32"/>
  <c r="H132" i="32"/>
  <c r="D132" i="32"/>
  <c r="C132" i="32"/>
  <c r="A132" i="32"/>
  <c r="H131" i="32"/>
  <c r="D131" i="32"/>
  <c r="C131" i="32"/>
  <c r="A131" i="32"/>
  <c r="H130" i="32"/>
  <c r="D130" i="32"/>
  <c r="C130" i="32"/>
  <c r="H129" i="32"/>
  <c r="D129" i="32"/>
  <c r="C129" i="32"/>
  <c r="A129" i="32"/>
  <c r="H128" i="32"/>
  <c r="D128" i="32"/>
  <c r="C128" i="32"/>
  <c r="A128" i="32"/>
  <c r="H127" i="32"/>
  <c r="D127" i="32"/>
  <c r="C127" i="32"/>
  <c r="A127" i="32"/>
  <c r="H126" i="32"/>
  <c r="D126" i="32"/>
  <c r="C126" i="32"/>
  <c r="A126" i="32"/>
  <c r="H125" i="32"/>
  <c r="D125" i="32"/>
  <c r="C125" i="32"/>
  <c r="B99" i="32"/>
  <c r="D135" i="32"/>
  <c r="B98" i="32"/>
  <c r="B93" i="32"/>
  <c r="A125" i="32"/>
  <c r="H89" i="32"/>
  <c r="C89" i="32"/>
  <c r="A89" i="32"/>
  <c r="H88" i="32"/>
  <c r="D88" i="32"/>
  <c r="C88" i="32"/>
  <c r="A88" i="32"/>
  <c r="H87" i="32"/>
  <c r="D87" i="32"/>
  <c r="C87" i="32"/>
  <c r="A87" i="32"/>
  <c r="H86" i="32"/>
  <c r="D86" i="32"/>
  <c r="C86" i="32"/>
  <c r="A86" i="32"/>
  <c r="H85" i="32"/>
  <c r="D85" i="32"/>
  <c r="C85" i="32"/>
  <c r="A85" i="32"/>
  <c r="H84" i="32"/>
  <c r="D84" i="32"/>
  <c r="C84" i="32"/>
  <c r="H83" i="32"/>
  <c r="D83" i="32"/>
  <c r="C83" i="32"/>
  <c r="A83" i="32"/>
  <c r="H82" i="32"/>
  <c r="D82" i="32"/>
  <c r="C82" i="32"/>
  <c r="A82" i="32"/>
  <c r="H81" i="32"/>
  <c r="D81" i="32"/>
  <c r="C81" i="32"/>
  <c r="A81" i="32"/>
  <c r="H80" i="32"/>
  <c r="D80" i="32"/>
  <c r="C80" i="32"/>
  <c r="A80" i="32"/>
  <c r="H79" i="32"/>
  <c r="D79" i="32"/>
  <c r="C79" i="32"/>
  <c r="B53" i="32"/>
  <c r="D89" i="32"/>
  <c r="B52" i="32"/>
  <c r="B47" i="32"/>
  <c r="A79" i="32"/>
  <c r="H43" i="32"/>
  <c r="C43" i="32"/>
  <c r="A43" i="32"/>
  <c r="H42" i="32"/>
  <c r="D42" i="32"/>
  <c r="C42" i="32"/>
  <c r="A42" i="32"/>
  <c r="H41" i="32"/>
  <c r="D41" i="32"/>
  <c r="C41" i="32"/>
  <c r="A41" i="32"/>
  <c r="H40" i="32"/>
  <c r="D40" i="32"/>
  <c r="C40" i="32"/>
  <c r="A40" i="32"/>
  <c r="H39" i="32"/>
  <c r="D39" i="32"/>
  <c r="C39" i="32"/>
  <c r="A39" i="32"/>
  <c r="H38" i="32"/>
  <c r="D38" i="32"/>
  <c r="C38" i="32"/>
  <c r="H37" i="32"/>
  <c r="D37" i="32"/>
  <c r="C37" i="32"/>
  <c r="A37" i="32"/>
  <c r="H36" i="32"/>
  <c r="D36" i="32"/>
  <c r="C36" i="32"/>
  <c r="A36" i="32"/>
  <c r="H35" i="32"/>
  <c r="D35" i="32"/>
  <c r="C35" i="32"/>
  <c r="A35" i="32"/>
  <c r="H34" i="32"/>
  <c r="D34" i="32"/>
  <c r="C34" i="32"/>
  <c r="A34" i="32"/>
  <c r="H33" i="32"/>
  <c r="D33" i="32"/>
  <c r="C33" i="32"/>
  <c r="B7" i="32"/>
  <c r="D43" i="32"/>
  <c r="B6" i="32"/>
  <c r="B1" i="32"/>
  <c r="A33" i="32"/>
  <c r="B307" i="19"/>
  <c r="B268" i="19"/>
  <c r="B229" i="19"/>
  <c r="B302" i="19"/>
  <c r="B263" i="19"/>
  <c r="B224" i="19"/>
  <c r="B190" i="19"/>
  <c r="B185" i="19"/>
  <c r="B144" i="19"/>
  <c r="B98" i="19"/>
  <c r="B52" i="19"/>
  <c r="B6" i="19"/>
  <c r="B139" i="19"/>
  <c r="B93" i="19"/>
  <c r="B47" i="19"/>
  <c r="B1" i="19"/>
  <c r="H327" i="31"/>
  <c r="D327" i="31"/>
  <c r="C327" i="31"/>
  <c r="A327" i="31"/>
  <c r="H326" i="31"/>
  <c r="D326" i="31"/>
  <c r="C326" i="31"/>
  <c r="A326" i="31"/>
  <c r="H325" i="31"/>
  <c r="D325" i="31"/>
  <c r="C325" i="31"/>
  <c r="A325" i="31"/>
  <c r="H324" i="31"/>
  <c r="D324" i="31"/>
  <c r="C324" i="31"/>
  <c r="A324" i="31"/>
  <c r="H323" i="31"/>
  <c r="D323" i="31"/>
  <c r="C323" i="31"/>
  <c r="A323" i="31"/>
  <c r="C322" i="31"/>
  <c r="C321" i="31"/>
  <c r="B298" i="31"/>
  <c r="H321" i="31"/>
  <c r="H322" i="31"/>
  <c r="B297" i="31"/>
  <c r="B292" i="31"/>
  <c r="A321" i="31"/>
  <c r="A322" i="31"/>
  <c r="H290" i="31"/>
  <c r="D290" i="31"/>
  <c r="C290" i="31"/>
  <c r="A290" i="31"/>
  <c r="H289" i="31"/>
  <c r="D289" i="31"/>
  <c r="C289" i="31"/>
  <c r="A289" i="31"/>
  <c r="H288" i="31"/>
  <c r="D288" i="31"/>
  <c r="C288" i="31"/>
  <c r="A288" i="31"/>
  <c r="H287" i="31"/>
  <c r="D287" i="31"/>
  <c r="C287" i="31"/>
  <c r="A287" i="31"/>
  <c r="H286" i="31"/>
  <c r="D286" i="31"/>
  <c r="C286" i="31"/>
  <c r="A286" i="31"/>
  <c r="C285" i="31"/>
  <c r="C284" i="31"/>
  <c r="B261" i="31"/>
  <c r="H284" i="31"/>
  <c r="H285" i="31"/>
  <c r="B260" i="31"/>
  <c r="B255" i="31"/>
  <c r="A284" i="31"/>
  <c r="A285" i="31"/>
  <c r="H253" i="31"/>
  <c r="D253" i="31"/>
  <c r="C253" i="31"/>
  <c r="A253" i="31"/>
  <c r="H252" i="31"/>
  <c r="D252" i="31"/>
  <c r="C252" i="31"/>
  <c r="A252" i="31"/>
  <c r="H251" i="31"/>
  <c r="D251" i="31"/>
  <c r="C251" i="31"/>
  <c r="A251" i="31"/>
  <c r="H250" i="31"/>
  <c r="D250" i="31"/>
  <c r="C250" i="31"/>
  <c r="A250" i="31"/>
  <c r="H249" i="31"/>
  <c r="D249" i="31"/>
  <c r="C249" i="31"/>
  <c r="A249" i="31"/>
  <c r="C248" i="31"/>
  <c r="C247" i="31"/>
  <c r="B224" i="31"/>
  <c r="H247" i="31"/>
  <c r="H248" i="31"/>
  <c r="B223" i="31"/>
  <c r="B218" i="31"/>
  <c r="A247" i="31"/>
  <c r="A248" i="31"/>
  <c r="H216" i="31"/>
  <c r="D216" i="31"/>
  <c r="C216" i="31"/>
  <c r="A216" i="31"/>
  <c r="H215" i="31"/>
  <c r="D215" i="31"/>
  <c r="C215" i="31"/>
  <c r="A215" i="31"/>
  <c r="H214" i="31"/>
  <c r="D214" i="31"/>
  <c r="C214" i="31"/>
  <c r="A214" i="31"/>
  <c r="H213" i="31"/>
  <c r="D213" i="31"/>
  <c r="C213" i="31"/>
  <c r="A213" i="31"/>
  <c r="H212" i="31"/>
  <c r="D212" i="31"/>
  <c r="C212" i="31"/>
  <c r="A212" i="31"/>
  <c r="C211" i="31"/>
  <c r="C210" i="31"/>
  <c r="B187" i="31"/>
  <c r="H210" i="31"/>
  <c r="H211" i="31"/>
  <c r="B186" i="31"/>
  <c r="B181" i="31"/>
  <c r="A210" i="31"/>
  <c r="A211" i="31"/>
  <c r="H177" i="31"/>
  <c r="D177" i="31"/>
  <c r="C177" i="31"/>
  <c r="A177" i="31"/>
  <c r="H176" i="31"/>
  <c r="D176" i="31"/>
  <c r="C176" i="31"/>
  <c r="A176" i="31"/>
  <c r="H175" i="31"/>
  <c r="D175" i="31"/>
  <c r="C175" i="31"/>
  <c r="A175" i="31"/>
  <c r="H174" i="31"/>
  <c r="D174" i="31"/>
  <c r="C174" i="31"/>
  <c r="A174" i="31"/>
  <c r="H173" i="31"/>
  <c r="D173" i="31"/>
  <c r="C173" i="31"/>
  <c r="A173" i="31"/>
  <c r="H172" i="31"/>
  <c r="D172" i="31"/>
  <c r="C172" i="31"/>
  <c r="H171" i="31"/>
  <c r="D171" i="31"/>
  <c r="C171" i="31"/>
  <c r="A171" i="31"/>
  <c r="H170" i="31"/>
  <c r="D170" i="31"/>
  <c r="C170" i="31"/>
  <c r="A170" i="31"/>
  <c r="H169" i="31"/>
  <c r="D169" i="31"/>
  <c r="C169" i="31"/>
  <c r="A169" i="31"/>
  <c r="D168" i="31"/>
  <c r="C168" i="31"/>
  <c r="B142" i="31"/>
  <c r="H168" i="31"/>
  <c r="B141" i="31"/>
  <c r="B136" i="31"/>
  <c r="A168" i="31"/>
  <c r="H132" i="31"/>
  <c r="D132" i="31"/>
  <c r="C132" i="31"/>
  <c r="A132" i="31"/>
  <c r="H131" i="31"/>
  <c r="D131" i="31"/>
  <c r="C131" i="31"/>
  <c r="A131" i="31"/>
  <c r="H130" i="31"/>
  <c r="D130" i="31"/>
  <c r="C130" i="31"/>
  <c r="A130" i="31"/>
  <c r="H129" i="31"/>
  <c r="D129" i="31"/>
  <c r="C129" i="31"/>
  <c r="A129" i="31"/>
  <c r="H128" i="31"/>
  <c r="D128" i="31"/>
  <c r="C128" i="31"/>
  <c r="A128" i="31"/>
  <c r="H127" i="31"/>
  <c r="D127" i="31"/>
  <c r="C127" i="31"/>
  <c r="H126" i="31"/>
  <c r="D126" i="31"/>
  <c r="C126" i="31"/>
  <c r="A126" i="31"/>
  <c r="H125" i="31"/>
  <c r="D125" i="31"/>
  <c r="C125" i="31"/>
  <c r="A125" i="31"/>
  <c r="H124" i="31"/>
  <c r="D124" i="31"/>
  <c r="C124" i="31"/>
  <c r="A124" i="31"/>
  <c r="D123" i="31"/>
  <c r="C123" i="31"/>
  <c r="B97" i="31"/>
  <c r="H123" i="31"/>
  <c r="B96" i="31"/>
  <c r="B91" i="31"/>
  <c r="A123" i="31"/>
  <c r="H87" i="31"/>
  <c r="D87" i="31"/>
  <c r="C87" i="31"/>
  <c r="A87" i="31"/>
  <c r="H86" i="31"/>
  <c r="D86" i="31"/>
  <c r="C86" i="31"/>
  <c r="A86" i="31"/>
  <c r="H85" i="31"/>
  <c r="D85" i="31"/>
  <c r="C85" i="31"/>
  <c r="A85" i="31"/>
  <c r="H84" i="31"/>
  <c r="D84" i="31"/>
  <c r="C84" i="31"/>
  <c r="A84" i="31"/>
  <c r="H83" i="31"/>
  <c r="D83" i="31"/>
  <c r="C83" i="31"/>
  <c r="A83" i="31"/>
  <c r="H82" i="31"/>
  <c r="D82" i="31"/>
  <c r="C82" i="31"/>
  <c r="H81" i="31"/>
  <c r="D81" i="31"/>
  <c r="C81" i="31"/>
  <c r="A81" i="31"/>
  <c r="H80" i="31"/>
  <c r="D80" i="31"/>
  <c r="C80" i="31"/>
  <c r="A80" i="31"/>
  <c r="H79" i="31"/>
  <c r="D79" i="31"/>
  <c r="C79" i="31"/>
  <c r="A79" i="31"/>
  <c r="D78" i="31"/>
  <c r="C78" i="31"/>
  <c r="B52" i="31"/>
  <c r="H78" i="31"/>
  <c r="B51" i="31"/>
  <c r="B46" i="31"/>
  <c r="A78" i="31"/>
  <c r="H42" i="31"/>
  <c r="D42" i="31"/>
  <c r="C42" i="31"/>
  <c r="A42" i="31"/>
  <c r="H41" i="31"/>
  <c r="D41" i="31"/>
  <c r="C41" i="31"/>
  <c r="A41" i="31"/>
  <c r="H40" i="31"/>
  <c r="D40" i="31"/>
  <c r="C40" i="31"/>
  <c r="A40" i="31"/>
  <c r="H39" i="31"/>
  <c r="D39" i="31"/>
  <c r="C39" i="31"/>
  <c r="A39" i="31"/>
  <c r="H38" i="31"/>
  <c r="D38" i="31"/>
  <c r="C38" i="31"/>
  <c r="A38" i="31"/>
  <c r="H37" i="31"/>
  <c r="D37" i="31"/>
  <c r="C37" i="31"/>
  <c r="H36" i="31"/>
  <c r="D36" i="31"/>
  <c r="C36" i="31"/>
  <c r="A36" i="31"/>
  <c r="H35" i="31"/>
  <c r="D35" i="31"/>
  <c r="C35" i="31"/>
  <c r="A35" i="31"/>
  <c r="H34" i="31"/>
  <c r="D34" i="31"/>
  <c r="C34" i="31"/>
  <c r="A34" i="31"/>
  <c r="D33" i="31"/>
  <c r="C33" i="31"/>
  <c r="B7" i="31"/>
  <c r="H33" i="31"/>
  <c r="B6" i="31"/>
  <c r="B1" i="31"/>
  <c r="A33" i="31"/>
  <c r="H327" i="30"/>
  <c r="D327" i="30"/>
  <c r="C327" i="30"/>
  <c r="A327" i="30"/>
  <c r="H326" i="30"/>
  <c r="D326" i="30"/>
  <c r="C326" i="30"/>
  <c r="A326" i="30"/>
  <c r="H325" i="30"/>
  <c r="D325" i="30"/>
  <c r="C325" i="30"/>
  <c r="A325" i="30"/>
  <c r="H324" i="30"/>
  <c r="D324" i="30"/>
  <c r="C324" i="30"/>
  <c r="A324" i="30"/>
  <c r="H323" i="30"/>
  <c r="D323" i="30"/>
  <c r="C323" i="30"/>
  <c r="A323" i="30"/>
  <c r="C322" i="30"/>
  <c r="C321" i="30"/>
  <c r="B298" i="30"/>
  <c r="H321" i="30"/>
  <c r="H322" i="30"/>
  <c r="B297" i="30"/>
  <c r="B292" i="30"/>
  <c r="A321" i="30"/>
  <c r="A322" i="30"/>
  <c r="H290" i="30"/>
  <c r="D290" i="30"/>
  <c r="C290" i="30"/>
  <c r="A290" i="30"/>
  <c r="H289" i="30"/>
  <c r="D289" i="30"/>
  <c r="C289" i="30"/>
  <c r="A289" i="30"/>
  <c r="H288" i="30"/>
  <c r="D288" i="30"/>
  <c r="C288" i="30"/>
  <c r="A288" i="30"/>
  <c r="H287" i="30"/>
  <c r="D287" i="30"/>
  <c r="C287" i="30"/>
  <c r="A287" i="30"/>
  <c r="H286" i="30"/>
  <c r="D286" i="30"/>
  <c r="C286" i="30"/>
  <c r="A286" i="30"/>
  <c r="C285" i="30"/>
  <c r="C284" i="30"/>
  <c r="B261" i="30"/>
  <c r="H284" i="30"/>
  <c r="H285" i="30"/>
  <c r="B260" i="30"/>
  <c r="B255" i="30"/>
  <c r="A284" i="30"/>
  <c r="A285" i="30"/>
  <c r="H253" i="30"/>
  <c r="D253" i="30"/>
  <c r="C253" i="30"/>
  <c r="A253" i="30"/>
  <c r="H252" i="30"/>
  <c r="D252" i="30"/>
  <c r="C252" i="30"/>
  <c r="A252" i="30"/>
  <c r="H251" i="30"/>
  <c r="D251" i="30"/>
  <c r="C251" i="30"/>
  <c r="A251" i="30"/>
  <c r="H250" i="30"/>
  <c r="D250" i="30"/>
  <c r="C250" i="30"/>
  <c r="A250" i="30"/>
  <c r="H249" i="30"/>
  <c r="D249" i="30"/>
  <c r="C249" i="30"/>
  <c r="A249" i="30"/>
  <c r="C248" i="30"/>
  <c r="C247" i="30"/>
  <c r="B224" i="30"/>
  <c r="H247" i="30"/>
  <c r="H248" i="30"/>
  <c r="B223" i="30"/>
  <c r="B218" i="30"/>
  <c r="A247" i="30"/>
  <c r="A248" i="30"/>
  <c r="H216" i="30"/>
  <c r="D216" i="30"/>
  <c r="C216" i="30"/>
  <c r="A216" i="30"/>
  <c r="H215" i="30"/>
  <c r="D215" i="30"/>
  <c r="C215" i="30"/>
  <c r="A215" i="30"/>
  <c r="H214" i="30"/>
  <c r="D214" i="30"/>
  <c r="C214" i="30"/>
  <c r="A214" i="30"/>
  <c r="H213" i="30"/>
  <c r="D213" i="30"/>
  <c r="C213" i="30"/>
  <c r="A213" i="30"/>
  <c r="H212" i="30"/>
  <c r="D212" i="30"/>
  <c r="C212" i="30"/>
  <c r="A212" i="30"/>
  <c r="C211" i="30"/>
  <c r="C210" i="30"/>
  <c r="B187" i="30"/>
  <c r="H210" i="30"/>
  <c r="H211" i="30"/>
  <c r="B186" i="30"/>
  <c r="B181" i="30"/>
  <c r="A210" i="30"/>
  <c r="A211" i="30"/>
  <c r="H177" i="30"/>
  <c r="D177" i="30"/>
  <c r="C177" i="30"/>
  <c r="A177" i="30"/>
  <c r="H176" i="30"/>
  <c r="D176" i="30"/>
  <c r="C176" i="30"/>
  <c r="A176" i="30"/>
  <c r="H175" i="30"/>
  <c r="D175" i="30"/>
  <c r="C175" i="30"/>
  <c r="A175" i="30"/>
  <c r="H174" i="30"/>
  <c r="D174" i="30"/>
  <c r="C174" i="30"/>
  <c r="A174" i="30"/>
  <c r="H173" i="30"/>
  <c r="D173" i="30"/>
  <c r="C173" i="30"/>
  <c r="A173" i="30"/>
  <c r="H172" i="30"/>
  <c r="D172" i="30"/>
  <c r="C172" i="30"/>
  <c r="H171" i="30"/>
  <c r="D171" i="30"/>
  <c r="C171" i="30"/>
  <c r="A171" i="30"/>
  <c r="H170" i="30"/>
  <c r="D170" i="30"/>
  <c r="C170" i="30"/>
  <c r="A170" i="30"/>
  <c r="H169" i="30"/>
  <c r="D169" i="30"/>
  <c r="C169" i="30"/>
  <c r="A169" i="30"/>
  <c r="H168" i="30"/>
  <c r="D168" i="30"/>
  <c r="C168" i="30"/>
  <c r="B142" i="30"/>
  <c r="B141" i="30"/>
  <c r="B136" i="30"/>
  <c r="A168" i="30"/>
  <c r="H132" i="30"/>
  <c r="D132" i="30"/>
  <c r="C132" i="30"/>
  <c r="A132" i="30"/>
  <c r="H131" i="30"/>
  <c r="D131" i="30"/>
  <c r="C131" i="30"/>
  <c r="A131" i="30"/>
  <c r="H130" i="30"/>
  <c r="D130" i="30"/>
  <c r="C130" i="30"/>
  <c r="A130" i="30"/>
  <c r="H129" i="30"/>
  <c r="D129" i="30"/>
  <c r="C129" i="30"/>
  <c r="A129" i="30"/>
  <c r="H128" i="30"/>
  <c r="D128" i="30"/>
  <c r="C128" i="30"/>
  <c r="A128" i="30"/>
  <c r="H127" i="30"/>
  <c r="D127" i="30"/>
  <c r="C127" i="30"/>
  <c r="H126" i="30"/>
  <c r="D126" i="30"/>
  <c r="C126" i="30"/>
  <c r="A126" i="30"/>
  <c r="H125" i="30"/>
  <c r="D125" i="30"/>
  <c r="C125" i="30"/>
  <c r="A125" i="30"/>
  <c r="H124" i="30"/>
  <c r="D124" i="30"/>
  <c r="C124" i="30"/>
  <c r="A124" i="30"/>
  <c r="D123" i="30"/>
  <c r="C123" i="30"/>
  <c r="B97" i="30"/>
  <c r="H123" i="30"/>
  <c r="B96" i="30"/>
  <c r="B91" i="30"/>
  <c r="A123" i="30"/>
  <c r="H87" i="30"/>
  <c r="D87" i="30"/>
  <c r="C87" i="30"/>
  <c r="A87" i="30"/>
  <c r="H86" i="30"/>
  <c r="D86" i="30"/>
  <c r="C86" i="30"/>
  <c r="A86" i="30"/>
  <c r="H85" i="30"/>
  <c r="D85" i="30"/>
  <c r="C85" i="30"/>
  <c r="A85" i="30"/>
  <c r="H84" i="30"/>
  <c r="D84" i="30"/>
  <c r="C84" i="30"/>
  <c r="A84" i="30"/>
  <c r="H83" i="30"/>
  <c r="D83" i="30"/>
  <c r="C83" i="30"/>
  <c r="A83" i="30"/>
  <c r="H82" i="30"/>
  <c r="D82" i="30"/>
  <c r="C82" i="30"/>
  <c r="H81" i="30"/>
  <c r="D81" i="30"/>
  <c r="C81" i="30"/>
  <c r="A81" i="30"/>
  <c r="H80" i="30"/>
  <c r="D80" i="30"/>
  <c r="C80" i="30"/>
  <c r="A80" i="30"/>
  <c r="H79" i="30"/>
  <c r="D79" i="30"/>
  <c r="C79" i="30"/>
  <c r="A79" i="30"/>
  <c r="D78" i="30"/>
  <c r="C78" i="30"/>
  <c r="B52" i="30"/>
  <c r="H78" i="30"/>
  <c r="B51" i="30"/>
  <c r="B46" i="30"/>
  <c r="A78" i="30"/>
  <c r="H42" i="30"/>
  <c r="D42" i="30"/>
  <c r="C42" i="30"/>
  <c r="A42" i="30"/>
  <c r="H41" i="30"/>
  <c r="D41" i="30"/>
  <c r="C41" i="30"/>
  <c r="A41" i="30"/>
  <c r="H40" i="30"/>
  <c r="D40" i="30"/>
  <c r="C40" i="30"/>
  <c r="A40" i="30"/>
  <c r="H39" i="30"/>
  <c r="D39" i="30"/>
  <c r="C39" i="30"/>
  <c r="A39" i="30"/>
  <c r="H38" i="30"/>
  <c r="D38" i="30"/>
  <c r="C38" i="30"/>
  <c r="A38" i="30"/>
  <c r="H37" i="30"/>
  <c r="D37" i="30"/>
  <c r="C37" i="30"/>
  <c r="H36" i="30"/>
  <c r="D36" i="30"/>
  <c r="C36" i="30"/>
  <c r="A36" i="30"/>
  <c r="H35" i="30"/>
  <c r="D35" i="30"/>
  <c r="C35" i="30"/>
  <c r="A35" i="30"/>
  <c r="H34" i="30"/>
  <c r="D34" i="30"/>
  <c r="C34" i="30"/>
  <c r="A34" i="30"/>
  <c r="D33" i="30"/>
  <c r="C33" i="30"/>
  <c r="B7" i="30"/>
  <c r="H33" i="30"/>
  <c r="B6" i="30"/>
  <c r="B1" i="30"/>
  <c r="A33" i="30"/>
  <c r="B294" i="6"/>
  <c r="B257" i="6"/>
  <c r="B220" i="6"/>
  <c r="B183" i="6"/>
  <c r="B138" i="6"/>
  <c r="B93" i="6"/>
  <c r="B48" i="6"/>
  <c r="B3" i="6"/>
  <c r="B299" i="6"/>
  <c r="B262" i="6"/>
  <c r="B225" i="6"/>
  <c r="B188" i="6"/>
  <c r="B143" i="6"/>
  <c r="B98" i="6"/>
  <c r="B53" i="6"/>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B8" i="6"/>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B71" i="30"/>
  <c r="B195" i="30"/>
  <c r="B15" i="30"/>
  <c r="B229" i="30"/>
  <c r="B239" i="30"/>
  <c r="B24" i="30"/>
  <c r="B204" i="30"/>
  <c r="B230" i="30"/>
  <c r="B238" i="30"/>
  <c r="B35" i="30"/>
  <c r="B34" i="30"/>
  <c r="B25" i="30"/>
  <c r="AC135" i="1"/>
  <c r="AP135" i="1"/>
  <c r="AC139" i="1"/>
  <c r="AC145" i="1"/>
  <c r="AP145" i="1"/>
  <c r="B37" i="30"/>
  <c r="AC138" i="1"/>
  <c r="AP138" i="1"/>
  <c r="AC142" i="1"/>
  <c r="B82" i="30"/>
  <c r="B205" i="30"/>
  <c r="B231" i="30"/>
  <c r="B240" i="30"/>
  <c r="B62" i="30"/>
  <c r="B14" i="30"/>
  <c r="B23" i="30"/>
  <c r="B40" i="30"/>
  <c r="B70" i="30"/>
  <c r="B79" i="30"/>
  <c r="B194" i="30"/>
  <c r="B203" i="30"/>
  <c r="B228" i="30"/>
  <c r="B248" i="30"/>
  <c r="B237" i="30"/>
  <c r="B249" i="30"/>
  <c r="B81" i="30"/>
  <c r="B65" i="30"/>
  <c r="B197" i="30"/>
  <c r="B206" i="30"/>
  <c r="B36" i="30"/>
  <c r="B57" i="30"/>
  <c r="B66" i="30"/>
  <c r="B232" i="30"/>
  <c r="B241" i="30"/>
  <c r="B84" i="30"/>
  <c r="B11" i="30"/>
  <c r="B20" i="30"/>
  <c r="B41" i="30"/>
  <c r="B58" i="30"/>
  <c r="B67" i="30"/>
  <c r="B80" i="30"/>
  <c r="B191" i="30"/>
  <c r="B211" i="30"/>
  <c r="B200" i="30"/>
  <c r="B212" i="30"/>
  <c r="B242" i="30"/>
  <c r="B59" i="30"/>
  <c r="B68" i="30"/>
  <c r="B192" i="30"/>
  <c r="B201" i="30"/>
  <c r="B234" i="30"/>
  <c r="B243" i="30"/>
  <c r="B17" i="30"/>
  <c r="B26" i="30"/>
  <c r="B39" i="30"/>
  <c r="B56" i="30"/>
  <c r="B86" i="30"/>
  <c r="B12" i="30"/>
  <c r="B21" i="30"/>
  <c r="B85" i="30"/>
  <c r="B13" i="30"/>
  <c r="B22" i="30"/>
  <c r="B60" i="30"/>
  <c r="B69" i="30"/>
  <c r="B193" i="30"/>
  <c r="B202" i="30"/>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B38" i="30"/>
  <c r="P139" i="1"/>
  <c r="Q139" i="1"/>
  <c r="AP149" i="1"/>
  <c r="P149" i="1"/>
  <c r="AP148" i="1"/>
  <c r="P148" i="1"/>
  <c r="Q148" i="1"/>
  <c r="B83" i="30"/>
  <c r="AP150" i="1"/>
  <c r="B180" i="38"/>
  <c r="P150" i="1"/>
  <c r="AP88" i="1"/>
  <c r="B180" i="40"/>
  <c r="P88" i="1"/>
  <c r="Q88" i="1"/>
  <c r="AP10" i="1"/>
  <c r="P10" i="1"/>
  <c r="AP31" i="1"/>
  <c r="P31" i="1"/>
  <c r="Q31" i="1"/>
  <c r="P94" i="1"/>
  <c r="AP7" i="1"/>
  <c r="B42" i="30"/>
  <c r="B199" i="30"/>
  <c r="B19" i="30"/>
  <c r="P7" i="1"/>
  <c r="P8" i="1"/>
  <c r="Q8" i="1"/>
  <c r="B236" i="30"/>
  <c r="B64" i="30"/>
  <c r="AP8" i="1"/>
  <c r="B87" i="30"/>
  <c r="AP38" i="1"/>
  <c r="B177" i="46"/>
  <c r="P38" i="1"/>
  <c r="AP146" i="1"/>
  <c r="P146" i="1"/>
  <c r="AP33" i="1"/>
  <c r="B132" i="44"/>
  <c r="P33" i="1"/>
  <c r="Q33" i="1"/>
  <c r="AP85" i="1"/>
  <c r="P85" i="1"/>
  <c r="P91" i="1"/>
  <c r="AP91" i="1"/>
  <c r="B134" i="42"/>
  <c r="P34" i="1"/>
  <c r="Q34" i="1"/>
  <c r="AP34" i="1"/>
  <c r="AP140" i="1"/>
  <c r="P140" i="1"/>
  <c r="Q140" i="1"/>
  <c r="AP39" i="1"/>
  <c r="P39" i="1"/>
  <c r="AP41" i="1"/>
  <c r="B132" i="48"/>
  <c r="P41" i="1"/>
  <c r="AP87" i="1"/>
  <c r="P87" i="1"/>
  <c r="AP136" i="1"/>
  <c r="B89" i="32"/>
  <c r="P136" i="1"/>
  <c r="Q136" i="1"/>
  <c r="AP90" i="1"/>
  <c r="P90" i="1"/>
  <c r="AP35" i="1"/>
  <c r="B42" i="46"/>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B277" i="36"/>
  <c r="B154" i="31"/>
  <c r="P127" i="1"/>
  <c r="P135" i="1"/>
  <c r="B281" i="33"/>
  <c r="B278" i="31"/>
  <c r="B199" i="31"/>
  <c r="B310" i="30"/>
  <c r="B155" i="30"/>
  <c r="B268" i="31"/>
  <c r="B197" i="31"/>
  <c r="B39" i="31"/>
  <c r="B308" i="30"/>
  <c r="B276" i="31"/>
  <c r="B205" i="31"/>
  <c r="B42" i="31"/>
  <c r="B316" i="30"/>
  <c r="B275" i="31"/>
  <c r="B229" i="31"/>
  <c r="B170" i="31"/>
  <c r="B110" i="31"/>
  <c r="B37" i="31"/>
  <c r="B315" i="30"/>
  <c r="B160" i="30"/>
  <c r="B302" i="31"/>
  <c r="B322" i="31"/>
  <c r="B194" i="31"/>
  <c r="B268" i="30"/>
  <c r="B279" i="31"/>
  <c r="B152" i="31"/>
  <c r="B311" i="30"/>
  <c r="B147" i="30"/>
  <c r="B107" i="31"/>
  <c r="B114" i="30"/>
  <c r="B154" i="30"/>
  <c r="B275" i="30"/>
  <c r="B150" i="31"/>
  <c r="B156" i="31"/>
  <c r="B218" i="32"/>
  <c r="B161" i="32"/>
  <c r="B323" i="32"/>
  <c r="B318" i="32"/>
  <c r="B72" i="32"/>
  <c r="B218" i="33"/>
  <c r="B24" i="32"/>
  <c r="B233" i="49"/>
  <c r="B230" i="49"/>
  <c r="B125" i="48"/>
  <c r="B22" i="48"/>
  <c r="B290" i="47"/>
  <c r="B148" i="47"/>
  <c r="B155" i="48"/>
  <c r="B269" i="47"/>
  <c r="B200" i="49"/>
  <c r="B15" i="48"/>
  <c r="B203" i="47"/>
  <c r="B157" i="45"/>
  <c r="B112" i="45"/>
  <c r="B130" i="48"/>
  <c r="B202" i="47"/>
  <c r="B34" i="47"/>
  <c r="B251" i="46"/>
  <c r="B22" i="46"/>
  <c r="B173" i="45"/>
  <c r="B131" i="45"/>
  <c r="B160" i="49"/>
  <c r="B147" i="48"/>
  <c r="B232" i="47"/>
  <c r="B132" i="47"/>
  <c r="B79" i="46"/>
  <c r="B290" i="45"/>
  <c r="B84" i="45"/>
  <c r="B58" i="44"/>
  <c r="B148" i="43"/>
  <c r="B112" i="46"/>
  <c r="B109" i="45"/>
  <c r="B70" i="43"/>
  <c r="B160" i="42"/>
  <c r="B13" i="46"/>
  <c r="B113" i="44"/>
  <c r="B129" i="45"/>
  <c r="B83" i="44"/>
  <c r="B158" i="42"/>
  <c r="B42" i="41"/>
  <c r="B12" i="41"/>
  <c r="B285" i="40"/>
  <c r="B208" i="41"/>
  <c r="B69" i="41"/>
  <c r="B313" i="40"/>
  <c r="B149" i="40"/>
  <c r="B106" i="40"/>
  <c r="B113" i="39"/>
  <c r="B312" i="38"/>
  <c r="B150" i="38"/>
  <c r="B86" i="38"/>
  <c r="B56" i="38"/>
  <c r="B275" i="37"/>
  <c r="B68" i="41"/>
  <c r="B24" i="41"/>
  <c r="B273" i="40"/>
  <c r="B276" i="38"/>
  <c r="B156" i="41"/>
  <c r="B87" i="41"/>
  <c r="B21" i="41"/>
  <c r="B150" i="40"/>
  <c r="B283" i="39"/>
  <c r="B103" i="39"/>
  <c r="B116" i="38"/>
  <c r="B69" i="38"/>
  <c r="B157" i="36"/>
  <c r="B242" i="34"/>
  <c r="B23" i="34"/>
  <c r="B276" i="33"/>
  <c r="B208" i="36"/>
  <c r="B151" i="35"/>
  <c r="B254" i="34"/>
  <c r="B105" i="34"/>
  <c r="B256" i="36"/>
  <c r="B148" i="36"/>
  <c r="B247" i="36"/>
  <c r="B149" i="30"/>
  <c r="B36" i="32"/>
  <c r="B117" i="32"/>
  <c r="B324" i="32"/>
  <c r="B321" i="32"/>
  <c r="B129" i="33"/>
  <c r="B234" i="34"/>
  <c r="B242" i="35"/>
  <c r="B275" i="36"/>
  <c r="B70" i="32"/>
  <c r="B277" i="32"/>
  <c r="B105" i="33"/>
  <c r="B12" i="31"/>
  <c r="B157" i="49"/>
  <c r="B173" i="48"/>
  <c r="B271" i="49"/>
  <c r="B159" i="48"/>
  <c r="B101" i="48"/>
  <c r="B275" i="47"/>
  <c r="B25" i="47"/>
  <c r="B35" i="48"/>
  <c r="B204" i="49"/>
  <c r="B110" i="48"/>
  <c r="B193" i="47"/>
  <c r="B206" i="45"/>
  <c r="B60" i="49"/>
  <c r="B109" i="47"/>
  <c r="B282" i="45"/>
  <c r="B148" i="45"/>
  <c r="B104" i="45"/>
  <c r="B70" i="48"/>
  <c r="B105" i="47"/>
  <c r="B243" i="46"/>
  <c r="B14" i="46"/>
  <c r="B170" i="45"/>
  <c r="B110" i="45"/>
  <c r="B131" i="49"/>
  <c r="B111" i="48"/>
  <c r="B194" i="47"/>
  <c r="B115" i="47"/>
  <c r="B244" i="45"/>
  <c r="B69" i="45"/>
  <c r="B311" i="44"/>
  <c r="B235" i="42"/>
  <c r="B148" i="42"/>
  <c r="B328" i="44"/>
  <c r="B124" i="44"/>
  <c r="B59" i="43"/>
  <c r="B151" i="42"/>
  <c r="B320" i="44"/>
  <c r="B125" i="44"/>
  <c r="B69" i="44"/>
  <c r="B151" i="43"/>
  <c r="B149" i="42"/>
  <c r="B38" i="41"/>
  <c r="B276" i="40"/>
  <c r="B178" i="41"/>
  <c r="B35" i="41"/>
  <c r="B296" i="40"/>
  <c r="B129" i="40"/>
  <c r="B273" i="39"/>
  <c r="B106" i="39"/>
  <c r="B294" i="38"/>
  <c r="B133" i="38"/>
  <c r="B79" i="38"/>
  <c r="B25" i="38"/>
  <c r="B41" i="41"/>
  <c r="B105" i="39"/>
  <c r="B14" i="41"/>
  <c r="B25" i="40"/>
  <c r="B130" i="41"/>
  <c r="B82" i="41"/>
  <c r="B11" i="41"/>
  <c r="B235" i="40"/>
  <c r="B127" i="39"/>
  <c r="B106" i="38"/>
  <c r="B64" i="38"/>
  <c r="B208" i="37"/>
  <c r="B57" i="37"/>
  <c r="B177" i="35"/>
  <c r="B148" i="35"/>
  <c r="B233" i="34"/>
  <c r="B253" i="34"/>
  <c r="B14" i="34"/>
  <c r="B80" i="33"/>
  <c r="B179" i="36"/>
  <c r="B70" i="35"/>
  <c r="B14" i="35"/>
  <c r="B241" i="34"/>
  <c r="B34" i="34"/>
  <c r="B150" i="33"/>
  <c r="B233" i="36"/>
  <c r="B253" i="36"/>
  <c r="B113" i="37"/>
  <c r="B294" i="36"/>
  <c r="B162" i="36"/>
  <c r="B41" i="32"/>
  <c r="B159" i="32"/>
  <c r="B325" i="32"/>
  <c r="B313" i="32"/>
  <c r="B132" i="33"/>
  <c r="B128" i="34"/>
  <c r="B276" i="34"/>
  <c r="B35" i="35"/>
  <c r="B106" i="35"/>
  <c r="B130" i="32"/>
  <c r="B65" i="31"/>
  <c r="B147" i="49"/>
  <c r="B158" i="48"/>
  <c r="B242" i="49"/>
  <c r="B229" i="49"/>
  <c r="B249" i="49"/>
  <c r="B146" i="48"/>
  <c r="B37" i="48"/>
  <c r="B214" i="47"/>
  <c r="B148" i="49"/>
  <c r="B23" i="48"/>
  <c r="B157" i="47"/>
  <c r="B174" i="48"/>
  <c r="B197" i="45"/>
  <c r="B132" i="45"/>
  <c r="B315" i="44"/>
  <c r="B42" i="48"/>
  <c r="B278" i="47"/>
  <c r="B60" i="47"/>
  <c r="B37" i="46"/>
  <c r="B273" i="45"/>
  <c r="B155" i="45"/>
  <c r="B103" i="45"/>
  <c r="B126" i="49"/>
  <c r="B313" i="47"/>
  <c r="B175" i="47"/>
  <c r="B57" i="47"/>
  <c r="B289" i="46"/>
  <c r="B34" i="46"/>
  <c r="B154" i="45"/>
  <c r="B178" i="42"/>
  <c r="B104" i="42"/>
  <c r="B21" i="46"/>
  <c r="B24" i="45"/>
  <c r="B306" i="44"/>
  <c r="B326" i="44"/>
  <c r="B57" i="44"/>
  <c r="B282" i="43"/>
  <c r="B233" i="42"/>
  <c r="B253" i="42"/>
  <c r="B103" i="42"/>
  <c r="B57" i="45"/>
  <c r="B252" i="44"/>
  <c r="B314" i="44"/>
  <c r="B42" i="44"/>
  <c r="B69" i="42"/>
  <c r="B22" i="41"/>
  <c r="B116" i="41"/>
  <c r="B20" i="41"/>
  <c r="B282" i="40"/>
  <c r="B128" i="40"/>
  <c r="B102" i="39"/>
  <c r="B324" i="38"/>
  <c r="B282" i="38"/>
  <c r="B115" i="38"/>
  <c r="B68" i="38"/>
  <c r="B131" i="37"/>
  <c r="B25" i="41"/>
  <c r="B59" i="41"/>
  <c r="B234" i="39"/>
  <c r="B125" i="41"/>
  <c r="B37" i="41"/>
  <c r="B175" i="40"/>
  <c r="B285" i="38"/>
  <c r="B87" i="38"/>
  <c r="B57" i="38"/>
  <c r="B171" i="35"/>
  <c r="B20" i="35"/>
  <c r="B275" i="34"/>
  <c r="B37" i="34"/>
  <c r="B68" i="33"/>
  <c r="B153" i="36"/>
  <c r="B60" i="35"/>
  <c r="B208" i="34"/>
  <c r="B19" i="34"/>
  <c r="B320" i="33"/>
  <c r="B128" i="37"/>
  <c r="B196" i="36"/>
  <c r="B286" i="36"/>
  <c r="B116" i="36"/>
  <c r="B304" i="30"/>
  <c r="B88" i="32"/>
  <c r="B244" i="32"/>
  <c r="B320" i="32"/>
  <c r="B103" i="33"/>
  <c r="B131" i="34"/>
  <c r="B296" i="32"/>
  <c r="B11" i="32"/>
  <c r="B129" i="32"/>
  <c r="B25" i="33"/>
  <c r="B236" i="33"/>
  <c r="B239" i="49"/>
  <c r="B109" i="49"/>
  <c r="B150" i="48"/>
  <c r="B237" i="49"/>
  <c r="B194" i="49"/>
  <c r="B128" i="48"/>
  <c r="B36" i="48"/>
  <c r="B201" i="47"/>
  <c r="B12" i="47"/>
  <c r="B241" i="49"/>
  <c r="B160" i="48"/>
  <c r="B268" i="47"/>
  <c r="B174" i="45"/>
  <c r="B125" i="45"/>
  <c r="B307" i="44"/>
  <c r="B11" i="48"/>
  <c r="B237" i="47"/>
  <c r="B39" i="47"/>
  <c r="B36" i="46"/>
  <c r="B214" i="45"/>
  <c r="B146" i="45"/>
  <c r="B277" i="49"/>
  <c r="B41" i="48"/>
  <c r="B277" i="47"/>
  <c r="B170" i="47"/>
  <c r="B16" i="47"/>
  <c r="B281" i="46"/>
  <c r="B115" i="45"/>
  <c r="B105" i="44"/>
  <c r="B171" i="43"/>
  <c r="B161" i="42"/>
  <c r="B56" i="42"/>
  <c r="B230" i="44"/>
  <c r="B250" i="44"/>
  <c r="B275" i="43"/>
  <c r="B15" i="43"/>
  <c r="B176" i="42"/>
  <c r="B104" i="46"/>
  <c r="B242" i="44"/>
  <c r="B169" i="45"/>
  <c r="B111" i="44"/>
  <c r="B14" i="44"/>
  <c r="B171" i="42"/>
  <c r="B60" i="41"/>
  <c r="B275" i="41"/>
  <c r="B103" i="41"/>
  <c r="B334" i="40"/>
  <c r="B234" i="40"/>
  <c r="B115" i="40"/>
  <c r="B208" i="39"/>
  <c r="B12" i="39"/>
  <c r="B319" i="38"/>
  <c r="B103" i="38"/>
  <c r="B61" i="38"/>
  <c r="B15" i="41"/>
  <c r="B280" i="40"/>
  <c r="B40" i="41"/>
  <c r="B286" i="38"/>
  <c r="B276" i="41"/>
  <c r="B104" i="41"/>
  <c r="B36" i="41"/>
  <c r="B172" i="40"/>
  <c r="B233" i="39"/>
  <c r="B253" i="39"/>
  <c r="B110" i="39"/>
  <c r="B273" i="38"/>
  <c r="B81" i="38"/>
  <c r="B59" i="37"/>
  <c r="B242" i="36"/>
  <c r="B159" i="35"/>
  <c r="B11" i="35"/>
  <c r="B36" i="34"/>
  <c r="B59" i="33"/>
  <c r="B216" i="36"/>
  <c r="B285" i="34"/>
  <c r="B115" i="34"/>
  <c r="B20" i="37"/>
  <c r="B178" i="36"/>
  <c r="B273" i="36"/>
  <c r="B103" i="36"/>
  <c r="B20" i="32"/>
  <c r="B66" i="32"/>
  <c r="B274" i="32"/>
  <c r="B334" i="32"/>
  <c r="B287" i="33"/>
  <c r="B157" i="34"/>
  <c r="B156" i="35"/>
  <c r="B84" i="32"/>
  <c r="B176" i="32"/>
  <c r="B22" i="32"/>
  <c r="B134" i="32"/>
  <c r="B71" i="33"/>
  <c r="B243" i="34"/>
  <c r="B216" i="34"/>
  <c r="B105" i="30"/>
  <c r="B58" i="32"/>
  <c r="B294" i="32"/>
  <c r="B284" i="32"/>
  <c r="B326" i="32"/>
  <c r="B118" i="33"/>
  <c r="B106" i="33"/>
  <c r="B243" i="33"/>
  <c r="B15" i="34"/>
  <c r="B21" i="32"/>
  <c r="B23" i="32"/>
  <c r="B62" i="32"/>
  <c r="B286" i="32"/>
  <c r="B40" i="34"/>
  <c r="B102" i="35"/>
  <c r="B130" i="31"/>
  <c r="B65" i="32"/>
  <c r="B116" i="32"/>
  <c r="B34" i="33"/>
  <c r="B149" i="33"/>
  <c r="B16" i="34"/>
  <c r="B114" i="34"/>
  <c r="B295" i="34"/>
  <c r="B22" i="35"/>
  <c r="B103" i="35"/>
  <c r="B163" i="35"/>
  <c r="B173" i="35"/>
  <c r="B234" i="35"/>
  <c r="B87" i="34"/>
  <c r="B178" i="34"/>
  <c r="B244" i="35"/>
  <c r="B15" i="36"/>
  <c r="B34" i="36"/>
  <c r="B128" i="36"/>
  <c r="B133" i="36"/>
  <c r="B111" i="36"/>
  <c r="B281" i="36"/>
  <c r="B61" i="32"/>
  <c r="B113" i="32"/>
  <c r="B164" i="33"/>
  <c r="B106" i="34"/>
  <c r="B85" i="35"/>
  <c r="B111" i="35"/>
  <c r="B236" i="35"/>
  <c r="B286" i="35"/>
  <c r="B38" i="36"/>
  <c r="B254" i="36"/>
  <c r="B234" i="37"/>
  <c r="B334" i="38"/>
  <c r="B20" i="39"/>
  <c r="B163" i="39"/>
  <c r="B67" i="40"/>
  <c r="B116" i="40"/>
  <c r="B319" i="40"/>
  <c r="B315" i="40"/>
  <c r="B244" i="41"/>
  <c r="B243" i="41"/>
  <c r="B257" i="41"/>
  <c r="B333" i="36"/>
  <c r="B60" i="37"/>
  <c r="B148" i="37"/>
  <c r="B173" i="37"/>
  <c r="B59" i="38"/>
  <c r="B83" i="38"/>
  <c r="B159" i="38"/>
  <c r="B321" i="38"/>
  <c r="B117" i="39"/>
  <c r="B131" i="39"/>
  <c r="B82" i="40"/>
  <c r="B173" i="40"/>
  <c r="B244" i="40"/>
  <c r="B128" i="41"/>
  <c r="B133" i="41"/>
  <c r="B111" i="41"/>
  <c r="B159" i="36"/>
  <c r="B235" i="36"/>
  <c r="B273" i="37"/>
  <c r="B85" i="38"/>
  <c r="B149" i="38"/>
  <c r="B277" i="38"/>
  <c r="B333" i="38"/>
  <c r="B11" i="39"/>
  <c r="B82" i="39"/>
  <c r="B40" i="40"/>
  <c r="B65" i="40"/>
  <c r="B159" i="40"/>
  <c r="B160" i="41"/>
  <c r="B235" i="41"/>
  <c r="B105" i="32"/>
  <c r="B176" i="30"/>
  <c r="B80" i="32"/>
  <c r="B287" i="32"/>
  <c r="B275" i="32"/>
  <c r="B333" i="32"/>
  <c r="B60" i="33"/>
  <c r="B128" i="33"/>
  <c r="B104" i="33"/>
  <c r="B173" i="34"/>
  <c r="B12" i="35"/>
  <c r="B275" i="35"/>
  <c r="B14" i="32"/>
  <c r="B19" i="32"/>
  <c r="B83" i="32"/>
  <c r="B295" i="32"/>
  <c r="B111" i="33"/>
  <c r="B245" i="33"/>
  <c r="B237" i="33"/>
  <c r="B113" i="34"/>
  <c r="B233" i="35"/>
  <c r="B253" i="35"/>
  <c r="B175" i="31"/>
  <c r="B71" i="32"/>
  <c r="B174" i="32"/>
  <c r="B38" i="32"/>
  <c r="B39" i="33"/>
  <c r="B312" i="33"/>
  <c r="B332" i="33"/>
  <c r="B25" i="34"/>
  <c r="B149" i="34"/>
  <c r="B284" i="34"/>
  <c r="B150" i="35"/>
  <c r="B176" i="34"/>
  <c r="B333" i="34"/>
  <c r="B104" i="35"/>
  <c r="B37" i="36"/>
  <c r="B115" i="36"/>
  <c r="B125" i="36"/>
  <c r="B132" i="36"/>
  <c r="B272" i="36"/>
  <c r="B292" i="36"/>
  <c r="B129" i="30"/>
  <c r="B67" i="32"/>
  <c r="B126" i="32"/>
  <c r="B157" i="33"/>
  <c r="B126" i="34"/>
  <c r="B276" i="35"/>
  <c r="B112" i="36"/>
  <c r="B282" i="36"/>
  <c r="B235" i="38"/>
  <c r="B276" i="37"/>
  <c r="B173" i="38"/>
  <c r="B314" i="38"/>
  <c r="B60" i="39"/>
  <c r="B156" i="39"/>
  <c r="B81" i="40"/>
  <c r="B133" i="40"/>
  <c r="B311" i="40"/>
  <c r="B331" i="40"/>
  <c r="B320" i="40"/>
  <c r="B237" i="41"/>
  <c r="B149" i="36"/>
  <c r="B217" i="36"/>
  <c r="B110" i="37"/>
  <c r="B152" i="37"/>
  <c r="B65" i="38"/>
  <c r="B134" i="38"/>
  <c r="B234" i="38"/>
  <c r="B332" i="38"/>
  <c r="B57" i="39"/>
  <c r="B157" i="39"/>
  <c r="B56" i="40"/>
  <c r="B83" i="40"/>
  <c r="B158" i="40"/>
  <c r="B256" i="40"/>
  <c r="B132" i="41"/>
  <c r="B115" i="41"/>
  <c r="B126" i="41"/>
  <c r="B131" i="41"/>
  <c r="B273" i="44"/>
  <c r="B87" i="36"/>
  <c r="B172" i="36"/>
  <c r="B244" i="36"/>
  <c r="B11" i="37"/>
  <c r="B103" i="37"/>
  <c r="B149" i="37"/>
  <c r="B112" i="38"/>
  <c r="B172" i="38"/>
  <c r="B311" i="38"/>
  <c r="B331" i="38"/>
  <c r="B34" i="40"/>
  <c r="B103" i="40"/>
  <c r="B312" i="40"/>
  <c r="B112" i="41"/>
  <c r="B148" i="41"/>
  <c r="B245" i="41"/>
  <c r="B42" i="45"/>
  <c r="B242" i="37"/>
  <c r="B87" i="40"/>
  <c r="B296" i="43"/>
  <c r="B66" i="43"/>
  <c r="B286" i="43"/>
  <c r="B245" i="44"/>
  <c r="B239" i="44"/>
  <c r="B277" i="40"/>
  <c r="B26" i="41"/>
  <c r="B34" i="41"/>
  <c r="B81" i="41"/>
  <c r="B150" i="42"/>
  <c r="B295" i="42"/>
  <c r="B159" i="43"/>
  <c r="B15" i="45"/>
  <c r="B159" i="46"/>
  <c r="B158" i="46"/>
  <c r="B157" i="46"/>
  <c r="B257" i="43"/>
  <c r="B283" i="44"/>
  <c r="B276" i="44"/>
  <c r="B85" i="43"/>
  <c r="B295" i="43"/>
  <c r="B207" i="44"/>
  <c r="B38" i="45"/>
  <c r="B40" i="45"/>
  <c r="B35" i="45"/>
  <c r="B125" i="46"/>
  <c r="B131" i="46"/>
  <c r="B129" i="46"/>
  <c r="B115" i="46"/>
  <c r="B37" i="49"/>
  <c r="B12" i="49"/>
  <c r="B16" i="49"/>
  <c r="B15" i="49"/>
  <c r="B202" i="49"/>
  <c r="B306" i="49"/>
  <c r="B315" i="49"/>
  <c r="B130" i="44"/>
  <c r="B68" i="45"/>
  <c r="B70" i="45"/>
  <c r="B82" i="46"/>
  <c r="B322" i="32"/>
  <c r="B150" i="30"/>
  <c r="B312" i="30"/>
  <c r="B283" i="32"/>
  <c r="B83" i="33"/>
  <c r="B107" i="33"/>
  <c r="B175" i="34"/>
  <c r="B116" i="35"/>
  <c r="B131" i="36"/>
  <c r="B39" i="32"/>
  <c r="B40" i="32"/>
  <c r="B12" i="32"/>
  <c r="B87" i="32"/>
  <c r="B316" i="32"/>
  <c r="B126" i="33"/>
  <c r="B242" i="33"/>
  <c r="B238" i="33"/>
  <c r="B148" i="34"/>
  <c r="B21" i="36"/>
  <c r="B202" i="31"/>
  <c r="B133" i="32"/>
  <c r="B61" i="33"/>
  <c r="B158" i="34"/>
  <c r="B59" i="35"/>
  <c r="B113" i="35"/>
  <c r="B157" i="35"/>
  <c r="B151" i="34"/>
  <c r="B110" i="35"/>
  <c r="B40" i="36"/>
  <c r="B24" i="36"/>
  <c r="B134" i="36"/>
  <c r="B114" i="36"/>
  <c r="B295" i="36"/>
  <c r="B284" i="36"/>
  <c r="B81" i="31"/>
  <c r="B84" i="31"/>
  <c r="B82" i="32"/>
  <c r="B150" i="32"/>
  <c r="B174" i="33"/>
  <c r="B321" i="33"/>
  <c r="B156" i="34"/>
  <c r="B79" i="35"/>
  <c r="B127" i="35"/>
  <c r="B180" i="36"/>
  <c r="B293" i="36"/>
  <c r="B85" i="39"/>
  <c r="B151" i="37"/>
  <c r="B23" i="38"/>
  <c r="B158" i="38"/>
  <c r="B320" i="38"/>
  <c r="B171" i="39"/>
  <c r="B134" i="40"/>
  <c r="B333" i="40"/>
  <c r="B335" i="40"/>
  <c r="B216" i="41"/>
  <c r="B234" i="41"/>
  <c r="B233" i="41"/>
  <c r="B253" i="41"/>
  <c r="B158" i="36"/>
  <c r="B234" i="36"/>
  <c r="B233" i="37"/>
  <c r="B253" i="37"/>
  <c r="B70" i="38"/>
  <c r="B107" i="38"/>
  <c r="B256" i="38"/>
  <c r="B111" i="39"/>
  <c r="B173" i="39"/>
  <c r="B275" i="39"/>
  <c r="B64" i="40"/>
  <c r="B110" i="40"/>
  <c r="B243" i="40"/>
  <c r="B113" i="41"/>
  <c r="B242" i="41"/>
  <c r="B38" i="43"/>
  <c r="B127" i="46"/>
  <c r="B173" i="36"/>
  <c r="B175" i="36"/>
  <c r="B255" i="36"/>
  <c r="B60" i="38"/>
  <c r="B128" i="38"/>
  <c r="B175" i="38"/>
  <c r="B148" i="39"/>
  <c r="B242" i="39"/>
  <c r="B42" i="40"/>
  <c r="B112" i="40"/>
  <c r="B163" i="41"/>
  <c r="B173" i="41"/>
  <c r="B163" i="37"/>
  <c r="B171" i="37"/>
  <c r="B59" i="39"/>
  <c r="B58" i="40"/>
  <c r="B236" i="41"/>
  <c r="B295" i="41"/>
  <c r="B12" i="42"/>
  <c r="B257" i="42"/>
  <c r="B129" i="43"/>
  <c r="B294" i="43"/>
  <c r="B271" i="44"/>
  <c r="B286" i="40"/>
  <c r="B13" i="41"/>
  <c r="B39" i="41"/>
  <c r="B285" i="41"/>
  <c r="B159" i="42"/>
  <c r="B11" i="43"/>
  <c r="B273" i="43"/>
  <c r="B156" i="46"/>
  <c r="B149" i="46"/>
  <c r="B148" i="46"/>
  <c r="B333" i="43"/>
  <c r="B277" i="44"/>
  <c r="B280" i="44"/>
  <c r="B60" i="43"/>
  <c r="B276" i="43"/>
  <c r="B41" i="45"/>
  <c r="B36" i="45"/>
  <c r="B19" i="45"/>
  <c r="B113" i="46"/>
  <c r="B124" i="46"/>
  <c r="B110" i="46"/>
  <c r="B106" i="46"/>
  <c r="B36" i="49"/>
  <c r="B41" i="49"/>
  <c r="B11" i="49"/>
  <c r="B14" i="49"/>
  <c r="B328" i="49"/>
  <c r="B317" i="49"/>
  <c r="B309" i="49"/>
  <c r="B82" i="45"/>
  <c r="B64" i="45"/>
  <c r="B85" i="45"/>
  <c r="B177" i="34"/>
  <c r="B131" i="35"/>
  <c r="B13" i="32"/>
  <c r="B235" i="32"/>
  <c r="B312" i="32"/>
  <c r="B332" i="32"/>
  <c r="B86" i="33"/>
  <c r="B112" i="33"/>
  <c r="B114" i="33"/>
  <c r="B117" i="33"/>
  <c r="B245" i="34"/>
  <c r="B43" i="32"/>
  <c r="B37" i="32"/>
  <c r="B15" i="32"/>
  <c r="B114" i="32"/>
  <c r="B35" i="32"/>
  <c r="B158" i="33"/>
  <c r="B235" i="33"/>
  <c r="B234" i="33"/>
  <c r="B254" i="33"/>
  <c r="B277" i="33"/>
  <c r="B24" i="34"/>
  <c r="B199" i="34"/>
  <c r="B149" i="35"/>
  <c r="B57" i="32"/>
  <c r="B107" i="32"/>
  <c r="B35" i="34"/>
  <c r="B104" i="34"/>
  <c r="B236" i="34"/>
  <c r="B13" i="35"/>
  <c r="B125" i="35"/>
  <c r="B162" i="35"/>
  <c r="B208" i="35"/>
  <c r="B105" i="36"/>
  <c r="B157" i="41"/>
  <c r="B160" i="34"/>
  <c r="B235" i="35"/>
  <c r="B25" i="36"/>
  <c r="B12" i="36"/>
  <c r="B129" i="36"/>
  <c r="B102" i="36"/>
  <c r="B106" i="36"/>
  <c r="B285" i="36"/>
  <c r="B276" i="36"/>
  <c r="B127" i="32"/>
  <c r="B86" i="32"/>
  <c r="B104" i="32"/>
  <c r="B129" i="34"/>
  <c r="B105" i="35"/>
  <c r="B205" i="36"/>
  <c r="B86" i="40"/>
  <c r="B106" i="37"/>
  <c r="B157" i="37"/>
  <c r="B34" i="38"/>
  <c r="B244" i="38"/>
  <c r="B325" i="38"/>
  <c r="B60" i="40"/>
  <c r="B107" i="40"/>
  <c r="B324" i="40"/>
  <c r="B322" i="40"/>
  <c r="B247" i="41"/>
  <c r="B241" i="41"/>
  <c r="B171" i="36"/>
  <c r="B243" i="36"/>
  <c r="B85" i="37"/>
  <c r="B162" i="37"/>
  <c r="B88" i="38"/>
  <c r="B82" i="38"/>
  <c r="B125" i="38"/>
  <c r="B315" i="38"/>
  <c r="B69" i="40"/>
  <c r="B125" i="40"/>
  <c r="B257" i="40"/>
  <c r="B321" i="40"/>
  <c r="B129" i="41"/>
  <c r="B102" i="41"/>
  <c r="B106" i="41"/>
  <c r="B333" i="41"/>
  <c r="B237" i="43"/>
  <c r="B150" i="36"/>
  <c r="B82" i="37"/>
  <c r="B127" i="37"/>
  <c r="B159" i="37"/>
  <c r="B129" i="38"/>
  <c r="B276" i="39"/>
  <c r="B25" i="42"/>
  <c r="B177" i="37"/>
  <c r="B246" i="41"/>
  <c r="B318" i="44"/>
  <c r="B294" i="40"/>
  <c r="B19" i="41"/>
  <c r="B174" i="42"/>
  <c r="B280" i="43"/>
  <c r="B174" i="46"/>
  <c r="B172" i="46"/>
  <c r="B41" i="42"/>
  <c r="B268" i="44"/>
  <c r="B288" i="44"/>
  <c r="B41" i="43"/>
  <c r="B285" i="43"/>
  <c r="B201" i="44"/>
  <c r="B22" i="45"/>
  <c r="B116" i="46"/>
  <c r="B111" i="46"/>
  <c r="B150" i="46"/>
  <c r="B24" i="49"/>
  <c r="B39" i="49"/>
  <c r="B318" i="49"/>
  <c r="B314" i="49"/>
  <c r="B58" i="45"/>
  <c r="B80" i="46"/>
  <c r="B81" i="46"/>
  <c r="B317" i="47"/>
  <c r="B315" i="47"/>
  <c r="B177" i="44"/>
  <c r="B38" i="46"/>
  <c r="B39" i="46"/>
  <c r="B213" i="46"/>
  <c r="B82" i="47"/>
  <c r="B80" i="47"/>
  <c r="B230" i="47"/>
  <c r="B327" i="49"/>
  <c r="B309" i="44"/>
  <c r="B67" i="45"/>
  <c r="B130" i="45"/>
  <c r="B101" i="45"/>
  <c r="B128" i="45"/>
  <c r="B158" i="45"/>
  <c r="B175" i="45"/>
  <c r="B40" i="46"/>
  <c r="B127" i="47"/>
  <c r="B101" i="47"/>
  <c r="B129" i="47"/>
  <c r="B114" i="47"/>
  <c r="B25" i="49"/>
  <c r="B21" i="47"/>
  <c r="B196" i="47"/>
  <c r="B270" i="47"/>
  <c r="B38" i="48"/>
  <c r="B85" i="49"/>
  <c r="B82" i="49"/>
  <c r="B64" i="49"/>
  <c r="B169" i="49"/>
  <c r="B205" i="49"/>
  <c r="B279" i="49"/>
  <c r="B19" i="48"/>
  <c r="B84" i="48"/>
  <c r="B156" i="48"/>
  <c r="B156" i="49"/>
  <c r="B196" i="49"/>
  <c r="B243" i="49"/>
  <c r="B20" i="48"/>
  <c r="B214" i="49"/>
  <c r="B290" i="49"/>
  <c r="B289" i="49"/>
  <c r="B80" i="31"/>
  <c r="B56" i="31"/>
  <c r="B69" i="31"/>
  <c r="B40" i="49"/>
  <c r="B84" i="49"/>
  <c r="B149" i="49"/>
  <c r="B206" i="49"/>
  <c r="B282" i="49"/>
  <c r="B102" i="49"/>
  <c r="B125" i="49"/>
  <c r="B83" i="49"/>
  <c r="B152" i="49"/>
  <c r="B105" i="49"/>
  <c r="B171" i="49"/>
  <c r="B269" i="49"/>
  <c r="B106" i="49"/>
  <c r="B134" i="49"/>
  <c r="B146" i="49"/>
  <c r="B60" i="48"/>
  <c r="B126" i="48"/>
  <c r="B170" i="48"/>
  <c r="B213" i="48"/>
  <c r="B319" i="48"/>
  <c r="B81" i="48"/>
  <c r="B229" i="48"/>
  <c r="B249" i="48"/>
  <c r="B305" i="48"/>
  <c r="B325" i="48"/>
  <c r="B56" i="48"/>
  <c r="B104" i="48"/>
  <c r="B161" i="48"/>
  <c r="B230" i="48"/>
  <c r="B277" i="48"/>
  <c r="B17" i="48"/>
  <c r="B114" i="48"/>
  <c r="B193" i="48"/>
  <c r="B240" i="48"/>
  <c r="B290" i="48"/>
  <c r="B235" i="48"/>
  <c r="B71" i="48"/>
  <c r="B85" i="48"/>
  <c r="B129" i="48"/>
  <c r="B232" i="48"/>
  <c r="B308" i="48"/>
  <c r="B195" i="48"/>
  <c r="B271" i="48"/>
  <c r="B40" i="47"/>
  <c r="B84" i="47"/>
  <c r="B158" i="47"/>
  <c r="B235" i="47"/>
  <c r="B311" i="47"/>
  <c r="B62" i="47"/>
  <c r="B24" i="47"/>
  <c r="B86" i="47"/>
  <c r="B130" i="47"/>
  <c r="B174" i="47"/>
  <c r="B229" i="47"/>
  <c r="B249" i="47"/>
  <c r="B276" i="47"/>
  <c r="B17" i="47"/>
  <c r="B176" i="47"/>
  <c r="B41" i="47"/>
  <c r="B36" i="47"/>
  <c r="B68" i="47"/>
  <c r="B204" i="47"/>
  <c r="B280" i="47"/>
  <c r="B311" i="46"/>
  <c r="B273" i="46"/>
  <c r="B200" i="46"/>
  <c r="B305" i="46"/>
  <c r="B325" i="46"/>
  <c r="B65" i="46"/>
  <c r="B161" i="46"/>
  <c r="B230" i="46"/>
  <c r="B277" i="46"/>
  <c r="B57" i="46"/>
  <c r="B132" i="46"/>
  <c r="B193" i="46"/>
  <c r="B240" i="46"/>
  <c r="B290" i="46"/>
  <c r="B197" i="46"/>
  <c r="B203" i="46"/>
  <c r="B279" i="46"/>
  <c r="B59" i="46"/>
  <c r="B195" i="46"/>
  <c r="B271" i="46"/>
  <c r="B202" i="44"/>
  <c r="B245" i="45"/>
  <c r="B321" i="45"/>
  <c r="B80" i="44"/>
  <c r="B269" i="44"/>
  <c r="B37" i="45"/>
  <c r="B111" i="45"/>
  <c r="B200" i="45"/>
  <c r="B276" i="45"/>
  <c r="B39" i="44"/>
  <c r="B193" i="44"/>
  <c r="B16" i="45"/>
  <c r="B44" i="45"/>
  <c r="B193" i="45"/>
  <c r="B240" i="45"/>
  <c r="B23" i="44"/>
  <c r="B66" i="44"/>
  <c r="B176" i="45"/>
  <c r="B232" i="45"/>
  <c r="B279" i="45"/>
  <c r="B329" i="45"/>
  <c r="B230" i="45"/>
  <c r="B250" i="45"/>
  <c r="B67" i="44"/>
  <c r="B242" i="45"/>
  <c r="B318" i="45"/>
  <c r="B68" i="44"/>
  <c r="B231" i="44"/>
  <c r="B107" i="45"/>
  <c r="B234" i="45"/>
  <c r="B310" i="45"/>
  <c r="B109" i="44"/>
  <c r="B128" i="44"/>
  <c r="B35" i="44"/>
  <c r="B146" i="44"/>
  <c r="B203" i="44"/>
  <c r="B253" i="44"/>
  <c r="B308" i="44"/>
  <c r="B156" i="44"/>
  <c r="B37" i="44"/>
  <c r="B110" i="44"/>
  <c r="B170" i="44"/>
  <c r="B234" i="44"/>
  <c r="B281" i="44"/>
  <c r="B175" i="44"/>
  <c r="B295" i="38"/>
  <c r="B69" i="43"/>
  <c r="B255" i="41"/>
  <c r="B160" i="46"/>
  <c r="B24" i="43"/>
  <c r="B23" i="41"/>
  <c r="B175" i="42"/>
  <c r="B173" i="46"/>
  <c r="B170" i="46"/>
  <c r="B333" i="42"/>
  <c r="B290" i="44"/>
  <c r="B21" i="43"/>
  <c r="B282" i="44"/>
  <c r="B13" i="45"/>
  <c r="B130" i="46"/>
  <c r="B103" i="46"/>
  <c r="B19" i="49"/>
  <c r="B21" i="49"/>
  <c r="B313" i="49"/>
  <c r="B308" i="49"/>
  <c r="B65" i="45"/>
  <c r="B67" i="46"/>
  <c r="B84" i="46"/>
  <c r="B306" i="47"/>
  <c r="B112" i="48"/>
  <c r="B59" i="45"/>
  <c r="B41" i="46"/>
  <c r="B12" i="46"/>
  <c r="B69" i="46"/>
  <c r="B272" i="46"/>
  <c r="B85" i="47"/>
  <c r="B66" i="47"/>
  <c r="B65" i="47"/>
  <c r="B240" i="47"/>
  <c r="B243" i="47"/>
  <c r="B20" i="49"/>
  <c r="B106" i="44"/>
  <c r="B12" i="44"/>
  <c r="B81" i="45"/>
  <c r="B124" i="45"/>
  <c r="B105" i="45"/>
  <c r="B156" i="45"/>
  <c r="B320" i="45"/>
  <c r="B60" i="46"/>
  <c r="B319" i="46"/>
  <c r="B126" i="47"/>
  <c r="B131" i="47"/>
  <c r="B124" i="47"/>
  <c r="B252" i="47"/>
  <c r="B205" i="47"/>
  <c r="B213" i="47"/>
  <c r="B281" i="47"/>
  <c r="B86" i="49"/>
  <c r="B81" i="49"/>
  <c r="B116" i="49"/>
  <c r="B191" i="49"/>
  <c r="B211" i="49"/>
  <c r="B213" i="49"/>
  <c r="B24" i="48"/>
  <c r="B102" i="48"/>
  <c r="B169" i="48"/>
  <c r="B170" i="49"/>
  <c r="B252" i="49"/>
  <c r="B251" i="49"/>
  <c r="B40" i="48"/>
  <c r="B193" i="49"/>
  <c r="B270" i="49"/>
  <c r="B86" i="31"/>
  <c r="B67" i="31"/>
  <c r="B68" i="31"/>
  <c r="B58" i="31"/>
  <c r="B13" i="49"/>
  <c r="B101" i="49"/>
  <c r="B158" i="49"/>
  <c r="B235" i="49"/>
  <c r="B311" i="49"/>
  <c r="B111" i="49"/>
  <c r="B130" i="49"/>
  <c r="B104" i="49"/>
  <c r="B161" i="49"/>
  <c r="B17" i="49"/>
  <c r="B114" i="49"/>
  <c r="B176" i="49"/>
  <c r="B278" i="49"/>
  <c r="B58" i="49"/>
  <c r="B115" i="49"/>
  <c r="B155" i="49"/>
  <c r="B244" i="48"/>
  <c r="B69" i="48"/>
  <c r="B131" i="48"/>
  <c r="B175" i="48"/>
  <c r="B281" i="48"/>
  <c r="B327" i="48"/>
  <c r="B282" i="48"/>
  <c r="B86" i="48"/>
  <c r="B238" i="48"/>
  <c r="B314" i="48"/>
  <c r="B25" i="48"/>
  <c r="B65" i="48"/>
  <c r="B113" i="48"/>
  <c r="B192" i="48"/>
  <c r="B239" i="48"/>
  <c r="B57" i="48"/>
  <c r="B202" i="48"/>
  <c r="B252" i="48"/>
  <c r="B307" i="48"/>
  <c r="B311" i="48"/>
  <c r="B58" i="48"/>
  <c r="B241" i="48"/>
  <c r="B317" i="48"/>
  <c r="B59" i="48"/>
  <c r="B204" i="48"/>
  <c r="B280" i="48"/>
  <c r="B13" i="47"/>
  <c r="B128" i="47"/>
  <c r="B172" i="47"/>
  <c r="B244" i="47"/>
  <c r="B320" i="47"/>
  <c r="B71" i="47"/>
  <c r="B42" i="47"/>
  <c r="B103" i="47"/>
  <c r="B191" i="47"/>
  <c r="B211" i="47"/>
  <c r="B238" i="47"/>
  <c r="B152" i="47"/>
  <c r="B26" i="47"/>
  <c r="B146" i="47"/>
  <c r="B11" i="47"/>
  <c r="B107" i="47"/>
  <c r="B233" i="47"/>
  <c r="B309" i="47"/>
  <c r="B320" i="46"/>
  <c r="B199" i="46"/>
  <c r="B275" i="46"/>
  <c r="B282" i="46"/>
  <c r="B267" i="46"/>
  <c r="B287" i="46"/>
  <c r="B314" i="46"/>
  <c r="B244" i="46"/>
  <c r="B83" i="46"/>
  <c r="B323" i="38"/>
  <c r="B67" i="39"/>
  <c r="B57" i="40"/>
  <c r="B151" i="41"/>
  <c r="B66" i="40"/>
  <c r="B284" i="41"/>
  <c r="B129" i="42"/>
  <c r="B233" i="43"/>
  <c r="B253" i="43"/>
  <c r="B244" i="44"/>
  <c r="B126" i="46"/>
  <c r="B85" i="41"/>
  <c r="B85" i="42"/>
  <c r="B57" i="43"/>
  <c r="B146" i="46"/>
  <c r="B169" i="46"/>
  <c r="B79" i="43"/>
  <c r="B65" i="44"/>
  <c r="B21" i="45"/>
  <c r="B109" i="46"/>
  <c r="B101" i="46"/>
  <c r="B26" i="49"/>
  <c r="B34" i="49"/>
  <c r="B38" i="49"/>
  <c r="B86" i="45"/>
  <c r="B58" i="46"/>
  <c r="B316" i="47"/>
  <c r="B319" i="47"/>
  <c r="B66" i="45"/>
  <c r="B252" i="45"/>
  <c r="B35" i="46"/>
  <c r="B15" i="46"/>
  <c r="B85" i="46"/>
  <c r="B67" i="47"/>
  <c r="B56" i="47"/>
  <c r="B69" i="47"/>
  <c r="B231" i="47"/>
  <c r="B251" i="47"/>
  <c r="B280" i="49"/>
  <c r="B126" i="44"/>
  <c r="B56" i="45"/>
  <c r="B83" i="45"/>
  <c r="B113" i="45"/>
  <c r="B114" i="45"/>
  <c r="B172" i="45"/>
  <c r="B149" i="45"/>
  <c r="B19" i="46"/>
  <c r="B70" i="46"/>
  <c r="B327" i="46"/>
  <c r="B113" i="47"/>
  <c r="B111" i="47"/>
  <c r="B110" i="47"/>
  <c r="B308" i="47"/>
  <c r="B199" i="47"/>
  <c r="B279" i="47"/>
  <c r="B289" i="47"/>
  <c r="B69" i="49"/>
  <c r="B68" i="49"/>
  <c r="B65" i="49"/>
  <c r="B173" i="49"/>
  <c r="B195" i="49"/>
  <c r="B267" i="49"/>
  <c r="B287" i="49"/>
  <c r="B82" i="48"/>
  <c r="B176" i="48"/>
  <c r="B172" i="48"/>
  <c r="B175" i="49"/>
  <c r="B232" i="49"/>
  <c r="B268" i="49"/>
  <c r="B26" i="48"/>
  <c r="B116" i="48"/>
  <c r="B199" i="49"/>
  <c r="B276" i="49"/>
  <c r="B66" i="31"/>
  <c r="B79" i="31"/>
  <c r="B201" i="31"/>
  <c r="B70" i="31"/>
  <c r="B22" i="49"/>
  <c r="B70" i="49"/>
  <c r="B110" i="49"/>
  <c r="B172" i="49"/>
  <c r="B244" i="49"/>
  <c r="B320" i="49"/>
  <c r="B62" i="49"/>
  <c r="B150" i="49"/>
  <c r="B103" i="49"/>
  <c r="B174" i="49"/>
  <c r="B113" i="49"/>
  <c r="B57" i="49"/>
  <c r="B132" i="49"/>
  <c r="B231" i="49"/>
  <c r="B307" i="49"/>
  <c r="B67" i="49"/>
  <c r="B124" i="49"/>
  <c r="B107" i="49"/>
  <c r="B12" i="48"/>
  <c r="B148" i="48"/>
  <c r="B243" i="48"/>
  <c r="B289" i="48"/>
  <c r="B313" i="48"/>
  <c r="B191" i="48"/>
  <c r="B211" i="48"/>
  <c r="B267" i="48"/>
  <c r="B287" i="48"/>
  <c r="B197" i="48"/>
  <c r="B199" i="48"/>
  <c r="B34" i="48"/>
  <c r="B83" i="48"/>
  <c r="B127" i="48"/>
  <c r="B201" i="48"/>
  <c r="B306" i="48"/>
  <c r="B237" i="48"/>
  <c r="B66" i="48"/>
  <c r="B154" i="48"/>
  <c r="B214" i="48"/>
  <c r="B269" i="48"/>
  <c r="B316" i="48"/>
  <c r="B320" i="48"/>
  <c r="B67" i="48"/>
  <c r="B115" i="48"/>
  <c r="B194" i="48"/>
  <c r="B270" i="48"/>
  <c r="B66" i="38"/>
  <c r="B162" i="39"/>
  <c r="B127" i="40"/>
  <c r="B175" i="41"/>
  <c r="B156" i="37"/>
  <c r="B243" i="38"/>
  <c r="B80" i="40"/>
  <c r="B112" i="42"/>
  <c r="B277" i="43"/>
  <c r="B233" i="44"/>
  <c r="B295" i="40"/>
  <c r="B64" i="41"/>
  <c r="B163" i="42"/>
  <c r="B163" i="43"/>
  <c r="B175" i="46"/>
  <c r="B155" i="46"/>
  <c r="B87" i="43"/>
  <c r="B85" i="44"/>
  <c r="B12" i="45"/>
  <c r="B102" i="46"/>
  <c r="B128" i="46"/>
  <c r="B42" i="49"/>
  <c r="B23" i="49"/>
  <c r="B305" i="49"/>
  <c r="B325" i="49"/>
  <c r="B80" i="45"/>
  <c r="B328" i="45"/>
  <c r="B64" i="46"/>
  <c r="B307" i="47"/>
  <c r="B327" i="47"/>
  <c r="B79" i="45"/>
  <c r="B23" i="46"/>
  <c r="B24" i="46"/>
  <c r="B205" i="46"/>
  <c r="B58" i="47"/>
  <c r="B83" i="47"/>
  <c r="B241" i="47"/>
  <c r="B239" i="47"/>
  <c r="B328" i="47"/>
  <c r="B319" i="49"/>
  <c r="B127" i="44"/>
  <c r="B60" i="45"/>
  <c r="B116" i="45"/>
  <c r="B106" i="45"/>
  <c r="B126" i="45"/>
  <c r="B171" i="45"/>
  <c r="B160" i="45"/>
  <c r="B25" i="46"/>
  <c r="B86" i="46"/>
  <c r="B116" i="47"/>
  <c r="B106" i="47"/>
  <c r="B104" i="47"/>
  <c r="B102" i="47"/>
  <c r="B38" i="47"/>
  <c r="B192" i="47"/>
  <c r="B272" i="47"/>
  <c r="B59" i="49"/>
  <c r="B56" i="49"/>
  <c r="B201" i="49"/>
  <c r="B272" i="49"/>
  <c r="B156" i="47"/>
  <c r="B13" i="48"/>
  <c r="B79" i="48"/>
  <c r="B149" i="48"/>
  <c r="B192" i="49"/>
  <c r="B238" i="49"/>
  <c r="B275" i="49"/>
  <c r="B14" i="48"/>
  <c r="B103" i="48"/>
  <c r="B203" i="49"/>
  <c r="B281" i="49"/>
  <c r="B60" i="31"/>
  <c r="B115" i="31"/>
  <c r="B57" i="31"/>
  <c r="B59" i="31"/>
  <c r="B35" i="49"/>
  <c r="B79" i="49"/>
  <c r="B128" i="49"/>
  <c r="B197" i="49"/>
  <c r="B273" i="49"/>
  <c r="B71" i="49"/>
  <c r="B159" i="49"/>
  <c r="B112" i="49"/>
  <c r="B127" i="49"/>
  <c r="B66" i="49"/>
  <c r="B154" i="49"/>
  <c r="B240" i="49"/>
  <c r="B316" i="49"/>
  <c r="B80" i="49"/>
  <c r="B129" i="49"/>
  <c r="B21" i="48"/>
  <c r="B109" i="48"/>
  <c r="B157" i="48"/>
  <c r="B205" i="48"/>
  <c r="B251" i="48"/>
  <c r="B64" i="48"/>
  <c r="B200" i="48"/>
  <c r="B276" i="48"/>
  <c r="B273" i="48"/>
  <c r="B39" i="48"/>
  <c r="B152" i="48"/>
  <c r="B268" i="48"/>
  <c r="B315" i="48"/>
  <c r="B105" i="48"/>
  <c r="B171" i="48"/>
  <c r="B231" i="48"/>
  <c r="B278" i="48"/>
  <c r="B328" i="48"/>
  <c r="B206" i="48"/>
  <c r="B62" i="48"/>
  <c r="B275" i="48"/>
  <c r="B80" i="48"/>
  <c r="B124" i="48"/>
  <c r="B203" i="48"/>
  <c r="B279" i="48"/>
  <c r="B107" i="48"/>
  <c r="B242" i="48"/>
  <c r="B318" i="48"/>
  <c r="B35" i="47"/>
  <c r="B79" i="47"/>
  <c r="B149" i="47"/>
  <c r="B206" i="47"/>
  <c r="B282" i="47"/>
  <c r="B37" i="47"/>
  <c r="B159" i="47"/>
  <c r="B15" i="47"/>
  <c r="B81" i="47"/>
  <c r="B125" i="47"/>
  <c r="B169" i="47"/>
  <c r="B267" i="47"/>
  <c r="B287" i="47"/>
  <c r="B314" i="47"/>
  <c r="B171" i="47"/>
  <c r="B19" i="47"/>
  <c r="B173" i="47"/>
  <c r="B59" i="47"/>
  <c r="B195" i="47"/>
  <c r="B271" i="47"/>
  <c r="B235" i="46"/>
  <c r="B71" i="46"/>
  <c r="B237" i="46"/>
  <c r="B313" i="46"/>
  <c r="B191" i="46"/>
  <c r="B211" i="46"/>
  <c r="B238" i="46"/>
  <c r="B56" i="46"/>
  <c r="B152" i="46"/>
  <c r="B268" i="46"/>
  <c r="B315" i="46"/>
  <c r="B26" i="46"/>
  <c r="B114" i="46"/>
  <c r="B176" i="46"/>
  <c r="B231" i="46"/>
  <c r="B278" i="46"/>
  <c r="B328" i="46"/>
  <c r="B194" i="46"/>
  <c r="B270" i="46"/>
  <c r="B20" i="46"/>
  <c r="B147" i="46"/>
  <c r="B242" i="46"/>
  <c r="B318" i="46"/>
  <c r="B236" i="45"/>
  <c r="B312" i="45"/>
  <c r="B59" i="44"/>
  <c r="B23" i="45"/>
  <c r="B102" i="45"/>
  <c r="B64" i="44"/>
  <c r="B39" i="45"/>
  <c r="B161" i="45"/>
  <c r="B231" i="45"/>
  <c r="B278" i="45"/>
  <c r="B201" i="45"/>
  <c r="B84" i="44"/>
  <c r="B214" i="44"/>
  <c r="B26" i="45"/>
  <c r="B215" i="45"/>
  <c r="B270" i="45"/>
  <c r="B317" i="45"/>
  <c r="B206" i="44"/>
  <c r="B315" i="45"/>
  <c r="B40" i="44"/>
  <c r="B233" i="45"/>
  <c r="B309" i="45"/>
  <c r="B41" i="44"/>
  <c r="B56" i="44"/>
  <c r="B20" i="45"/>
  <c r="B205" i="45"/>
  <c r="B281" i="45"/>
  <c r="B70" i="44"/>
  <c r="B115" i="44"/>
  <c r="B154" i="44"/>
  <c r="B22" i="44"/>
  <c r="B129" i="44"/>
  <c r="B194" i="44"/>
  <c r="B241" i="44"/>
  <c r="B291" i="44"/>
  <c r="B147" i="44"/>
  <c r="B24" i="44"/>
  <c r="B101" i="44"/>
  <c r="B157" i="44"/>
  <c r="B272" i="44"/>
  <c r="B319" i="44"/>
  <c r="B158" i="44"/>
  <c r="B197" i="47"/>
  <c r="B14" i="47"/>
  <c r="B200" i="47"/>
  <c r="B20" i="47"/>
  <c r="B229" i="46"/>
  <c r="B249" i="46"/>
  <c r="B239" i="46"/>
  <c r="B154" i="46"/>
  <c r="B252" i="46"/>
  <c r="B232" i="46"/>
  <c r="B204" i="46"/>
  <c r="B198" i="45"/>
  <c r="B204" i="44"/>
  <c r="B150" i="45"/>
  <c r="B21" i="44"/>
  <c r="B127" i="45"/>
  <c r="B79" i="44"/>
  <c r="B194" i="45"/>
  <c r="B291" i="45"/>
  <c r="B16" i="44"/>
  <c r="B44" i="44"/>
  <c r="B11" i="44"/>
  <c r="B195" i="45"/>
  <c r="B81" i="44"/>
  <c r="B243" i="45"/>
  <c r="B114" i="44"/>
  <c r="B155" i="44"/>
  <c r="B270" i="44"/>
  <c r="B171" i="44"/>
  <c r="B131" i="44"/>
  <c r="B243" i="44"/>
  <c r="B112" i="44"/>
  <c r="B198" i="44"/>
  <c r="B321" i="44"/>
  <c r="B105" i="43"/>
  <c r="B150" i="43"/>
  <c r="B61" i="43"/>
  <c r="B89" i="43"/>
  <c r="B133" i="43"/>
  <c r="B86" i="43"/>
  <c r="B130" i="43"/>
  <c r="B113" i="43"/>
  <c r="B256" i="43"/>
  <c r="B20" i="43"/>
  <c r="B114" i="43"/>
  <c r="B246" i="43"/>
  <c r="B22" i="43"/>
  <c r="B134" i="43"/>
  <c r="B234" i="43"/>
  <c r="B35" i="42"/>
  <c r="B113" i="42"/>
  <c r="B284" i="42"/>
  <c r="B39" i="42"/>
  <c r="B172" i="42"/>
  <c r="B285" i="42"/>
  <c r="B82" i="42"/>
  <c r="B273" i="42"/>
  <c r="B276" i="42"/>
  <c r="B88" i="42"/>
  <c r="B68" i="42"/>
  <c r="B152" i="42"/>
  <c r="B326" i="43"/>
  <c r="B14" i="43"/>
  <c r="B71" i="43"/>
  <c r="B287" i="43"/>
  <c r="B56" i="43"/>
  <c r="B117" i="43"/>
  <c r="B179" i="43"/>
  <c r="B272" i="43"/>
  <c r="B292" i="43"/>
  <c r="B323" i="43"/>
  <c r="B17" i="43"/>
  <c r="B248" i="43"/>
  <c r="B19" i="43"/>
  <c r="B80" i="43"/>
  <c r="B283" i="43"/>
  <c r="B326" i="42"/>
  <c r="B14" i="42"/>
  <c r="B71" i="42"/>
  <c r="B133" i="42"/>
  <c r="B278" i="42"/>
  <c r="B321" i="42"/>
  <c r="B15" i="42"/>
  <c r="B81" i="42"/>
  <c r="B125" i="42"/>
  <c r="B322" i="42"/>
  <c r="B323" i="42"/>
  <c r="B17" i="42"/>
  <c r="B315" i="42"/>
  <c r="B26" i="42"/>
  <c r="B67" i="42"/>
  <c r="B154" i="42"/>
  <c r="B70" i="41"/>
  <c r="B114" i="41"/>
  <c r="B202" i="41"/>
  <c r="B286" i="41"/>
  <c r="B71" i="41"/>
  <c r="B177" i="41"/>
  <c r="B278" i="41"/>
  <c r="B321" i="41"/>
  <c r="B204" i="41"/>
  <c r="B313" i="41"/>
  <c r="B326" i="41"/>
  <c r="B83" i="41"/>
  <c r="B161" i="41"/>
  <c r="B205" i="41"/>
  <c r="B66" i="41"/>
  <c r="B153" i="41"/>
  <c r="B182" i="41"/>
  <c r="B197" i="41"/>
  <c r="B273" i="41"/>
  <c r="B324" i="41"/>
  <c r="B67" i="41"/>
  <c r="B207" i="41"/>
  <c r="B325" i="41"/>
  <c r="B68" i="48"/>
  <c r="B22" i="47"/>
  <c r="B273" i="47"/>
  <c r="B23" i="47"/>
  <c r="B64" i="47"/>
  <c r="B147" i="47"/>
  <c r="B276" i="46"/>
  <c r="B17" i="46"/>
  <c r="B171" i="46"/>
  <c r="B269" i="46"/>
  <c r="B241" i="46"/>
  <c r="B11" i="46"/>
  <c r="B233" i="46"/>
  <c r="B207" i="45"/>
  <c r="B238" i="44"/>
  <c r="B14" i="45"/>
  <c r="B159" i="45"/>
  <c r="B314" i="45"/>
  <c r="B34" i="44"/>
  <c r="B152" i="45"/>
  <c r="B269" i="45"/>
  <c r="B192" i="45"/>
  <c r="B212" i="45"/>
  <c r="B195" i="44"/>
  <c r="B203" i="45"/>
  <c r="B308" i="45"/>
  <c r="B192" i="44"/>
  <c r="B212" i="44"/>
  <c r="B25" i="44"/>
  <c r="B204" i="45"/>
  <c r="B20" i="44"/>
  <c r="B200" i="44"/>
  <c r="B11" i="45"/>
  <c r="B272" i="45"/>
  <c r="B102" i="44"/>
  <c r="B13" i="44"/>
  <c r="B176" i="44"/>
  <c r="B279" i="44"/>
  <c r="B15" i="44"/>
  <c r="B148" i="44"/>
  <c r="B17" i="44"/>
  <c r="B150" i="44"/>
  <c r="B236" i="44"/>
  <c r="B151" i="44"/>
  <c r="B179" i="44"/>
  <c r="B115" i="43"/>
  <c r="B162" i="43"/>
  <c r="B235" i="43"/>
  <c r="B82" i="43"/>
  <c r="B102" i="43"/>
  <c r="B156" i="43"/>
  <c r="B284" i="43"/>
  <c r="B110" i="43"/>
  <c r="B125" i="43"/>
  <c r="B319" i="43"/>
  <c r="B68" i="43"/>
  <c r="B132" i="43"/>
  <c r="B40" i="43"/>
  <c r="B149" i="43"/>
  <c r="B335" i="43"/>
  <c r="B57" i="42"/>
  <c r="B156" i="42"/>
  <c r="B282" i="42"/>
  <c r="B59" i="42"/>
  <c r="B243" i="42"/>
  <c r="B126" i="42"/>
  <c r="B286" i="42"/>
  <c r="B84" i="42"/>
  <c r="B22" i="42"/>
  <c r="B294" i="42"/>
  <c r="B335" i="42"/>
  <c r="B83" i="42"/>
  <c r="B162" i="42"/>
  <c r="B281" i="42"/>
  <c r="B23" i="43"/>
  <c r="B236" i="43"/>
  <c r="B313" i="43"/>
  <c r="B25" i="43"/>
  <c r="B65" i="43"/>
  <c r="B152" i="43"/>
  <c r="B238" i="43"/>
  <c r="B281" i="43"/>
  <c r="B26" i="43"/>
  <c r="B36" i="43"/>
  <c r="B154" i="43"/>
  <c r="B23" i="42"/>
  <c r="B106" i="42"/>
  <c r="B177" i="42"/>
  <c r="B287" i="42"/>
  <c r="B24" i="42"/>
  <c r="B86" i="42"/>
  <c r="B130" i="42"/>
  <c r="B280" i="42"/>
  <c r="B334" i="42"/>
  <c r="B247" i="42"/>
  <c r="B110" i="42"/>
  <c r="B239" i="42"/>
  <c r="B324" i="42"/>
  <c r="B19" i="42"/>
  <c r="B80" i="42"/>
  <c r="B241" i="42"/>
  <c r="B325" i="42"/>
  <c r="B79" i="41"/>
  <c r="B149" i="41"/>
  <c r="B218" i="41"/>
  <c r="B294" i="41"/>
  <c r="B200" i="41"/>
  <c r="B150" i="41"/>
  <c r="B194" i="41"/>
  <c r="B214" i="41"/>
  <c r="B287" i="41"/>
  <c r="B86" i="41"/>
  <c r="B322" i="41"/>
  <c r="B209" i="41"/>
  <c r="B108" i="41"/>
  <c r="B174" i="41"/>
  <c r="B217" i="41"/>
  <c r="B314" i="41"/>
  <c r="B233" i="48"/>
  <c r="B70" i="47"/>
  <c r="B150" i="47"/>
  <c r="B112" i="47"/>
  <c r="B305" i="47"/>
  <c r="B325" i="47"/>
  <c r="B161" i="47"/>
  <c r="B242" i="47"/>
  <c r="B62" i="46"/>
  <c r="B192" i="46"/>
  <c r="B66" i="46"/>
  <c r="B202" i="46"/>
  <c r="B307" i="46"/>
  <c r="B206" i="46"/>
  <c r="B308" i="46"/>
  <c r="B68" i="46"/>
  <c r="B280" i="46"/>
  <c r="B274" i="45"/>
  <c r="B316" i="44"/>
  <c r="B62" i="45"/>
  <c r="B268" i="45"/>
  <c r="B288" i="45"/>
  <c r="B240" i="44"/>
  <c r="B25" i="45"/>
  <c r="B202" i="45"/>
  <c r="B307" i="45"/>
  <c r="B306" i="45"/>
  <c r="B326" i="45"/>
  <c r="B36" i="44"/>
  <c r="B241" i="45"/>
  <c r="B239" i="45"/>
  <c r="B86" i="44"/>
  <c r="B271" i="45"/>
  <c r="B82" i="44"/>
  <c r="B278" i="44"/>
  <c r="B147" i="45"/>
  <c r="B319" i="45"/>
  <c r="B104" i="44"/>
  <c r="B107" i="44"/>
  <c r="B215" i="44"/>
  <c r="B317" i="44"/>
  <c r="B173" i="44"/>
  <c r="B62" i="44"/>
  <c r="B196" i="44"/>
  <c r="B152" i="44"/>
  <c r="B26" i="44"/>
  <c r="B159" i="44"/>
  <c r="B274" i="44"/>
  <c r="B160" i="44"/>
  <c r="B107" i="43"/>
  <c r="B135" i="43"/>
  <c r="B173" i="43"/>
  <c r="B12" i="43"/>
  <c r="B84" i="43"/>
  <c r="B177" i="43"/>
  <c r="B13" i="43"/>
  <c r="B112" i="43"/>
  <c r="B172" i="43"/>
  <c r="B126" i="43"/>
  <c r="B157" i="43"/>
  <c r="B81" i="43"/>
  <c r="B158" i="43"/>
  <c r="B320" i="43"/>
  <c r="B106" i="43"/>
  <c r="B160" i="43"/>
  <c r="B70" i="42"/>
  <c r="B242" i="42"/>
  <c r="B114" i="42"/>
  <c r="B256" i="42"/>
  <c r="B311" i="42"/>
  <c r="B331" i="42"/>
  <c r="B20" i="42"/>
  <c r="B179" i="42"/>
  <c r="B319" i="42"/>
  <c r="B21" i="42"/>
  <c r="B275" i="42"/>
  <c r="B38" i="42"/>
  <c r="B66" i="42"/>
  <c r="B11" i="42"/>
  <c r="B105" i="42"/>
  <c r="B173" i="42"/>
  <c r="B37" i="43"/>
  <c r="B245" i="43"/>
  <c r="B312" i="43"/>
  <c r="B322" i="43"/>
  <c r="B34" i="43"/>
  <c r="B83" i="43"/>
  <c r="B161" i="43"/>
  <c r="B247" i="43"/>
  <c r="B315" i="43"/>
  <c r="B58" i="43"/>
  <c r="B241" i="43"/>
  <c r="B325" i="43"/>
  <c r="B37" i="42"/>
  <c r="B115" i="42"/>
  <c r="B236" i="42"/>
  <c r="B42" i="42"/>
  <c r="B237" i="42"/>
  <c r="B296" i="42"/>
  <c r="B108" i="42"/>
  <c r="B255" i="42"/>
  <c r="B127" i="42"/>
  <c r="B248" i="42"/>
  <c r="B36" i="42"/>
  <c r="B102" i="42"/>
  <c r="B274" i="42"/>
  <c r="B319" i="41"/>
  <c r="B84" i="41"/>
  <c r="B158" i="41"/>
  <c r="B256" i="41"/>
  <c r="B311" i="41"/>
  <c r="B331" i="41"/>
  <c r="B159" i="41"/>
  <c r="B203" i="41"/>
  <c r="B280" i="41"/>
  <c r="B334" i="41"/>
  <c r="B56" i="41"/>
  <c r="B117" i="41"/>
  <c r="B179" i="41"/>
  <c r="B272" i="41"/>
  <c r="B292" i="41"/>
  <c r="B323" i="41"/>
  <c r="B17" i="41"/>
  <c r="B110" i="41"/>
  <c r="B171" i="41"/>
  <c r="B239" i="41"/>
  <c r="B154" i="41"/>
  <c r="B283" i="41"/>
  <c r="B17" i="40"/>
  <c r="B15" i="40"/>
  <c r="B71" i="40"/>
  <c r="B131" i="40"/>
  <c r="B242" i="40"/>
  <c r="B317" i="40"/>
  <c r="B209" i="40"/>
  <c r="B117" i="40"/>
  <c r="B160" i="40"/>
  <c r="B287" i="40"/>
  <c r="B11" i="40"/>
  <c r="B152" i="40"/>
  <c r="B204" i="40"/>
  <c r="B12" i="40"/>
  <c r="B68" i="40"/>
  <c r="B132" i="40"/>
  <c r="B179" i="40"/>
  <c r="B281" i="40"/>
  <c r="B218" i="40"/>
  <c r="B154" i="40"/>
  <c r="B248" i="40"/>
  <c r="B113" i="40"/>
  <c r="B207" i="40"/>
  <c r="B316" i="40"/>
  <c r="B35" i="39"/>
  <c r="B79" i="39"/>
  <c r="B244" i="39"/>
  <c r="B209" i="39"/>
  <c r="B62" i="39"/>
  <c r="B194" i="39"/>
  <c r="B214" i="39"/>
  <c r="B312" i="39"/>
  <c r="B322" i="39"/>
  <c r="B34" i="39"/>
  <c r="B108" i="39"/>
  <c r="B281" i="39"/>
  <c r="B26" i="39"/>
  <c r="B239" i="39"/>
  <c r="B19" i="39"/>
  <c r="B40" i="38"/>
  <c r="B62" i="38"/>
  <c r="B114" i="38"/>
  <c r="B178" i="38"/>
  <c r="B233" i="38"/>
  <c r="B253" i="38"/>
  <c r="B284" i="38"/>
  <c r="B39" i="38"/>
  <c r="B194" i="38"/>
  <c r="B214" i="38"/>
  <c r="B245" i="38"/>
  <c r="B20" i="38"/>
  <c r="B80" i="38"/>
  <c r="B161" i="38"/>
  <c r="B280" i="38"/>
  <c r="B200" i="38"/>
  <c r="B12" i="38"/>
  <c r="B111" i="38"/>
  <c r="B171" i="38"/>
  <c r="B217" i="38"/>
  <c r="B272" i="38"/>
  <c r="B292" i="38"/>
  <c r="B197" i="38"/>
  <c r="B35" i="38"/>
  <c r="B126" i="38"/>
  <c r="B241" i="38"/>
  <c r="B35" i="37"/>
  <c r="B79" i="37"/>
  <c r="B244" i="37"/>
  <c r="B309" i="48"/>
  <c r="B160" i="47"/>
  <c r="B154" i="47"/>
  <c r="B155" i="47"/>
  <c r="B318" i="47"/>
  <c r="B201" i="46"/>
  <c r="B306" i="46"/>
  <c r="B105" i="46"/>
  <c r="B214" i="46"/>
  <c r="B316" i="46"/>
  <c r="B317" i="46"/>
  <c r="B107" i="46"/>
  <c r="B309" i="46"/>
  <c r="B283" i="45"/>
  <c r="B19" i="44"/>
  <c r="B71" i="45"/>
  <c r="B238" i="45"/>
  <c r="B277" i="45"/>
  <c r="B34" i="45"/>
  <c r="B316" i="45"/>
  <c r="B38" i="44"/>
  <c r="B17" i="45"/>
  <c r="B253" i="45"/>
  <c r="B197" i="44"/>
  <c r="B280" i="45"/>
  <c r="B87" i="44"/>
  <c r="B196" i="45"/>
  <c r="B60" i="44"/>
  <c r="B174" i="44"/>
  <c r="B116" i="44"/>
  <c r="B232" i="44"/>
  <c r="B329" i="44"/>
  <c r="B71" i="44"/>
  <c r="B205" i="44"/>
  <c r="B310" i="44"/>
  <c r="B149" i="44"/>
  <c r="B161" i="44"/>
  <c r="B103" i="44"/>
  <c r="B172" i="44"/>
  <c r="B312" i="44"/>
  <c r="B169" i="44"/>
  <c r="B131" i="43"/>
  <c r="B175" i="43"/>
  <c r="B35" i="43"/>
  <c r="B111" i="43"/>
  <c r="B242" i="43"/>
  <c r="B64" i="43"/>
  <c r="B128" i="43"/>
  <c r="B243" i="43"/>
  <c r="B311" i="43"/>
  <c r="B331" i="43"/>
  <c r="B103" i="43"/>
  <c r="B244" i="43"/>
  <c r="B104" i="43"/>
  <c r="B176" i="43"/>
  <c r="B127" i="43"/>
  <c r="B116" i="43"/>
  <c r="B178" i="43"/>
  <c r="B13" i="42"/>
  <c r="B87" i="42"/>
  <c r="B157" i="42"/>
  <c r="B272" i="42"/>
  <c r="B292" i="42"/>
  <c r="B60" i="42"/>
  <c r="B244" i="42"/>
  <c r="B34" i="42"/>
  <c r="B320" i="42"/>
  <c r="B65" i="42"/>
  <c r="B79" i="42"/>
  <c r="B40" i="42"/>
  <c r="B131" i="42"/>
  <c r="B234" i="42"/>
  <c r="B317" i="43"/>
  <c r="B62" i="43"/>
  <c r="B278" i="43"/>
  <c r="B321" i="43"/>
  <c r="B334" i="43"/>
  <c r="B39" i="43"/>
  <c r="B108" i="43"/>
  <c r="B174" i="43"/>
  <c r="B255" i="43"/>
  <c r="B314" i="43"/>
  <c r="B239" i="43"/>
  <c r="B324" i="43"/>
  <c r="B88" i="43"/>
  <c r="B67" i="43"/>
  <c r="B274" i="43"/>
  <c r="B317" i="42"/>
  <c r="B62" i="42"/>
  <c r="B128" i="42"/>
  <c r="B245" i="42"/>
  <c r="B312" i="42"/>
  <c r="B64" i="42"/>
  <c r="B116" i="42"/>
  <c r="B246" i="42"/>
  <c r="B313" i="42"/>
  <c r="B117" i="42"/>
  <c r="B314" i="42"/>
  <c r="B132" i="42"/>
  <c r="B58" i="42"/>
  <c r="B111" i="42"/>
  <c r="B283" i="42"/>
  <c r="B105" i="41"/>
  <c r="B180" i="41"/>
  <c r="B320" i="41"/>
  <c r="B62" i="41"/>
  <c r="B172" i="41"/>
  <c r="B312" i="41"/>
  <c r="B335" i="41"/>
  <c r="B195" i="41"/>
  <c r="B296" i="41"/>
  <c r="B317" i="41"/>
  <c r="B65" i="41"/>
  <c r="B152" i="41"/>
  <c r="B196" i="41"/>
  <c r="B281" i="41"/>
  <c r="B57" i="41"/>
  <c r="B127" i="41"/>
  <c r="B176" i="41"/>
  <c r="B248" i="41"/>
  <c r="B315" i="41"/>
  <c r="B58" i="41"/>
  <c r="B198" i="41"/>
  <c r="B316" i="41"/>
  <c r="B22" i="40"/>
  <c r="B24" i="40"/>
  <c r="B84" i="40"/>
  <c r="B148" i="40"/>
  <c r="B208" i="40"/>
  <c r="B326" i="40"/>
  <c r="B19" i="40"/>
  <c r="B130" i="40"/>
  <c r="B177" i="40"/>
  <c r="B236" i="40"/>
  <c r="B161" i="40"/>
  <c r="B237" i="40"/>
  <c r="B21" i="40"/>
  <c r="B85" i="40"/>
  <c r="B153" i="40"/>
  <c r="B181" i="40"/>
  <c r="B196" i="40"/>
  <c r="B247" i="40"/>
  <c r="B13" i="40"/>
  <c r="B197" i="40"/>
  <c r="B70" i="40"/>
  <c r="B126" i="40"/>
  <c r="B241" i="40"/>
  <c r="B325" i="40"/>
  <c r="B202" i="39"/>
  <c r="B311" i="39"/>
  <c r="B331" i="39"/>
  <c r="B14" i="39"/>
  <c r="B71" i="39"/>
  <c r="B159" i="39"/>
  <c r="B203" i="39"/>
  <c r="B278" i="39"/>
  <c r="B319" i="39"/>
  <c r="B151" i="39"/>
  <c r="B280" i="39"/>
  <c r="B39" i="39"/>
  <c r="B152" i="39"/>
  <c r="B247" i="39"/>
  <c r="B248" i="39"/>
  <c r="B36" i="39"/>
  <c r="B241" i="39"/>
  <c r="B154" i="38"/>
  <c r="B15" i="38"/>
  <c r="B71" i="38"/>
  <c r="B131" i="38"/>
  <c r="B242" i="38"/>
  <c r="B317" i="38"/>
  <c r="B36" i="38"/>
  <c r="B151" i="38"/>
  <c r="B203" i="38"/>
  <c r="B278" i="38"/>
  <c r="B19" i="38"/>
  <c r="B41" i="38"/>
  <c r="B110" i="38"/>
  <c r="B174" i="38"/>
  <c r="B237" i="38"/>
  <c r="B209" i="38"/>
  <c r="B21" i="38"/>
  <c r="B132" i="38"/>
  <c r="B179" i="38"/>
  <c r="B238" i="38"/>
  <c r="B281" i="38"/>
  <c r="B206" i="38"/>
  <c r="B14" i="38"/>
  <c r="B156" i="38"/>
  <c r="B274" i="38"/>
  <c r="B317" i="37"/>
  <c r="B319" i="37"/>
  <c r="B202" i="37"/>
  <c r="B311" i="37"/>
  <c r="B331" i="37"/>
  <c r="B206" i="41"/>
  <c r="B62" i="40"/>
  <c r="B178" i="40"/>
  <c r="B284" i="40"/>
  <c r="B108" i="40"/>
  <c r="B203" i="40"/>
  <c r="B195" i="40"/>
  <c r="B59" i="40"/>
  <c r="B171" i="40"/>
  <c r="B272" i="40"/>
  <c r="B292" i="40"/>
  <c r="B202" i="40"/>
  <c r="B39" i="40"/>
  <c r="B23" i="40"/>
  <c r="B198" i="40"/>
  <c r="B200" i="39"/>
  <c r="B70" i="39"/>
  <c r="B177" i="39"/>
  <c r="B15" i="39"/>
  <c r="B125" i="39"/>
  <c r="B25" i="39"/>
  <c r="B174" i="39"/>
  <c r="B272" i="39"/>
  <c r="B292" i="39"/>
  <c r="B17" i="39"/>
  <c r="B315" i="39"/>
  <c r="B198" i="39"/>
  <c r="B176" i="38"/>
  <c r="B105" i="38"/>
  <c r="B216" i="38"/>
  <c r="B117" i="38"/>
  <c r="B236" i="38"/>
  <c r="B11" i="38"/>
  <c r="B152" i="38"/>
  <c r="B102" i="38"/>
  <c r="B205" i="38"/>
  <c r="B113" i="38"/>
  <c r="B70" i="37"/>
  <c r="B203" i="37"/>
  <c r="B278" i="37"/>
  <c r="B62" i="37"/>
  <c r="B195" i="37"/>
  <c r="B56" i="37"/>
  <c r="B117" i="37"/>
  <c r="B205" i="37"/>
  <c r="B314" i="37"/>
  <c r="B248" i="37"/>
  <c r="B111" i="37"/>
  <c r="B241" i="37"/>
  <c r="B325" i="37"/>
  <c r="B200" i="36"/>
  <c r="B17" i="36"/>
  <c r="B19" i="36"/>
  <c r="B83" i="36"/>
  <c r="B194" i="36"/>
  <c r="B214" i="36"/>
  <c r="B245" i="36"/>
  <c r="B312" i="36"/>
  <c r="B65" i="36"/>
  <c r="B320" i="36"/>
  <c r="B58" i="36"/>
  <c r="B110" i="36"/>
  <c r="B174" i="36"/>
  <c r="B237" i="36"/>
  <c r="B68" i="36"/>
  <c r="B35" i="36"/>
  <c r="B248" i="36"/>
  <c r="B154" i="36"/>
  <c r="B14" i="36"/>
  <c r="B79" i="36"/>
  <c r="B156" i="36"/>
  <c r="B274" i="36"/>
  <c r="B317" i="35"/>
  <c r="B203" i="35"/>
  <c r="B81" i="35"/>
  <c r="B322" i="35"/>
  <c r="B62" i="35"/>
  <c r="B56" i="35"/>
  <c r="B117" i="35"/>
  <c r="B281" i="35"/>
  <c r="B17" i="35"/>
  <c r="B239" i="35"/>
  <c r="B154" i="35"/>
  <c r="B274" i="35"/>
  <c r="B84" i="34"/>
  <c r="B17" i="34"/>
  <c r="B65" i="34"/>
  <c r="B125" i="34"/>
  <c r="B172" i="34"/>
  <c r="B235" i="34"/>
  <c r="B286" i="34"/>
  <c r="B332" i="34"/>
  <c r="B117" i="34"/>
  <c r="B81" i="34"/>
  <c r="B58" i="34"/>
  <c r="B110" i="34"/>
  <c r="B174" i="34"/>
  <c r="B237" i="34"/>
  <c r="B62" i="34"/>
  <c r="B12" i="34"/>
  <c r="B59" i="34"/>
  <c r="B111" i="34"/>
  <c r="B171" i="34"/>
  <c r="B217" i="34"/>
  <c r="B272" i="34"/>
  <c r="B292" i="34"/>
  <c r="B323" i="34"/>
  <c r="B13" i="34"/>
  <c r="B82" i="34"/>
  <c r="B163" i="34"/>
  <c r="B248" i="34"/>
  <c r="B315" i="34"/>
  <c r="B70" i="34"/>
  <c r="B274" i="34"/>
  <c r="B217" i="33"/>
  <c r="B63" i="33"/>
  <c r="B178" i="33"/>
  <c r="B279" i="33"/>
  <c r="B65" i="33"/>
  <c r="B196" i="33"/>
  <c r="B82" i="33"/>
  <c r="B35" i="33"/>
  <c r="B109" i="33"/>
  <c r="B282" i="33"/>
  <c r="B163" i="33"/>
  <c r="B240" i="33"/>
  <c r="B15" i="33"/>
  <c r="B199" i="33"/>
  <c r="B157" i="32"/>
  <c r="B85" i="32"/>
  <c r="B149" i="32"/>
  <c r="B209" i="32"/>
  <c r="B255" i="32"/>
  <c r="B327" i="32"/>
  <c r="B173" i="32"/>
  <c r="B151" i="32"/>
  <c r="B245" i="32"/>
  <c r="B279" i="32"/>
  <c r="B210" i="32"/>
  <c r="B59" i="32"/>
  <c r="B111" i="32"/>
  <c r="B162" i="32"/>
  <c r="B281" i="32"/>
  <c r="B335" i="32"/>
  <c r="B178" i="32"/>
  <c r="B26" i="32"/>
  <c r="B112" i="32"/>
  <c r="B180" i="32"/>
  <c r="B239" i="32"/>
  <c r="B282" i="32"/>
  <c r="B155" i="32"/>
  <c r="B207" i="32"/>
  <c r="B176" i="31"/>
  <c r="B21" i="31"/>
  <c r="B280" i="31"/>
  <c r="B22" i="31"/>
  <c r="B159" i="31"/>
  <c r="B282" i="41"/>
  <c r="B80" i="41"/>
  <c r="B105" i="40"/>
  <c r="B216" i="40"/>
  <c r="B245" i="40"/>
  <c r="B20" i="40"/>
  <c r="B246" i="40"/>
  <c r="B102" i="40"/>
  <c r="B205" i="40"/>
  <c r="B314" i="40"/>
  <c r="B35" i="40"/>
  <c r="B206" i="40"/>
  <c r="B79" i="40"/>
  <c r="B274" i="40"/>
  <c r="B149" i="39"/>
  <c r="B128" i="39"/>
  <c r="B64" i="39"/>
  <c r="B317" i="39"/>
  <c r="B56" i="39"/>
  <c r="B205" i="39"/>
  <c r="B314" i="39"/>
  <c r="B197" i="39"/>
  <c r="B24" i="38"/>
  <c r="B148" i="38"/>
  <c r="B254" i="38"/>
  <c r="B17" i="38"/>
  <c r="B160" i="38"/>
  <c r="B287" i="38"/>
  <c r="B58" i="38"/>
  <c r="B195" i="38"/>
  <c r="B313" i="38"/>
  <c r="B202" i="38"/>
  <c r="B247" i="38"/>
  <c r="B239" i="38"/>
  <c r="B13" i="38"/>
  <c r="B198" i="38"/>
  <c r="B105" i="37"/>
  <c r="B12" i="37"/>
  <c r="B14" i="37"/>
  <c r="B287" i="37"/>
  <c r="B71" i="37"/>
  <c r="B64" i="37"/>
  <c r="B116" i="37"/>
  <c r="B322" i="37"/>
  <c r="B25" i="37"/>
  <c r="B65" i="37"/>
  <c r="B174" i="37"/>
  <c r="B272" i="37"/>
  <c r="B292" i="37"/>
  <c r="B17" i="37"/>
  <c r="B197" i="37"/>
  <c r="B67" i="37"/>
  <c r="B154" i="37"/>
  <c r="B317" i="36"/>
  <c r="B84" i="36"/>
  <c r="B209" i="36"/>
  <c r="B26" i="36"/>
  <c r="B36" i="36"/>
  <c r="B108" i="36"/>
  <c r="B151" i="36"/>
  <c r="B203" i="36"/>
  <c r="B278" i="36"/>
  <c r="B321" i="36"/>
  <c r="B81" i="36"/>
  <c r="B86" i="36"/>
  <c r="B11" i="36"/>
  <c r="B67" i="36"/>
  <c r="B127" i="36"/>
  <c r="B195" i="36"/>
  <c r="B246" i="36"/>
  <c r="B313" i="36"/>
  <c r="B85" i="36"/>
  <c r="B60" i="36"/>
  <c r="B163" i="36"/>
  <c r="B23" i="36"/>
  <c r="B104" i="36"/>
  <c r="B198" i="36"/>
  <c r="B283" i="36"/>
  <c r="B326" i="35"/>
  <c r="B312" i="35"/>
  <c r="B280" i="35"/>
  <c r="B71" i="35"/>
  <c r="B25" i="35"/>
  <c r="B65" i="35"/>
  <c r="B152" i="35"/>
  <c r="B196" i="35"/>
  <c r="B247" i="35"/>
  <c r="B202" i="35"/>
  <c r="B26" i="35"/>
  <c r="B248" i="35"/>
  <c r="B58" i="35"/>
  <c r="B198" i="35"/>
  <c r="B283" i="35"/>
  <c r="B26" i="34"/>
  <c r="B86" i="34"/>
  <c r="B133" i="34"/>
  <c r="B244" i="34"/>
  <c r="B294" i="34"/>
  <c r="B130" i="34"/>
  <c r="B312" i="34"/>
  <c r="B200" i="34"/>
  <c r="B83" i="34"/>
  <c r="B11" i="34"/>
  <c r="B67" i="34"/>
  <c r="B127" i="34"/>
  <c r="B195" i="34"/>
  <c r="B246" i="34"/>
  <c r="B313" i="34"/>
  <c r="B71" i="34"/>
  <c r="B64" i="34"/>
  <c r="B21" i="34"/>
  <c r="B68" i="34"/>
  <c r="B132" i="34"/>
  <c r="B179" i="34"/>
  <c r="B238" i="34"/>
  <c r="B281" i="34"/>
  <c r="B22" i="34"/>
  <c r="B103" i="34"/>
  <c r="B197" i="34"/>
  <c r="B273" i="34"/>
  <c r="B324" i="34"/>
  <c r="B79" i="34"/>
  <c r="B283" i="34"/>
  <c r="B82" i="31"/>
  <c r="B318" i="33"/>
  <c r="B203" i="33"/>
  <c r="B72" i="33"/>
  <c r="B195" i="33"/>
  <c r="B215" i="33"/>
  <c r="B288" i="33"/>
  <c r="B19" i="33"/>
  <c r="B314" i="33"/>
  <c r="B40" i="33"/>
  <c r="B153" i="33"/>
  <c r="B197" i="33"/>
  <c r="B248" i="33"/>
  <c r="B58" i="33"/>
  <c r="B172" i="33"/>
  <c r="B249" i="33"/>
  <c r="B316" i="33"/>
  <c r="B326" i="33"/>
  <c r="B242" i="32"/>
  <c r="B106" i="32"/>
  <c r="B158" i="32"/>
  <c r="B217" i="32"/>
  <c r="B276" i="32"/>
  <c r="B181" i="32"/>
  <c r="B109" i="32"/>
  <c r="B288" i="32"/>
  <c r="B195" i="32"/>
  <c r="B215" i="32"/>
  <c r="B25" i="32"/>
  <c r="B68" i="32"/>
  <c r="B128" i="32"/>
  <c r="B175" i="32"/>
  <c r="B238" i="32"/>
  <c r="B257" i="32"/>
  <c r="B237" i="32"/>
  <c r="B60" i="32"/>
  <c r="B197" i="32"/>
  <c r="B248" i="32"/>
  <c r="B315" i="32"/>
  <c r="B164" i="32"/>
  <c r="B240" i="32"/>
  <c r="B172" i="31"/>
  <c r="B146" i="31"/>
  <c r="B317" i="31"/>
  <c r="B124" i="31"/>
  <c r="B38" i="31"/>
  <c r="B149" i="31"/>
  <c r="B169" i="31"/>
  <c r="B110" i="30"/>
  <c r="B159" i="30"/>
  <c r="B125" i="30"/>
  <c r="B111" i="30"/>
  <c r="B313" i="30"/>
  <c r="B266" i="30"/>
  <c r="B171" i="30"/>
  <c r="B234" i="31"/>
  <c r="B129" i="31"/>
  <c r="B156" i="30"/>
  <c r="B274" i="30"/>
  <c r="B323" i="30"/>
  <c r="B105" i="31"/>
  <c r="B161" i="31"/>
  <c r="B212" i="31"/>
  <c r="B277" i="30"/>
  <c r="B23" i="31"/>
  <c r="B203" i="31"/>
  <c r="B265" i="31"/>
  <c r="B285" i="31"/>
  <c r="B311" i="31"/>
  <c r="B104" i="30"/>
  <c r="B169" i="30"/>
  <c r="B278" i="30"/>
  <c r="B88" i="41"/>
  <c r="B274" i="41"/>
  <c r="B176" i="40"/>
  <c r="B114" i="40"/>
  <c r="B233" i="40"/>
  <c r="B253" i="40"/>
  <c r="B200" i="40"/>
  <c r="B151" i="40"/>
  <c r="B278" i="40"/>
  <c r="B41" i="40"/>
  <c r="B111" i="40"/>
  <c r="B217" i="40"/>
  <c r="B323" i="40"/>
  <c r="B163" i="40"/>
  <c r="B239" i="40"/>
  <c r="B104" i="40"/>
  <c r="B283" i="40"/>
  <c r="B22" i="39"/>
  <c r="B286" i="39"/>
  <c r="B236" i="39"/>
  <c r="B81" i="39"/>
  <c r="B195" i="39"/>
  <c r="B326" i="39"/>
  <c r="B65" i="39"/>
  <c r="B325" i="39"/>
  <c r="B37" i="38"/>
  <c r="B157" i="38"/>
  <c r="B275" i="38"/>
  <c r="B26" i="38"/>
  <c r="B177" i="38"/>
  <c r="B67" i="38"/>
  <c r="B204" i="38"/>
  <c r="B322" i="38"/>
  <c r="B218" i="38"/>
  <c r="B162" i="38"/>
  <c r="B255" i="38"/>
  <c r="B248" i="38"/>
  <c r="B22" i="38"/>
  <c r="B207" i="38"/>
  <c r="B22" i="37"/>
  <c r="B286" i="37"/>
  <c r="B200" i="37"/>
  <c r="B236" i="37"/>
  <c r="B15" i="37"/>
  <c r="B81" i="37"/>
  <c r="B125" i="37"/>
  <c r="B280" i="37"/>
  <c r="B34" i="37"/>
  <c r="B281" i="37"/>
  <c r="B26" i="37"/>
  <c r="B19" i="37"/>
  <c r="B198" i="37"/>
  <c r="B283" i="37"/>
  <c r="B326" i="36"/>
  <c r="B62" i="36"/>
  <c r="B218" i="36"/>
  <c r="B57" i="36"/>
  <c r="B117" i="36"/>
  <c r="B160" i="36"/>
  <c r="B287" i="36"/>
  <c r="B39" i="36"/>
  <c r="B202" i="36"/>
  <c r="B20" i="36"/>
  <c r="B80" i="36"/>
  <c r="B152" i="36"/>
  <c r="B204" i="36"/>
  <c r="B322" i="36"/>
  <c r="B314" i="36"/>
  <c r="B13" i="36"/>
  <c r="B197" i="36"/>
  <c r="B315" i="36"/>
  <c r="B69" i="36"/>
  <c r="B176" i="36"/>
  <c r="B113" i="36"/>
  <c r="B207" i="36"/>
  <c r="B316" i="36"/>
  <c r="B278" i="35"/>
  <c r="B237" i="35"/>
  <c r="B15" i="35"/>
  <c r="B34" i="35"/>
  <c r="B205" i="35"/>
  <c r="B314" i="35"/>
  <c r="B200" i="35"/>
  <c r="B311" i="35"/>
  <c r="B331" i="35"/>
  <c r="B57" i="35"/>
  <c r="B197" i="35"/>
  <c r="B315" i="35"/>
  <c r="B67" i="35"/>
  <c r="B39" i="34"/>
  <c r="B150" i="34"/>
  <c r="B202" i="34"/>
  <c r="B256" i="34"/>
  <c r="B311" i="34"/>
  <c r="B331" i="34"/>
  <c r="B278" i="34"/>
  <c r="B321" i="34"/>
  <c r="B209" i="34"/>
  <c r="B194" i="34"/>
  <c r="B214" i="34"/>
  <c r="B20" i="34"/>
  <c r="B80" i="34"/>
  <c r="B152" i="34"/>
  <c r="B204" i="34"/>
  <c r="B322" i="34"/>
  <c r="B317" i="34"/>
  <c r="B57" i="34"/>
  <c r="B38" i="34"/>
  <c r="B85" i="34"/>
  <c r="B196" i="34"/>
  <c r="B247" i="34"/>
  <c r="B293" i="34"/>
  <c r="B60" i="34"/>
  <c r="B112" i="34"/>
  <c r="B206" i="34"/>
  <c r="B282" i="34"/>
  <c r="B198" i="34"/>
  <c r="B327" i="33"/>
  <c r="B17" i="33"/>
  <c r="B11" i="33"/>
  <c r="B151" i="33"/>
  <c r="B204" i="33"/>
  <c r="B36" i="33"/>
  <c r="B323" i="33"/>
  <c r="B12" i="33"/>
  <c r="B13" i="33"/>
  <c r="B57" i="33"/>
  <c r="B206" i="33"/>
  <c r="B315" i="33"/>
  <c r="B201" i="33"/>
  <c r="B38" i="33"/>
  <c r="B198" i="33"/>
  <c r="B274" i="33"/>
  <c r="B37" i="33"/>
  <c r="B275" i="33"/>
  <c r="B63" i="32"/>
  <c r="B115" i="32"/>
  <c r="B179" i="32"/>
  <c r="B234" i="32"/>
  <c r="B254" i="32"/>
  <c r="B285" i="32"/>
  <c r="B203" i="32"/>
  <c r="B118" i="32"/>
  <c r="B204" i="32"/>
  <c r="B34" i="32"/>
  <c r="B81" i="32"/>
  <c r="B196" i="32"/>
  <c r="B247" i="32"/>
  <c r="B314" i="32"/>
  <c r="B152" i="32"/>
  <c r="B246" i="32"/>
  <c r="B69" i="32"/>
  <c r="B163" i="32"/>
  <c r="B206" i="32"/>
  <c r="B256" i="32"/>
  <c r="B177" i="32"/>
  <c r="B249" i="32"/>
  <c r="B199" i="32"/>
  <c r="B158" i="31"/>
  <c r="B13" i="31"/>
  <c r="B132" i="31"/>
  <c r="B155" i="31"/>
  <c r="B160" i="31"/>
  <c r="B85" i="31"/>
  <c r="B131" i="30"/>
  <c r="B175" i="30"/>
  <c r="B127" i="30"/>
  <c r="B124" i="30"/>
  <c r="B101" i="30"/>
  <c r="B102" i="30"/>
  <c r="B267" i="30"/>
  <c r="B243" i="31"/>
  <c r="B173" i="30"/>
  <c r="B286" i="30"/>
  <c r="B11" i="31"/>
  <c r="B114" i="31"/>
  <c r="B174" i="31"/>
  <c r="B242" i="31"/>
  <c r="B316" i="31"/>
  <c r="B310" i="31"/>
  <c r="B305" i="30"/>
  <c r="B40" i="31"/>
  <c r="B228" i="31"/>
  <c r="B248" i="31"/>
  <c r="B274" i="31"/>
  <c r="B323" i="31"/>
  <c r="B113" i="30"/>
  <c r="B177" i="30"/>
  <c r="B162" i="41"/>
  <c r="B37" i="40"/>
  <c r="B157" i="40"/>
  <c r="B275" i="40"/>
  <c r="B36" i="40"/>
  <c r="B194" i="40"/>
  <c r="B214" i="40"/>
  <c r="B174" i="40"/>
  <c r="B38" i="40"/>
  <c r="B162" i="40"/>
  <c r="B255" i="40"/>
  <c r="B26" i="40"/>
  <c r="B14" i="40"/>
  <c r="B156" i="40"/>
  <c r="B320" i="39"/>
  <c r="B287" i="39"/>
  <c r="B116" i="39"/>
  <c r="B237" i="39"/>
  <c r="B154" i="39"/>
  <c r="B163" i="38"/>
  <c r="B84" i="38"/>
  <c r="B208" i="38"/>
  <c r="B326" i="38"/>
  <c r="B108" i="38"/>
  <c r="B130" i="38"/>
  <c r="B127" i="38"/>
  <c r="B246" i="38"/>
  <c r="B38" i="38"/>
  <c r="B196" i="38"/>
  <c r="B293" i="38"/>
  <c r="B104" i="38"/>
  <c r="B283" i="38"/>
  <c r="B326" i="37"/>
  <c r="B320" i="37"/>
  <c r="B209" i="37"/>
  <c r="B194" i="37"/>
  <c r="B214" i="37"/>
  <c r="B312" i="37"/>
  <c r="B237" i="37"/>
  <c r="B39" i="37"/>
  <c r="B108" i="37"/>
  <c r="B247" i="37"/>
  <c r="B315" i="37"/>
  <c r="B239" i="37"/>
  <c r="B36" i="37"/>
  <c r="B102" i="37"/>
  <c r="B64" i="36"/>
  <c r="B319" i="36"/>
  <c r="B71" i="36"/>
  <c r="B332" i="36"/>
  <c r="B66" i="36"/>
  <c r="B130" i="36"/>
  <c r="B177" i="36"/>
  <c r="B236" i="36"/>
  <c r="B56" i="36"/>
  <c r="B311" i="36"/>
  <c r="B331" i="36"/>
  <c r="B41" i="36"/>
  <c r="B88" i="36"/>
  <c r="B161" i="36"/>
  <c r="B280" i="36"/>
  <c r="B334" i="36"/>
  <c r="B59" i="36"/>
  <c r="B323" i="36"/>
  <c r="B22" i="36"/>
  <c r="B239" i="36"/>
  <c r="B324" i="36"/>
  <c r="B82" i="36"/>
  <c r="B206" i="36"/>
  <c r="B70" i="36"/>
  <c r="B126" i="36"/>
  <c r="B241" i="36"/>
  <c r="B325" i="36"/>
  <c r="B194" i="35"/>
  <c r="B214" i="35"/>
  <c r="B287" i="35"/>
  <c r="B319" i="35"/>
  <c r="B64" i="35"/>
  <c r="B195" i="35"/>
  <c r="B313" i="35"/>
  <c r="B39" i="35"/>
  <c r="B108" i="35"/>
  <c r="B272" i="35"/>
  <c r="B292" i="35"/>
  <c r="B209" i="35"/>
  <c r="B320" i="35"/>
  <c r="B273" i="35"/>
  <c r="B19" i="35"/>
  <c r="B241" i="35"/>
  <c r="B325" i="35"/>
  <c r="B56" i="34"/>
  <c r="B116" i="34"/>
  <c r="B159" i="34"/>
  <c r="B218" i="34"/>
  <c r="B320" i="34"/>
  <c r="B108" i="34"/>
  <c r="B287" i="34"/>
  <c r="B319" i="34"/>
  <c r="B203" i="34"/>
  <c r="B41" i="34"/>
  <c r="B88" i="34"/>
  <c r="B161" i="34"/>
  <c r="B280" i="34"/>
  <c r="B334" i="34"/>
  <c r="B326" i="34"/>
  <c r="B66" i="34"/>
  <c r="B102" i="34"/>
  <c r="B162" i="34"/>
  <c r="B205" i="34"/>
  <c r="B255" i="34"/>
  <c r="B314" i="34"/>
  <c r="B69" i="34"/>
  <c r="B154" i="34"/>
  <c r="B239" i="34"/>
  <c r="B61" i="34"/>
  <c r="B89" i="34"/>
  <c r="B207" i="34"/>
  <c r="B325" i="34"/>
  <c r="B209" i="33"/>
  <c r="B26" i="33"/>
  <c r="B20" i="33"/>
  <c r="B160" i="33"/>
  <c r="B216" i="33"/>
  <c r="B313" i="33"/>
  <c r="B269" i="31"/>
  <c r="B113" i="31"/>
  <c r="B146" i="30"/>
  <c r="B314" i="31"/>
  <c r="B240" i="31"/>
  <c r="B125" i="31"/>
  <c r="B26" i="31"/>
  <c r="B280" i="30"/>
  <c r="B271" i="31"/>
  <c r="B267" i="31"/>
  <c r="B128" i="31"/>
  <c r="B34" i="31"/>
  <c r="B233" i="30"/>
  <c r="B244" i="30"/>
  <c r="B174" i="30"/>
  <c r="B312" i="31"/>
  <c r="B266" i="31"/>
  <c r="B157" i="31"/>
  <c r="B101" i="31"/>
  <c r="B24" i="31"/>
  <c r="B306" i="30"/>
  <c r="B130" i="30"/>
  <c r="B286" i="31"/>
  <c r="B126" i="31"/>
  <c r="B127" i="31"/>
  <c r="B302" i="30"/>
  <c r="B322" i="30"/>
  <c r="B126" i="30"/>
  <c r="B157" i="30"/>
  <c r="B170" i="30"/>
  <c r="B115" i="30"/>
  <c r="B147" i="31"/>
  <c r="B208" i="32"/>
  <c r="B172" i="32"/>
  <c r="B42" i="32"/>
  <c r="B131" i="32"/>
  <c r="B160" i="32"/>
  <c r="B243" i="32"/>
  <c r="B175" i="33"/>
  <c r="B152" i="33"/>
  <c r="P144" i="1"/>
  <c r="B315" i="31"/>
  <c r="B241" i="31"/>
  <c r="B104" i="31"/>
  <c r="B116" i="30"/>
  <c r="B305" i="31"/>
  <c r="B231" i="31"/>
  <c r="B112" i="31"/>
  <c r="B17" i="31"/>
  <c r="B271" i="30"/>
  <c r="B313" i="31"/>
  <c r="B239" i="31"/>
  <c r="B111" i="31"/>
  <c r="B25" i="31"/>
  <c r="B279" i="30"/>
  <c r="B161" i="30"/>
  <c r="B303" i="31"/>
  <c r="B204" i="31"/>
  <c r="B148" i="31"/>
  <c r="B71" i="31"/>
  <c r="B15" i="31"/>
  <c r="B269" i="30"/>
  <c r="B249" i="31"/>
  <c r="B14" i="31"/>
  <c r="B200" i="31"/>
  <c r="B41" i="31"/>
  <c r="B265" i="30"/>
  <c r="B285" i="30"/>
  <c r="B112" i="30"/>
  <c r="B303" i="30"/>
  <c r="B148" i="30"/>
  <c r="B103" i="30"/>
  <c r="B192" i="31"/>
  <c r="B172" i="30"/>
  <c r="B103" i="32"/>
  <c r="B205" i="32"/>
  <c r="B216" i="32"/>
  <c r="B236" i="32"/>
  <c r="B36" i="31"/>
  <c r="B284" i="33"/>
  <c r="B14" i="33"/>
  <c r="B66" i="33"/>
  <c r="B306" i="31"/>
  <c r="B232" i="31"/>
  <c r="B19" i="31"/>
  <c r="B107" i="30"/>
  <c r="B277" i="31"/>
  <c r="B206" i="31"/>
  <c r="B103" i="31"/>
  <c r="B317" i="30"/>
  <c r="B304" i="31"/>
  <c r="B230" i="31"/>
  <c r="B102" i="31"/>
  <c r="B152" i="30"/>
  <c r="B238" i="31"/>
  <c r="B195" i="31"/>
  <c r="B131" i="31"/>
  <c r="B62" i="31"/>
  <c r="B308" i="31"/>
  <c r="B237" i="31"/>
  <c r="B314" i="30"/>
  <c r="B191" i="31"/>
  <c r="B211" i="31"/>
  <c r="B20" i="31"/>
  <c r="B116" i="31"/>
  <c r="B158" i="30"/>
  <c r="B276" i="30"/>
  <c r="B193" i="31"/>
  <c r="B35" i="31"/>
  <c r="B171" i="31"/>
  <c r="B198" i="32"/>
  <c r="B273" i="32"/>
  <c r="B293" i="32"/>
  <c r="B17" i="32"/>
  <c r="B153" i="32"/>
  <c r="B201" i="32"/>
  <c r="B132" i="32"/>
  <c r="B155" i="33"/>
  <c r="B210" i="33"/>
  <c r="B273" i="33"/>
  <c r="B293" i="33"/>
  <c r="B22" i="33"/>
  <c r="AP142" i="1"/>
  <c r="B180" i="34"/>
  <c r="P142" i="1"/>
  <c r="B151" i="30"/>
  <c r="B179" i="30"/>
  <c r="AC12" i="1"/>
  <c r="P12" i="1"/>
  <c r="B83" i="31"/>
  <c r="B196" i="31"/>
  <c r="B16" i="31"/>
  <c r="B109" i="31"/>
  <c r="Q7" i="1"/>
  <c r="B16" i="30"/>
  <c r="B30" i="30"/>
  <c r="B196" i="30"/>
  <c r="P123" i="1"/>
  <c r="AP139" i="1"/>
  <c r="B42" i="34"/>
  <c r="B307" i="30"/>
  <c r="B273" i="31"/>
  <c r="AP9" i="1"/>
  <c r="B132" i="30"/>
  <c r="B109" i="30"/>
  <c r="B173" i="31"/>
  <c r="P138" i="1"/>
  <c r="B128" i="30"/>
  <c r="B273" i="30"/>
  <c r="B61" i="30"/>
  <c r="B89" i="30"/>
  <c r="P141" i="1"/>
  <c r="AP141" i="1"/>
  <c r="B134" i="34"/>
  <c r="P137" i="1"/>
  <c r="AP137" i="1"/>
  <c r="B135" i="32"/>
  <c r="P147" i="1"/>
  <c r="AP147" i="1"/>
  <c r="B42" i="38"/>
  <c r="P93" i="1"/>
  <c r="AP143" i="1"/>
  <c r="B42" i="36"/>
  <c r="P143" i="1"/>
  <c r="AP128" i="1"/>
  <c r="P128" i="1"/>
  <c r="AP134" i="1"/>
  <c r="P134" i="1"/>
  <c r="AP86" i="1"/>
  <c r="B88" i="40"/>
  <c r="P86" i="1"/>
  <c r="AP97" i="1"/>
  <c r="B42" i="43"/>
  <c r="P97" i="1"/>
  <c r="AP100" i="1"/>
  <c r="B180" i="43"/>
  <c r="P100" i="1"/>
  <c r="AP92" i="1"/>
  <c r="B180" i="42"/>
  <c r="P92" i="1"/>
  <c r="AP95" i="1"/>
  <c r="B134" i="41"/>
  <c r="P95" i="1"/>
  <c r="P131" i="1"/>
  <c r="AP131" i="1"/>
  <c r="AP121" i="1"/>
  <c r="P121" i="1"/>
  <c r="P125" i="1"/>
  <c r="AP125" i="1"/>
  <c r="P132" i="1"/>
  <c r="AP132" i="1"/>
  <c r="P13" i="1"/>
  <c r="P89" i="1"/>
  <c r="AP48" i="1"/>
  <c r="B87" i="47"/>
  <c r="P48" i="1"/>
  <c r="AP46" i="1"/>
  <c r="B177" i="45"/>
  <c r="P46" i="1"/>
  <c r="P54" i="1"/>
  <c r="AP54" i="1"/>
  <c r="B177" i="49"/>
  <c r="AP44" i="1"/>
  <c r="B87" i="45"/>
  <c r="P44" i="1"/>
  <c r="P50" i="1"/>
  <c r="AP50" i="1"/>
  <c r="B177" i="47"/>
  <c r="P32" i="1"/>
  <c r="AP52" i="1"/>
  <c r="B87" i="49"/>
  <c r="P52" i="1"/>
  <c r="AP40" i="1"/>
  <c r="B87" i="48"/>
  <c r="P40" i="1"/>
  <c r="P42" i="1"/>
  <c r="AP42" i="1"/>
  <c r="B177" i="48"/>
  <c r="AP36" i="1"/>
  <c r="B87" i="46"/>
  <c r="P36" i="1"/>
  <c r="AP14" i="1"/>
  <c r="B177" i="31"/>
  <c r="P14" i="1"/>
  <c r="P9" i="1"/>
  <c r="AL34" i="1"/>
  <c r="B327" i="44"/>
  <c r="CN34" i="1"/>
  <c r="CO34" i="1"/>
  <c r="CP34" i="1"/>
  <c r="CQ34" i="1"/>
  <c r="CR34" i="1"/>
  <c r="CS34" i="1"/>
  <c r="CT34" i="1"/>
  <c r="CU34" i="1"/>
  <c r="AL88" i="1"/>
  <c r="B332" i="40"/>
  <c r="CN88" i="1"/>
  <c r="CO88" i="1"/>
  <c r="CQ88" i="1"/>
  <c r="CR88" i="1"/>
  <c r="CP88" i="1"/>
  <c r="CS88" i="1"/>
  <c r="CT88" i="1"/>
  <c r="CU88" i="1"/>
  <c r="AL96" i="1"/>
  <c r="CR96" i="1"/>
  <c r="CS96" i="1"/>
  <c r="CT96" i="1"/>
  <c r="CU96" i="1"/>
  <c r="CN96" i="1"/>
  <c r="CO96" i="1"/>
  <c r="CP96" i="1"/>
  <c r="CQ96" i="1"/>
  <c r="CW96" i="1"/>
  <c r="B338" i="41"/>
  <c r="AL10" i="1"/>
  <c r="B324" i="30"/>
  <c r="CN10" i="1"/>
  <c r="CO10" i="1"/>
  <c r="CP10" i="1"/>
  <c r="CQ10" i="1"/>
  <c r="CR10" i="1"/>
  <c r="CS10" i="1"/>
  <c r="CT10" i="1"/>
  <c r="CU10" i="1"/>
  <c r="B325" i="30"/>
  <c r="AL124" i="1"/>
  <c r="CR124" i="1"/>
  <c r="CS124" i="1"/>
  <c r="CT124" i="1"/>
  <c r="CU124" i="1"/>
  <c r="CN124" i="1"/>
  <c r="CO124" i="1"/>
  <c r="CP124" i="1"/>
  <c r="CQ124" i="1"/>
  <c r="CW124" i="1"/>
  <c r="AL7" i="1"/>
  <c r="B213" i="30"/>
  <c r="CN7" i="1"/>
  <c r="CO7" i="1"/>
  <c r="CP7" i="1"/>
  <c r="CQ7" i="1"/>
  <c r="CR7" i="1"/>
  <c r="CS7" i="1"/>
  <c r="CT7" i="1"/>
  <c r="CU7" i="1"/>
  <c r="B214" i="30"/>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B258" i="32"/>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B213" i="44"/>
  <c r="CN31" i="1"/>
  <c r="CO31" i="1"/>
  <c r="CP31" i="1"/>
  <c r="CV31" i="1"/>
  <c r="B217" i="44"/>
  <c r="CQ31" i="1"/>
  <c r="CR31" i="1"/>
  <c r="CS31" i="1"/>
  <c r="CT31" i="1"/>
  <c r="CU31" i="1"/>
  <c r="B216" i="44"/>
  <c r="AL133" i="1"/>
  <c r="CR133" i="1"/>
  <c r="CS133" i="1"/>
  <c r="CT133" i="1"/>
  <c r="CU133" i="1"/>
  <c r="CN133" i="1"/>
  <c r="CO133" i="1"/>
  <c r="CP133" i="1"/>
  <c r="CQ133" i="1"/>
  <c r="AL99" i="1"/>
  <c r="B293" i="43"/>
  <c r="CR99" i="1"/>
  <c r="CS99" i="1"/>
  <c r="CT99" i="1"/>
  <c r="CU99" i="1"/>
  <c r="CN99" i="1"/>
  <c r="CO99" i="1"/>
  <c r="CP99" i="1"/>
  <c r="CQ99" i="1"/>
  <c r="CW99" i="1"/>
  <c r="AL37" i="1"/>
  <c r="CN37" i="1"/>
  <c r="CV37" i="1"/>
  <c r="CO37" i="1"/>
  <c r="CP37" i="1"/>
  <c r="CQ37" i="1"/>
  <c r="CR37" i="1"/>
  <c r="CS37" i="1"/>
  <c r="CT37" i="1"/>
  <c r="CU37" i="1"/>
  <c r="AL11" i="1"/>
  <c r="B213" i="31"/>
  <c r="CN11" i="1"/>
  <c r="CO11" i="1"/>
  <c r="CP11" i="1"/>
  <c r="CQ11" i="1"/>
  <c r="CR11" i="1"/>
  <c r="CS11" i="1"/>
  <c r="CT11" i="1"/>
  <c r="CU11" i="1"/>
  <c r="B214" i="31"/>
  <c r="AL53" i="1"/>
  <c r="B288" i="49"/>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B215" i="34"/>
  <c r="CR139" i="1"/>
  <c r="CT139" i="1"/>
  <c r="CU139" i="1"/>
  <c r="CN139" i="1"/>
  <c r="CO139" i="1"/>
  <c r="CP139" i="1"/>
  <c r="CQ139" i="1"/>
  <c r="CS139" i="1"/>
  <c r="AL140" i="1"/>
  <c r="B257" i="34"/>
  <c r="CR140" i="1"/>
  <c r="CU140" i="1"/>
  <c r="B258" i="34"/>
  <c r="CN140" i="1"/>
  <c r="CO140" i="1"/>
  <c r="CP140" i="1"/>
  <c r="CQ140" i="1"/>
  <c r="CS140" i="1"/>
  <c r="CT140" i="1"/>
  <c r="AL45" i="1"/>
  <c r="B289" i="45"/>
  <c r="CN45" i="1"/>
  <c r="CO45" i="1"/>
  <c r="CP45" i="1"/>
  <c r="CQ45" i="1"/>
  <c r="CW45" i="1"/>
  <c r="CR45" i="1"/>
  <c r="CS45" i="1"/>
  <c r="CT45" i="1"/>
  <c r="CU45" i="1"/>
  <c r="AL8" i="1"/>
  <c r="B250" i="30"/>
  <c r="CN8" i="1"/>
  <c r="CO8" i="1"/>
  <c r="CP8" i="1"/>
  <c r="CQ8" i="1"/>
  <c r="CR8" i="1"/>
  <c r="CS8" i="1"/>
  <c r="CT8" i="1"/>
  <c r="CU8" i="1"/>
  <c r="B251" i="30"/>
  <c r="AL51" i="1"/>
  <c r="B212" i="49"/>
  <c r="CN51" i="1"/>
  <c r="CO51" i="1"/>
  <c r="CP51" i="1"/>
  <c r="CQ51" i="1"/>
  <c r="CR51" i="1"/>
  <c r="CS51" i="1"/>
  <c r="CT51" i="1"/>
  <c r="CU51" i="1"/>
  <c r="AL98" i="1"/>
  <c r="B254" i="43"/>
  <c r="CR98" i="1"/>
  <c r="CS98" i="1"/>
  <c r="CT98" i="1"/>
  <c r="CU98" i="1"/>
  <c r="CN98" i="1"/>
  <c r="CV98" i="1"/>
  <c r="CO98" i="1"/>
  <c r="CP98" i="1"/>
  <c r="CQ98" i="1"/>
  <c r="AL49" i="1"/>
  <c r="B288" i="47"/>
  <c r="CN49" i="1"/>
  <c r="CO49" i="1"/>
  <c r="CP49" i="1"/>
  <c r="CQ49" i="1"/>
  <c r="CR49" i="1"/>
  <c r="CS49" i="1"/>
  <c r="CT49" i="1"/>
  <c r="CU49" i="1"/>
  <c r="AL43" i="1"/>
  <c r="B213" i="45"/>
  <c r="CN43" i="1"/>
  <c r="CO43" i="1"/>
  <c r="CP43" i="1"/>
  <c r="CQ43" i="1"/>
  <c r="CR43" i="1"/>
  <c r="CS43" i="1"/>
  <c r="CT43" i="1"/>
  <c r="CU43" i="1"/>
  <c r="AL33" i="1"/>
  <c r="CN33" i="1"/>
  <c r="CO33" i="1"/>
  <c r="CP33" i="1"/>
  <c r="CQ33" i="1"/>
  <c r="CR33" i="1"/>
  <c r="CS33" i="1"/>
  <c r="CT33" i="1"/>
  <c r="CU33" i="1"/>
  <c r="B200" i="32"/>
  <c r="B153" i="38"/>
  <c r="B182" i="38"/>
  <c r="B296" i="38"/>
  <c r="B272" i="48"/>
  <c r="B283" i="48"/>
  <c r="B332" i="41"/>
  <c r="B151" i="46"/>
  <c r="B179" i="46"/>
  <c r="B277" i="42"/>
  <c r="B288" i="42"/>
  <c r="Q150" i="1"/>
  <c r="B107" i="42"/>
  <c r="B136" i="42"/>
  <c r="B106" i="48"/>
  <c r="B134" i="48"/>
  <c r="Q38" i="1"/>
  <c r="B212" i="47"/>
  <c r="B207" i="30"/>
  <c r="B16" i="46"/>
  <c r="B30" i="46"/>
  <c r="B310" i="46"/>
  <c r="B321" i="46"/>
  <c r="B316" i="38"/>
  <c r="Q91" i="1"/>
  <c r="B196" i="46"/>
  <c r="B207" i="46"/>
  <c r="Q41" i="1"/>
  <c r="Q35" i="1"/>
  <c r="B238" i="41"/>
  <c r="B249" i="41"/>
  <c r="B199" i="40"/>
  <c r="B210" i="40"/>
  <c r="B238" i="42"/>
  <c r="B249" i="42"/>
  <c r="B196" i="48"/>
  <c r="B207" i="48"/>
  <c r="B107" i="36"/>
  <c r="B136" i="36"/>
  <c r="B16" i="48"/>
  <c r="B30" i="48"/>
  <c r="B61" i="42"/>
  <c r="B90" i="42"/>
  <c r="B16" i="40"/>
  <c r="B43" i="40"/>
  <c r="B61" i="41"/>
  <c r="B89" i="41"/>
  <c r="Q85" i="1"/>
  <c r="Q94" i="1"/>
  <c r="Q90" i="1"/>
  <c r="Q39" i="1"/>
  <c r="B16" i="32"/>
  <c r="B44" i="32"/>
  <c r="B293" i="40"/>
  <c r="CV10" i="1"/>
  <c r="B326" i="30"/>
  <c r="B133" i="49"/>
  <c r="CV7" i="1"/>
  <c r="B215" i="30"/>
  <c r="CV136" i="1"/>
  <c r="CV88" i="1"/>
  <c r="CV146" i="1"/>
  <c r="CV34" i="1"/>
  <c r="B43" i="45"/>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B136" i="43"/>
  <c r="B182" i="40"/>
  <c r="B43" i="44"/>
  <c r="B181" i="41"/>
  <c r="B90" i="43"/>
  <c r="B120" i="49"/>
  <c r="B283" i="47"/>
  <c r="B30" i="44"/>
  <c r="B284" i="45"/>
  <c r="B207" i="47"/>
  <c r="B322" i="44"/>
  <c r="B288" i="43"/>
  <c r="B283" i="46"/>
  <c r="B120" i="44"/>
  <c r="B178" i="44"/>
  <c r="B120" i="46"/>
  <c r="B327" i="41"/>
  <c r="B75" i="43"/>
  <c r="B249" i="43"/>
  <c r="B30" i="45"/>
  <c r="B208" i="44"/>
  <c r="B120" i="47"/>
  <c r="B120" i="45"/>
  <c r="B30" i="47"/>
  <c r="B207" i="49"/>
  <c r="B284" i="44"/>
  <c r="B208" i="45"/>
  <c r="B283" i="49"/>
  <c r="B76" i="32"/>
  <c r="B288" i="40"/>
  <c r="B327" i="40"/>
  <c r="B90" i="34"/>
  <c r="B250" i="32"/>
  <c r="B318" i="30"/>
  <c r="B207" i="31"/>
  <c r="B75" i="38"/>
  <c r="B30" i="34"/>
  <c r="B153" i="43"/>
  <c r="B316" i="42"/>
  <c r="B327" i="42"/>
  <c r="B16" i="43"/>
  <c r="B151" i="49"/>
  <c r="B134" i="47"/>
  <c r="B133" i="47"/>
  <c r="B134" i="45"/>
  <c r="B133" i="45"/>
  <c r="B310" i="49"/>
  <c r="B321" i="49"/>
  <c r="B61" i="47"/>
  <c r="B234" i="48"/>
  <c r="B245" i="48"/>
  <c r="B151" i="45"/>
  <c r="B108" i="32"/>
  <c r="B44" i="49"/>
  <c r="B43" i="49"/>
  <c r="B199" i="36"/>
  <c r="B90" i="32"/>
  <c r="B91" i="32"/>
  <c r="B16" i="36"/>
  <c r="B153" i="34"/>
  <c r="B30" i="31"/>
  <c r="B316" i="34"/>
  <c r="B154" i="32"/>
  <c r="B316" i="43"/>
  <c r="B327" i="43"/>
  <c r="B61" i="49"/>
  <c r="B235" i="45"/>
  <c r="B246" i="45"/>
  <c r="B234" i="46"/>
  <c r="B245" i="46"/>
  <c r="B234" i="47"/>
  <c r="B245" i="47"/>
  <c r="B107" i="41"/>
  <c r="B16" i="38"/>
  <c r="B151" i="48"/>
  <c r="B182" i="36"/>
  <c r="B181" i="36"/>
  <c r="B61" i="45"/>
  <c r="B234" i="49"/>
  <c r="B245" i="49"/>
  <c r="B16" i="42"/>
  <c r="B61" i="40"/>
  <c r="B310" i="48"/>
  <c r="B321" i="48"/>
  <c r="B311" i="45"/>
  <c r="B322" i="45"/>
  <c r="B30" i="49"/>
  <c r="B134" i="44"/>
  <c r="B133" i="44"/>
  <c r="B310" i="47"/>
  <c r="B321" i="47"/>
  <c r="B61" i="44"/>
  <c r="B136" i="40"/>
  <c r="B135" i="40"/>
  <c r="B199" i="41"/>
  <c r="B210" i="41"/>
  <c r="B89" i="38"/>
  <c r="B90" i="38"/>
  <c r="B317" i="32"/>
  <c r="B238" i="36"/>
  <c r="B235" i="44"/>
  <c r="B246" i="44"/>
  <c r="B61" i="48"/>
  <c r="B61" i="46"/>
  <c r="B277" i="34"/>
  <c r="B107" i="34"/>
  <c r="B61" i="36"/>
  <c r="B75" i="36"/>
  <c r="B199" i="38"/>
  <c r="B277" i="41"/>
  <c r="B288" i="41"/>
  <c r="B238" i="40"/>
  <c r="B249" i="40"/>
  <c r="B151" i="47"/>
  <c r="B134" i="46"/>
  <c r="B133" i="46"/>
  <c r="B136" i="38"/>
  <c r="B135" i="38"/>
  <c r="B278" i="32"/>
  <c r="B289" i="32"/>
  <c r="B44" i="34"/>
  <c r="B43" i="34"/>
  <c r="B16" i="41"/>
  <c r="B43" i="47"/>
  <c r="B44" i="47"/>
  <c r="B153" i="42"/>
  <c r="B178" i="30"/>
  <c r="B44" i="31"/>
  <c r="B43" i="31"/>
  <c r="B165" i="30"/>
  <c r="B75" i="30"/>
  <c r="Q9" i="1"/>
  <c r="B270" i="30"/>
  <c r="B281" i="30"/>
  <c r="B106" i="30"/>
  <c r="Q14" i="1"/>
  <c r="B151" i="31"/>
  <c r="B307" i="31"/>
  <c r="B318" i="31"/>
  <c r="AP12" i="1"/>
  <c r="B87" i="31"/>
  <c r="B64" i="31"/>
  <c r="B236" i="31"/>
  <c r="B44" i="30"/>
  <c r="B43" i="30"/>
  <c r="Q12" i="1"/>
  <c r="B61" i="31"/>
  <c r="B233" i="31"/>
  <c r="Q13" i="1"/>
  <c r="B106" i="31"/>
  <c r="B270" i="31"/>
  <c r="B281" i="31"/>
  <c r="B88" i="30"/>
  <c r="B292" i="46"/>
  <c r="CW136" i="1"/>
  <c r="CV130" i="1"/>
  <c r="CW7" i="1"/>
  <c r="B216" i="30"/>
  <c r="CW88" i="1"/>
  <c r="CW34" i="1"/>
  <c r="CW8" i="1"/>
  <c r="B253" i="30"/>
  <c r="CW148" i="1"/>
  <c r="B178" i="46"/>
  <c r="B297" i="40"/>
  <c r="B291" i="46"/>
  <c r="CV140" i="1"/>
  <c r="CV139" i="1"/>
  <c r="CW11" i="1"/>
  <c r="B216" i="31"/>
  <c r="CW31" i="1"/>
  <c r="CW146" i="1"/>
  <c r="CV120" i="1"/>
  <c r="CV129" i="1"/>
  <c r="CV122" i="1"/>
  <c r="CV49" i="1"/>
  <c r="CV8" i="1"/>
  <c r="B252" i="30"/>
  <c r="CV45" i="1"/>
  <c r="B293" i="45"/>
  <c r="CW87" i="1"/>
  <c r="CV47" i="1"/>
  <c r="B216" i="47"/>
  <c r="CV53" i="1"/>
  <c r="CV11" i="1"/>
  <c r="B215" i="31"/>
  <c r="B292" i="45"/>
  <c r="CW98" i="1"/>
  <c r="B260" i="43"/>
  <c r="CV124" i="1"/>
  <c r="CW10" i="1"/>
  <c r="B327" i="30"/>
  <c r="CV96" i="1"/>
  <c r="CW49" i="1"/>
  <c r="CW120" i="1"/>
  <c r="CW149" i="1"/>
  <c r="CW133" i="1"/>
  <c r="CW47" i="1"/>
  <c r="CW53" i="1"/>
  <c r="B293" i="49"/>
  <c r="CV133" i="1"/>
  <c r="B297" i="43"/>
  <c r="B336" i="41"/>
  <c r="B215" i="47"/>
  <c r="B336" i="40"/>
  <c r="B258" i="43"/>
  <c r="B259" i="32"/>
  <c r="CV148" i="1"/>
  <c r="CW37" i="1"/>
  <c r="CV99" i="1"/>
  <c r="B135" i="36"/>
  <c r="B289" i="44"/>
  <c r="CW43" i="1"/>
  <c r="CW51" i="1"/>
  <c r="CV87" i="1"/>
  <c r="B120" i="48"/>
  <c r="B291" i="47"/>
  <c r="CV43" i="1"/>
  <c r="B335" i="36"/>
  <c r="CV33" i="1"/>
  <c r="B293" i="44"/>
  <c r="CW140" i="1"/>
  <c r="CW139" i="1"/>
  <c r="CV126" i="1"/>
  <c r="B135" i="42"/>
  <c r="CV51" i="1"/>
  <c r="CV149" i="1"/>
  <c r="B219" i="34"/>
  <c r="B336" i="36"/>
  <c r="B330" i="44"/>
  <c r="B215" i="49"/>
  <c r="B258" i="38"/>
  <c r="B297" i="38"/>
  <c r="B291" i="49"/>
  <c r="B292" i="44"/>
  <c r="B257" i="38"/>
  <c r="AL143" i="1"/>
  <c r="B215" i="36"/>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B287" i="30"/>
  <c r="CN9" i="1"/>
  <c r="CO9" i="1"/>
  <c r="CP9" i="1"/>
  <c r="CQ9" i="1"/>
  <c r="CR9" i="1"/>
  <c r="CS9" i="1"/>
  <c r="CT9" i="1"/>
  <c r="CU9" i="1"/>
  <c r="B288" i="30"/>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B330" i="45"/>
  <c r="B30" i="40"/>
  <c r="B133" i="48"/>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B216" i="45"/>
  <c r="AL90" i="1"/>
  <c r="B254" i="42"/>
  <c r="CR90" i="1"/>
  <c r="CS90" i="1"/>
  <c r="CT90" i="1"/>
  <c r="CU90" i="1"/>
  <c r="CN90" i="1"/>
  <c r="CO90" i="1"/>
  <c r="CP90" i="1"/>
  <c r="CQ90" i="1"/>
  <c r="AL97" i="1"/>
  <c r="CR97" i="1"/>
  <c r="CS97" i="1"/>
  <c r="CT97" i="1"/>
  <c r="CU97" i="1"/>
  <c r="CN97" i="1"/>
  <c r="CO97" i="1"/>
  <c r="CP97" i="1"/>
  <c r="CQ97" i="1"/>
  <c r="AL100" i="1"/>
  <c r="B332" i="43"/>
  <c r="CR100" i="1"/>
  <c r="CS100" i="1"/>
  <c r="CT100" i="1"/>
  <c r="CU100" i="1"/>
  <c r="CN100" i="1"/>
  <c r="CO100" i="1"/>
  <c r="CP100" i="1"/>
  <c r="CQ100" i="1"/>
  <c r="AL36" i="1"/>
  <c r="B250" i="46"/>
  <c r="CN36" i="1"/>
  <c r="CO36" i="1"/>
  <c r="CP36" i="1"/>
  <c r="CQ36" i="1"/>
  <c r="CR36" i="1"/>
  <c r="CS36" i="1"/>
  <c r="CT36" i="1"/>
  <c r="CU36" i="1"/>
  <c r="AL123" i="1"/>
  <c r="CR123" i="1"/>
  <c r="CS123" i="1"/>
  <c r="CT123" i="1"/>
  <c r="CU123" i="1"/>
  <c r="CN123" i="1"/>
  <c r="CO123" i="1"/>
  <c r="CP123" i="1"/>
  <c r="CQ123" i="1"/>
  <c r="AL13" i="1"/>
  <c r="B287" i="31"/>
  <c r="CN13" i="1"/>
  <c r="CO13" i="1"/>
  <c r="CP13" i="1"/>
  <c r="CQ13" i="1"/>
  <c r="CR13" i="1"/>
  <c r="CS13" i="1"/>
  <c r="CT13" i="1"/>
  <c r="CU13" i="1"/>
  <c r="B288" i="31"/>
  <c r="B181" i="38"/>
  <c r="AL44" i="1"/>
  <c r="CN44" i="1"/>
  <c r="CO44" i="1"/>
  <c r="CP44" i="1"/>
  <c r="CQ44" i="1"/>
  <c r="CR44" i="1"/>
  <c r="CS44" i="1"/>
  <c r="CT44" i="1"/>
  <c r="CU44" i="1"/>
  <c r="AL48" i="1"/>
  <c r="B250" i="47"/>
  <c r="CN48" i="1"/>
  <c r="CO48" i="1"/>
  <c r="CP48" i="1"/>
  <c r="CQ48" i="1"/>
  <c r="CR48" i="1"/>
  <c r="CS48" i="1"/>
  <c r="CT48" i="1"/>
  <c r="CU48" i="1"/>
  <c r="AL135" i="1"/>
  <c r="B219" i="32"/>
  <c r="CR135" i="1"/>
  <c r="CW135" i="1"/>
  <c r="CT135" i="1"/>
  <c r="CU135" i="1"/>
  <c r="CN135" i="1"/>
  <c r="CO135" i="1"/>
  <c r="CP135" i="1"/>
  <c r="CQ135" i="1"/>
  <c r="CS135" i="1"/>
  <c r="AL86" i="1"/>
  <c r="CN86" i="1"/>
  <c r="CO86" i="1"/>
  <c r="CQ86" i="1"/>
  <c r="CR86" i="1"/>
  <c r="CT86" i="1"/>
  <c r="CU86" i="1"/>
  <c r="CP86" i="1"/>
  <c r="CS86" i="1"/>
  <c r="AL94" i="1"/>
  <c r="B254" i="4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B288" i="46"/>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B293" i="41"/>
  <c r="CR95" i="1"/>
  <c r="CS95" i="1"/>
  <c r="CT95" i="1"/>
  <c r="CU95" i="1"/>
  <c r="CN95" i="1"/>
  <c r="CO95" i="1"/>
  <c r="CP95" i="1"/>
  <c r="CQ95" i="1"/>
  <c r="AL50" i="1"/>
  <c r="B326" i="47"/>
  <c r="CN50" i="1"/>
  <c r="CO50" i="1"/>
  <c r="CP50" i="1"/>
  <c r="CQ50" i="1"/>
  <c r="CR50" i="1"/>
  <c r="CS50" i="1"/>
  <c r="CT50" i="1"/>
  <c r="CU50" i="1"/>
  <c r="AL127" i="1"/>
  <c r="CR127" i="1"/>
  <c r="CS127" i="1"/>
  <c r="CT127" i="1"/>
  <c r="CU127" i="1"/>
  <c r="CN127" i="1"/>
  <c r="CO127" i="1"/>
  <c r="CP127" i="1"/>
  <c r="CQ127" i="1"/>
  <c r="AL147" i="1"/>
  <c r="B215" i="38"/>
  <c r="CR147" i="1"/>
  <c r="CN147" i="1"/>
  <c r="CO147" i="1"/>
  <c r="CP147" i="1"/>
  <c r="CQ147" i="1"/>
  <c r="CS147" i="1"/>
  <c r="CT147" i="1"/>
  <c r="CU147" i="1"/>
  <c r="AL132" i="1"/>
  <c r="CR132" i="1"/>
  <c r="CS132" i="1"/>
  <c r="CT132" i="1"/>
  <c r="CU132" i="1"/>
  <c r="CN132" i="1"/>
  <c r="CO132" i="1"/>
  <c r="CP132" i="1"/>
  <c r="CQ132" i="1"/>
  <c r="AL12" i="1"/>
  <c r="B250" i="31"/>
  <c r="CN12" i="1"/>
  <c r="CO12" i="1"/>
  <c r="CP12" i="1"/>
  <c r="CQ12" i="1"/>
  <c r="CR12" i="1"/>
  <c r="CS12" i="1"/>
  <c r="CT12" i="1"/>
  <c r="CU12" i="1"/>
  <c r="B251" i="31"/>
  <c r="AL14" i="1"/>
  <c r="B324" i="31"/>
  <c r="CN14" i="1"/>
  <c r="CO14" i="1"/>
  <c r="CP14" i="1"/>
  <c r="CQ14" i="1"/>
  <c r="CR14" i="1"/>
  <c r="CS14" i="1"/>
  <c r="CT14" i="1"/>
  <c r="CU14" i="1"/>
  <c r="B325" i="31"/>
  <c r="AL119" i="1"/>
  <c r="CR119" i="1"/>
  <c r="CS119" i="1"/>
  <c r="CT119" i="1"/>
  <c r="CU119" i="1"/>
  <c r="CN119" i="1"/>
  <c r="CO119" i="1"/>
  <c r="CP119" i="1"/>
  <c r="CQ119" i="1"/>
  <c r="AL145" i="1"/>
  <c r="CR145" i="1"/>
  <c r="CU145" i="1"/>
  <c r="B297" i="36"/>
  <c r="CN145" i="1"/>
  <c r="CO145" i="1"/>
  <c r="CP145" i="1"/>
  <c r="CQ145" i="1"/>
  <c r="CS145" i="1"/>
  <c r="CT145" i="1"/>
  <c r="AL144" i="1"/>
  <c r="B257" i="36"/>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B297" i="32"/>
  <c r="CR137" i="1"/>
  <c r="CT137" i="1"/>
  <c r="CU137" i="1"/>
  <c r="CN137" i="1"/>
  <c r="CO137" i="1"/>
  <c r="CV137" i="1"/>
  <c r="CP137" i="1"/>
  <c r="CQ137" i="1"/>
  <c r="CS137" i="1"/>
  <c r="AL142" i="1"/>
  <c r="B335" i="34"/>
  <c r="CR142" i="1"/>
  <c r="CN142" i="1"/>
  <c r="CO142" i="1"/>
  <c r="CP142" i="1"/>
  <c r="CQ142" i="1"/>
  <c r="CS142" i="1"/>
  <c r="CT142" i="1"/>
  <c r="CU142" i="1"/>
  <c r="AL92" i="1"/>
  <c r="CR92" i="1"/>
  <c r="CS92" i="1"/>
  <c r="CT92" i="1"/>
  <c r="CU92" i="1"/>
  <c r="CN92" i="1"/>
  <c r="CO92" i="1"/>
  <c r="CP92" i="1"/>
  <c r="CQ92" i="1"/>
  <c r="AL52" i="1"/>
  <c r="B250" i="49"/>
  <c r="CN52" i="1"/>
  <c r="CO52" i="1"/>
  <c r="CP52" i="1"/>
  <c r="CQ52" i="1"/>
  <c r="CR52" i="1"/>
  <c r="CS52" i="1"/>
  <c r="CT52" i="1"/>
  <c r="CU52" i="1"/>
  <c r="AL150" i="1"/>
  <c r="B335" i="38"/>
  <c r="CR150" i="1"/>
  <c r="CO150" i="1"/>
  <c r="CP150" i="1"/>
  <c r="CN150" i="1"/>
  <c r="CQ150" i="1"/>
  <c r="CS150" i="1"/>
  <c r="CT150" i="1"/>
  <c r="CU150" i="1"/>
  <c r="B43" i="48"/>
  <c r="B44" i="46"/>
  <c r="B44" i="48"/>
  <c r="B43" i="46"/>
  <c r="B89" i="42"/>
  <c r="CW91" i="1"/>
  <c r="B299" i="42"/>
  <c r="CV41" i="1"/>
  <c r="B217" i="45"/>
  <c r="B44" i="40"/>
  <c r="CV90" i="1"/>
  <c r="B259" i="42"/>
  <c r="B217" i="49"/>
  <c r="CV38" i="1"/>
  <c r="CV91" i="1"/>
  <c r="B293" i="42"/>
  <c r="CW90" i="1"/>
  <c r="B326" i="46"/>
  <c r="CW33" i="1"/>
  <c r="B294" i="44"/>
  <c r="B288" i="48"/>
  <c r="B75" i="41"/>
  <c r="B90" i="41"/>
  <c r="CW39" i="1"/>
  <c r="B217" i="48"/>
  <c r="B212" i="46"/>
  <c r="B75" i="42"/>
  <c r="B45" i="32"/>
  <c r="B30" i="32"/>
  <c r="CV46" i="1"/>
  <c r="B331" i="45"/>
  <c r="CV39" i="1"/>
  <c r="B216" i="48"/>
  <c r="B215" i="40"/>
  <c r="B212" i="48"/>
  <c r="B221" i="34"/>
  <c r="B218" i="45"/>
  <c r="CV85" i="1"/>
  <c r="CV121" i="1"/>
  <c r="CV44" i="1"/>
  <c r="B255" i="45"/>
  <c r="CV40" i="1"/>
  <c r="B254" i="48"/>
  <c r="CW100" i="1"/>
  <c r="B338" i="43"/>
  <c r="CV125" i="1"/>
  <c r="CV100" i="1"/>
  <c r="CV13" i="1"/>
  <c r="B289" i="31"/>
  <c r="CV128" i="1"/>
  <c r="CV131" i="1"/>
  <c r="B259" i="34"/>
  <c r="CV97" i="1"/>
  <c r="CV127" i="1"/>
  <c r="CV36" i="1"/>
  <c r="B254" i="46"/>
  <c r="CV123" i="1"/>
  <c r="B337" i="41"/>
  <c r="CW95" i="1"/>
  <c r="B293" i="47"/>
  <c r="B260" i="34"/>
  <c r="CV135" i="1"/>
  <c r="B221" i="32"/>
  <c r="B261" i="32"/>
  <c r="CV86" i="1"/>
  <c r="B259" i="40"/>
  <c r="CW36" i="1"/>
  <c r="CV12" i="1"/>
  <c r="B252" i="31"/>
  <c r="B217" i="47"/>
  <c r="CW89" i="1"/>
  <c r="CW147" i="1"/>
  <c r="B299" i="40"/>
  <c r="CW50" i="1"/>
  <c r="CW54" i="1"/>
  <c r="CW9" i="1"/>
  <c r="B290" i="30"/>
  <c r="B299" i="38"/>
  <c r="B338" i="40"/>
  <c r="CV9" i="1"/>
  <c r="B289" i="30"/>
  <c r="B293" i="46"/>
  <c r="B259" i="38"/>
  <c r="CW46" i="1"/>
  <c r="B216" i="49"/>
  <c r="B292" i="47"/>
  <c r="B298" i="38"/>
  <c r="CW13" i="1"/>
  <c r="B290" i="31"/>
  <c r="CW97" i="1"/>
  <c r="CW121" i="1"/>
  <c r="B337" i="36"/>
  <c r="B294" i="45"/>
  <c r="B218" i="44"/>
  <c r="B259" i="43"/>
  <c r="CW143" i="1"/>
  <c r="CW44" i="1"/>
  <c r="B258" i="36"/>
  <c r="B260" i="38"/>
  <c r="CV143" i="1"/>
  <c r="CV32" i="1"/>
  <c r="B331" i="44"/>
  <c r="CW42" i="1"/>
  <c r="CW134" i="1"/>
  <c r="B338" i="36"/>
  <c r="B292" i="49"/>
  <c r="B298" i="40"/>
  <c r="B299" i="43"/>
  <c r="B332" i="44"/>
  <c r="B298" i="43"/>
  <c r="CW131" i="1"/>
  <c r="CW48" i="1"/>
  <c r="B254" i="45"/>
  <c r="B337" i="40"/>
  <c r="B260" i="32"/>
  <c r="CW32" i="1"/>
  <c r="CW123" i="1"/>
  <c r="B220" i="34"/>
  <c r="B254" i="40"/>
  <c r="B251" i="45"/>
  <c r="B296" i="34"/>
  <c r="B250" i="48"/>
  <c r="B215" i="41"/>
  <c r="B251" i="44"/>
  <c r="B336" i="32"/>
  <c r="B327" i="45"/>
  <c r="B326" i="48"/>
  <c r="B296" i="36"/>
  <c r="B179" i="47"/>
  <c r="B178" i="47"/>
  <c r="B135" i="34"/>
  <c r="B136" i="34"/>
  <c r="B88" i="44"/>
  <c r="B75" i="44"/>
  <c r="B89" i="44"/>
  <c r="B90" i="40"/>
  <c r="B75" i="40"/>
  <c r="B89" i="40"/>
  <c r="B43" i="38"/>
  <c r="B44" i="38"/>
  <c r="B30" i="38"/>
  <c r="B44" i="36"/>
  <c r="B43" i="36"/>
  <c r="B179" i="45"/>
  <c r="B178" i="45"/>
  <c r="B43" i="41"/>
  <c r="B44" i="41"/>
  <c r="B89" i="48"/>
  <c r="B88" i="48"/>
  <c r="B75" i="48"/>
  <c r="B179" i="48"/>
  <c r="B178" i="48"/>
  <c r="B30" i="41"/>
  <c r="B136" i="32"/>
  <c r="B137" i="32"/>
  <c r="B88" i="47"/>
  <c r="B75" i="47"/>
  <c r="B89" i="47"/>
  <c r="B179" i="49"/>
  <c r="B178" i="49"/>
  <c r="B182" i="43"/>
  <c r="B181" i="43"/>
  <c r="B89" i="45"/>
  <c r="B88" i="45"/>
  <c r="B75" i="45"/>
  <c r="B136" i="41"/>
  <c r="B135" i="41"/>
  <c r="B88" i="49"/>
  <c r="B75" i="49"/>
  <c r="B89" i="49"/>
  <c r="B182" i="32"/>
  <c r="B183" i="32"/>
  <c r="B182" i="42"/>
  <c r="B181" i="42"/>
  <c r="B89" i="36"/>
  <c r="B90" i="36"/>
  <c r="B89" i="46"/>
  <c r="B88" i="46"/>
  <c r="B75" i="46"/>
  <c r="B44" i="42"/>
  <c r="B43" i="42"/>
  <c r="B30" i="42"/>
  <c r="B182" i="34"/>
  <c r="B181" i="34"/>
  <c r="B30" i="43"/>
  <c r="B44" i="43"/>
  <c r="B43" i="43"/>
  <c r="B30" i="36"/>
  <c r="B244" i="31"/>
  <c r="B88" i="31"/>
  <c r="B89" i="31"/>
  <c r="B75" i="31"/>
  <c r="B179" i="31"/>
  <c r="B178" i="31"/>
  <c r="B165" i="31"/>
  <c r="B133" i="30"/>
  <c r="B120" i="30"/>
  <c r="B134" i="30"/>
  <c r="B134" i="31"/>
  <c r="B133" i="31"/>
  <c r="B120" i="31"/>
  <c r="B220" i="32"/>
  <c r="CV14" i="1"/>
  <c r="B326" i="31"/>
  <c r="CV50" i="1"/>
  <c r="CV138" i="1"/>
  <c r="B338" i="32"/>
  <c r="CV42" i="1"/>
  <c r="CW137" i="1"/>
  <c r="CW141" i="1"/>
  <c r="CW144" i="1"/>
  <c r="CW119" i="1"/>
  <c r="CW92" i="1"/>
  <c r="CW132" i="1"/>
  <c r="CW127" i="1"/>
  <c r="CW125" i="1"/>
  <c r="CW85" i="1"/>
  <c r="B221" i="40"/>
  <c r="CV144" i="1"/>
  <c r="B259" i="36"/>
  <c r="CW145" i="1"/>
  <c r="CV119" i="1"/>
  <c r="CW14" i="1"/>
  <c r="B327" i="31"/>
  <c r="CW12" i="1"/>
  <c r="B253" i="31"/>
  <c r="CV132" i="1"/>
  <c r="CV48" i="1"/>
  <c r="CV93" i="1"/>
  <c r="CW40" i="1"/>
  <c r="CV89" i="1"/>
  <c r="CW128" i="1"/>
  <c r="B258" i="41"/>
  <c r="CW41" i="1"/>
  <c r="B293" i="48"/>
  <c r="CW38" i="1"/>
  <c r="CW35" i="1"/>
  <c r="CV94" i="1"/>
  <c r="CW86" i="1"/>
  <c r="B332" i="42"/>
  <c r="B326" i="49"/>
  <c r="CV54" i="1"/>
  <c r="B330" i="49"/>
  <c r="CV145" i="1"/>
  <c r="CV95" i="1"/>
  <c r="CW138" i="1"/>
  <c r="B339" i="32"/>
  <c r="CW93" i="1"/>
  <c r="CV147" i="1"/>
  <c r="B220" i="38"/>
  <c r="B336" i="43"/>
  <c r="B253" i="49"/>
  <c r="B337" i="32"/>
  <c r="B259" i="41"/>
  <c r="B331" i="46"/>
  <c r="B217" i="46"/>
  <c r="B329" i="47"/>
  <c r="B329" i="48"/>
  <c r="B253" i="46"/>
  <c r="CW150" i="1"/>
  <c r="CV134" i="1"/>
  <c r="CV52" i="1"/>
  <c r="CW142" i="1"/>
  <c r="B330" i="46"/>
  <c r="B297" i="34"/>
  <c r="B298" i="32"/>
  <c r="B219" i="40"/>
  <c r="B253" i="47"/>
  <c r="B292" i="48"/>
  <c r="CW52" i="1"/>
  <c r="CV92" i="1"/>
  <c r="CW94" i="1"/>
  <c r="CV141" i="1"/>
  <c r="B298" i="34"/>
  <c r="CV142" i="1"/>
  <c r="B337" i="34"/>
  <c r="B297" i="41"/>
  <c r="B336" i="34"/>
  <c r="B336" i="38"/>
  <c r="B215" i="46"/>
  <c r="B219" i="41"/>
  <c r="B219" i="38"/>
  <c r="B329" i="49"/>
  <c r="B336" i="42"/>
  <c r="B215" i="48"/>
  <c r="B253" i="48"/>
  <c r="B258" i="40"/>
  <c r="B254" i="44"/>
  <c r="B219" i="36"/>
  <c r="B297" i="42"/>
  <c r="CV150" i="1"/>
  <c r="B258" i="42"/>
  <c r="B291" i="48"/>
  <c r="B329" i="46"/>
  <c r="CV35" i="1"/>
  <c r="B338" i="38"/>
  <c r="B260" i="42"/>
  <c r="B298" i="42"/>
  <c r="B255" i="46"/>
  <c r="B330" i="47"/>
  <c r="B337" i="43"/>
  <c r="B299" i="41"/>
  <c r="B260" i="36"/>
  <c r="B220" i="40"/>
  <c r="B255" i="47"/>
  <c r="B330" i="48"/>
  <c r="B255" i="48"/>
  <c r="B221" i="38"/>
  <c r="B220" i="36"/>
  <c r="B221" i="41"/>
  <c r="B300" i="32"/>
  <c r="B260" i="40"/>
  <c r="B255" i="44"/>
  <c r="B256" i="45"/>
  <c r="B331" i="48"/>
  <c r="B298" i="41"/>
  <c r="B338" i="34"/>
  <c r="B221" i="36"/>
  <c r="B298" i="36"/>
  <c r="B222" i="32"/>
  <c r="B255" i="49"/>
  <c r="B338" i="42"/>
  <c r="B332" i="45"/>
  <c r="B299" i="34"/>
  <c r="B331" i="47"/>
  <c r="B256" i="44"/>
  <c r="B254" i="47"/>
  <c r="B331" i="49"/>
  <c r="B299" i="36"/>
  <c r="B299" i="32"/>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B220" i="41"/>
  <c r="B337" i="42"/>
  <c r="B254" i="49"/>
  <c r="B260" i="41"/>
  <c r="B216" i="46"/>
  <c r="B337" i="38"/>
  <c r="AK19" i="1"/>
  <c r="H178" i="6"/>
  <c r="D178" i="6"/>
  <c r="C178" i="6"/>
  <c r="A178" i="6"/>
  <c r="H133" i="6"/>
  <c r="D133" i="6"/>
  <c r="C133" i="6"/>
  <c r="A133" i="6"/>
  <c r="H88" i="6"/>
  <c r="D88" i="6"/>
  <c r="C88" i="6"/>
  <c r="A88" i="6"/>
  <c r="C43" i="6"/>
  <c r="H43" i="6"/>
  <c r="D43" i="6"/>
  <c r="A43" i="6"/>
  <c r="U81" i="1"/>
  <c r="L300" i="7"/>
  <c r="L299" i="7"/>
  <c r="L298" i="7"/>
  <c r="L297" i="7"/>
  <c r="L296" i="7"/>
  <c r="L295" i="7"/>
  <c r="L294" i="7"/>
  <c r="L293" i="7"/>
  <c r="L292" i="7"/>
  <c r="L291" i="7"/>
  <c r="L290" i="7"/>
  <c r="L289" i="7"/>
  <c r="L288" i="7"/>
  <c r="L287" i="7"/>
  <c r="L286" i="7"/>
  <c r="L253" i="7"/>
  <c r="B217" i="19"/>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B213" i="10"/>
  <c r="L156" i="7"/>
  <c r="L155" i="7"/>
  <c r="L154" i="7"/>
  <c r="B252" i="9"/>
  <c r="L153" i="7"/>
  <c r="L152" i="7"/>
  <c r="L151" i="7"/>
  <c r="L150" i="7"/>
  <c r="L149" i="7"/>
  <c r="L140" i="7"/>
  <c r="L139" i="7"/>
  <c r="L138" i="7"/>
  <c r="L137" i="7"/>
  <c r="H338" i="29"/>
  <c r="D338" i="29"/>
  <c r="C338" i="29"/>
  <c r="A338" i="29"/>
  <c r="H337" i="29"/>
  <c r="D337" i="29"/>
  <c r="C337" i="29"/>
  <c r="A337" i="29"/>
  <c r="H336" i="29"/>
  <c r="D336" i="29"/>
  <c r="C336" i="29"/>
  <c r="A336" i="29"/>
  <c r="H335" i="29"/>
  <c r="D335" i="29"/>
  <c r="C335" i="29"/>
  <c r="A335" i="29"/>
  <c r="H334" i="29"/>
  <c r="D334" i="29"/>
  <c r="C334" i="29"/>
  <c r="A334" i="29"/>
  <c r="H333" i="29"/>
  <c r="D333" i="29"/>
  <c r="C333" i="29"/>
  <c r="A333" i="29"/>
  <c r="H332" i="29"/>
  <c r="D332" i="29"/>
  <c r="C332" i="29"/>
  <c r="A332" i="29"/>
  <c r="C331" i="29"/>
  <c r="C330" i="29"/>
  <c r="B307" i="29"/>
  <c r="H330" i="29"/>
  <c r="H331" i="29"/>
  <c r="A330" i="29"/>
  <c r="A331" i="29"/>
  <c r="H299" i="29"/>
  <c r="D299" i="29"/>
  <c r="C299" i="29"/>
  <c r="A299" i="29"/>
  <c r="H298" i="29"/>
  <c r="D298" i="29"/>
  <c r="C298" i="29"/>
  <c r="A298" i="29"/>
  <c r="H297" i="29"/>
  <c r="D297" i="29"/>
  <c r="C297" i="29"/>
  <c r="A297" i="29"/>
  <c r="H296" i="29"/>
  <c r="D296" i="29"/>
  <c r="C296" i="29"/>
  <c r="A296" i="29"/>
  <c r="H295" i="29"/>
  <c r="D295" i="29"/>
  <c r="C295" i="29"/>
  <c r="A295" i="29"/>
  <c r="H294" i="29"/>
  <c r="D294" i="29"/>
  <c r="C294" i="29"/>
  <c r="A294" i="29"/>
  <c r="H293" i="29"/>
  <c r="D293" i="29"/>
  <c r="C293" i="29"/>
  <c r="A293" i="29"/>
  <c r="C292" i="29"/>
  <c r="C291" i="29"/>
  <c r="B268" i="29"/>
  <c r="H291" i="29"/>
  <c r="H292" i="29"/>
  <c r="A291" i="29"/>
  <c r="A292" i="29"/>
  <c r="H260" i="29"/>
  <c r="D260" i="29"/>
  <c r="C260" i="29"/>
  <c r="A260" i="29"/>
  <c r="H259" i="29"/>
  <c r="D259" i="29"/>
  <c r="C259" i="29"/>
  <c r="A259" i="29"/>
  <c r="H258" i="29"/>
  <c r="D258" i="29"/>
  <c r="C258" i="29"/>
  <c r="A258" i="29"/>
  <c r="H257" i="29"/>
  <c r="D257" i="29"/>
  <c r="C257" i="29"/>
  <c r="A257" i="29"/>
  <c r="H256" i="29"/>
  <c r="D256" i="29"/>
  <c r="C256" i="29"/>
  <c r="A256" i="29"/>
  <c r="H255" i="29"/>
  <c r="D255" i="29"/>
  <c r="C255" i="29"/>
  <c r="A255" i="29"/>
  <c r="H254" i="29"/>
  <c r="D254" i="29"/>
  <c r="C254" i="29"/>
  <c r="A254" i="29"/>
  <c r="C253" i="29"/>
  <c r="C252" i="29"/>
  <c r="B229" i="29"/>
  <c r="H252" i="29"/>
  <c r="H253" i="29"/>
  <c r="A252" i="29"/>
  <c r="A253" i="29"/>
  <c r="H221" i="29"/>
  <c r="D221" i="29"/>
  <c r="C221" i="29"/>
  <c r="A221" i="29"/>
  <c r="H220" i="29"/>
  <c r="D220" i="29"/>
  <c r="C220" i="29"/>
  <c r="A220" i="29"/>
  <c r="H219" i="29"/>
  <c r="D219" i="29"/>
  <c r="C219" i="29"/>
  <c r="A219" i="29"/>
  <c r="H218" i="29"/>
  <c r="D218" i="29"/>
  <c r="C218" i="29"/>
  <c r="A218" i="29"/>
  <c r="H217" i="29"/>
  <c r="D217" i="29"/>
  <c r="C217" i="29"/>
  <c r="A217" i="29"/>
  <c r="H216" i="29"/>
  <c r="D216" i="29"/>
  <c r="C216" i="29"/>
  <c r="A216" i="29"/>
  <c r="H215" i="29"/>
  <c r="D215" i="29"/>
  <c r="C215" i="29"/>
  <c r="A215" i="29"/>
  <c r="C214" i="29"/>
  <c r="C213" i="29"/>
  <c r="B190" i="29"/>
  <c r="H213" i="29"/>
  <c r="H214" i="29"/>
  <c r="A213" i="29"/>
  <c r="A214" i="29"/>
  <c r="H180" i="29"/>
  <c r="D180" i="29"/>
  <c r="C180" i="29"/>
  <c r="A180" i="29"/>
  <c r="H179" i="29"/>
  <c r="D179" i="29"/>
  <c r="C179" i="29"/>
  <c r="A179" i="29"/>
  <c r="H178" i="29"/>
  <c r="D178" i="29"/>
  <c r="C178" i="29"/>
  <c r="A178" i="29"/>
  <c r="H177" i="29"/>
  <c r="D177" i="29"/>
  <c r="C177" i="29"/>
  <c r="A177" i="29"/>
  <c r="H176" i="29"/>
  <c r="D176" i="29"/>
  <c r="C176" i="29"/>
  <c r="A176" i="29"/>
  <c r="H175" i="29"/>
  <c r="D175" i="29"/>
  <c r="C175" i="29"/>
  <c r="A175" i="29"/>
  <c r="H174" i="29"/>
  <c r="D174" i="29"/>
  <c r="C174" i="29"/>
  <c r="A174" i="29"/>
  <c r="H173" i="29"/>
  <c r="D173" i="29"/>
  <c r="C173" i="29"/>
  <c r="A173" i="29"/>
  <c r="H172" i="29"/>
  <c r="D172" i="29"/>
  <c r="C172" i="29"/>
  <c r="A172" i="29"/>
  <c r="H171" i="29"/>
  <c r="D171" i="29"/>
  <c r="C171" i="29"/>
  <c r="A171" i="29"/>
  <c r="H170" i="29"/>
  <c r="D170" i="29"/>
  <c r="C170" i="29"/>
  <c r="B144" i="29"/>
  <c r="A170" i="29"/>
  <c r="H134" i="29"/>
  <c r="D134" i="29"/>
  <c r="C134" i="29"/>
  <c r="A134" i="29"/>
  <c r="H133" i="29"/>
  <c r="D133" i="29"/>
  <c r="C133" i="29"/>
  <c r="A133" i="29"/>
  <c r="H132" i="29"/>
  <c r="D132" i="29"/>
  <c r="C132" i="29"/>
  <c r="A132" i="29"/>
  <c r="H131" i="29"/>
  <c r="D131" i="29"/>
  <c r="C131" i="29"/>
  <c r="A131" i="29"/>
  <c r="H130" i="29"/>
  <c r="D130" i="29"/>
  <c r="C130" i="29"/>
  <c r="A130" i="29"/>
  <c r="H129" i="29"/>
  <c r="D129" i="29"/>
  <c r="C129" i="29"/>
  <c r="A129" i="29"/>
  <c r="H128" i="29"/>
  <c r="D128" i="29"/>
  <c r="C128" i="29"/>
  <c r="A128" i="29"/>
  <c r="H127" i="29"/>
  <c r="D127" i="29"/>
  <c r="C127" i="29"/>
  <c r="A127" i="29"/>
  <c r="H126" i="29"/>
  <c r="D126" i="29"/>
  <c r="C126" i="29"/>
  <c r="A126" i="29"/>
  <c r="H125" i="29"/>
  <c r="D125" i="29"/>
  <c r="C125" i="29"/>
  <c r="A125" i="29"/>
  <c r="H124" i="29"/>
  <c r="D124" i="29"/>
  <c r="C124" i="29"/>
  <c r="B98" i="29"/>
  <c r="A124" i="29"/>
  <c r="H88" i="29"/>
  <c r="D88" i="29"/>
  <c r="C88" i="29"/>
  <c r="A88" i="29"/>
  <c r="H87" i="29"/>
  <c r="D87" i="29"/>
  <c r="C87" i="29"/>
  <c r="A87" i="29"/>
  <c r="H86" i="29"/>
  <c r="D86" i="29"/>
  <c r="C86" i="29"/>
  <c r="A86" i="29"/>
  <c r="H85" i="29"/>
  <c r="D85" i="29"/>
  <c r="C85" i="29"/>
  <c r="A85" i="29"/>
  <c r="H84" i="29"/>
  <c r="D84" i="29"/>
  <c r="C84" i="29"/>
  <c r="A84" i="29"/>
  <c r="H83" i="29"/>
  <c r="D83" i="29"/>
  <c r="C83" i="29"/>
  <c r="A83" i="29"/>
  <c r="H82" i="29"/>
  <c r="D82" i="29"/>
  <c r="C82" i="29"/>
  <c r="A82" i="29"/>
  <c r="H81" i="29"/>
  <c r="D81" i="29"/>
  <c r="C81" i="29"/>
  <c r="A81" i="29"/>
  <c r="H80" i="29"/>
  <c r="D80" i="29"/>
  <c r="C80" i="29"/>
  <c r="A80" i="29"/>
  <c r="H79" i="29"/>
  <c r="D79" i="29"/>
  <c r="C79" i="29"/>
  <c r="A79" i="29"/>
  <c r="H78" i="29"/>
  <c r="D78" i="29"/>
  <c r="C78" i="29"/>
  <c r="A78" i="29"/>
  <c r="B52" i="29"/>
  <c r="H42" i="29"/>
  <c r="D42" i="29"/>
  <c r="C42" i="29"/>
  <c r="A42" i="29"/>
  <c r="H41" i="29"/>
  <c r="D41" i="29"/>
  <c r="C41" i="29"/>
  <c r="A41" i="29"/>
  <c r="H40" i="29"/>
  <c r="D40" i="29"/>
  <c r="C40" i="29"/>
  <c r="A40" i="29"/>
  <c r="H39" i="29"/>
  <c r="D39" i="29"/>
  <c r="C39" i="29"/>
  <c r="A39" i="29"/>
  <c r="H38" i="29"/>
  <c r="D38" i="29"/>
  <c r="C38" i="29"/>
  <c r="A38" i="29"/>
  <c r="H37" i="29"/>
  <c r="D37" i="29"/>
  <c r="C37" i="29"/>
  <c r="A37" i="29"/>
  <c r="H36" i="29"/>
  <c r="D36" i="29"/>
  <c r="C36" i="29"/>
  <c r="A36" i="29"/>
  <c r="H35" i="29"/>
  <c r="D35" i="29"/>
  <c r="C35" i="29"/>
  <c r="A35" i="29"/>
  <c r="H34" i="29"/>
  <c r="D34" i="29"/>
  <c r="C34" i="29"/>
  <c r="A34" i="29"/>
  <c r="H33" i="29"/>
  <c r="D33" i="29"/>
  <c r="C33" i="29"/>
  <c r="B7" i="29"/>
  <c r="A33" i="29"/>
  <c r="H698" i="28"/>
  <c r="D698" i="28"/>
  <c r="C698" i="28"/>
  <c r="A698" i="28"/>
  <c r="H697" i="28"/>
  <c r="D697" i="28"/>
  <c r="C697" i="28"/>
  <c r="A697" i="28"/>
  <c r="H696" i="28"/>
  <c r="D696" i="28"/>
  <c r="C696" i="28"/>
  <c r="A696" i="28"/>
  <c r="E695" i="28"/>
  <c r="D695" i="28"/>
  <c r="A695" i="28"/>
  <c r="E694" i="28"/>
  <c r="D694" i="28"/>
  <c r="A694" i="28"/>
  <c r="E693" i="28"/>
  <c r="D693" i="28"/>
  <c r="A693" i="28"/>
  <c r="E692" i="28"/>
  <c r="D692" i="28"/>
  <c r="A692" i="28"/>
  <c r="E691" i="28"/>
  <c r="D691" i="28"/>
  <c r="A691" i="28"/>
  <c r="E690" i="28"/>
  <c r="D690" i="28"/>
  <c r="A690" i="28"/>
  <c r="E689" i="28"/>
  <c r="D689" i="28"/>
  <c r="A689" i="28"/>
  <c r="E688" i="28"/>
  <c r="D688" i="28"/>
  <c r="A688" i="28"/>
  <c r="E687" i="28"/>
  <c r="D687" i="28"/>
  <c r="A687" i="28"/>
  <c r="E686" i="28"/>
  <c r="D686" i="28"/>
  <c r="A686" i="28"/>
  <c r="E685" i="28"/>
  <c r="D685" i="28"/>
  <c r="A685" i="28"/>
  <c r="E684" i="28"/>
  <c r="D684" i="28"/>
  <c r="A684" i="28"/>
  <c r="E683" i="28"/>
  <c r="D683" i="28"/>
  <c r="A683" i="28"/>
  <c r="E682" i="28"/>
  <c r="D682" i="28"/>
  <c r="A682" i="28"/>
  <c r="E681" i="28"/>
  <c r="D681" i="28"/>
  <c r="A681" i="28"/>
  <c r="E680" i="28"/>
  <c r="D680" i="28"/>
  <c r="A680" i="28"/>
  <c r="E679" i="28"/>
  <c r="D679" i="28"/>
  <c r="A679" i="28"/>
  <c r="E678" i="28"/>
  <c r="D678" i="28"/>
  <c r="A678" i="28"/>
  <c r="E677" i="28"/>
  <c r="D677" i="28"/>
  <c r="A677" i="28"/>
  <c r="E676" i="28"/>
  <c r="D676" i="28"/>
  <c r="A676" i="28"/>
  <c r="E675" i="28"/>
  <c r="D675" i="28"/>
  <c r="A675" i="28"/>
  <c r="E674" i="28"/>
  <c r="D674" i="28"/>
  <c r="A674" i="28"/>
  <c r="E673" i="28"/>
  <c r="D673" i="28"/>
  <c r="A673" i="28"/>
  <c r="E672" i="28"/>
  <c r="D672" i="28"/>
  <c r="A672" i="28"/>
  <c r="E671" i="28"/>
  <c r="D671" i="28"/>
  <c r="A671" i="28"/>
  <c r="E670" i="28"/>
  <c r="D670" i="28"/>
  <c r="A670" i="28"/>
  <c r="E669" i="28"/>
  <c r="D669" i="28"/>
  <c r="A669" i="28"/>
  <c r="E668" i="28"/>
  <c r="D668" i="28"/>
  <c r="A668" i="28"/>
  <c r="E667" i="28"/>
  <c r="D667" i="28"/>
  <c r="A667" i="28"/>
  <c r="E666" i="28"/>
  <c r="D666" i="28"/>
  <c r="A666" i="28"/>
  <c r="E665" i="28"/>
  <c r="D665" i="28"/>
  <c r="A665" i="28"/>
  <c r="E664" i="28"/>
  <c r="D664" i="28"/>
  <c r="A664" i="28"/>
  <c r="E663" i="28"/>
  <c r="D663" i="28"/>
  <c r="A663" i="28"/>
  <c r="E662" i="28"/>
  <c r="D662" i="28"/>
  <c r="A662" i="28"/>
  <c r="E661" i="28"/>
  <c r="D661" i="28"/>
  <c r="A661" i="28"/>
  <c r="E660" i="28"/>
  <c r="D660" i="28"/>
  <c r="A660" i="28"/>
  <c r="E659" i="28"/>
  <c r="D659" i="28"/>
  <c r="A659" i="28"/>
  <c r="E658" i="28"/>
  <c r="D658" i="28"/>
  <c r="A658" i="28"/>
  <c r="E657" i="28"/>
  <c r="D657" i="28"/>
  <c r="A657" i="28"/>
  <c r="E655" i="28"/>
  <c r="D655" i="28"/>
  <c r="A655" i="28"/>
  <c r="H654" i="28"/>
  <c r="D654" i="28"/>
  <c r="C654" i="28"/>
  <c r="A654" i="28"/>
  <c r="H653" i="28"/>
  <c r="D653" i="28"/>
  <c r="C653" i="28"/>
  <c r="A653" i="28"/>
  <c r="H652" i="28"/>
  <c r="D652" i="28"/>
  <c r="C652" i="28"/>
  <c r="A652" i="28"/>
  <c r="H651" i="28"/>
  <c r="D651" i="28"/>
  <c r="C651" i="28"/>
  <c r="A651" i="28"/>
  <c r="C650" i="28"/>
  <c r="C649" i="28"/>
  <c r="B628" i="28"/>
  <c r="H649" i="28"/>
  <c r="H650" i="28"/>
  <c r="B627" i="28"/>
  <c r="B656" i="28"/>
  <c r="B622" i="28"/>
  <c r="A649" i="28"/>
  <c r="A650" i="28"/>
  <c r="H620" i="28"/>
  <c r="D620" i="28"/>
  <c r="C620" i="28"/>
  <c r="A620" i="28"/>
  <c r="H619" i="28"/>
  <c r="D619" i="28"/>
  <c r="C619" i="28"/>
  <c r="A619" i="28"/>
  <c r="H618" i="28"/>
  <c r="D618" i="28"/>
  <c r="C618" i="28"/>
  <c r="A618" i="28"/>
  <c r="E617" i="28"/>
  <c r="D617" i="28"/>
  <c r="A617" i="28"/>
  <c r="E616" i="28"/>
  <c r="D616" i="28"/>
  <c r="A616" i="28"/>
  <c r="E615" i="28"/>
  <c r="D615" i="28"/>
  <c r="A615" i="28"/>
  <c r="E614" i="28"/>
  <c r="D614" i="28"/>
  <c r="A614" i="28"/>
  <c r="E613" i="28"/>
  <c r="D613" i="28"/>
  <c r="A613" i="28"/>
  <c r="E612" i="28"/>
  <c r="D612" i="28"/>
  <c r="A612" i="28"/>
  <c r="E611" i="28"/>
  <c r="D611" i="28"/>
  <c r="A611" i="28"/>
  <c r="E610" i="28"/>
  <c r="D610" i="28"/>
  <c r="A610" i="28"/>
  <c r="E609" i="28"/>
  <c r="D609" i="28"/>
  <c r="A609" i="28"/>
  <c r="E608" i="28"/>
  <c r="D608" i="28"/>
  <c r="A608" i="28"/>
  <c r="E607" i="28"/>
  <c r="D607" i="28"/>
  <c r="A607" i="28"/>
  <c r="E606" i="28"/>
  <c r="D606" i="28"/>
  <c r="A606" i="28"/>
  <c r="E605" i="28"/>
  <c r="D605" i="28"/>
  <c r="A605" i="28"/>
  <c r="E604" i="28"/>
  <c r="D604" i="28"/>
  <c r="A604" i="28"/>
  <c r="E603" i="28"/>
  <c r="D603" i="28"/>
  <c r="A603" i="28"/>
  <c r="E602" i="28"/>
  <c r="D602" i="28"/>
  <c r="A602" i="28"/>
  <c r="E601" i="28"/>
  <c r="D601" i="28"/>
  <c r="A601" i="28"/>
  <c r="E600" i="28"/>
  <c r="D600" i="28"/>
  <c r="A600" i="28"/>
  <c r="E599" i="28"/>
  <c r="D599" i="28"/>
  <c r="A599" i="28"/>
  <c r="E598" i="28"/>
  <c r="D598" i="28"/>
  <c r="A598" i="28"/>
  <c r="E597" i="28"/>
  <c r="D597" i="28"/>
  <c r="A597" i="28"/>
  <c r="E596" i="28"/>
  <c r="D596" i="28"/>
  <c r="A596" i="28"/>
  <c r="E595" i="28"/>
  <c r="D595" i="28"/>
  <c r="A595" i="28"/>
  <c r="E594" i="28"/>
  <c r="D594" i="28"/>
  <c r="A594" i="28"/>
  <c r="E593" i="28"/>
  <c r="D593" i="28"/>
  <c r="A593" i="28"/>
  <c r="E592" i="28"/>
  <c r="D592" i="28"/>
  <c r="A592" i="28"/>
  <c r="E591" i="28"/>
  <c r="D591" i="28"/>
  <c r="A591" i="28"/>
  <c r="E590" i="28"/>
  <c r="D590" i="28"/>
  <c r="A590" i="28"/>
  <c r="E589" i="28"/>
  <c r="D589" i="28"/>
  <c r="A589" i="28"/>
  <c r="E588" i="28"/>
  <c r="D588" i="28"/>
  <c r="A588" i="28"/>
  <c r="E587" i="28"/>
  <c r="D587" i="28"/>
  <c r="A587" i="28"/>
  <c r="E586" i="28"/>
  <c r="D586" i="28"/>
  <c r="A586" i="28"/>
  <c r="E585" i="28"/>
  <c r="D585" i="28"/>
  <c r="A585" i="28"/>
  <c r="E584" i="28"/>
  <c r="D584" i="28"/>
  <c r="A584" i="28"/>
  <c r="E583" i="28"/>
  <c r="D583" i="28"/>
  <c r="A583" i="28"/>
  <c r="E582" i="28"/>
  <c r="D582" i="28"/>
  <c r="A582" i="28"/>
  <c r="E581" i="28"/>
  <c r="D581" i="28"/>
  <c r="A581" i="28"/>
  <c r="E580" i="28"/>
  <c r="D580" i="28"/>
  <c r="A580" i="28"/>
  <c r="E579" i="28"/>
  <c r="D579" i="28"/>
  <c r="A579" i="28"/>
  <c r="E577" i="28"/>
  <c r="D577" i="28"/>
  <c r="A577" i="28"/>
  <c r="H576" i="28"/>
  <c r="D576" i="28"/>
  <c r="C576" i="28"/>
  <c r="A576" i="28"/>
  <c r="H575" i="28"/>
  <c r="D575" i="28"/>
  <c r="C575" i="28"/>
  <c r="A575" i="28"/>
  <c r="H574" i="28"/>
  <c r="D574" i="28"/>
  <c r="C574" i="28"/>
  <c r="A574" i="28"/>
  <c r="H573" i="28"/>
  <c r="D573" i="28"/>
  <c r="C573" i="28"/>
  <c r="A573" i="28"/>
  <c r="C572" i="28"/>
  <c r="C571" i="28"/>
  <c r="B550" i="28"/>
  <c r="H571" i="28"/>
  <c r="H572" i="28"/>
  <c r="B549" i="28"/>
  <c r="B578" i="28"/>
  <c r="B544" i="28"/>
  <c r="A571" i="28"/>
  <c r="A572" i="28"/>
  <c r="H542" i="28"/>
  <c r="D542" i="28"/>
  <c r="C542" i="28"/>
  <c r="A542" i="28"/>
  <c r="H541" i="28"/>
  <c r="D541" i="28"/>
  <c r="C541" i="28"/>
  <c r="A541" i="28"/>
  <c r="H540" i="28"/>
  <c r="D540" i="28"/>
  <c r="C540" i="28"/>
  <c r="A540" i="28"/>
  <c r="E539" i="28"/>
  <c r="D539" i="28"/>
  <c r="A539" i="28"/>
  <c r="E538" i="28"/>
  <c r="D538" i="28"/>
  <c r="A538" i="28"/>
  <c r="E537" i="28"/>
  <c r="D537" i="28"/>
  <c r="A537" i="28"/>
  <c r="E536" i="28"/>
  <c r="D536" i="28"/>
  <c r="A536" i="28"/>
  <c r="E535" i="28"/>
  <c r="D535" i="28"/>
  <c r="A535" i="28"/>
  <c r="E534" i="28"/>
  <c r="D534" i="28"/>
  <c r="A534" i="28"/>
  <c r="E533" i="28"/>
  <c r="D533" i="28"/>
  <c r="A533" i="28"/>
  <c r="E532" i="28"/>
  <c r="D532" i="28"/>
  <c r="A532" i="28"/>
  <c r="E531" i="28"/>
  <c r="D531" i="28"/>
  <c r="A531" i="28"/>
  <c r="E530" i="28"/>
  <c r="D530" i="28"/>
  <c r="A530" i="28"/>
  <c r="E529" i="28"/>
  <c r="D529" i="28"/>
  <c r="A529" i="28"/>
  <c r="E528" i="28"/>
  <c r="D528" i="28"/>
  <c r="A528" i="28"/>
  <c r="E527" i="28"/>
  <c r="D527" i="28"/>
  <c r="A527" i="28"/>
  <c r="E526" i="28"/>
  <c r="D526" i="28"/>
  <c r="A526" i="28"/>
  <c r="E525" i="28"/>
  <c r="D525" i="28"/>
  <c r="A525" i="28"/>
  <c r="E524" i="28"/>
  <c r="D524" i="28"/>
  <c r="A524" i="28"/>
  <c r="E523" i="28"/>
  <c r="D523" i="28"/>
  <c r="A523" i="28"/>
  <c r="E522" i="28"/>
  <c r="D522" i="28"/>
  <c r="A522" i="28"/>
  <c r="E521" i="28"/>
  <c r="D521" i="28"/>
  <c r="A521" i="28"/>
  <c r="E520" i="28"/>
  <c r="D520" i="28"/>
  <c r="A520" i="28"/>
  <c r="E519" i="28"/>
  <c r="D519" i="28"/>
  <c r="A519" i="28"/>
  <c r="E518" i="28"/>
  <c r="D518" i="28"/>
  <c r="A518" i="28"/>
  <c r="E517" i="28"/>
  <c r="D517" i="28"/>
  <c r="A517" i="28"/>
  <c r="E516" i="28"/>
  <c r="D516" i="28"/>
  <c r="A516" i="28"/>
  <c r="E515" i="28"/>
  <c r="D515" i="28"/>
  <c r="A515" i="28"/>
  <c r="E514" i="28"/>
  <c r="D514" i="28"/>
  <c r="A514" i="28"/>
  <c r="E513" i="28"/>
  <c r="D513" i="28"/>
  <c r="A513" i="28"/>
  <c r="E512" i="28"/>
  <c r="D512" i="28"/>
  <c r="A512" i="28"/>
  <c r="E511" i="28"/>
  <c r="D511" i="28"/>
  <c r="A511" i="28"/>
  <c r="E510" i="28"/>
  <c r="D510" i="28"/>
  <c r="A510" i="28"/>
  <c r="E509" i="28"/>
  <c r="D509" i="28"/>
  <c r="A509" i="28"/>
  <c r="E508" i="28"/>
  <c r="D508" i="28"/>
  <c r="A508" i="28"/>
  <c r="E507" i="28"/>
  <c r="D507" i="28"/>
  <c r="A507" i="28"/>
  <c r="E506" i="28"/>
  <c r="D506" i="28"/>
  <c r="A506" i="28"/>
  <c r="E505" i="28"/>
  <c r="D505" i="28"/>
  <c r="A505" i="28"/>
  <c r="E504" i="28"/>
  <c r="D504" i="28"/>
  <c r="A504" i="28"/>
  <c r="E503" i="28"/>
  <c r="D503" i="28"/>
  <c r="A503" i="28"/>
  <c r="E502" i="28"/>
  <c r="D502" i="28"/>
  <c r="A502" i="28"/>
  <c r="E501" i="28"/>
  <c r="D501" i="28"/>
  <c r="A501" i="28"/>
  <c r="E499" i="28"/>
  <c r="D499" i="28"/>
  <c r="A499" i="28"/>
  <c r="H498" i="28"/>
  <c r="D498" i="28"/>
  <c r="C498" i="28"/>
  <c r="A498" i="28"/>
  <c r="H497" i="28"/>
  <c r="D497" i="28"/>
  <c r="C497" i="28"/>
  <c r="A497" i="28"/>
  <c r="H496" i="28"/>
  <c r="D496" i="28"/>
  <c r="C496" i="28"/>
  <c r="A496" i="28"/>
  <c r="H495" i="28"/>
  <c r="D495" i="28"/>
  <c r="C495" i="28"/>
  <c r="A495" i="28"/>
  <c r="C494" i="28"/>
  <c r="C493" i="28"/>
  <c r="B472" i="28"/>
  <c r="H493" i="28"/>
  <c r="H494" i="28"/>
  <c r="B471" i="28"/>
  <c r="B500" i="28"/>
  <c r="B466" i="28"/>
  <c r="A493" i="28"/>
  <c r="A494" i="28"/>
  <c r="H464" i="28"/>
  <c r="D464" i="28"/>
  <c r="C464" i="28"/>
  <c r="A464" i="28"/>
  <c r="H463" i="28"/>
  <c r="D463" i="28"/>
  <c r="C463" i="28"/>
  <c r="A463" i="28"/>
  <c r="H462" i="28"/>
  <c r="D462" i="28"/>
  <c r="C462" i="28"/>
  <c r="A462" i="28"/>
  <c r="E461" i="28"/>
  <c r="D461" i="28"/>
  <c r="A461" i="28"/>
  <c r="E460" i="28"/>
  <c r="D460" i="28"/>
  <c r="A460" i="28"/>
  <c r="E459" i="28"/>
  <c r="D459" i="28"/>
  <c r="A459" i="28"/>
  <c r="E458" i="28"/>
  <c r="D458" i="28"/>
  <c r="A458" i="28"/>
  <c r="E457" i="28"/>
  <c r="D457" i="28"/>
  <c r="A457" i="28"/>
  <c r="E456" i="28"/>
  <c r="D456" i="28"/>
  <c r="A456" i="28"/>
  <c r="E455" i="28"/>
  <c r="D455" i="28"/>
  <c r="A455" i="28"/>
  <c r="E454" i="28"/>
  <c r="D454" i="28"/>
  <c r="A454" i="28"/>
  <c r="E453" i="28"/>
  <c r="D453" i="28"/>
  <c r="A453" i="28"/>
  <c r="E452" i="28"/>
  <c r="D452" i="28"/>
  <c r="A452" i="28"/>
  <c r="E451" i="28"/>
  <c r="D451" i="28"/>
  <c r="A451" i="28"/>
  <c r="E450" i="28"/>
  <c r="D450" i="28"/>
  <c r="A450" i="28"/>
  <c r="E449" i="28"/>
  <c r="D449" i="28"/>
  <c r="A449" i="28"/>
  <c r="E448" i="28"/>
  <c r="D448" i="28"/>
  <c r="A448" i="28"/>
  <c r="E447" i="28"/>
  <c r="D447" i="28"/>
  <c r="A447" i="28"/>
  <c r="E446" i="28"/>
  <c r="D446" i="28"/>
  <c r="A446" i="28"/>
  <c r="E445" i="28"/>
  <c r="D445" i="28"/>
  <c r="A445" i="28"/>
  <c r="E444" i="28"/>
  <c r="D444" i="28"/>
  <c r="A444" i="28"/>
  <c r="E443" i="28"/>
  <c r="D443" i="28"/>
  <c r="A443" i="28"/>
  <c r="E442" i="28"/>
  <c r="D442" i="28"/>
  <c r="A442" i="28"/>
  <c r="E441" i="28"/>
  <c r="D441" i="28"/>
  <c r="A441" i="28"/>
  <c r="E440" i="28"/>
  <c r="D440" i="28"/>
  <c r="A440" i="28"/>
  <c r="E439" i="28"/>
  <c r="D439" i="28"/>
  <c r="A439" i="28"/>
  <c r="E438" i="28"/>
  <c r="D438" i="28"/>
  <c r="A438" i="28"/>
  <c r="E437" i="28"/>
  <c r="D437" i="28"/>
  <c r="A437" i="28"/>
  <c r="E436" i="28"/>
  <c r="D436" i="28"/>
  <c r="A436" i="28"/>
  <c r="E435" i="28"/>
  <c r="D435" i="28"/>
  <c r="A435" i="28"/>
  <c r="E434" i="28"/>
  <c r="D434" i="28"/>
  <c r="A434" i="28"/>
  <c r="E433" i="28"/>
  <c r="D433" i="28"/>
  <c r="A433" i="28"/>
  <c r="E432" i="28"/>
  <c r="D432" i="28"/>
  <c r="A432" i="28"/>
  <c r="E431" i="28"/>
  <c r="D431" i="28"/>
  <c r="A431" i="28"/>
  <c r="E430" i="28"/>
  <c r="D430" i="28"/>
  <c r="A430" i="28"/>
  <c r="E429" i="28"/>
  <c r="D429" i="28"/>
  <c r="A429" i="28"/>
  <c r="E428" i="28"/>
  <c r="D428" i="28"/>
  <c r="A428" i="28"/>
  <c r="E427" i="28"/>
  <c r="D427" i="28"/>
  <c r="A427" i="28"/>
  <c r="E426" i="28"/>
  <c r="D426" i="28"/>
  <c r="A426" i="28"/>
  <c r="E425" i="28"/>
  <c r="D425" i="28"/>
  <c r="A425" i="28"/>
  <c r="E424" i="28"/>
  <c r="D424" i="28"/>
  <c r="A424" i="28"/>
  <c r="E423" i="28"/>
  <c r="D423" i="28"/>
  <c r="A423" i="28"/>
  <c r="E421" i="28"/>
  <c r="D421" i="28"/>
  <c r="A421" i="28"/>
  <c r="H420" i="28"/>
  <c r="D420" i="28"/>
  <c r="C420" i="28"/>
  <c r="A420" i="28"/>
  <c r="H419" i="28"/>
  <c r="D419" i="28"/>
  <c r="C419" i="28"/>
  <c r="A419" i="28"/>
  <c r="H418" i="28"/>
  <c r="D418" i="28"/>
  <c r="C418" i="28"/>
  <c r="A418" i="28"/>
  <c r="H417" i="28"/>
  <c r="D417" i="28"/>
  <c r="C417" i="28"/>
  <c r="A417" i="28"/>
  <c r="C416" i="28"/>
  <c r="C415" i="28"/>
  <c r="B394" i="28"/>
  <c r="H415" i="28"/>
  <c r="H416" i="28"/>
  <c r="B393" i="28"/>
  <c r="B422" i="28"/>
  <c r="B388" i="28"/>
  <c r="A415" i="28"/>
  <c r="A416" i="28"/>
  <c r="H386" i="28"/>
  <c r="D386" i="28"/>
  <c r="C386" i="28"/>
  <c r="A386" i="28"/>
  <c r="H385" i="28"/>
  <c r="D385" i="28"/>
  <c r="C385" i="28"/>
  <c r="A385" i="28"/>
  <c r="H384" i="28"/>
  <c r="D384" i="28"/>
  <c r="C384" i="28"/>
  <c r="A384" i="28"/>
  <c r="E383" i="28"/>
  <c r="D383" i="28"/>
  <c r="A383" i="28"/>
  <c r="E382" i="28"/>
  <c r="D382" i="28"/>
  <c r="A382" i="28"/>
  <c r="E381" i="28"/>
  <c r="D381" i="28"/>
  <c r="A381" i="28"/>
  <c r="E380" i="28"/>
  <c r="D380" i="28"/>
  <c r="A380" i="28"/>
  <c r="E379" i="28"/>
  <c r="D379" i="28"/>
  <c r="A379" i="28"/>
  <c r="E378" i="28"/>
  <c r="D378" i="28"/>
  <c r="A378" i="28"/>
  <c r="E377" i="28"/>
  <c r="D377" i="28"/>
  <c r="A377" i="28"/>
  <c r="E376" i="28"/>
  <c r="D376" i="28"/>
  <c r="A376" i="28"/>
  <c r="E375" i="28"/>
  <c r="D375" i="28"/>
  <c r="A375" i="28"/>
  <c r="E374" i="28"/>
  <c r="D374" i="28"/>
  <c r="A374" i="28"/>
  <c r="E373" i="28"/>
  <c r="D373" i="28"/>
  <c r="A373" i="28"/>
  <c r="E372" i="28"/>
  <c r="D372" i="28"/>
  <c r="A372" i="28"/>
  <c r="E371" i="28"/>
  <c r="D371" i="28"/>
  <c r="A371" i="28"/>
  <c r="E370" i="28"/>
  <c r="D370" i="28"/>
  <c r="A370" i="28"/>
  <c r="E369" i="28"/>
  <c r="D369" i="28"/>
  <c r="A369" i="28"/>
  <c r="E368" i="28"/>
  <c r="D368" i="28"/>
  <c r="A368" i="28"/>
  <c r="E367" i="28"/>
  <c r="D367" i="28"/>
  <c r="A367" i="28"/>
  <c r="E366" i="28"/>
  <c r="D366" i="28"/>
  <c r="A366" i="28"/>
  <c r="E365" i="28"/>
  <c r="D365" i="28"/>
  <c r="A365" i="28"/>
  <c r="E364" i="28"/>
  <c r="D364" i="28"/>
  <c r="A364" i="28"/>
  <c r="E363" i="28"/>
  <c r="D363" i="28"/>
  <c r="A363" i="28"/>
  <c r="E362" i="28"/>
  <c r="D362" i="28"/>
  <c r="A362" i="28"/>
  <c r="E361" i="28"/>
  <c r="D361" i="28"/>
  <c r="A361" i="28"/>
  <c r="E360" i="28"/>
  <c r="D360" i="28"/>
  <c r="A360" i="28"/>
  <c r="E359" i="28"/>
  <c r="D359" i="28"/>
  <c r="A359" i="28"/>
  <c r="E358" i="28"/>
  <c r="D358" i="28"/>
  <c r="A358" i="28"/>
  <c r="E357" i="28"/>
  <c r="D357" i="28"/>
  <c r="A357" i="28"/>
  <c r="E356" i="28"/>
  <c r="D356" i="28"/>
  <c r="A356" i="28"/>
  <c r="E355" i="28"/>
  <c r="D355" i="28"/>
  <c r="A355" i="28"/>
  <c r="E354" i="28"/>
  <c r="D354" i="28"/>
  <c r="A354" i="28"/>
  <c r="E353" i="28"/>
  <c r="D353" i="28"/>
  <c r="A353" i="28"/>
  <c r="E352" i="28"/>
  <c r="D352" i="28"/>
  <c r="A352" i="28"/>
  <c r="E351" i="28"/>
  <c r="D351" i="28"/>
  <c r="A351" i="28"/>
  <c r="E350" i="28"/>
  <c r="D350" i="28"/>
  <c r="A350" i="28"/>
  <c r="E349" i="28"/>
  <c r="D349" i="28"/>
  <c r="A349" i="28"/>
  <c r="E348" i="28"/>
  <c r="D348" i="28"/>
  <c r="A348" i="28"/>
  <c r="E347" i="28"/>
  <c r="D347" i="28"/>
  <c r="A347" i="28"/>
  <c r="E346" i="28"/>
  <c r="D346" i="28"/>
  <c r="A346" i="28"/>
  <c r="E345" i="28"/>
  <c r="D345" i="28"/>
  <c r="A345" i="28"/>
  <c r="E343" i="28"/>
  <c r="D343" i="28"/>
  <c r="A343" i="28"/>
  <c r="H342" i="28"/>
  <c r="D342" i="28"/>
  <c r="C342" i="28"/>
  <c r="A342" i="28"/>
  <c r="H341" i="28"/>
  <c r="D341" i="28"/>
  <c r="C341" i="28"/>
  <c r="A341" i="28"/>
  <c r="H340" i="28"/>
  <c r="D340" i="28"/>
  <c r="C340" i="28"/>
  <c r="A340" i="28"/>
  <c r="H339" i="28"/>
  <c r="D339" i="28"/>
  <c r="C339" i="28"/>
  <c r="A339" i="28"/>
  <c r="C338" i="28"/>
  <c r="C337" i="28"/>
  <c r="B316" i="28"/>
  <c r="H337" i="28"/>
  <c r="H338" i="28"/>
  <c r="B315" i="28"/>
  <c r="B344" i="28"/>
  <c r="B310" i="28"/>
  <c r="A337" i="28"/>
  <c r="A338" i="28"/>
  <c r="H308" i="28"/>
  <c r="D308" i="28"/>
  <c r="C308" i="28"/>
  <c r="A308" i="28"/>
  <c r="H307" i="28"/>
  <c r="D307" i="28"/>
  <c r="C307" i="28"/>
  <c r="A307" i="28"/>
  <c r="H306" i="28"/>
  <c r="D306" i="28"/>
  <c r="C306" i="28"/>
  <c r="A306" i="28"/>
  <c r="E305" i="28"/>
  <c r="D305" i="28"/>
  <c r="A305" i="28"/>
  <c r="E304" i="28"/>
  <c r="D304" i="28"/>
  <c r="A304" i="28"/>
  <c r="E303" i="28"/>
  <c r="D303" i="28"/>
  <c r="A303" i="28"/>
  <c r="E302" i="28"/>
  <c r="D302" i="28"/>
  <c r="A302" i="28"/>
  <c r="E301" i="28"/>
  <c r="D301" i="28"/>
  <c r="A301" i="28"/>
  <c r="E300" i="28"/>
  <c r="D300" i="28"/>
  <c r="A300" i="28"/>
  <c r="E299" i="28"/>
  <c r="D299" i="28"/>
  <c r="A299" i="28"/>
  <c r="E298" i="28"/>
  <c r="D298" i="28"/>
  <c r="A298" i="28"/>
  <c r="E297" i="28"/>
  <c r="D297" i="28"/>
  <c r="A297" i="28"/>
  <c r="E296" i="28"/>
  <c r="D296" i="28"/>
  <c r="A296" i="28"/>
  <c r="E295" i="28"/>
  <c r="D295" i="28"/>
  <c r="A295" i="28"/>
  <c r="E294" i="28"/>
  <c r="D294" i="28"/>
  <c r="A294" i="28"/>
  <c r="E293" i="28"/>
  <c r="D293" i="28"/>
  <c r="A293" i="28"/>
  <c r="E292" i="28"/>
  <c r="D292" i="28"/>
  <c r="A292" i="28"/>
  <c r="E291" i="28"/>
  <c r="D291" i="28"/>
  <c r="A291" i="28"/>
  <c r="E290" i="28"/>
  <c r="D290" i="28"/>
  <c r="A290" i="28"/>
  <c r="E289" i="28"/>
  <c r="D289" i="28"/>
  <c r="A289" i="28"/>
  <c r="E288" i="28"/>
  <c r="D288" i="28"/>
  <c r="A288" i="28"/>
  <c r="E287" i="28"/>
  <c r="D287" i="28"/>
  <c r="A287" i="28"/>
  <c r="E286" i="28"/>
  <c r="D286" i="28"/>
  <c r="A286" i="28"/>
  <c r="E285" i="28"/>
  <c r="D285" i="28"/>
  <c r="A285" i="28"/>
  <c r="E284" i="28"/>
  <c r="D284" i="28"/>
  <c r="A284" i="28"/>
  <c r="E283" i="28"/>
  <c r="D283" i="28"/>
  <c r="A283" i="28"/>
  <c r="E282" i="28"/>
  <c r="D282" i="28"/>
  <c r="A282" i="28"/>
  <c r="E281" i="28"/>
  <c r="D281" i="28"/>
  <c r="A281" i="28"/>
  <c r="E280" i="28"/>
  <c r="D280" i="28"/>
  <c r="A280" i="28"/>
  <c r="E279" i="28"/>
  <c r="D279" i="28"/>
  <c r="A279" i="28"/>
  <c r="E278" i="28"/>
  <c r="D278" i="28"/>
  <c r="A278" i="28"/>
  <c r="E277" i="28"/>
  <c r="D277" i="28"/>
  <c r="A277" i="28"/>
  <c r="E276" i="28"/>
  <c r="D276" i="28"/>
  <c r="A276" i="28"/>
  <c r="E275" i="28"/>
  <c r="D275" i="28"/>
  <c r="A275" i="28"/>
  <c r="E274" i="28"/>
  <c r="D274" i="28"/>
  <c r="A274" i="28"/>
  <c r="E273" i="28"/>
  <c r="D273" i="28"/>
  <c r="A273" i="28"/>
  <c r="E272" i="28"/>
  <c r="D272" i="28"/>
  <c r="A272" i="28"/>
  <c r="E271" i="28"/>
  <c r="D271" i="28"/>
  <c r="A271" i="28"/>
  <c r="E270" i="28"/>
  <c r="D270" i="28"/>
  <c r="A270" i="28"/>
  <c r="E269" i="28"/>
  <c r="D269" i="28"/>
  <c r="A269" i="28"/>
  <c r="E268" i="28"/>
  <c r="D268" i="28"/>
  <c r="A268" i="28"/>
  <c r="E267" i="28"/>
  <c r="D267" i="28"/>
  <c r="A267" i="28"/>
  <c r="E265" i="28"/>
  <c r="D265" i="28"/>
  <c r="A265" i="28"/>
  <c r="H264" i="28"/>
  <c r="D264" i="28"/>
  <c r="C264" i="28"/>
  <c r="A264" i="28"/>
  <c r="H263" i="28"/>
  <c r="D263" i="28"/>
  <c r="C263" i="28"/>
  <c r="A263" i="28"/>
  <c r="H262" i="28"/>
  <c r="D262" i="28"/>
  <c r="C262" i="28"/>
  <c r="A262" i="28"/>
  <c r="H261" i="28"/>
  <c r="D261" i="28"/>
  <c r="C261" i="28"/>
  <c r="A261" i="28"/>
  <c r="C260" i="28"/>
  <c r="C259" i="28"/>
  <c r="B238" i="28"/>
  <c r="H259" i="28"/>
  <c r="H260" i="28"/>
  <c r="B237" i="28"/>
  <c r="B266" i="28"/>
  <c r="B232" i="28"/>
  <c r="A259" i="28"/>
  <c r="A260" i="28"/>
  <c r="H227" i="28"/>
  <c r="D227" i="28"/>
  <c r="C227" i="28"/>
  <c r="A227" i="28"/>
  <c r="H226" i="28"/>
  <c r="D226" i="28"/>
  <c r="C226" i="28"/>
  <c r="A226" i="28"/>
  <c r="H225" i="28"/>
  <c r="D225" i="28"/>
  <c r="C225" i="28"/>
  <c r="A225" i="28"/>
  <c r="H224" i="28"/>
  <c r="D224" i="28"/>
  <c r="C224" i="28"/>
  <c r="A224" i="28"/>
  <c r="H223" i="28"/>
  <c r="D223" i="28"/>
  <c r="C223" i="28"/>
  <c r="B199" i="28"/>
  <c r="B198" i="28"/>
  <c r="B193" i="28"/>
  <c r="A223" i="28"/>
  <c r="H188" i="28"/>
  <c r="D188" i="28"/>
  <c r="C188" i="28"/>
  <c r="A188" i="28"/>
  <c r="H187" i="28"/>
  <c r="D187" i="28"/>
  <c r="C187" i="28"/>
  <c r="A187" i="28"/>
  <c r="H186" i="28"/>
  <c r="D186" i="28"/>
  <c r="C186" i="28"/>
  <c r="A186" i="28"/>
  <c r="H185" i="28"/>
  <c r="D185" i="28"/>
  <c r="C185" i="28"/>
  <c r="A185" i="28"/>
  <c r="H184" i="28"/>
  <c r="D184" i="28"/>
  <c r="C184" i="28"/>
  <c r="B160" i="28"/>
  <c r="B159" i="28"/>
  <c r="B154" i="28"/>
  <c r="A184" i="28"/>
  <c r="H149" i="28"/>
  <c r="D149" i="28"/>
  <c r="C149" i="28"/>
  <c r="A149" i="28"/>
  <c r="H148" i="28"/>
  <c r="D148" i="28"/>
  <c r="C148" i="28"/>
  <c r="A148" i="28"/>
  <c r="H147" i="28"/>
  <c r="D147" i="28"/>
  <c r="C147" i="28"/>
  <c r="A147" i="28"/>
  <c r="H146" i="28"/>
  <c r="D146" i="28"/>
  <c r="C146" i="28"/>
  <c r="A146" i="28"/>
  <c r="H145" i="28"/>
  <c r="D145" i="28"/>
  <c r="C145" i="28"/>
  <c r="B121" i="28"/>
  <c r="B120" i="28"/>
  <c r="B115" i="28"/>
  <c r="A145" i="28"/>
  <c r="H110" i="28"/>
  <c r="D110" i="28"/>
  <c r="C110" i="28"/>
  <c r="A110" i="28"/>
  <c r="H109" i="28"/>
  <c r="D109" i="28"/>
  <c r="C109" i="28"/>
  <c r="A109" i="28"/>
  <c r="H108" i="28"/>
  <c r="D108" i="28"/>
  <c r="C108" i="28"/>
  <c r="A108" i="28"/>
  <c r="H107" i="28"/>
  <c r="D107" i="28"/>
  <c r="C107" i="28"/>
  <c r="B83" i="28"/>
  <c r="B82" i="28"/>
  <c r="B77" i="28"/>
  <c r="A107" i="28"/>
  <c r="H72" i="28"/>
  <c r="D72" i="28"/>
  <c r="C72" i="28"/>
  <c r="A72" i="28"/>
  <c r="H71" i="28"/>
  <c r="D71" i="28"/>
  <c r="C71" i="28"/>
  <c r="A71" i="28"/>
  <c r="H70" i="28"/>
  <c r="D70" i="28"/>
  <c r="C70" i="28"/>
  <c r="A70" i="28"/>
  <c r="H69" i="28"/>
  <c r="D69" i="28"/>
  <c r="C69" i="28"/>
  <c r="B45" i="28"/>
  <c r="B44" i="28"/>
  <c r="B39" i="28"/>
  <c r="A69" i="28"/>
  <c r="H34" i="28"/>
  <c r="D34" i="28"/>
  <c r="C34" i="28"/>
  <c r="A34" i="28"/>
  <c r="H33" i="28"/>
  <c r="D33" i="28"/>
  <c r="C33" i="28"/>
  <c r="A33" i="28"/>
  <c r="H32" i="28"/>
  <c r="D32" i="28"/>
  <c r="C32" i="28"/>
  <c r="A32" i="28"/>
  <c r="H31" i="28"/>
  <c r="D31" i="28"/>
  <c r="C31" i="28"/>
  <c r="B7" i="28"/>
  <c r="B6" i="28"/>
  <c r="B1" i="28"/>
  <c r="A31" i="28"/>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c r="D10" i="23"/>
  <c r="C10" i="23"/>
  <c r="A10" i="23"/>
  <c r="B3" i="23"/>
  <c r="H10" i="23"/>
  <c r="H326" i="11"/>
  <c r="D326" i="11"/>
  <c r="C326" i="11"/>
  <c r="A326" i="11"/>
  <c r="H288" i="11"/>
  <c r="D288" i="11"/>
  <c r="C288" i="11"/>
  <c r="A288" i="11"/>
  <c r="H250" i="11"/>
  <c r="D250" i="11"/>
  <c r="C250" i="11"/>
  <c r="A250" i="11"/>
  <c r="H212" i="11"/>
  <c r="D212" i="11"/>
  <c r="C212" i="11"/>
  <c r="A212" i="11"/>
  <c r="H326" i="10"/>
  <c r="D326" i="10"/>
  <c r="C326" i="10"/>
  <c r="A326" i="10"/>
  <c r="H288" i="10"/>
  <c r="D288" i="10"/>
  <c r="C288" i="10"/>
  <c r="A288" i="10"/>
  <c r="H250" i="10"/>
  <c r="D250" i="10"/>
  <c r="C250" i="10"/>
  <c r="A250" i="10"/>
  <c r="H212" i="10"/>
  <c r="D212" i="10"/>
  <c r="C212" i="10"/>
  <c r="A212" i="10"/>
  <c r="H327" i="9"/>
  <c r="D327" i="9"/>
  <c r="C327" i="9"/>
  <c r="A327" i="9"/>
  <c r="H289" i="9"/>
  <c r="D289" i="9"/>
  <c r="C289" i="9"/>
  <c r="A289" i="9"/>
  <c r="H251" i="9"/>
  <c r="D251" i="9"/>
  <c r="C251" i="9"/>
  <c r="A251" i="9"/>
  <c r="H213" i="9"/>
  <c r="D213" i="9"/>
  <c r="C213" i="9"/>
  <c r="A213" i="9"/>
  <c r="H279" i="8"/>
  <c r="D279" i="8"/>
  <c r="C279" i="8"/>
  <c r="A279" i="8"/>
  <c r="H244" i="8"/>
  <c r="D244" i="8"/>
  <c r="C244" i="8"/>
  <c r="A244" i="8"/>
  <c r="H209" i="8"/>
  <c r="D209" i="8"/>
  <c r="C209" i="8"/>
  <c r="A209" i="8"/>
  <c r="H174" i="8"/>
  <c r="D174" i="8"/>
  <c r="C174" i="8"/>
  <c r="A174" i="8"/>
  <c r="H641" i="13"/>
  <c r="D641" i="13"/>
  <c r="C641" i="13"/>
  <c r="A641" i="13"/>
  <c r="H564" i="13"/>
  <c r="D564" i="13"/>
  <c r="C564" i="13"/>
  <c r="A564" i="13"/>
  <c r="H487" i="13"/>
  <c r="D487" i="13"/>
  <c r="C487" i="13"/>
  <c r="A487" i="13"/>
  <c r="H410" i="13"/>
  <c r="D410" i="13"/>
  <c r="C410" i="13"/>
  <c r="A410" i="13"/>
  <c r="H333" i="13"/>
  <c r="D333" i="13"/>
  <c r="C333" i="13"/>
  <c r="A333" i="13"/>
  <c r="H256" i="13"/>
  <c r="D256" i="13"/>
  <c r="C256" i="13"/>
  <c r="A256" i="13"/>
  <c r="H332" i="15"/>
  <c r="D332" i="15"/>
  <c r="C332" i="15"/>
  <c r="A332" i="15"/>
  <c r="H293" i="15"/>
  <c r="D293" i="15"/>
  <c r="C293" i="15"/>
  <c r="A293" i="15"/>
  <c r="H254" i="15"/>
  <c r="D254" i="15"/>
  <c r="C254" i="15"/>
  <c r="A254" i="15"/>
  <c r="H215" i="15"/>
  <c r="D215" i="15"/>
  <c r="C215" i="15"/>
  <c r="A215" i="15"/>
  <c r="H651" i="14"/>
  <c r="D651" i="14"/>
  <c r="C651" i="14"/>
  <c r="A651" i="14"/>
  <c r="H573" i="14"/>
  <c r="D573" i="14"/>
  <c r="C573" i="14"/>
  <c r="A573" i="14"/>
  <c r="H495" i="14"/>
  <c r="D495" i="14"/>
  <c r="C495" i="14"/>
  <c r="A495" i="14"/>
  <c r="H417" i="14"/>
  <c r="D417" i="14"/>
  <c r="C417" i="14"/>
  <c r="A417" i="14"/>
  <c r="H339" i="14"/>
  <c r="D339" i="14"/>
  <c r="C339" i="14"/>
  <c r="A339" i="14"/>
  <c r="H261" i="14"/>
  <c r="D261" i="14"/>
  <c r="C261" i="14"/>
  <c r="A261" i="14"/>
  <c r="H651" i="18"/>
  <c r="D651" i="18"/>
  <c r="C651" i="18"/>
  <c r="A651" i="18"/>
  <c r="H573" i="18"/>
  <c r="D573" i="18"/>
  <c r="C573" i="18"/>
  <c r="A573" i="18"/>
  <c r="H495" i="18"/>
  <c r="D495" i="18"/>
  <c r="C495" i="18"/>
  <c r="A495" i="18"/>
  <c r="H417" i="18"/>
  <c r="D417" i="18"/>
  <c r="C417" i="18"/>
  <c r="A417" i="18"/>
  <c r="H339" i="18"/>
  <c r="D339" i="18"/>
  <c r="C339" i="18"/>
  <c r="A339" i="18"/>
  <c r="H261" i="18"/>
  <c r="D261" i="18"/>
  <c r="C261" i="18"/>
  <c r="A261" i="18"/>
  <c r="H651" i="17"/>
  <c r="D651" i="17"/>
  <c r="C651" i="17"/>
  <c r="A651" i="17"/>
  <c r="H573" i="17"/>
  <c r="D573" i="17"/>
  <c r="C573" i="17"/>
  <c r="A573" i="17"/>
  <c r="H495" i="17"/>
  <c r="D495" i="17"/>
  <c r="C495" i="17"/>
  <c r="A495" i="17"/>
  <c r="H417" i="17"/>
  <c r="D417" i="17"/>
  <c r="C417" i="17"/>
  <c r="A417" i="17"/>
  <c r="H339" i="17"/>
  <c r="D339" i="17"/>
  <c r="C339" i="17"/>
  <c r="A339" i="17"/>
  <c r="H261" i="17"/>
  <c r="D261" i="17"/>
  <c r="C261" i="17"/>
  <c r="A261" i="17"/>
  <c r="H654" i="16"/>
  <c r="D654" i="16"/>
  <c r="C654" i="16"/>
  <c r="A654" i="16"/>
  <c r="H576" i="16"/>
  <c r="D576" i="16"/>
  <c r="C576" i="16"/>
  <c r="A576" i="16"/>
  <c r="H498" i="16"/>
  <c r="D498" i="16"/>
  <c r="C498" i="16"/>
  <c r="A498" i="16"/>
  <c r="H418" i="16"/>
  <c r="D418" i="16"/>
  <c r="C418" i="16"/>
  <c r="A418" i="16"/>
  <c r="H340" i="16"/>
  <c r="D340" i="16"/>
  <c r="C340" i="16"/>
  <c r="A340" i="16"/>
  <c r="H262" i="16"/>
  <c r="D262" i="16"/>
  <c r="C262" i="16"/>
  <c r="A262" i="16"/>
  <c r="A264" i="16"/>
  <c r="C264" i="16"/>
  <c r="D264" i="16"/>
  <c r="H264" i="16"/>
  <c r="H335" i="22"/>
  <c r="D335" i="22"/>
  <c r="C335" i="22"/>
  <c r="A335" i="22"/>
  <c r="H296" i="22"/>
  <c r="D296" i="22"/>
  <c r="C296" i="22"/>
  <c r="A296" i="22"/>
  <c r="H257" i="22"/>
  <c r="D257" i="22"/>
  <c r="C257" i="22"/>
  <c r="A257" i="22"/>
  <c r="C215" i="22"/>
  <c r="D215" i="22"/>
  <c r="H215" i="22"/>
  <c r="A215" i="22"/>
  <c r="H335" i="21"/>
  <c r="D335" i="21"/>
  <c r="C335" i="21"/>
  <c r="A335" i="21"/>
  <c r="H296" i="21"/>
  <c r="D296" i="21"/>
  <c r="C296" i="21"/>
  <c r="A296" i="21"/>
  <c r="H257" i="21"/>
  <c r="D257" i="21"/>
  <c r="C257" i="21"/>
  <c r="A257" i="21"/>
  <c r="H215" i="21"/>
  <c r="D215" i="21"/>
  <c r="C215" i="21"/>
  <c r="A215" i="21"/>
  <c r="H335" i="20"/>
  <c r="D335" i="20"/>
  <c r="C335" i="20"/>
  <c r="A335" i="20"/>
  <c r="H296" i="20"/>
  <c r="D296" i="20"/>
  <c r="C296" i="20"/>
  <c r="A296" i="20"/>
  <c r="H257" i="20"/>
  <c r="D257" i="20"/>
  <c r="C257" i="20"/>
  <c r="A257" i="20"/>
  <c r="H215" i="20"/>
  <c r="D215" i="20"/>
  <c r="C215" i="20"/>
  <c r="A215" i="20"/>
  <c r="H336" i="19"/>
  <c r="D336" i="19"/>
  <c r="C336" i="19"/>
  <c r="A336" i="19"/>
  <c r="H297" i="19"/>
  <c r="D297" i="19"/>
  <c r="C297" i="19"/>
  <c r="A297" i="19"/>
  <c r="H258" i="19"/>
  <c r="D258" i="19"/>
  <c r="C258" i="19"/>
  <c r="A258" i="19"/>
  <c r="H219" i="19"/>
  <c r="D219" i="19"/>
  <c r="C219" i="19"/>
  <c r="A219" i="19"/>
  <c r="H326" i="6"/>
  <c r="D326" i="6"/>
  <c r="C326" i="6"/>
  <c r="A326" i="6"/>
  <c r="H289" i="6"/>
  <c r="D289" i="6"/>
  <c r="C289" i="6"/>
  <c r="A289" i="6"/>
  <c r="H252" i="6"/>
  <c r="D252" i="6"/>
  <c r="C252" i="6"/>
  <c r="A252" i="6"/>
  <c r="C215" i="6"/>
  <c r="D215" i="6"/>
  <c r="H215" i="6"/>
  <c r="A215" i="6"/>
  <c r="U160" i="1"/>
  <c r="U161" i="1"/>
  <c r="AN161" i="1"/>
  <c r="B132" i="37"/>
  <c r="U162" i="1"/>
  <c r="AN162" i="1"/>
  <c r="B178" i="37"/>
  <c r="U159" i="1"/>
  <c r="AN159" i="1"/>
  <c r="B40" i="37"/>
  <c r="U152" i="1"/>
  <c r="U153" i="1"/>
  <c r="AN153" i="1"/>
  <c r="B133" i="33"/>
  <c r="U154" i="1"/>
  <c r="U151" i="1"/>
  <c r="AN151" i="1"/>
  <c r="B41" i="33"/>
  <c r="U156" i="1"/>
  <c r="U157" i="1"/>
  <c r="U158" i="1"/>
  <c r="U155" i="1"/>
  <c r="U164" i="1"/>
  <c r="U165" i="1"/>
  <c r="AN165" i="1"/>
  <c r="B132" i="39"/>
  <c r="U166" i="1"/>
  <c r="U163" i="1"/>
  <c r="AN163" i="1"/>
  <c r="B40" i="39"/>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B245" i="15"/>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B115" i="15"/>
  <c r="Z84" i="1"/>
  <c r="E684" i="13"/>
  <c r="D684" i="13"/>
  <c r="A684" i="13"/>
  <c r="E683" i="13"/>
  <c r="D683" i="13"/>
  <c r="A683" i="13"/>
  <c r="E682" i="13"/>
  <c r="D682" i="13"/>
  <c r="A682" i="13"/>
  <c r="E681" i="13"/>
  <c r="D681" i="13"/>
  <c r="A681" i="13"/>
  <c r="E680" i="13"/>
  <c r="D680" i="13"/>
  <c r="A680" i="13"/>
  <c r="E679" i="13"/>
  <c r="D679" i="13"/>
  <c r="A679" i="13"/>
  <c r="E678" i="13"/>
  <c r="D678" i="13"/>
  <c r="A678" i="13"/>
  <c r="E677" i="13"/>
  <c r="D677" i="13"/>
  <c r="A677" i="13"/>
  <c r="E676" i="13"/>
  <c r="D676" i="13"/>
  <c r="A676" i="13"/>
  <c r="E675" i="13"/>
  <c r="D675" i="13"/>
  <c r="A675" i="13"/>
  <c r="E674" i="13"/>
  <c r="D674" i="13"/>
  <c r="A674" i="13"/>
  <c r="E673" i="13"/>
  <c r="D673" i="13"/>
  <c r="A673" i="13"/>
  <c r="E672" i="13"/>
  <c r="D672" i="13"/>
  <c r="A672" i="13"/>
  <c r="E671" i="13"/>
  <c r="D671" i="13"/>
  <c r="A671" i="13"/>
  <c r="E670" i="13"/>
  <c r="D670" i="13"/>
  <c r="A670" i="13"/>
  <c r="E669" i="13"/>
  <c r="D669" i="13"/>
  <c r="A669" i="13"/>
  <c r="E668" i="13"/>
  <c r="D668" i="13"/>
  <c r="A668" i="13"/>
  <c r="E667" i="13"/>
  <c r="D667" i="13"/>
  <c r="A667" i="13"/>
  <c r="E666" i="13"/>
  <c r="D666" i="13"/>
  <c r="A666" i="13"/>
  <c r="E665" i="13"/>
  <c r="D665" i="13"/>
  <c r="A665" i="13"/>
  <c r="E664" i="13"/>
  <c r="D664" i="13"/>
  <c r="A664" i="13"/>
  <c r="E663" i="13"/>
  <c r="D663" i="13"/>
  <c r="A663" i="13"/>
  <c r="E662" i="13"/>
  <c r="D662" i="13"/>
  <c r="A662" i="13"/>
  <c r="E661" i="13"/>
  <c r="D661" i="13"/>
  <c r="A661" i="13"/>
  <c r="E660" i="13"/>
  <c r="D660" i="13"/>
  <c r="A660" i="13"/>
  <c r="E659" i="13"/>
  <c r="D659" i="13"/>
  <c r="A659" i="13"/>
  <c r="E658" i="13"/>
  <c r="D658" i="13"/>
  <c r="A658" i="13"/>
  <c r="E657" i="13"/>
  <c r="D657" i="13"/>
  <c r="A657" i="13"/>
  <c r="E656" i="13"/>
  <c r="D656" i="13"/>
  <c r="A656" i="13"/>
  <c r="E655" i="13"/>
  <c r="D655" i="13"/>
  <c r="A655" i="13"/>
  <c r="E654" i="13"/>
  <c r="D654" i="13"/>
  <c r="A654" i="13"/>
  <c r="E607" i="13"/>
  <c r="D607" i="13"/>
  <c r="A607" i="13"/>
  <c r="E606" i="13"/>
  <c r="D606" i="13"/>
  <c r="A606" i="13"/>
  <c r="E605" i="13"/>
  <c r="D605" i="13"/>
  <c r="A605" i="13"/>
  <c r="E604" i="13"/>
  <c r="D604" i="13"/>
  <c r="A604" i="13"/>
  <c r="E603" i="13"/>
  <c r="D603" i="13"/>
  <c r="A603" i="13"/>
  <c r="E602" i="13"/>
  <c r="D602" i="13"/>
  <c r="A602" i="13"/>
  <c r="E601" i="13"/>
  <c r="D601" i="13"/>
  <c r="A601" i="13"/>
  <c r="E600" i="13"/>
  <c r="D600" i="13"/>
  <c r="A600" i="13"/>
  <c r="E599" i="13"/>
  <c r="D599" i="13"/>
  <c r="A599" i="13"/>
  <c r="E598" i="13"/>
  <c r="D598" i="13"/>
  <c r="A598" i="13"/>
  <c r="E597" i="13"/>
  <c r="D597" i="13"/>
  <c r="A597" i="13"/>
  <c r="E596" i="13"/>
  <c r="D596" i="13"/>
  <c r="A596" i="13"/>
  <c r="E595" i="13"/>
  <c r="D595" i="13"/>
  <c r="A595" i="13"/>
  <c r="E594" i="13"/>
  <c r="D594" i="13"/>
  <c r="A594" i="13"/>
  <c r="E593" i="13"/>
  <c r="D593" i="13"/>
  <c r="A593" i="13"/>
  <c r="E592" i="13"/>
  <c r="D592" i="13"/>
  <c r="A592" i="13"/>
  <c r="E591" i="13"/>
  <c r="D591" i="13"/>
  <c r="A591" i="13"/>
  <c r="E590" i="13"/>
  <c r="D590" i="13"/>
  <c r="A590" i="13"/>
  <c r="E589" i="13"/>
  <c r="D589" i="13"/>
  <c r="A589" i="13"/>
  <c r="E588" i="13"/>
  <c r="D588" i="13"/>
  <c r="A588" i="13"/>
  <c r="E587" i="13"/>
  <c r="D587" i="13"/>
  <c r="A587" i="13"/>
  <c r="E586" i="13"/>
  <c r="D586" i="13"/>
  <c r="A586" i="13"/>
  <c r="E585" i="13"/>
  <c r="D585" i="13"/>
  <c r="A585" i="13"/>
  <c r="E584" i="13"/>
  <c r="D584" i="13"/>
  <c r="A584" i="13"/>
  <c r="E583" i="13"/>
  <c r="D583" i="13"/>
  <c r="A583" i="13"/>
  <c r="E582" i="13"/>
  <c r="D582" i="13"/>
  <c r="A582" i="13"/>
  <c r="E581" i="13"/>
  <c r="D581" i="13"/>
  <c r="A581" i="13"/>
  <c r="E580" i="13"/>
  <c r="D580" i="13"/>
  <c r="A580" i="13"/>
  <c r="E579" i="13"/>
  <c r="D579" i="13"/>
  <c r="A579" i="13"/>
  <c r="E578" i="13"/>
  <c r="D578" i="13"/>
  <c r="A578" i="13"/>
  <c r="E577" i="13"/>
  <c r="D577" i="13"/>
  <c r="A577" i="13"/>
  <c r="E530" i="13"/>
  <c r="D530" i="13"/>
  <c r="A530" i="13"/>
  <c r="E529" i="13"/>
  <c r="D529" i="13"/>
  <c r="A529" i="13"/>
  <c r="E528" i="13"/>
  <c r="D528" i="13"/>
  <c r="A528" i="13"/>
  <c r="E527" i="13"/>
  <c r="D527" i="13"/>
  <c r="A527" i="13"/>
  <c r="E526" i="13"/>
  <c r="D526" i="13"/>
  <c r="A526" i="13"/>
  <c r="E525" i="13"/>
  <c r="D525" i="13"/>
  <c r="A525" i="13"/>
  <c r="E524" i="13"/>
  <c r="D524" i="13"/>
  <c r="A524" i="13"/>
  <c r="E523" i="13"/>
  <c r="D523" i="13"/>
  <c r="A523" i="13"/>
  <c r="E522" i="13"/>
  <c r="D522" i="13"/>
  <c r="A522" i="13"/>
  <c r="E521" i="13"/>
  <c r="D521" i="13"/>
  <c r="A521" i="13"/>
  <c r="E520" i="13"/>
  <c r="D520" i="13"/>
  <c r="A520" i="13"/>
  <c r="E519" i="13"/>
  <c r="D519" i="13"/>
  <c r="A519" i="13"/>
  <c r="E518" i="13"/>
  <c r="D518" i="13"/>
  <c r="A518" i="13"/>
  <c r="E517" i="13"/>
  <c r="D517" i="13"/>
  <c r="A517" i="13"/>
  <c r="E516" i="13"/>
  <c r="D516" i="13"/>
  <c r="A516" i="13"/>
  <c r="E515" i="13"/>
  <c r="D515" i="13"/>
  <c r="A515" i="13"/>
  <c r="E514" i="13"/>
  <c r="D514" i="13"/>
  <c r="A514" i="13"/>
  <c r="E513" i="13"/>
  <c r="D513" i="13"/>
  <c r="A513" i="13"/>
  <c r="E512" i="13"/>
  <c r="D512" i="13"/>
  <c r="A512" i="13"/>
  <c r="E511" i="13"/>
  <c r="D511" i="13"/>
  <c r="A511" i="13"/>
  <c r="E510" i="13"/>
  <c r="D510" i="13"/>
  <c r="A510" i="13"/>
  <c r="E509" i="13"/>
  <c r="D509" i="13"/>
  <c r="A509" i="13"/>
  <c r="E508" i="13"/>
  <c r="D508" i="13"/>
  <c r="A508" i="13"/>
  <c r="E507" i="13"/>
  <c r="D507" i="13"/>
  <c r="A507" i="13"/>
  <c r="E506" i="13"/>
  <c r="D506" i="13"/>
  <c r="A506" i="13"/>
  <c r="E505" i="13"/>
  <c r="D505" i="13"/>
  <c r="A505" i="13"/>
  <c r="E504" i="13"/>
  <c r="D504" i="13"/>
  <c r="A504" i="13"/>
  <c r="E503" i="13"/>
  <c r="D503" i="13"/>
  <c r="A503" i="13"/>
  <c r="E502" i="13"/>
  <c r="D502" i="13"/>
  <c r="A502" i="13"/>
  <c r="E501" i="13"/>
  <c r="D501" i="13"/>
  <c r="A501" i="13"/>
  <c r="E500" i="13"/>
  <c r="D500" i="13"/>
  <c r="A500" i="13"/>
  <c r="E453" i="13"/>
  <c r="D453" i="13"/>
  <c r="A453" i="13"/>
  <c r="E452" i="13"/>
  <c r="D452" i="13"/>
  <c r="A452" i="13"/>
  <c r="E451" i="13"/>
  <c r="D451" i="13"/>
  <c r="A451" i="13"/>
  <c r="E450" i="13"/>
  <c r="D450" i="13"/>
  <c r="A450" i="13"/>
  <c r="E449" i="13"/>
  <c r="D449" i="13"/>
  <c r="A449" i="13"/>
  <c r="E448" i="13"/>
  <c r="D448" i="13"/>
  <c r="A448" i="13"/>
  <c r="E447" i="13"/>
  <c r="D447" i="13"/>
  <c r="A447" i="13"/>
  <c r="E446" i="13"/>
  <c r="D446" i="13"/>
  <c r="A446" i="13"/>
  <c r="E445" i="13"/>
  <c r="D445" i="13"/>
  <c r="A445" i="13"/>
  <c r="E444" i="13"/>
  <c r="D444" i="13"/>
  <c r="A444" i="13"/>
  <c r="E443" i="13"/>
  <c r="D443" i="13"/>
  <c r="A443" i="13"/>
  <c r="E442" i="13"/>
  <c r="D442" i="13"/>
  <c r="A442" i="13"/>
  <c r="E441" i="13"/>
  <c r="D441" i="13"/>
  <c r="A441" i="13"/>
  <c r="E440" i="13"/>
  <c r="D440" i="13"/>
  <c r="A440" i="13"/>
  <c r="E439" i="13"/>
  <c r="D439" i="13"/>
  <c r="A439" i="13"/>
  <c r="E438" i="13"/>
  <c r="D438" i="13"/>
  <c r="A438" i="13"/>
  <c r="E437" i="13"/>
  <c r="D437" i="13"/>
  <c r="A437" i="13"/>
  <c r="E436" i="13"/>
  <c r="D436" i="13"/>
  <c r="A436" i="13"/>
  <c r="E435" i="13"/>
  <c r="D435" i="13"/>
  <c r="A435" i="13"/>
  <c r="E434" i="13"/>
  <c r="D434" i="13"/>
  <c r="A434" i="13"/>
  <c r="E433" i="13"/>
  <c r="D433" i="13"/>
  <c r="A433" i="13"/>
  <c r="E432" i="13"/>
  <c r="D432" i="13"/>
  <c r="A432" i="13"/>
  <c r="E431" i="13"/>
  <c r="D431" i="13"/>
  <c r="A431" i="13"/>
  <c r="E430" i="13"/>
  <c r="D430" i="13"/>
  <c r="A430" i="13"/>
  <c r="E429" i="13"/>
  <c r="D429" i="13"/>
  <c r="A429" i="13"/>
  <c r="E428" i="13"/>
  <c r="D428" i="13"/>
  <c r="A428" i="13"/>
  <c r="E427" i="13"/>
  <c r="D427" i="13"/>
  <c r="A427" i="13"/>
  <c r="E426" i="13"/>
  <c r="D426" i="13"/>
  <c r="A426" i="13"/>
  <c r="E425" i="13"/>
  <c r="D425" i="13"/>
  <c r="A425" i="13"/>
  <c r="E424" i="13"/>
  <c r="D424" i="13"/>
  <c r="A424" i="13"/>
  <c r="E423" i="13"/>
  <c r="D423" i="13"/>
  <c r="A423" i="13"/>
  <c r="E376" i="13"/>
  <c r="D376" i="13"/>
  <c r="A376" i="13"/>
  <c r="E375" i="13"/>
  <c r="D375" i="13"/>
  <c r="A375" i="13"/>
  <c r="E374" i="13"/>
  <c r="D374" i="13"/>
  <c r="A374" i="13"/>
  <c r="E373" i="13"/>
  <c r="D373" i="13"/>
  <c r="A373" i="13"/>
  <c r="E372" i="13"/>
  <c r="D372" i="13"/>
  <c r="A372" i="13"/>
  <c r="E371" i="13"/>
  <c r="D371" i="13"/>
  <c r="A371" i="13"/>
  <c r="E370" i="13"/>
  <c r="D370" i="13"/>
  <c r="A370" i="13"/>
  <c r="E369" i="13"/>
  <c r="D369" i="13"/>
  <c r="A369" i="13"/>
  <c r="E368" i="13"/>
  <c r="D368" i="13"/>
  <c r="A368" i="13"/>
  <c r="E367" i="13"/>
  <c r="D367" i="13"/>
  <c r="A367" i="13"/>
  <c r="E366" i="13"/>
  <c r="D366" i="13"/>
  <c r="A366" i="13"/>
  <c r="E365" i="13"/>
  <c r="D365" i="13"/>
  <c r="A365" i="13"/>
  <c r="E364" i="13"/>
  <c r="D364" i="13"/>
  <c r="A364" i="13"/>
  <c r="E363" i="13"/>
  <c r="D363" i="13"/>
  <c r="A363" i="13"/>
  <c r="E362" i="13"/>
  <c r="D362" i="13"/>
  <c r="A362" i="13"/>
  <c r="E361" i="13"/>
  <c r="D361" i="13"/>
  <c r="A361" i="13"/>
  <c r="E360" i="13"/>
  <c r="D360" i="13"/>
  <c r="A360" i="13"/>
  <c r="E359" i="13"/>
  <c r="D359" i="13"/>
  <c r="A359" i="13"/>
  <c r="E358" i="13"/>
  <c r="D358" i="13"/>
  <c r="A358" i="13"/>
  <c r="E357" i="13"/>
  <c r="D357" i="13"/>
  <c r="A357" i="13"/>
  <c r="E356" i="13"/>
  <c r="D356" i="13"/>
  <c r="A356" i="13"/>
  <c r="E355" i="13"/>
  <c r="D355" i="13"/>
  <c r="A355" i="13"/>
  <c r="E354" i="13"/>
  <c r="D354" i="13"/>
  <c r="A354" i="13"/>
  <c r="E353" i="13"/>
  <c r="D353" i="13"/>
  <c r="A353" i="13"/>
  <c r="E352" i="13"/>
  <c r="D352" i="13"/>
  <c r="A352" i="13"/>
  <c r="E351" i="13"/>
  <c r="D351" i="13"/>
  <c r="A351" i="13"/>
  <c r="E350" i="13"/>
  <c r="D350" i="13"/>
  <c r="A350" i="13"/>
  <c r="E349" i="13"/>
  <c r="D349" i="13"/>
  <c r="A349" i="13"/>
  <c r="E348" i="13"/>
  <c r="D348" i="13"/>
  <c r="A348" i="13"/>
  <c r="E347" i="13"/>
  <c r="D347" i="13"/>
  <c r="A347" i="13"/>
  <c r="E346" i="13"/>
  <c r="D346" i="13"/>
  <c r="A346" i="13"/>
  <c r="E299" i="13"/>
  <c r="D299" i="13"/>
  <c r="A299" i="13"/>
  <c r="E298" i="13"/>
  <c r="D298" i="13"/>
  <c r="A298" i="13"/>
  <c r="E297" i="13"/>
  <c r="D297" i="13"/>
  <c r="A297" i="13"/>
  <c r="E296" i="13"/>
  <c r="D296" i="13"/>
  <c r="A296" i="13"/>
  <c r="E295" i="13"/>
  <c r="D295" i="13"/>
  <c r="A295" i="13"/>
  <c r="E294" i="13"/>
  <c r="D294" i="13"/>
  <c r="A294" i="13"/>
  <c r="E293" i="13"/>
  <c r="D293" i="13"/>
  <c r="A293" i="13"/>
  <c r="E292" i="13"/>
  <c r="D292" i="13"/>
  <c r="A292" i="13"/>
  <c r="E291" i="13"/>
  <c r="D291" i="13"/>
  <c r="A291" i="13"/>
  <c r="E290" i="13"/>
  <c r="D290" i="13"/>
  <c r="A290" i="13"/>
  <c r="E289" i="13"/>
  <c r="D289" i="13"/>
  <c r="A289" i="13"/>
  <c r="E288" i="13"/>
  <c r="D288" i="13"/>
  <c r="A288" i="13"/>
  <c r="E287" i="13"/>
  <c r="D287" i="13"/>
  <c r="A287" i="13"/>
  <c r="E286" i="13"/>
  <c r="D286" i="13"/>
  <c r="A286" i="13"/>
  <c r="E285" i="13"/>
  <c r="D285" i="13"/>
  <c r="A285" i="13"/>
  <c r="E284" i="13"/>
  <c r="D284" i="13"/>
  <c r="A284" i="13"/>
  <c r="E283" i="13"/>
  <c r="D283" i="13"/>
  <c r="A283" i="13"/>
  <c r="E282" i="13"/>
  <c r="D282" i="13"/>
  <c r="A282" i="13"/>
  <c r="E281" i="13"/>
  <c r="D281" i="13"/>
  <c r="A281" i="13"/>
  <c r="E280" i="13"/>
  <c r="D280" i="13"/>
  <c r="A280" i="13"/>
  <c r="E279" i="13"/>
  <c r="D279" i="13"/>
  <c r="A279" i="13"/>
  <c r="E278" i="13"/>
  <c r="D278" i="13"/>
  <c r="A278" i="13"/>
  <c r="E277" i="13"/>
  <c r="D277" i="13"/>
  <c r="A277" i="13"/>
  <c r="E276" i="13"/>
  <c r="D276" i="13"/>
  <c r="A276" i="13"/>
  <c r="E275" i="13"/>
  <c r="D275" i="13"/>
  <c r="A275" i="13"/>
  <c r="E274" i="13"/>
  <c r="D274" i="13"/>
  <c r="A274" i="13"/>
  <c r="E273" i="13"/>
  <c r="D273" i="13"/>
  <c r="A273" i="13"/>
  <c r="E272" i="13"/>
  <c r="D272" i="13"/>
  <c r="A272" i="13"/>
  <c r="E271" i="13"/>
  <c r="D271" i="13"/>
  <c r="A271" i="13"/>
  <c r="E270" i="13"/>
  <c r="D270" i="13"/>
  <c r="A270" i="13"/>
  <c r="E269" i="13"/>
  <c r="D269" i="13"/>
  <c r="A269" i="13"/>
  <c r="E695" i="14"/>
  <c r="D695" i="14"/>
  <c r="A695" i="14"/>
  <c r="E694" i="14"/>
  <c r="D694" i="14"/>
  <c r="A694" i="14"/>
  <c r="E693" i="14"/>
  <c r="D693" i="14"/>
  <c r="A693" i="14"/>
  <c r="E692" i="14"/>
  <c r="D692" i="14"/>
  <c r="A692" i="14"/>
  <c r="E691" i="14"/>
  <c r="D691" i="14"/>
  <c r="A691" i="14"/>
  <c r="E690" i="14"/>
  <c r="D690" i="14"/>
  <c r="A690" i="14"/>
  <c r="E689" i="14"/>
  <c r="D689" i="14"/>
  <c r="A689" i="14"/>
  <c r="E688" i="14"/>
  <c r="D688" i="14"/>
  <c r="A688" i="14"/>
  <c r="E687" i="14"/>
  <c r="D687" i="14"/>
  <c r="A687" i="14"/>
  <c r="E686" i="14"/>
  <c r="D686" i="14"/>
  <c r="A686" i="14"/>
  <c r="E685" i="14"/>
  <c r="D685" i="14"/>
  <c r="A685" i="14"/>
  <c r="E684" i="14"/>
  <c r="D684" i="14"/>
  <c r="A684" i="14"/>
  <c r="E683" i="14"/>
  <c r="D683" i="14"/>
  <c r="A683" i="14"/>
  <c r="E682" i="14"/>
  <c r="D682" i="14"/>
  <c r="A682" i="14"/>
  <c r="E681" i="14"/>
  <c r="D681" i="14"/>
  <c r="A681" i="14"/>
  <c r="E680" i="14"/>
  <c r="D680" i="14"/>
  <c r="A680" i="14"/>
  <c r="E679" i="14"/>
  <c r="D679" i="14"/>
  <c r="A679" i="14"/>
  <c r="E678" i="14"/>
  <c r="D678" i="14"/>
  <c r="A678" i="14"/>
  <c r="E677" i="14"/>
  <c r="D677" i="14"/>
  <c r="A677" i="14"/>
  <c r="E676" i="14"/>
  <c r="D676" i="14"/>
  <c r="A676" i="14"/>
  <c r="E675" i="14"/>
  <c r="D675" i="14"/>
  <c r="A675" i="14"/>
  <c r="E674" i="14"/>
  <c r="D674" i="14"/>
  <c r="A674" i="14"/>
  <c r="E673" i="14"/>
  <c r="D673" i="14"/>
  <c r="A673" i="14"/>
  <c r="E672" i="14"/>
  <c r="D672" i="14"/>
  <c r="A672" i="14"/>
  <c r="E671" i="14"/>
  <c r="D671" i="14"/>
  <c r="A671" i="14"/>
  <c r="E670" i="14"/>
  <c r="D670" i="14"/>
  <c r="A670" i="14"/>
  <c r="E669" i="14"/>
  <c r="D669" i="14"/>
  <c r="A669" i="14"/>
  <c r="E668" i="14"/>
  <c r="D668" i="14"/>
  <c r="A668" i="14"/>
  <c r="E667" i="14"/>
  <c r="D667" i="14"/>
  <c r="A667" i="14"/>
  <c r="E666" i="14"/>
  <c r="D666" i="14"/>
  <c r="A666" i="14"/>
  <c r="E665" i="14"/>
  <c r="D665" i="14"/>
  <c r="A665" i="14"/>
  <c r="E617" i="14"/>
  <c r="D617" i="14"/>
  <c r="A617" i="14"/>
  <c r="E616" i="14"/>
  <c r="D616" i="14"/>
  <c r="A616" i="14"/>
  <c r="E615" i="14"/>
  <c r="D615" i="14"/>
  <c r="A615" i="14"/>
  <c r="E614" i="14"/>
  <c r="D614" i="14"/>
  <c r="A614" i="14"/>
  <c r="E613" i="14"/>
  <c r="D613" i="14"/>
  <c r="A613" i="14"/>
  <c r="E612" i="14"/>
  <c r="D612" i="14"/>
  <c r="A612" i="14"/>
  <c r="E611" i="14"/>
  <c r="D611" i="14"/>
  <c r="A611" i="14"/>
  <c r="E610" i="14"/>
  <c r="D610" i="14"/>
  <c r="A610" i="14"/>
  <c r="E609" i="14"/>
  <c r="D609" i="14"/>
  <c r="A609" i="14"/>
  <c r="E608" i="14"/>
  <c r="D608" i="14"/>
  <c r="A608" i="14"/>
  <c r="E607" i="14"/>
  <c r="D607" i="14"/>
  <c r="A607" i="14"/>
  <c r="E606" i="14"/>
  <c r="D606" i="14"/>
  <c r="A606" i="14"/>
  <c r="E605" i="14"/>
  <c r="D605" i="14"/>
  <c r="A605" i="14"/>
  <c r="E604" i="14"/>
  <c r="D604" i="14"/>
  <c r="A604" i="14"/>
  <c r="E603" i="14"/>
  <c r="D603" i="14"/>
  <c r="A603" i="14"/>
  <c r="E602" i="14"/>
  <c r="D602" i="14"/>
  <c r="A602" i="14"/>
  <c r="E601" i="14"/>
  <c r="D601" i="14"/>
  <c r="A601" i="14"/>
  <c r="E600" i="14"/>
  <c r="D600" i="14"/>
  <c r="A600" i="14"/>
  <c r="E599" i="14"/>
  <c r="D599" i="14"/>
  <c r="A599" i="14"/>
  <c r="E598" i="14"/>
  <c r="D598" i="14"/>
  <c r="A598" i="14"/>
  <c r="E597" i="14"/>
  <c r="D597" i="14"/>
  <c r="A597" i="14"/>
  <c r="E596" i="14"/>
  <c r="D596" i="14"/>
  <c r="A596" i="14"/>
  <c r="E595" i="14"/>
  <c r="D595" i="14"/>
  <c r="A595" i="14"/>
  <c r="E594" i="14"/>
  <c r="D594" i="14"/>
  <c r="A594" i="14"/>
  <c r="E593" i="14"/>
  <c r="D593" i="14"/>
  <c r="A593" i="14"/>
  <c r="E592" i="14"/>
  <c r="D592" i="14"/>
  <c r="A592" i="14"/>
  <c r="E591" i="14"/>
  <c r="D591" i="14"/>
  <c r="A591" i="14"/>
  <c r="E590" i="14"/>
  <c r="D590" i="14"/>
  <c r="A590" i="14"/>
  <c r="E589" i="14"/>
  <c r="D589" i="14"/>
  <c r="A589" i="14"/>
  <c r="E588" i="14"/>
  <c r="D588" i="14"/>
  <c r="A588" i="14"/>
  <c r="E587" i="14"/>
  <c r="D587" i="14"/>
  <c r="A587" i="14"/>
  <c r="E539" i="14"/>
  <c r="D539" i="14"/>
  <c r="A539" i="14"/>
  <c r="E538" i="14"/>
  <c r="D538" i="14"/>
  <c r="A538" i="14"/>
  <c r="E537" i="14"/>
  <c r="D537" i="14"/>
  <c r="A537" i="14"/>
  <c r="E536" i="14"/>
  <c r="D536" i="14"/>
  <c r="A536" i="14"/>
  <c r="E535" i="14"/>
  <c r="D535" i="14"/>
  <c r="A535" i="14"/>
  <c r="E534" i="14"/>
  <c r="D534" i="14"/>
  <c r="A534" i="14"/>
  <c r="E533" i="14"/>
  <c r="D533" i="14"/>
  <c r="A533" i="14"/>
  <c r="E532" i="14"/>
  <c r="D532" i="14"/>
  <c r="A532" i="14"/>
  <c r="E531" i="14"/>
  <c r="D531" i="14"/>
  <c r="A531" i="14"/>
  <c r="E530" i="14"/>
  <c r="D530" i="14"/>
  <c r="A530" i="14"/>
  <c r="E529" i="14"/>
  <c r="D529" i="14"/>
  <c r="A529" i="14"/>
  <c r="E528" i="14"/>
  <c r="D528" i="14"/>
  <c r="A528" i="14"/>
  <c r="E527" i="14"/>
  <c r="D527" i="14"/>
  <c r="A527" i="14"/>
  <c r="E526" i="14"/>
  <c r="D526" i="14"/>
  <c r="A526" i="14"/>
  <c r="E525" i="14"/>
  <c r="D525" i="14"/>
  <c r="A525" i="14"/>
  <c r="E524" i="14"/>
  <c r="D524" i="14"/>
  <c r="A524" i="14"/>
  <c r="E523" i="14"/>
  <c r="D523" i="14"/>
  <c r="A523" i="14"/>
  <c r="E522" i="14"/>
  <c r="D522" i="14"/>
  <c r="A522" i="14"/>
  <c r="E521" i="14"/>
  <c r="D521" i="14"/>
  <c r="A521" i="14"/>
  <c r="E520" i="14"/>
  <c r="D520" i="14"/>
  <c r="A520" i="14"/>
  <c r="E519" i="14"/>
  <c r="D519" i="14"/>
  <c r="A519" i="14"/>
  <c r="E518" i="14"/>
  <c r="D518" i="14"/>
  <c r="A518" i="14"/>
  <c r="E517" i="14"/>
  <c r="D517" i="14"/>
  <c r="A517" i="14"/>
  <c r="E516" i="14"/>
  <c r="D516" i="14"/>
  <c r="A516" i="14"/>
  <c r="E515" i="14"/>
  <c r="D515" i="14"/>
  <c r="A515" i="14"/>
  <c r="E514" i="14"/>
  <c r="D514" i="14"/>
  <c r="A514" i="14"/>
  <c r="E513" i="14"/>
  <c r="D513" i="14"/>
  <c r="A513" i="14"/>
  <c r="E512" i="14"/>
  <c r="D512" i="14"/>
  <c r="A512" i="14"/>
  <c r="E511" i="14"/>
  <c r="D511" i="14"/>
  <c r="A511" i="14"/>
  <c r="E510" i="14"/>
  <c r="D510" i="14"/>
  <c r="A510" i="14"/>
  <c r="E509" i="14"/>
  <c r="D509" i="14"/>
  <c r="A509" i="14"/>
  <c r="E461" i="14"/>
  <c r="D461" i="14"/>
  <c r="A461" i="14"/>
  <c r="E460" i="14"/>
  <c r="D460" i="14"/>
  <c r="A460" i="14"/>
  <c r="E459" i="14"/>
  <c r="D459" i="14"/>
  <c r="A459" i="14"/>
  <c r="E458" i="14"/>
  <c r="D458" i="14"/>
  <c r="A458" i="14"/>
  <c r="E457" i="14"/>
  <c r="D457" i="14"/>
  <c r="A457" i="14"/>
  <c r="E456" i="14"/>
  <c r="D456" i="14"/>
  <c r="A456" i="14"/>
  <c r="E455" i="14"/>
  <c r="D455" i="14"/>
  <c r="A455" i="14"/>
  <c r="E454" i="14"/>
  <c r="D454" i="14"/>
  <c r="A454" i="14"/>
  <c r="E453" i="14"/>
  <c r="D453" i="14"/>
  <c r="A453" i="14"/>
  <c r="E452" i="14"/>
  <c r="D452" i="14"/>
  <c r="A452" i="14"/>
  <c r="E451" i="14"/>
  <c r="D451" i="14"/>
  <c r="A451" i="14"/>
  <c r="E450" i="14"/>
  <c r="D450" i="14"/>
  <c r="A450" i="14"/>
  <c r="E449" i="14"/>
  <c r="D449" i="14"/>
  <c r="A449" i="14"/>
  <c r="E448" i="14"/>
  <c r="D448" i="14"/>
  <c r="A448" i="14"/>
  <c r="E447" i="14"/>
  <c r="D447" i="14"/>
  <c r="A447" i="14"/>
  <c r="E446" i="14"/>
  <c r="D446" i="14"/>
  <c r="A446" i="14"/>
  <c r="E445" i="14"/>
  <c r="D445" i="14"/>
  <c r="A445" i="14"/>
  <c r="E444" i="14"/>
  <c r="D444" i="14"/>
  <c r="A444" i="14"/>
  <c r="E443" i="14"/>
  <c r="D443" i="14"/>
  <c r="A443" i="14"/>
  <c r="E442" i="14"/>
  <c r="D442" i="14"/>
  <c r="A442" i="14"/>
  <c r="E441" i="14"/>
  <c r="D441" i="14"/>
  <c r="A441" i="14"/>
  <c r="E440" i="14"/>
  <c r="D440" i="14"/>
  <c r="A440" i="14"/>
  <c r="E439" i="14"/>
  <c r="D439" i="14"/>
  <c r="A439" i="14"/>
  <c r="E438" i="14"/>
  <c r="D438" i="14"/>
  <c r="A438" i="14"/>
  <c r="E437" i="14"/>
  <c r="D437" i="14"/>
  <c r="A437" i="14"/>
  <c r="E436" i="14"/>
  <c r="D436" i="14"/>
  <c r="A436" i="14"/>
  <c r="E435" i="14"/>
  <c r="D435" i="14"/>
  <c r="A435" i="14"/>
  <c r="E434" i="14"/>
  <c r="D434" i="14"/>
  <c r="A434" i="14"/>
  <c r="E433" i="14"/>
  <c r="D433" i="14"/>
  <c r="A433" i="14"/>
  <c r="E432" i="14"/>
  <c r="D432" i="14"/>
  <c r="A432" i="14"/>
  <c r="E431" i="14"/>
  <c r="D431" i="14"/>
  <c r="A431" i="14"/>
  <c r="E383" i="14"/>
  <c r="D383" i="14"/>
  <c r="A383" i="14"/>
  <c r="E382" i="14"/>
  <c r="D382" i="14"/>
  <c r="A382" i="14"/>
  <c r="E381" i="14"/>
  <c r="D381" i="14"/>
  <c r="A381" i="14"/>
  <c r="E380" i="14"/>
  <c r="D380" i="14"/>
  <c r="A380" i="14"/>
  <c r="E379" i="14"/>
  <c r="D379" i="14"/>
  <c r="A379" i="14"/>
  <c r="E378" i="14"/>
  <c r="D378" i="14"/>
  <c r="A378" i="14"/>
  <c r="E377" i="14"/>
  <c r="D377" i="14"/>
  <c r="A377" i="14"/>
  <c r="E376" i="14"/>
  <c r="D376" i="14"/>
  <c r="A376" i="14"/>
  <c r="E375" i="14"/>
  <c r="D375" i="14"/>
  <c r="A375" i="14"/>
  <c r="E374" i="14"/>
  <c r="D374" i="14"/>
  <c r="A374" i="14"/>
  <c r="E373" i="14"/>
  <c r="D373" i="14"/>
  <c r="A373" i="14"/>
  <c r="E372" i="14"/>
  <c r="D372" i="14"/>
  <c r="A372" i="14"/>
  <c r="E371" i="14"/>
  <c r="D371" i="14"/>
  <c r="A371" i="14"/>
  <c r="E370" i="14"/>
  <c r="D370" i="14"/>
  <c r="A370" i="14"/>
  <c r="E369" i="14"/>
  <c r="D369" i="14"/>
  <c r="A369" i="14"/>
  <c r="E368" i="14"/>
  <c r="D368" i="14"/>
  <c r="A368" i="14"/>
  <c r="E367" i="14"/>
  <c r="D367" i="14"/>
  <c r="A367" i="14"/>
  <c r="E366" i="14"/>
  <c r="D366" i="14"/>
  <c r="A366" i="14"/>
  <c r="E365" i="14"/>
  <c r="D365" i="14"/>
  <c r="A365" i="14"/>
  <c r="E364" i="14"/>
  <c r="D364" i="14"/>
  <c r="A364" i="14"/>
  <c r="E363" i="14"/>
  <c r="D363" i="14"/>
  <c r="A363" i="14"/>
  <c r="E362" i="14"/>
  <c r="D362" i="14"/>
  <c r="A362" i="14"/>
  <c r="E361" i="14"/>
  <c r="D361" i="14"/>
  <c r="A361" i="14"/>
  <c r="E360" i="14"/>
  <c r="D360" i="14"/>
  <c r="A360" i="14"/>
  <c r="E359" i="14"/>
  <c r="D359" i="14"/>
  <c r="A359" i="14"/>
  <c r="E358" i="14"/>
  <c r="D358" i="14"/>
  <c r="A358" i="14"/>
  <c r="E357" i="14"/>
  <c r="D357" i="14"/>
  <c r="A357" i="14"/>
  <c r="E356" i="14"/>
  <c r="D356" i="14"/>
  <c r="A356" i="14"/>
  <c r="E355" i="14"/>
  <c r="D355" i="14"/>
  <c r="A355" i="14"/>
  <c r="E354" i="14"/>
  <c r="D354" i="14"/>
  <c r="A354" i="14"/>
  <c r="E353" i="14"/>
  <c r="D353" i="14"/>
  <c r="A353" i="14"/>
  <c r="E305" i="14"/>
  <c r="D305" i="14"/>
  <c r="A305" i="14"/>
  <c r="E304" i="14"/>
  <c r="D304" i="14"/>
  <c r="A304" i="14"/>
  <c r="E303" i="14"/>
  <c r="D303" i="14"/>
  <c r="A303" i="14"/>
  <c r="E302" i="14"/>
  <c r="D302" i="14"/>
  <c r="A302" i="14"/>
  <c r="E301" i="14"/>
  <c r="D301" i="14"/>
  <c r="A301" i="14"/>
  <c r="E300" i="14"/>
  <c r="D300" i="14"/>
  <c r="A300" i="14"/>
  <c r="E299" i="14"/>
  <c r="D299" i="14"/>
  <c r="A299" i="14"/>
  <c r="E298" i="14"/>
  <c r="D298" i="14"/>
  <c r="A298" i="14"/>
  <c r="E297" i="14"/>
  <c r="D297" i="14"/>
  <c r="A297" i="14"/>
  <c r="E296" i="14"/>
  <c r="D296" i="14"/>
  <c r="A296" i="14"/>
  <c r="E295" i="14"/>
  <c r="D295" i="14"/>
  <c r="A295" i="14"/>
  <c r="E294" i="14"/>
  <c r="D294" i="14"/>
  <c r="A294" i="14"/>
  <c r="E293" i="14"/>
  <c r="D293" i="14"/>
  <c r="A293" i="14"/>
  <c r="E292" i="14"/>
  <c r="D292" i="14"/>
  <c r="A292" i="14"/>
  <c r="E291" i="14"/>
  <c r="D291" i="14"/>
  <c r="A291" i="14"/>
  <c r="E290" i="14"/>
  <c r="D290" i="14"/>
  <c r="A290" i="14"/>
  <c r="E289" i="14"/>
  <c r="D289" i="14"/>
  <c r="A289" i="14"/>
  <c r="E288" i="14"/>
  <c r="D288" i="14"/>
  <c r="A288" i="14"/>
  <c r="E287" i="14"/>
  <c r="D287" i="14"/>
  <c r="A287" i="14"/>
  <c r="E286" i="14"/>
  <c r="D286" i="14"/>
  <c r="A286" i="14"/>
  <c r="E285" i="14"/>
  <c r="D285" i="14"/>
  <c r="A285" i="14"/>
  <c r="E284" i="14"/>
  <c r="D284" i="14"/>
  <c r="A284" i="14"/>
  <c r="E283" i="14"/>
  <c r="D283" i="14"/>
  <c r="A283" i="14"/>
  <c r="E282" i="14"/>
  <c r="D282" i="14"/>
  <c r="A282" i="14"/>
  <c r="E281" i="14"/>
  <c r="D281" i="14"/>
  <c r="A281" i="14"/>
  <c r="E280" i="14"/>
  <c r="D280" i="14"/>
  <c r="A280" i="14"/>
  <c r="E279" i="14"/>
  <c r="D279" i="14"/>
  <c r="A279" i="14"/>
  <c r="E278" i="14"/>
  <c r="D278" i="14"/>
  <c r="A278" i="14"/>
  <c r="E277" i="14"/>
  <c r="D277" i="14"/>
  <c r="A277" i="14"/>
  <c r="E276" i="14"/>
  <c r="D276" i="14"/>
  <c r="A276" i="14"/>
  <c r="E275" i="14"/>
  <c r="D275" i="14"/>
  <c r="A275" i="14"/>
  <c r="E695" i="18"/>
  <c r="D695" i="18"/>
  <c r="A695" i="18"/>
  <c r="E694" i="18"/>
  <c r="D694" i="18"/>
  <c r="A694" i="18"/>
  <c r="E693" i="18"/>
  <c r="D693" i="18"/>
  <c r="A693" i="18"/>
  <c r="E692" i="18"/>
  <c r="D692" i="18"/>
  <c r="A692" i="18"/>
  <c r="E691" i="18"/>
  <c r="D691" i="18"/>
  <c r="A691" i="18"/>
  <c r="E690" i="18"/>
  <c r="D690" i="18"/>
  <c r="A690" i="18"/>
  <c r="E689" i="18"/>
  <c r="D689" i="18"/>
  <c r="A689" i="18"/>
  <c r="E688" i="18"/>
  <c r="D688" i="18"/>
  <c r="A688" i="18"/>
  <c r="E687" i="18"/>
  <c r="D687" i="18"/>
  <c r="A687" i="18"/>
  <c r="E686" i="18"/>
  <c r="D686" i="18"/>
  <c r="A686" i="18"/>
  <c r="E685" i="18"/>
  <c r="D685" i="18"/>
  <c r="A685" i="18"/>
  <c r="E684" i="18"/>
  <c r="D684" i="18"/>
  <c r="A684" i="18"/>
  <c r="E683" i="18"/>
  <c r="D683" i="18"/>
  <c r="A683" i="18"/>
  <c r="E682" i="18"/>
  <c r="D682" i="18"/>
  <c r="A682" i="18"/>
  <c r="E681" i="18"/>
  <c r="D681" i="18"/>
  <c r="A681" i="18"/>
  <c r="E680" i="18"/>
  <c r="D680" i="18"/>
  <c r="A680" i="18"/>
  <c r="E679" i="18"/>
  <c r="D679" i="18"/>
  <c r="A679" i="18"/>
  <c r="E678" i="18"/>
  <c r="D678" i="18"/>
  <c r="A678" i="18"/>
  <c r="E677" i="18"/>
  <c r="D677" i="18"/>
  <c r="A677" i="18"/>
  <c r="E676" i="18"/>
  <c r="D676" i="18"/>
  <c r="A676" i="18"/>
  <c r="E675" i="18"/>
  <c r="D675" i="18"/>
  <c r="A675" i="18"/>
  <c r="E674" i="18"/>
  <c r="D674" i="18"/>
  <c r="A674" i="18"/>
  <c r="E673" i="18"/>
  <c r="D673" i="18"/>
  <c r="A673" i="18"/>
  <c r="E672" i="18"/>
  <c r="D672" i="18"/>
  <c r="A672" i="18"/>
  <c r="E671" i="18"/>
  <c r="D671" i="18"/>
  <c r="A671" i="18"/>
  <c r="E670" i="18"/>
  <c r="D670" i="18"/>
  <c r="A670" i="18"/>
  <c r="E669" i="18"/>
  <c r="D669" i="18"/>
  <c r="A669" i="18"/>
  <c r="E668" i="18"/>
  <c r="D668" i="18"/>
  <c r="A668" i="18"/>
  <c r="E667" i="18"/>
  <c r="D667" i="18"/>
  <c r="A667" i="18"/>
  <c r="E666" i="18"/>
  <c r="D666" i="18"/>
  <c r="A666" i="18"/>
  <c r="E665" i="18"/>
  <c r="D665" i="18"/>
  <c r="A665" i="18"/>
  <c r="E617" i="18"/>
  <c r="D617" i="18"/>
  <c r="A617" i="18"/>
  <c r="E616" i="18"/>
  <c r="D616" i="18"/>
  <c r="A616" i="18"/>
  <c r="E615" i="18"/>
  <c r="D615" i="18"/>
  <c r="A615" i="18"/>
  <c r="E614" i="18"/>
  <c r="D614" i="18"/>
  <c r="A614" i="18"/>
  <c r="E613" i="18"/>
  <c r="D613" i="18"/>
  <c r="A613" i="18"/>
  <c r="E612" i="18"/>
  <c r="D612" i="18"/>
  <c r="A612" i="18"/>
  <c r="E611" i="18"/>
  <c r="D611" i="18"/>
  <c r="A611" i="18"/>
  <c r="E610" i="18"/>
  <c r="D610" i="18"/>
  <c r="A610" i="18"/>
  <c r="E609" i="18"/>
  <c r="D609" i="18"/>
  <c r="A609" i="18"/>
  <c r="E608" i="18"/>
  <c r="D608" i="18"/>
  <c r="A608" i="18"/>
  <c r="E607" i="18"/>
  <c r="D607" i="18"/>
  <c r="A607" i="18"/>
  <c r="E606" i="18"/>
  <c r="D606" i="18"/>
  <c r="A606" i="18"/>
  <c r="E605" i="18"/>
  <c r="D605" i="18"/>
  <c r="A605" i="18"/>
  <c r="E604" i="18"/>
  <c r="D604" i="18"/>
  <c r="A604" i="18"/>
  <c r="E603" i="18"/>
  <c r="D603" i="18"/>
  <c r="A603" i="18"/>
  <c r="E602" i="18"/>
  <c r="D602" i="18"/>
  <c r="A602" i="18"/>
  <c r="E601" i="18"/>
  <c r="D601" i="18"/>
  <c r="A601" i="18"/>
  <c r="E600" i="18"/>
  <c r="D600" i="18"/>
  <c r="A600" i="18"/>
  <c r="E599" i="18"/>
  <c r="D599" i="18"/>
  <c r="A599" i="18"/>
  <c r="E598" i="18"/>
  <c r="D598" i="18"/>
  <c r="A598" i="18"/>
  <c r="E597" i="18"/>
  <c r="D597" i="18"/>
  <c r="A597" i="18"/>
  <c r="E596" i="18"/>
  <c r="D596" i="18"/>
  <c r="A596" i="18"/>
  <c r="E595" i="18"/>
  <c r="D595" i="18"/>
  <c r="A595" i="18"/>
  <c r="E594" i="18"/>
  <c r="D594" i="18"/>
  <c r="A594" i="18"/>
  <c r="E593" i="18"/>
  <c r="D593" i="18"/>
  <c r="A593" i="18"/>
  <c r="E592" i="18"/>
  <c r="D592" i="18"/>
  <c r="A592" i="18"/>
  <c r="E591" i="18"/>
  <c r="D591" i="18"/>
  <c r="A591" i="18"/>
  <c r="E590" i="18"/>
  <c r="D590" i="18"/>
  <c r="A590" i="18"/>
  <c r="E589" i="18"/>
  <c r="D589" i="18"/>
  <c r="A589" i="18"/>
  <c r="E588" i="18"/>
  <c r="D588" i="18"/>
  <c r="A588" i="18"/>
  <c r="E587" i="18"/>
  <c r="D587" i="18"/>
  <c r="A587" i="18"/>
  <c r="E539" i="18"/>
  <c r="D539" i="18"/>
  <c r="A539" i="18"/>
  <c r="E538" i="18"/>
  <c r="D538" i="18"/>
  <c r="A538" i="18"/>
  <c r="E537" i="18"/>
  <c r="D537" i="18"/>
  <c r="A537" i="18"/>
  <c r="E536" i="18"/>
  <c r="D536" i="18"/>
  <c r="A536" i="18"/>
  <c r="E535" i="18"/>
  <c r="D535" i="18"/>
  <c r="A535" i="18"/>
  <c r="E534" i="18"/>
  <c r="D534" i="18"/>
  <c r="A534" i="18"/>
  <c r="E533" i="18"/>
  <c r="D533" i="18"/>
  <c r="A533" i="18"/>
  <c r="E532" i="18"/>
  <c r="D532" i="18"/>
  <c r="A532" i="18"/>
  <c r="E531" i="18"/>
  <c r="D531" i="18"/>
  <c r="A531" i="18"/>
  <c r="E530" i="18"/>
  <c r="D530" i="18"/>
  <c r="A530" i="18"/>
  <c r="E529" i="18"/>
  <c r="D529" i="18"/>
  <c r="A529" i="18"/>
  <c r="E528" i="18"/>
  <c r="D528" i="18"/>
  <c r="A528" i="18"/>
  <c r="E527" i="18"/>
  <c r="D527" i="18"/>
  <c r="A527" i="18"/>
  <c r="E526" i="18"/>
  <c r="D526" i="18"/>
  <c r="A526" i="18"/>
  <c r="E525" i="18"/>
  <c r="D525" i="18"/>
  <c r="A525" i="18"/>
  <c r="E524" i="18"/>
  <c r="D524" i="18"/>
  <c r="A524" i="18"/>
  <c r="E523" i="18"/>
  <c r="D523" i="18"/>
  <c r="A523" i="18"/>
  <c r="E522" i="18"/>
  <c r="D522" i="18"/>
  <c r="A522" i="18"/>
  <c r="E521" i="18"/>
  <c r="D521" i="18"/>
  <c r="A521" i="18"/>
  <c r="E520" i="18"/>
  <c r="D520" i="18"/>
  <c r="A520" i="18"/>
  <c r="E519" i="18"/>
  <c r="D519" i="18"/>
  <c r="A519" i="18"/>
  <c r="E518" i="18"/>
  <c r="D518" i="18"/>
  <c r="A518" i="18"/>
  <c r="E517" i="18"/>
  <c r="D517" i="18"/>
  <c r="A517" i="18"/>
  <c r="E516" i="18"/>
  <c r="D516" i="18"/>
  <c r="A516" i="18"/>
  <c r="E515" i="18"/>
  <c r="D515" i="18"/>
  <c r="A515" i="18"/>
  <c r="E514" i="18"/>
  <c r="D514" i="18"/>
  <c r="A514" i="18"/>
  <c r="E513" i="18"/>
  <c r="D513" i="18"/>
  <c r="A513" i="18"/>
  <c r="E512" i="18"/>
  <c r="D512" i="18"/>
  <c r="A512" i="18"/>
  <c r="E511" i="18"/>
  <c r="D511" i="18"/>
  <c r="A511" i="18"/>
  <c r="E510" i="18"/>
  <c r="D510" i="18"/>
  <c r="A510" i="18"/>
  <c r="E509" i="18"/>
  <c r="D509" i="18"/>
  <c r="A509" i="18"/>
  <c r="E461" i="18"/>
  <c r="D461" i="18"/>
  <c r="A461" i="18"/>
  <c r="E460" i="18"/>
  <c r="D460" i="18"/>
  <c r="A460" i="18"/>
  <c r="E459" i="18"/>
  <c r="D459" i="18"/>
  <c r="A459" i="18"/>
  <c r="E458" i="18"/>
  <c r="D458" i="18"/>
  <c r="A458" i="18"/>
  <c r="E457" i="18"/>
  <c r="D457" i="18"/>
  <c r="A457" i="18"/>
  <c r="E456" i="18"/>
  <c r="D456" i="18"/>
  <c r="A456" i="18"/>
  <c r="E455" i="18"/>
  <c r="D455" i="18"/>
  <c r="A455" i="18"/>
  <c r="E454" i="18"/>
  <c r="D454" i="18"/>
  <c r="A454" i="18"/>
  <c r="E453" i="18"/>
  <c r="D453" i="18"/>
  <c r="A453" i="18"/>
  <c r="E452" i="18"/>
  <c r="D452" i="18"/>
  <c r="A452" i="18"/>
  <c r="E451" i="18"/>
  <c r="D451" i="18"/>
  <c r="A451" i="18"/>
  <c r="E450" i="18"/>
  <c r="D450" i="18"/>
  <c r="A450" i="18"/>
  <c r="E449" i="18"/>
  <c r="D449" i="18"/>
  <c r="A449" i="18"/>
  <c r="E448" i="18"/>
  <c r="D448" i="18"/>
  <c r="A448" i="18"/>
  <c r="E447" i="18"/>
  <c r="D447" i="18"/>
  <c r="A447" i="18"/>
  <c r="E446" i="18"/>
  <c r="D446" i="18"/>
  <c r="A446" i="18"/>
  <c r="E445" i="18"/>
  <c r="D445" i="18"/>
  <c r="A445" i="18"/>
  <c r="E444" i="18"/>
  <c r="D444" i="18"/>
  <c r="A444" i="18"/>
  <c r="E443" i="18"/>
  <c r="D443" i="18"/>
  <c r="A443" i="18"/>
  <c r="E442" i="18"/>
  <c r="D442" i="18"/>
  <c r="A442" i="18"/>
  <c r="E441" i="18"/>
  <c r="D441" i="18"/>
  <c r="A441" i="18"/>
  <c r="E440" i="18"/>
  <c r="D440" i="18"/>
  <c r="A440" i="18"/>
  <c r="E439" i="18"/>
  <c r="D439" i="18"/>
  <c r="A439" i="18"/>
  <c r="E438" i="18"/>
  <c r="D438" i="18"/>
  <c r="A438" i="18"/>
  <c r="E437" i="18"/>
  <c r="D437" i="18"/>
  <c r="A437" i="18"/>
  <c r="E436" i="18"/>
  <c r="D436" i="18"/>
  <c r="A436" i="18"/>
  <c r="E435" i="18"/>
  <c r="D435" i="18"/>
  <c r="A435" i="18"/>
  <c r="E434" i="18"/>
  <c r="D434" i="18"/>
  <c r="A434" i="18"/>
  <c r="E433" i="18"/>
  <c r="D433" i="18"/>
  <c r="A433" i="18"/>
  <c r="E432" i="18"/>
  <c r="D432" i="18"/>
  <c r="A432" i="18"/>
  <c r="E431" i="18"/>
  <c r="D431" i="18"/>
  <c r="A431" i="18"/>
  <c r="E383" i="18"/>
  <c r="D383" i="18"/>
  <c r="A383" i="18"/>
  <c r="E382" i="18"/>
  <c r="D382" i="18"/>
  <c r="A382" i="18"/>
  <c r="E381" i="18"/>
  <c r="D381" i="18"/>
  <c r="A381" i="18"/>
  <c r="E380" i="18"/>
  <c r="D380" i="18"/>
  <c r="A380" i="18"/>
  <c r="E379" i="18"/>
  <c r="D379" i="18"/>
  <c r="A379" i="18"/>
  <c r="E378" i="18"/>
  <c r="D378" i="18"/>
  <c r="A378" i="18"/>
  <c r="E377" i="18"/>
  <c r="D377" i="18"/>
  <c r="A377" i="18"/>
  <c r="E376" i="18"/>
  <c r="D376" i="18"/>
  <c r="A376" i="18"/>
  <c r="E375" i="18"/>
  <c r="D375" i="18"/>
  <c r="A375" i="18"/>
  <c r="E374" i="18"/>
  <c r="D374" i="18"/>
  <c r="A374" i="18"/>
  <c r="E373" i="18"/>
  <c r="D373" i="18"/>
  <c r="A373" i="18"/>
  <c r="E372" i="18"/>
  <c r="D372" i="18"/>
  <c r="A372" i="18"/>
  <c r="E371" i="18"/>
  <c r="D371" i="18"/>
  <c r="A371" i="18"/>
  <c r="E370" i="18"/>
  <c r="D370" i="18"/>
  <c r="A370" i="18"/>
  <c r="E369" i="18"/>
  <c r="D369" i="18"/>
  <c r="A369" i="18"/>
  <c r="E368" i="18"/>
  <c r="D368" i="18"/>
  <c r="A368" i="18"/>
  <c r="E367" i="18"/>
  <c r="D367" i="18"/>
  <c r="A367" i="18"/>
  <c r="E366" i="18"/>
  <c r="D366" i="18"/>
  <c r="A366" i="18"/>
  <c r="E365" i="18"/>
  <c r="D365" i="18"/>
  <c r="A365" i="18"/>
  <c r="E364" i="18"/>
  <c r="D364" i="18"/>
  <c r="A364" i="18"/>
  <c r="E363" i="18"/>
  <c r="D363" i="18"/>
  <c r="A363" i="18"/>
  <c r="E362" i="18"/>
  <c r="D362" i="18"/>
  <c r="A362" i="18"/>
  <c r="E361" i="18"/>
  <c r="D361" i="18"/>
  <c r="A361" i="18"/>
  <c r="E360" i="18"/>
  <c r="D360" i="18"/>
  <c r="A360" i="18"/>
  <c r="E359" i="18"/>
  <c r="D359" i="18"/>
  <c r="A359" i="18"/>
  <c r="E358" i="18"/>
  <c r="D358" i="18"/>
  <c r="A358" i="18"/>
  <c r="E357" i="18"/>
  <c r="D357" i="18"/>
  <c r="A357" i="18"/>
  <c r="E356" i="18"/>
  <c r="D356" i="18"/>
  <c r="A356" i="18"/>
  <c r="E355" i="18"/>
  <c r="D355" i="18"/>
  <c r="A355" i="18"/>
  <c r="E354" i="18"/>
  <c r="D354" i="18"/>
  <c r="A354" i="18"/>
  <c r="E353" i="18"/>
  <c r="D353" i="18"/>
  <c r="A353" i="18"/>
  <c r="E305" i="18"/>
  <c r="D305" i="18"/>
  <c r="A305" i="18"/>
  <c r="E304" i="18"/>
  <c r="D304" i="18"/>
  <c r="A304" i="18"/>
  <c r="E303" i="18"/>
  <c r="D303" i="18"/>
  <c r="A303" i="18"/>
  <c r="E302" i="18"/>
  <c r="D302" i="18"/>
  <c r="A302" i="18"/>
  <c r="E301" i="18"/>
  <c r="D301" i="18"/>
  <c r="A301" i="18"/>
  <c r="E300" i="18"/>
  <c r="D300" i="18"/>
  <c r="A300" i="18"/>
  <c r="E299" i="18"/>
  <c r="D299" i="18"/>
  <c r="A299" i="18"/>
  <c r="E298" i="18"/>
  <c r="D298" i="18"/>
  <c r="A298" i="18"/>
  <c r="E297" i="18"/>
  <c r="D297" i="18"/>
  <c r="A297" i="18"/>
  <c r="E296" i="18"/>
  <c r="D296" i="18"/>
  <c r="A296" i="18"/>
  <c r="E295" i="18"/>
  <c r="D295" i="18"/>
  <c r="A295" i="18"/>
  <c r="E294" i="18"/>
  <c r="D294" i="18"/>
  <c r="A294" i="18"/>
  <c r="E293" i="18"/>
  <c r="D293" i="18"/>
  <c r="A293" i="18"/>
  <c r="E292" i="18"/>
  <c r="D292" i="18"/>
  <c r="A292" i="18"/>
  <c r="E291" i="18"/>
  <c r="D291" i="18"/>
  <c r="A291" i="18"/>
  <c r="E290" i="18"/>
  <c r="D290" i="18"/>
  <c r="A290" i="18"/>
  <c r="E289" i="18"/>
  <c r="D289" i="18"/>
  <c r="A289" i="18"/>
  <c r="E288" i="18"/>
  <c r="D288" i="18"/>
  <c r="A288" i="18"/>
  <c r="E287" i="18"/>
  <c r="D287" i="18"/>
  <c r="A287" i="18"/>
  <c r="E286" i="18"/>
  <c r="D286" i="18"/>
  <c r="A286" i="18"/>
  <c r="E285" i="18"/>
  <c r="D285" i="18"/>
  <c r="A285" i="18"/>
  <c r="E284" i="18"/>
  <c r="D284" i="18"/>
  <c r="A284" i="18"/>
  <c r="E283" i="18"/>
  <c r="D283" i="18"/>
  <c r="A283" i="18"/>
  <c r="E282" i="18"/>
  <c r="D282" i="18"/>
  <c r="A282" i="18"/>
  <c r="E281" i="18"/>
  <c r="D281" i="18"/>
  <c r="A281" i="18"/>
  <c r="E280" i="18"/>
  <c r="D280" i="18"/>
  <c r="A280" i="18"/>
  <c r="E279" i="18"/>
  <c r="D279" i="18"/>
  <c r="A279" i="18"/>
  <c r="E278" i="18"/>
  <c r="D278" i="18"/>
  <c r="A278" i="18"/>
  <c r="E277" i="18"/>
  <c r="D277" i="18"/>
  <c r="A277" i="18"/>
  <c r="E276" i="18"/>
  <c r="D276" i="18"/>
  <c r="A276" i="18"/>
  <c r="E275" i="18"/>
  <c r="D275" i="18"/>
  <c r="A275" i="18"/>
  <c r="E305" i="17"/>
  <c r="D305" i="17"/>
  <c r="A305" i="17"/>
  <c r="E304" i="17"/>
  <c r="D304" i="17"/>
  <c r="A304" i="17"/>
  <c r="E303" i="17"/>
  <c r="D303" i="17"/>
  <c r="A303" i="17"/>
  <c r="E302" i="17"/>
  <c r="D302" i="17"/>
  <c r="A302" i="17"/>
  <c r="E301" i="17"/>
  <c r="D301" i="17"/>
  <c r="A301" i="17"/>
  <c r="E300" i="17"/>
  <c r="D300" i="17"/>
  <c r="A300" i="17"/>
  <c r="E299" i="17"/>
  <c r="D299" i="17"/>
  <c r="A299" i="17"/>
  <c r="E298" i="17"/>
  <c r="D298" i="17"/>
  <c r="A298" i="17"/>
  <c r="E297" i="17"/>
  <c r="D297" i="17"/>
  <c r="A297" i="17"/>
  <c r="E296" i="17"/>
  <c r="D296" i="17"/>
  <c r="A296" i="17"/>
  <c r="E295" i="17"/>
  <c r="D295" i="17"/>
  <c r="A295" i="17"/>
  <c r="E294" i="17"/>
  <c r="D294" i="17"/>
  <c r="A294" i="17"/>
  <c r="E293" i="17"/>
  <c r="D293" i="17"/>
  <c r="A293" i="17"/>
  <c r="E292" i="17"/>
  <c r="D292" i="17"/>
  <c r="A292" i="17"/>
  <c r="E291" i="17"/>
  <c r="D291" i="17"/>
  <c r="A291" i="17"/>
  <c r="E290" i="17"/>
  <c r="D290" i="17"/>
  <c r="A290" i="17"/>
  <c r="E289" i="17"/>
  <c r="D289" i="17"/>
  <c r="A289" i="17"/>
  <c r="E288" i="17"/>
  <c r="D288" i="17"/>
  <c r="A288" i="17"/>
  <c r="E287" i="17"/>
  <c r="D287" i="17"/>
  <c r="A287" i="17"/>
  <c r="E286" i="17"/>
  <c r="D286" i="17"/>
  <c r="A286" i="17"/>
  <c r="E285" i="17"/>
  <c r="D285" i="17"/>
  <c r="A285" i="17"/>
  <c r="E284" i="17"/>
  <c r="D284" i="17"/>
  <c r="A284" i="17"/>
  <c r="E283" i="17"/>
  <c r="D283" i="17"/>
  <c r="A283" i="17"/>
  <c r="E282" i="17"/>
  <c r="D282" i="17"/>
  <c r="A282" i="17"/>
  <c r="E281" i="17"/>
  <c r="D281" i="17"/>
  <c r="A281" i="17"/>
  <c r="E280" i="17"/>
  <c r="D280" i="17"/>
  <c r="A280" i="17"/>
  <c r="E279" i="17"/>
  <c r="D279" i="17"/>
  <c r="A279" i="17"/>
  <c r="E278" i="17"/>
  <c r="D278" i="17"/>
  <c r="A278" i="17"/>
  <c r="E277" i="17"/>
  <c r="D277" i="17"/>
  <c r="A277" i="17"/>
  <c r="E276" i="17"/>
  <c r="D276" i="17"/>
  <c r="A276" i="17"/>
  <c r="E275" i="17"/>
  <c r="D275" i="17"/>
  <c r="A275" i="17"/>
  <c r="E383" i="17"/>
  <c r="D383" i="17"/>
  <c r="A383" i="17"/>
  <c r="E382" i="17"/>
  <c r="D382" i="17"/>
  <c r="A382" i="17"/>
  <c r="E381" i="17"/>
  <c r="D381" i="17"/>
  <c r="A381" i="17"/>
  <c r="E380" i="17"/>
  <c r="D380" i="17"/>
  <c r="A380" i="17"/>
  <c r="E379" i="17"/>
  <c r="D379" i="17"/>
  <c r="A379" i="17"/>
  <c r="E378" i="17"/>
  <c r="D378" i="17"/>
  <c r="A378" i="17"/>
  <c r="E377" i="17"/>
  <c r="D377" i="17"/>
  <c r="A377" i="17"/>
  <c r="E376" i="17"/>
  <c r="D376" i="17"/>
  <c r="A376" i="17"/>
  <c r="E375" i="17"/>
  <c r="D375" i="17"/>
  <c r="A375" i="17"/>
  <c r="E374" i="17"/>
  <c r="D374" i="17"/>
  <c r="A374" i="17"/>
  <c r="E373" i="17"/>
  <c r="D373" i="17"/>
  <c r="A373" i="17"/>
  <c r="E372" i="17"/>
  <c r="D372" i="17"/>
  <c r="A372" i="17"/>
  <c r="E371" i="17"/>
  <c r="D371" i="17"/>
  <c r="A371" i="17"/>
  <c r="E370" i="17"/>
  <c r="D370" i="17"/>
  <c r="A370" i="17"/>
  <c r="E369" i="17"/>
  <c r="D369" i="17"/>
  <c r="A369" i="17"/>
  <c r="E368" i="17"/>
  <c r="D368" i="17"/>
  <c r="A368" i="17"/>
  <c r="E367" i="17"/>
  <c r="D367" i="17"/>
  <c r="A367" i="17"/>
  <c r="E366" i="17"/>
  <c r="D366" i="17"/>
  <c r="A366" i="17"/>
  <c r="E365" i="17"/>
  <c r="D365" i="17"/>
  <c r="A365" i="17"/>
  <c r="E364" i="17"/>
  <c r="D364" i="17"/>
  <c r="A364" i="17"/>
  <c r="E363" i="17"/>
  <c r="D363" i="17"/>
  <c r="A363" i="17"/>
  <c r="E362" i="17"/>
  <c r="D362" i="17"/>
  <c r="A362" i="17"/>
  <c r="E361" i="17"/>
  <c r="D361" i="17"/>
  <c r="A361" i="17"/>
  <c r="E360" i="17"/>
  <c r="D360" i="17"/>
  <c r="A360" i="17"/>
  <c r="E359" i="17"/>
  <c r="D359" i="17"/>
  <c r="A359" i="17"/>
  <c r="E358" i="17"/>
  <c r="D358" i="17"/>
  <c r="A358" i="17"/>
  <c r="E357" i="17"/>
  <c r="D357" i="17"/>
  <c r="A357" i="17"/>
  <c r="E356" i="17"/>
  <c r="D356" i="17"/>
  <c r="A356" i="17"/>
  <c r="E355" i="17"/>
  <c r="D355" i="17"/>
  <c r="A355" i="17"/>
  <c r="E354" i="17"/>
  <c r="D354" i="17"/>
  <c r="A354" i="17"/>
  <c r="E353" i="17"/>
  <c r="D353" i="17"/>
  <c r="A353" i="17"/>
  <c r="E461" i="17"/>
  <c r="D461" i="17"/>
  <c r="A461" i="17"/>
  <c r="E460" i="17"/>
  <c r="D460" i="17"/>
  <c r="A460" i="17"/>
  <c r="E459" i="17"/>
  <c r="D459" i="17"/>
  <c r="A459" i="17"/>
  <c r="E458" i="17"/>
  <c r="D458" i="17"/>
  <c r="A458" i="17"/>
  <c r="E457" i="17"/>
  <c r="D457" i="17"/>
  <c r="A457" i="17"/>
  <c r="E456" i="17"/>
  <c r="D456" i="17"/>
  <c r="A456" i="17"/>
  <c r="E455" i="17"/>
  <c r="D455" i="17"/>
  <c r="A455" i="17"/>
  <c r="E454" i="17"/>
  <c r="D454" i="17"/>
  <c r="A454" i="17"/>
  <c r="E453" i="17"/>
  <c r="D453" i="17"/>
  <c r="A453" i="17"/>
  <c r="E452" i="17"/>
  <c r="D452" i="17"/>
  <c r="A452" i="17"/>
  <c r="E451" i="17"/>
  <c r="D451" i="17"/>
  <c r="A451" i="17"/>
  <c r="E450" i="17"/>
  <c r="D450" i="17"/>
  <c r="A450" i="17"/>
  <c r="E449" i="17"/>
  <c r="D449" i="17"/>
  <c r="A449" i="17"/>
  <c r="E448" i="17"/>
  <c r="D448" i="17"/>
  <c r="A448" i="17"/>
  <c r="E447" i="17"/>
  <c r="D447" i="17"/>
  <c r="A447" i="17"/>
  <c r="E446" i="17"/>
  <c r="D446" i="17"/>
  <c r="A446" i="17"/>
  <c r="E445" i="17"/>
  <c r="D445" i="17"/>
  <c r="A445" i="17"/>
  <c r="E444" i="17"/>
  <c r="D444" i="17"/>
  <c r="A444" i="17"/>
  <c r="E443" i="17"/>
  <c r="D443" i="17"/>
  <c r="A443" i="17"/>
  <c r="E442" i="17"/>
  <c r="D442" i="17"/>
  <c r="A442" i="17"/>
  <c r="E441" i="17"/>
  <c r="D441" i="17"/>
  <c r="A441" i="17"/>
  <c r="E440" i="17"/>
  <c r="D440" i="17"/>
  <c r="A440" i="17"/>
  <c r="E439" i="17"/>
  <c r="D439" i="17"/>
  <c r="A439" i="17"/>
  <c r="E438" i="17"/>
  <c r="D438" i="17"/>
  <c r="A438" i="17"/>
  <c r="E437" i="17"/>
  <c r="D437" i="17"/>
  <c r="A437" i="17"/>
  <c r="E436" i="17"/>
  <c r="D436" i="17"/>
  <c r="A436" i="17"/>
  <c r="E435" i="17"/>
  <c r="D435" i="17"/>
  <c r="A435" i="17"/>
  <c r="E434" i="17"/>
  <c r="D434" i="17"/>
  <c r="A434" i="17"/>
  <c r="E433" i="17"/>
  <c r="D433" i="17"/>
  <c r="A433" i="17"/>
  <c r="E432" i="17"/>
  <c r="D432" i="17"/>
  <c r="A432" i="17"/>
  <c r="E431" i="17"/>
  <c r="D431" i="17"/>
  <c r="A431" i="17"/>
  <c r="E539" i="17"/>
  <c r="D539" i="17"/>
  <c r="A539" i="17"/>
  <c r="E538" i="17"/>
  <c r="D538" i="17"/>
  <c r="A538" i="17"/>
  <c r="E537" i="17"/>
  <c r="D537" i="17"/>
  <c r="A537" i="17"/>
  <c r="E536" i="17"/>
  <c r="D536" i="17"/>
  <c r="A536" i="17"/>
  <c r="E535" i="17"/>
  <c r="D535" i="17"/>
  <c r="A535" i="17"/>
  <c r="E534" i="17"/>
  <c r="D534" i="17"/>
  <c r="A534" i="17"/>
  <c r="E533" i="17"/>
  <c r="D533" i="17"/>
  <c r="A533" i="17"/>
  <c r="E532" i="17"/>
  <c r="D532" i="17"/>
  <c r="A532" i="17"/>
  <c r="E531" i="17"/>
  <c r="D531" i="17"/>
  <c r="A531" i="17"/>
  <c r="E530" i="17"/>
  <c r="D530" i="17"/>
  <c r="A530" i="17"/>
  <c r="E529" i="17"/>
  <c r="D529" i="17"/>
  <c r="A529" i="17"/>
  <c r="E528" i="17"/>
  <c r="D528" i="17"/>
  <c r="A528" i="17"/>
  <c r="E527" i="17"/>
  <c r="D527" i="17"/>
  <c r="A527" i="17"/>
  <c r="E526" i="17"/>
  <c r="D526" i="17"/>
  <c r="A526" i="17"/>
  <c r="E525" i="17"/>
  <c r="D525" i="17"/>
  <c r="A525" i="17"/>
  <c r="E524" i="17"/>
  <c r="D524" i="17"/>
  <c r="A524" i="17"/>
  <c r="E523" i="17"/>
  <c r="D523" i="17"/>
  <c r="A523" i="17"/>
  <c r="E522" i="17"/>
  <c r="D522" i="17"/>
  <c r="A522" i="17"/>
  <c r="E521" i="17"/>
  <c r="D521" i="17"/>
  <c r="A521" i="17"/>
  <c r="E520" i="17"/>
  <c r="D520" i="17"/>
  <c r="A520" i="17"/>
  <c r="E519" i="17"/>
  <c r="D519" i="17"/>
  <c r="A519" i="17"/>
  <c r="E518" i="17"/>
  <c r="D518" i="17"/>
  <c r="A518" i="17"/>
  <c r="E517" i="17"/>
  <c r="D517" i="17"/>
  <c r="A517" i="17"/>
  <c r="E516" i="17"/>
  <c r="D516" i="17"/>
  <c r="A516" i="17"/>
  <c r="E515" i="17"/>
  <c r="D515" i="17"/>
  <c r="A515" i="17"/>
  <c r="E514" i="17"/>
  <c r="D514" i="17"/>
  <c r="A514" i="17"/>
  <c r="E513" i="17"/>
  <c r="D513" i="17"/>
  <c r="A513" i="17"/>
  <c r="E512" i="17"/>
  <c r="D512" i="17"/>
  <c r="A512" i="17"/>
  <c r="E511" i="17"/>
  <c r="D511" i="17"/>
  <c r="A511" i="17"/>
  <c r="E510" i="17"/>
  <c r="D510" i="17"/>
  <c r="A510" i="17"/>
  <c r="E509" i="17"/>
  <c r="D509" i="17"/>
  <c r="A509" i="17"/>
  <c r="E617" i="17"/>
  <c r="D617" i="17"/>
  <c r="A617" i="17"/>
  <c r="E616" i="17"/>
  <c r="D616" i="17"/>
  <c r="A616" i="17"/>
  <c r="E615" i="17"/>
  <c r="D615" i="17"/>
  <c r="A615" i="17"/>
  <c r="E614" i="17"/>
  <c r="D614" i="17"/>
  <c r="A614" i="17"/>
  <c r="E613" i="17"/>
  <c r="D613" i="17"/>
  <c r="A613" i="17"/>
  <c r="E612" i="17"/>
  <c r="D612" i="17"/>
  <c r="A612" i="17"/>
  <c r="E611" i="17"/>
  <c r="D611" i="17"/>
  <c r="A611" i="17"/>
  <c r="E610" i="17"/>
  <c r="D610" i="17"/>
  <c r="A610" i="17"/>
  <c r="E609" i="17"/>
  <c r="D609" i="17"/>
  <c r="A609" i="17"/>
  <c r="E608" i="17"/>
  <c r="D608" i="17"/>
  <c r="A608" i="17"/>
  <c r="E607" i="17"/>
  <c r="D607" i="17"/>
  <c r="A607" i="17"/>
  <c r="E606" i="17"/>
  <c r="D606" i="17"/>
  <c r="A606" i="17"/>
  <c r="E605" i="17"/>
  <c r="D605" i="17"/>
  <c r="A605" i="17"/>
  <c r="E604" i="17"/>
  <c r="D604" i="17"/>
  <c r="A604" i="17"/>
  <c r="E603" i="17"/>
  <c r="D603" i="17"/>
  <c r="A603" i="17"/>
  <c r="E602" i="17"/>
  <c r="D602" i="17"/>
  <c r="A602" i="17"/>
  <c r="E601" i="17"/>
  <c r="D601" i="17"/>
  <c r="A601" i="17"/>
  <c r="E600" i="17"/>
  <c r="D600" i="17"/>
  <c r="A600" i="17"/>
  <c r="E599" i="17"/>
  <c r="D599" i="17"/>
  <c r="A599" i="17"/>
  <c r="E598" i="17"/>
  <c r="D598" i="17"/>
  <c r="A598" i="17"/>
  <c r="E597" i="17"/>
  <c r="D597" i="17"/>
  <c r="A597" i="17"/>
  <c r="E596" i="17"/>
  <c r="D596" i="17"/>
  <c r="A596" i="17"/>
  <c r="E595" i="17"/>
  <c r="D595" i="17"/>
  <c r="A595" i="17"/>
  <c r="E594" i="17"/>
  <c r="D594" i="17"/>
  <c r="A594" i="17"/>
  <c r="E593" i="17"/>
  <c r="D593" i="17"/>
  <c r="A593" i="17"/>
  <c r="E592" i="17"/>
  <c r="D592" i="17"/>
  <c r="A592" i="17"/>
  <c r="E591" i="17"/>
  <c r="D591" i="17"/>
  <c r="A591" i="17"/>
  <c r="E590" i="17"/>
  <c r="D590" i="17"/>
  <c r="A590" i="17"/>
  <c r="E589" i="17"/>
  <c r="D589" i="17"/>
  <c r="A589" i="17"/>
  <c r="E588" i="17"/>
  <c r="D588" i="17"/>
  <c r="A588" i="17"/>
  <c r="E587" i="17"/>
  <c r="D587" i="17"/>
  <c r="A587" i="17"/>
  <c r="E695" i="17"/>
  <c r="D695" i="17"/>
  <c r="A695" i="17"/>
  <c r="E694" i="17"/>
  <c r="D694" i="17"/>
  <c r="A694" i="17"/>
  <c r="E693" i="17"/>
  <c r="D693" i="17"/>
  <c r="A693" i="17"/>
  <c r="E692" i="17"/>
  <c r="D692" i="17"/>
  <c r="A692" i="17"/>
  <c r="E691" i="17"/>
  <c r="D691" i="17"/>
  <c r="A691" i="17"/>
  <c r="E690" i="17"/>
  <c r="D690" i="17"/>
  <c r="A690" i="17"/>
  <c r="E689" i="17"/>
  <c r="D689" i="17"/>
  <c r="A689" i="17"/>
  <c r="E688" i="17"/>
  <c r="D688" i="17"/>
  <c r="A688" i="17"/>
  <c r="E687" i="17"/>
  <c r="D687" i="17"/>
  <c r="A687" i="17"/>
  <c r="E686" i="17"/>
  <c r="D686" i="17"/>
  <c r="A686" i="17"/>
  <c r="E685" i="17"/>
  <c r="D685" i="17"/>
  <c r="A685" i="17"/>
  <c r="E684" i="17"/>
  <c r="D684" i="17"/>
  <c r="A684" i="17"/>
  <c r="E683" i="17"/>
  <c r="D683" i="17"/>
  <c r="A683" i="17"/>
  <c r="E682" i="17"/>
  <c r="D682" i="17"/>
  <c r="A682" i="17"/>
  <c r="E681" i="17"/>
  <c r="D681" i="17"/>
  <c r="A681" i="17"/>
  <c r="E680" i="17"/>
  <c r="D680" i="17"/>
  <c r="A680" i="17"/>
  <c r="E679" i="17"/>
  <c r="D679" i="17"/>
  <c r="A679" i="17"/>
  <c r="E678" i="17"/>
  <c r="D678" i="17"/>
  <c r="A678" i="17"/>
  <c r="E677" i="17"/>
  <c r="D677" i="17"/>
  <c r="A677" i="17"/>
  <c r="E676" i="17"/>
  <c r="D676" i="17"/>
  <c r="A676" i="17"/>
  <c r="E675" i="17"/>
  <c r="D675" i="17"/>
  <c r="A675" i="17"/>
  <c r="E674" i="17"/>
  <c r="D674" i="17"/>
  <c r="A674" i="17"/>
  <c r="E673" i="17"/>
  <c r="D673" i="17"/>
  <c r="A673" i="17"/>
  <c r="E672" i="17"/>
  <c r="D672" i="17"/>
  <c r="A672" i="17"/>
  <c r="E671" i="17"/>
  <c r="D671" i="17"/>
  <c r="A671" i="17"/>
  <c r="E670" i="17"/>
  <c r="D670" i="17"/>
  <c r="A670" i="17"/>
  <c r="E669" i="17"/>
  <c r="D669" i="17"/>
  <c r="A669" i="17"/>
  <c r="E668" i="17"/>
  <c r="D668" i="17"/>
  <c r="A668" i="17"/>
  <c r="E667" i="17"/>
  <c r="D667" i="17"/>
  <c r="A667" i="17"/>
  <c r="E666" i="17"/>
  <c r="D666" i="17"/>
  <c r="A666" i="17"/>
  <c r="E665" i="17"/>
  <c r="D665" i="17"/>
  <c r="A665" i="17"/>
  <c r="E695" i="16"/>
  <c r="D695" i="16"/>
  <c r="A695" i="16"/>
  <c r="E694" i="16"/>
  <c r="D694" i="16"/>
  <c r="A694" i="16"/>
  <c r="E693" i="16"/>
  <c r="D693" i="16"/>
  <c r="A693" i="16"/>
  <c r="E692" i="16"/>
  <c r="D692" i="16"/>
  <c r="A692" i="16"/>
  <c r="E691" i="16"/>
  <c r="D691" i="16"/>
  <c r="A691" i="16"/>
  <c r="E690" i="16"/>
  <c r="D690" i="16"/>
  <c r="A690" i="16"/>
  <c r="E689" i="16"/>
  <c r="D689" i="16"/>
  <c r="A689" i="16"/>
  <c r="E688" i="16"/>
  <c r="D688" i="16"/>
  <c r="A688" i="16"/>
  <c r="E687" i="16"/>
  <c r="D687" i="16"/>
  <c r="A687" i="16"/>
  <c r="E686" i="16"/>
  <c r="D686" i="16"/>
  <c r="A686" i="16"/>
  <c r="E685" i="16"/>
  <c r="D685" i="16"/>
  <c r="A685" i="16"/>
  <c r="E684" i="16"/>
  <c r="D684" i="16"/>
  <c r="A684" i="16"/>
  <c r="E683" i="16"/>
  <c r="D683" i="16"/>
  <c r="A683" i="16"/>
  <c r="E682" i="16"/>
  <c r="D682" i="16"/>
  <c r="A682" i="16"/>
  <c r="E681" i="16"/>
  <c r="D681" i="16"/>
  <c r="A681" i="16"/>
  <c r="E680" i="16"/>
  <c r="D680" i="16"/>
  <c r="A680" i="16"/>
  <c r="E679" i="16"/>
  <c r="D679" i="16"/>
  <c r="A679" i="16"/>
  <c r="E678" i="16"/>
  <c r="D678" i="16"/>
  <c r="A678" i="16"/>
  <c r="E677" i="16"/>
  <c r="D677" i="16"/>
  <c r="A677" i="16"/>
  <c r="E676" i="16"/>
  <c r="D676" i="16"/>
  <c r="A676" i="16"/>
  <c r="E675" i="16"/>
  <c r="D675" i="16"/>
  <c r="A675" i="16"/>
  <c r="E674" i="16"/>
  <c r="D674" i="16"/>
  <c r="A674" i="16"/>
  <c r="E673" i="16"/>
  <c r="D673" i="16"/>
  <c r="A673" i="16"/>
  <c r="E672" i="16"/>
  <c r="D672" i="16"/>
  <c r="A672" i="16"/>
  <c r="E671" i="16"/>
  <c r="D671" i="16"/>
  <c r="A671" i="16"/>
  <c r="E670" i="16"/>
  <c r="D670" i="16"/>
  <c r="A670" i="16"/>
  <c r="E669" i="16"/>
  <c r="D669" i="16"/>
  <c r="A669" i="16"/>
  <c r="E668" i="16"/>
  <c r="D668" i="16"/>
  <c r="A668" i="16"/>
  <c r="E667" i="16"/>
  <c r="D667" i="16"/>
  <c r="A667" i="16"/>
  <c r="E666" i="16"/>
  <c r="D666" i="16"/>
  <c r="A666" i="16"/>
  <c r="E665" i="16"/>
  <c r="D665" i="16"/>
  <c r="A665" i="16"/>
  <c r="E617" i="16"/>
  <c r="D617" i="16"/>
  <c r="A617" i="16"/>
  <c r="E616" i="16"/>
  <c r="D616" i="16"/>
  <c r="A616" i="16"/>
  <c r="E615" i="16"/>
  <c r="D615" i="16"/>
  <c r="A615" i="16"/>
  <c r="E614" i="16"/>
  <c r="D614" i="16"/>
  <c r="A614" i="16"/>
  <c r="E613" i="16"/>
  <c r="D613" i="16"/>
  <c r="A613" i="16"/>
  <c r="E612" i="16"/>
  <c r="D612" i="16"/>
  <c r="A612" i="16"/>
  <c r="E611" i="16"/>
  <c r="D611" i="16"/>
  <c r="A611" i="16"/>
  <c r="E610" i="16"/>
  <c r="D610" i="16"/>
  <c r="A610" i="16"/>
  <c r="E609" i="16"/>
  <c r="D609" i="16"/>
  <c r="A609" i="16"/>
  <c r="E608" i="16"/>
  <c r="D608" i="16"/>
  <c r="A608" i="16"/>
  <c r="E607" i="16"/>
  <c r="D607" i="16"/>
  <c r="A607" i="16"/>
  <c r="E606" i="16"/>
  <c r="D606" i="16"/>
  <c r="A606" i="16"/>
  <c r="E605" i="16"/>
  <c r="D605" i="16"/>
  <c r="A605" i="16"/>
  <c r="E604" i="16"/>
  <c r="D604" i="16"/>
  <c r="A604" i="16"/>
  <c r="E603" i="16"/>
  <c r="D603" i="16"/>
  <c r="A603" i="16"/>
  <c r="E602" i="16"/>
  <c r="D602" i="16"/>
  <c r="A602" i="16"/>
  <c r="E601" i="16"/>
  <c r="D601" i="16"/>
  <c r="A601" i="16"/>
  <c r="E600" i="16"/>
  <c r="D600" i="16"/>
  <c r="A600" i="16"/>
  <c r="E599" i="16"/>
  <c r="D599" i="16"/>
  <c r="A599" i="16"/>
  <c r="E598" i="16"/>
  <c r="D598" i="16"/>
  <c r="A598" i="16"/>
  <c r="E597" i="16"/>
  <c r="D597" i="16"/>
  <c r="A597" i="16"/>
  <c r="E596" i="16"/>
  <c r="D596" i="16"/>
  <c r="A596" i="16"/>
  <c r="E595" i="16"/>
  <c r="D595" i="16"/>
  <c r="A595" i="16"/>
  <c r="E594" i="16"/>
  <c r="D594" i="16"/>
  <c r="A594" i="16"/>
  <c r="E593" i="16"/>
  <c r="D593" i="16"/>
  <c r="A593" i="16"/>
  <c r="E592" i="16"/>
  <c r="D592" i="16"/>
  <c r="A592" i="16"/>
  <c r="E591" i="16"/>
  <c r="D591" i="16"/>
  <c r="A591" i="16"/>
  <c r="E590" i="16"/>
  <c r="D590" i="16"/>
  <c r="A590" i="16"/>
  <c r="E589" i="16"/>
  <c r="D589" i="16"/>
  <c r="A589" i="16"/>
  <c r="E588" i="16"/>
  <c r="D588" i="16"/>
  <c r="A588" i="16"/>
  <c r="E587" i="16"/>
  <c r="D587" i="16"/>
  <c r="A587" i="16"/>
  <c r="E539" i="16"/>
  <c r="D539" i="16"/>
  <c r="A539" i="16"/>
  <c r="E538" i="16"/>
  <c r="D538" i="16"/>
  <c r="A538" i="16"/>
  <c r="E537" i="16"/>
  <c r="D537" i="16"/>
  <c r="A537" i="16"/>
  <c r="E536" i="16"/>
  <c r="D536" i="16"/>
  <c r="A536" i="16"/>
  <c r="E535" i="16"/>
  <c r="D535" i="16"/>
  <c r="A535" i="16"/>
  <c r="E534" i="16"/>
  <c r="D534" i="16"/>
  <c r="A534" i="16"/>
  <c r="E533" i="16"/>
  <c r="D533" i="16"/>
  <c r="A533" i="16"/>
  <c r="E532" i="16"/>
  <c r="D532" i="16"/>
  <c r="A532" i="16"/>
  <c r="E531" i="16"/>
  <c r="D531" i="16"/>
  <c r="A531" i="16"/>
  <c r="E530" i="16"/>
  <c r="D530" i="16"/>
  <c r="A530" i="16"/>
  <c r="E529" i="16"/>
  <c r="D529" i="16"/>
  <c r="A529" i="16"/>
  <c r="E528" i="16"/>
  <c r="D528" i="16"/>
  <c r="A528" i="16"/>
  <c r="E527" i="16"/>
  <c r="D527" i="16"/>
  <c r="A527" i="16"/>
  <c r="E526" i="16"/>
  <c r="D526" i="16"/>
  <c r="A526" i="16"/>
  <c r="E525" i="16"/>
  <c r="D525" i="16"/>
  <c r="A525" i="16"/>
  <c r="E524" i="16"/>
  <c r="D524" i="16"/>
  <c r="A524" i="16"/>
  <c r="E523" i="16"/>
  <c r="D523" i="16"/>
  <c r="A523" i="16"/>
  <c r="E522" i="16"/>
  <c r="D522" i="16"/>
  <c r="A522" i="16"/>
  <c r="E521" i="16"/>
  <c r="D521" i="16"/>
  <c r="A521" i="16"/>
  <c r="E520" i="16"/>
  <c r="D520" i="16"/>
  <c r="A520" i="16"/>
  <c r="E519" i="16"/>
  <c r="D519" i="16"/>
  <c r="A519" i="16"/>
  <c r="E518" i="16"/>
  <c r="D518" i="16"/>
  <c r="A518" i="16"/>
  <c r="E517" i="16"/>
  <c r="D517" i="16"/>
  <c r="A517" i="16"/>
  <c r="E516" i="16"/>
  <c r="D516" i="16"/>
  <c r="A516" i="16"/>
  <c r="E515" i="16"/>
  <c r="D515" i="16"/>
  <c r="A515" i="16"/>
  <c r="E514" i="16"/>
  <c r="D514" i="16"/>
  <c r="A514" i="16"/>
  <c r="E513" i="16"/>
  <c r="D513" i="16"/>
  <c r="A513" i="16"/>
  <c r="E512" i="16"/>
  <c r="D512" i="16"/>
  <c r="A512" i="16"/>
  <c r="E511" i="16"/>
  <c r="D511" i="16"/>
  <c r="A511" i="16"/>
  <c r="E510" i="16"/>
  <c r="D510" i="16"/>
  <c r="A510" i="16"/>
  <c r="E509" i="16"/>
  <c r="D509" i="16"/>
  <c r="A509" i="16"/>
  <c r="E461" i="16"/>
  <c r="D461" i="16"/>
  <c r="A461" i="16"/>
  <c r="E460" i="16"/>
  <c r="D460" i="16"/>
  <c r="A460" i="16"/>
  <c r="E459" i="16"/>
  <c r="D459" i="16"/>
  <c r="A459" i="16"/>
  <c r="E458" i="16"/>
  <c r="D458" i="16"/>
  <c r="A458" i="16"/>
  <c r="E457" i="16"/>
  <c r="D457" i="16"/>
  <c r="A457" i="16"/>
  <c r="E456" i="16"/>
  <c r="D456" i="16"/>
  <c r="A456" i="16"/>
  <c r="E455" i="16"/>
  <c r="D455" i="16"/>
  <c r="A455" i="16"/>
  <c r="E454" i="16"/>
  <c r="D454" i="16"/>
  <c r="A454" i="16"/>
  <c r="E453" i="16"/>
  <c r="D453" i="16"/>
  <c r="A453" i="16"/>
  <c r="E452" i="16"/>
  <c r="D452" i="16"/>
  <c r="A452" i="16"/>
  <c r="E451" i="16"/>
  <c r="D451" i="16"/>
  <c r="A451" i="16"/>
  <c r="E450" i="16"/>
  <c r="D450" i="16"/>
  <c r="A450" i="16"/>
  <c r="E449" i="16"/>
  <c r="D449" i="16"/>
  <c r="A449" i="16"/>
  <c r="E448" i="16"/>
  <c r="D448" i="16"/>
  <c r="A448" i="16"/>
  <c r="E447" i="16"/>
  <c r="D447" i="16"/>
  <c r="A447" i="16"/>
  <c r="E446" i="16"/>
  <c r="D446" i="16"/>
  <c r="A446" i="16"/>
  <c r="E445" i="16"/>
  <c r="D445" i="16"/>
  <c r="A445" i="16"/>
  <c r="E444" i="16"/>
  <c r="D444" i="16"/>
  <c r="A444" i="16"/>
  <c r="E443" i="16"/>
  <c r="D443" i="16"/>
  <c r="A443" i="16"/>
  <c r="E442" i="16"/>
  <c r="D442" i="16"/>
  <c r="A442" i="16"/>
  <c r="E441" i="16"/>
  <c r="D441" i="16"/>
  <c r="A441" i="16"/>
  <c r="E440" i="16"/>
  <c r="D440" i="16"/>
  <c r="A440" i="16"/>
  <c r="E439" i="16"/>
  <c r="D439" i="16"/>
  <c r="A439" i="16"/>
  <c r="E438" i="16"/>
  <c r="D438" i="16"/>
  <c r="A438" i="16"/>
  <c r="E437" i="16"/>
  <c r="D437" i="16"/>
  <c r="A437" i="16"/>
  <c r="E436" i="16"/>
  <c r="D436" i="16"/>
  <c r="A436" i="16"/>
  <c r="E435" i="16"/>
  <c r="D435" i="16"/>
  <c r="A435" i="16"/>
  <c r="E434" i="16"/>
  <c r="D434" i="16"/>
  <c r="A434" i="16"/>
  <c r="E433" i="16"/>
  <c r="D433" i="16"/>
  <c r="A433" i="16"/>
  <c r="E432" i="16"/>
  <c r="D432" i="16"/>
  <c r="A432" i="16"/>
  <c r="E431" i="16"/>
  <c r="D431" i="16"/>
  <c r="A431" i="16"/>
  <c r="E383" i="16"/>
  <c r="D383" i="16"/>
  <c r="A383" i="16"/>
  <c r="E382" i="16"/>
  <c r="D382" i="16"/>
  <c r="A382" i="16"/>
  <c r="E381" i="16"/>
  <c r="D381" i="16"/>
  <c r="A381" i="16"/>
  <c r="E380" i="16"/>
  <c r="D380" i="16"/>
  <c r="A380" i="16"/>
  <c r="E379" i="16"/>
  <c r="D379" i="16"/>
  <c r="A379" i="16"/>
  <c r="E378" i="16"/>
  <c r="D378" i="16"/>
  <c r="A378" i="16"/>
  <c r="E377" i="16"/>
  <c r="D377" i="16"/>
  <c r="A377" i="16"/>
  <c r="E376" i="16"/>
  <c r="D376" i="16"/>
  <c r="A376" i="16"/>
  <c r="E375" i="16"/>
  <c r="D375" i="16"/>
  <c r="A375" i="16"/>
  <c r="E374" i="16"/>
  <c r="D374" i="16"/>
  <c r="A374" i="16"/>
  <c r="E373" i="16"/>
  <c r="D373" i="16"/>
  <c r="A373" i="16"/>
  <c r="E372" i="16"/>
  <c r="D372" i="16"/>
  <c r="A372" i="16"/>
  <c r="E371" i="16"/>
  <c r="D371" i="16"/>
  <c r="A371" i="16"/>
  <c r="E370" i="16"/>
  <c r="D370" i="16"/>
  <c r="A370" i="16"/>
  <c r="E369" i="16"/>
  <c r="D369" i="16"/>
  <c r="A369" i="16"/>
  <c r="E368" i="16"/>
  <c r="D368" i="16"/>
  <c r="A368" i="16"/>
  <c r="E367" i="16"/>
  <c r="D367" i="16"/>
  <c r="A367" i="16"/>
  <c r="E366" i="16"/>
  <c r="D366" i="16"/>
  <c r="A366" i="16"/>
  <c r="E365" i="16"/>
  <c r="D365" i="16"/>
  <c r="A365" i="16"/>
  <c r="E364" i="16"/>
  <c r="D364" i="16"/>
  <c r="A364" i="16"/>
  <c r="E363" i="16"/>
  <c r="D363" i="16"/>
  <c r="A363" i="16"/>
  <c r="E362" i="16"/>
  <c r="D362" i="16"/>
  <c r="A362" i="16"/>
  <c r="E361" i="16"/>
  <c r="D361" i="16"/>
  <c r="A361" i="16"/>
  <c r="E360" i="16"/>
  <c r="D360" i="16"/>
  <c r="A360" i="16"/>
  <c r="E359" i="16"/>
  <c r="D359" i="16"/>
  <c r="A359" i="16"/>
  <c r="E358" i="16"/>
  <c r="D358" i="16"/>
  <c r="A358" i="16"/>
  <c r="E357" i="16"/>
  <c r="D357" i="16"/>
  <c r="A357" i="16"/>
  <c r="E356" i="16"/>
  <c r="D356" i="16"/>
  <c r="A356" i="16"/>
  <c r="E355" i="16"/>
  <c r="D355" i="16"/>
  <c r="A355" i="16"/>
  <c r="E354" i="16"/>
  <c r="D354" i="16"/>
  <c r="A354" i="16"/>
  <c r="E353" i="16"/>
  <c r="D353" i="16"/>
  <c r="A353"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274" i="16"/>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A87" i="6"/>
  <c r="C87" i="6"/>
  <c r="D87" i="6"/>
  <c r="H87" i="6"/>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D223" i="13"/>
  <c r="D222" i="13"/>
  <c r="D221" i="13"/>
  <c r="D220" i="13"/>
  <c r="D185" i="13"/>
  <c r="D184" i="13"/>
  <c r="D183" i="13"/>
  <c r="D182" i="13"/>
  <c r="D147" i="13"/>
  <c r="D146" i="13"/>
  <c r="D145" i="13"/>
  <c r="D144" i="13"/>
  <c r="D109" i="13"/>
  <c r="D108" i="13"/>
  <c r="D153" i="12"/>
  <c r="D152" i="12"/>
  <c r="D151" i="12"/>
  <c r="D150" i="12"/>
  <c r="D149" i="12"/>
  <c r="D114" i="12"/>
  <c r="D113" i="12"/>
  <c r="D112" i="12"/>
  <c r="D111" i="12"/>
  <c r="D110" i="12"/>
  <c r="D75" i="12"/>
  <c r="D74" i="12"/>
  <c r="D73" i="12"/>
  <c r="D72" i="12"/>
  <c r="D71" i="12"/>
  <c r="D36" i="12"/>
  <c r="D35" i="12"/>
  <c r="D34" i="12"/>
  <c r="D33" i="12"/>
  <c r="D32" i="12"/>
  <c r="D177" i="11"/>
  <c r="D176" i="11"/>
  <c r="D175" i="11"/>
  <c r="D174" i="11"/>
  <c r="D173" i="11"/>
  <c r="D172" i="11"/>
  <c r="D171" i="11"/>
  <c r="D170" i="11"/>
  <c r="D169" i="11"/>
  <c r="D132" i="11"/>
  <c r="D131" i="11"/>
  <c r="D130" i="11"/>
  <c r="D129" i="11"/>
  <c r="D128" i="11"/>
  <c r="D127" i="11"/>
  <c r="D126" i="11"/>
  <c r="D125" i="11"/>
  <c r="D124" i="11"/>
  <c r="D87" i="11"/>
  <c r="D86" i="11"/>
  <c r="D85" i="11"/>
  <c r="D84" i="11"/>
  <c r="D83" i="11"/>
  <c r="D82" i="11"/>
  <c r="D81" i="11"/>
  <c r="D80" i="11"/>
  <c r="D79" i="11"/>
  <c r="D42" i="11"/>
  <c r="D41" i="11"/>
  <c r="D40" i="11"/>
  <c r="D39" i="11"/>
  <c r="D38" i="11"/>
  <c r="D37" i="11"/>
  <c r="D36" i="11"/>
  <c r="D35" i="11"/>
  <c r="D34" i="11"/>
  <c r="D177" i="10"/>
  <c r="D176" i="10"/>
  <c r="D175" i="10"/>
  <c r="D174" i="10"/>
  <c r="D173" i="10"/>
  <c r="D172" i="10"/>
  <c r="D171" i="10"/>
  <c r="D170" i="10"/>
  <c r="D169" i="10"/>
  <c r="D132" i="10"/>
  <c r="D131" i="10"/>
  <c r="D130" i="10"/>
  <c r="D129" i="10"/>
  <c r="D128" i="10"/>
  <c r="D127" i="10"/>
  <c r="D126" i="10"/>
  <c r="D125" i="10"/>
  <c r="D124" i="10"/>
  <c r="D87" i="10"/>
  <c r="D86" i="10"/>
  <c r="D85" i="10"/>
  <c r="D84" i="10"/>
  <c r="D83" i="10"/>
  <c r="D82" i="10"/>
  <c r="D81" i="10"/>
  <c r="D80" i="10"/>
  <c r="D79" i="10"/>
  <c r="D34" i="10"/>
  <c r="D42" i="10"/>
  <c r="D41" i="10"/>
  <c r="D40" i="10"/>
  <c r="D39" i="10"/>
  <c r="D38" i="10"/>
  <c r="D37" i="10"/>
  <c r="D36" i="10"/>
  <c r="D35" i="10"/>
  <c r="D177" i="9"/>
  <c r="D176" i="9"/>
  <c r="D175" i="9"/>
  <c r="D174" i="9"/>
  <c r="D173" i="9"/>
  <c r="D172" i="9"/>
  <c r="D171" i="9"/>
  <c r="D170" i="9"/>
  <c r="D169" i="9"/>
  <c r="D132" i="9"/>
  <c r="D131" i="9"/>
  <c r="D130" i="9"/>
  <c r="D129" i="9"/>
  <c r="D128" i="9"/>
  <c r="D127" i="9"/>
  <c r="D126" i="9"/>
  <c r="D125" i="9"/>
  <c r="D124" i="9"/>
  <c r="D87" i="9"/>
  <c r="D86" i="9"/>
  <c r="D85" i="9"/>
  <c r="D84" i="9"/>
  <c r="D83" i="9"/>
  <c r="D82" i="9"/>
  <c r="D81" i="9"/>
  <c r="D80" i="9"/>
  <c r="D79" i="9"/>
  <c r="D42" i="9"/>
  <c r="D41" i="9"/>
  <c r="D40" i="9"/>
  <c r="D39" i="9"/>
  <c r="D38" i="9"/>
  <c r="D37" i="9"/>
  <c r="D36" i="9"/>
  <c r="D35" i="9"/>
  <c r="D34" i="9"/>
  <c r="D141" i="8"/>
  <c r="D140" i="8"/>
  <c r="D105" i="8"/>
  <c r="D104" i="8"/>
  <c r="D69" i="8"/>
  <c r="D68" i="8"/>
  <c r="D33" i="8"/>
  <c r="D32" i="8"/>
  <c r="D227" i="18"/>
  <c r="D226" i="18"/>
  <c r="D225" i="18"/>
  <c r="D224" i="18"/>
  <c r="D188" i="18"/>
  <c r="D187" i="18"/>
  <c r="D186" i="18"/>
  <c r="D185" i="18"/>
  <c r="D149" i="18"/>
  <c r="D148" i="18"/>
  <c r="D147" i="18"/>
  <c r="D146" i="18"/>
  <c r="D110" i="18"/>
  <c r="D109" i="18"/>
  <c r="D108" i="18"/>
  <c r="D72" i="18"/>
  <c r="D71" i="18"/>
  <c r="D70" i="18"/>
  <c r="D34" i="18"/>
  <c r="D33" i="18"/>
  <c r="D32" i="18"/>
  <c r="D227" i="17"/>
  <c r="D226" i="17"/>
  <c r="D225" i="17"/>
  <c r="D224" i="17"/>
  <c r="D188" i="17"/>
  <c r="D187" i="17"/>
  <c r="D186" i="17"/>
  <c r="D185" i="17"/>
  <c r="D149" i="17"/>
  <c r="D148" i="17"/>
  <c r="D147" i="17"/>
  <c r="D146" i="17"/>
  <c r="D110" i="17"/>
  <c r="D109" i="17"/>
  <c r="D108" i="17"/>
  <c r="D72" i="17"/>
  <c r="D71" i="17"/>
  <c r="D70" i="17"/>
  <c r="D34" i="17"/>
  <c r="D33" i="17"/>
  <c r="D32" i="17"/>
  <c r="D227" i="16"/>
  <c r="D226" i="16"/>
  <c r="D225" i="16"/>
  <c r="D224" i="16"/>
  <c r="D188" i="16"/>
  <c r="D187" i="16"/>
  <c r="D186" i="16"/>
  <c r="D185" i="16"/>
  <c r="D149" i="16"/>
  <c r="D148" i="16"/>
  <c r="D147" i="16"/>
  <c r="D146" i="16"/>
  <c r="D110" i="16"/>
  <c r="D109" i="16"/>
  <c r="D108" i="16"/>
  <c r="D72" i="16"/>
  <c r="D71" i="16"/>
  <c r="D70" i="16"/>
  <c r="D34" i="16"/>
  <c r="D33" i="16"/>
  <c r="D32" i="16"/>
  <c r="D180" i="21"/>
  <c r="D179" i="21"/>
  <c r="D178" i="21"/>
  <c r="D177" i="21"/>
  <c r="D176" i="21"/>
  <c r="D175" i="21"/>
  <c r="D174" i="21"/>
  <c r="D173" i="21"/>
  <c r="D172" i="21"/>
  <c r="D171" i="21"/>
  <c r="D134" i="21"/>
  <c r="D133" i="21"/>
  <c r="D132" i="21"/>
  <c r="D131" i="21"/>
  <c r="D130" i="21"/>
  <c r="D129" i="21"/>
  <c r="D128" i="21"/>
  <c r="D127" i="21"/>
  <c r="D126" i="21"/>
  <c r="D125" i="21"/>
  <c r="D88" i="21"/>
  <c r="D87" i="21"/>
  <c r="D86" i="21"/>
  <c r="D85" i="21"/>
  <c r="D84" i="21"/>
  <c r="D83" i="21"/>
  <c r="D82" i="21"/>
  <c r="D81" i="21"/>
  <c r="D80" i="21"/>
  <c r="D79" i="21"/>
  <c r="D42" i="21"/>
  <c r="D41" i="21"/>
  <c r="D40" i="21"/>
  <c r="D39" i="21"/>
  <c r="D38" i="21"/>
  <c r="D37" i="21"/>
  <c r="D36" i="21"/>
  <c r="D35" i="21"/>
  <c r="D34" i="21"/>
  <c r="D180" i="22"/>
  <c r="D179" i="22"/>
  <c r="D178" i="22"/>
  <c r="D177" i="22"/>
  <c r="D176" i="22"/>
  <c r="D175" i="22"/>
  <c r="D174" i="22"/>
  <c r="D173" i="22"/>
  <c r="D172" i="22"/>
  <c r="D171" i="22"/>
  <c r="D134" i="22"/>
  <c r="D133" i="22"/>
  <c r="D132" i="22"/>
  <c r="D131" i="22"/>
  <c r="D130" i="22"/>
  <c r="D129" i="22"/>
  <c r="D128" i="22"/>
  <c r="D127" i="22"/>
  <c r="D126" i="22"/>
  <c r="D125" i="22"/>
  <c r="D88" i="22"/>
  <c r="D87" i="22"/>
  <c r="D86" i="22"/>
  <c r="D85" i="22"/>
  <c r="D84" i="22"/>
  <c r="D83" i="22"/>
  <c r="D82" i="22"/>
  <c r="D81" i="22"/>
  <c r="D80" i="22"/>
  <c r="D79" i="22"/>
  <c r="D42" i="22"/>
  <c r="D41" i="22"/>
  <c r="D40" i="22"/>
  <c r="D39" i="22"/>
  <c r="D38" i="22"/>
  <c r="D37" i="22"/>
  <c r="D36" i="22"/>
  <c r="D35" i="22"/>
  <c r="D34" i="22"/>
  <c r="D180" i="20"/>
  <c r="D179" i="20"/>
  <c r="D178" i="20"/>
  <c r="D177" i="20"/>
  <c r="D176" i="20"/>
  <c r="D175" i="20"/>
  <c r="D174" i="20"/>
  <c r="D173" i="20"/>
  <c r="D172" i="20"/>
  <c r="D171" i="20"/>
  <c r="D134" i="20"/>
  <c r="D133" i="20"/>
  <c r="D132" i="20"/>
  <c r="D131" i="20"/>
  <c r="D130" i="20"/>
  <c r="D129" i="20"/>
  <c r="D128" i="20"/>
  <c r="D127" i="20"/>
  <c r="D126" i="20"/>
  <c r="D125" i="20"/>
  <c r="D88" i="20"/>
  <c r="D87" i="20"/>
  <c r="D86" i="20"/>
  <c r="D85" i="20"/>
  <c r="D84" i="20"/>
  <c r="D83" i="20"/>
  <c r="D82" i="20"/>
  <c r="D81" i="20"/>
  <c r="D80" i="20"/>
  <c r="D79" i="20"/>
  <c r="D42" i="20"/>
  <c r="D41" i="20"/>
  <c r="D40" i="20"/>
  <c r="D39" i="20"/>
  <c r="D38" i="20"/>
  <c r="D37" i="20"/>
  <c r="D36" i="20"/>
  <c r="D35" i="20"/>
  <c r="D34" i="20"/>
  <c r="D180" i="19"/>
  <c r="D179" i="19"/>
  <c r="D178" i="19"/>
  <c r="D177" i="19"/>
  <c r="D176" i="19"/>
  <c r="D175" i="19"/>
  <c r="D174" i="19"/>
  <c r="D173" i="19"/>
  <c r="D172" i="19"/>
  <c r="D134" i="19"/>
  <c r="D133" i="19"/>
  <c r="D132" i="19"/>
  <c r="D131" i="19"/>
  <c r="D130" i="19"/>
  <c r="D129" i="19"/>
  <c r="D128" i="19"/>
  <c r="D127" i="19"/>
  <c r="D126" i="19"/>
  <c r="D88" i="19"/>
  <c r="D87" i="19"/>
  <c r="D86" i="19"/>
  <c r="D85" i="19"/>
  <c r="D84" i="19"/>
  <c r="D83" i="19"/>
  <c r="D82" i="19"/>
  <c r="D81" i="19"/>
  <c r="D80" i="19"/>
  <c r="D42" i="19"/>
  <c r="D41" i="19"/>
  <c r="D36" i="19"/>
  <c r="D35" i="19"/>
  <c r="D34" i="19"/>
  <c r="D32" i="14"/>
  <c r="D257" i="13"/>
  <c r="D107" i="13"/>
  <c r="D106" i="13"/>
  <c r="D71" i="13"/>
  <c r="D70" i="13"/>
  <c r="D69" i="13"/>
  <c r="D68" i="13"/>
  <c r="D34" i="13"/>
  <c r="D33" i="13"/>
  <c r="D32" i="13"/>
  <c r="D180" i="15"/>
  <c r="D179" i="15"/>
  <c r="D178" i="15"/>
  <c r="D177" i="15"/>
  <c r="D176" i="15"/>
  <c r="D175" i="15"/>
  <c r="D174" i="15"/>
  <c r="D173" i="15"/>
  <c r="D172" i="15"/>
  <c r="D171" i="15"/>
  <c r="D134" i="15"/>
  <c r="D133" i="15"/>
  <c r="D132" i="15"/>
  <c r="D131" i="15"/>
  <c r="D130" i="15"/>
  <c r="D129" i="15"/>
  <c r="D128" i="15"/>
  <c r="D127" i="15"/>
  <c r="D126" i="15"/>
  <c r="D125" i="15"/>
  <c r="D88" i="15"/>
  <c r="D87" i="15"/>
  <c r="D86" i="15"/>
  <c r="D85" i="15"/>
  <c r="D84" i="15"/>
  <c r="D83" i="15"/>
  <c r="D82" i="15"/>
  <c r="D81" i="15"/>
  <c r="D80" i="15"/>
  <c r="D79" i="15"/>
  <c r="D42" i="15"/>
  <c r="D41" i="15"/>
  <c r="D40" i="15"/>
  <c r="D39" i="15"/>
  <c r="D38" i="15"/>
  <c r="D37" i="15"/>
  <c r="D36" i="15"/>
  <c r="D35" i="15"/>
  <c r="D34" i="15"/>
  <c r="D40" i="19"/>
  <c r="D39" i="19"/>
  <c r="D38" i="19"/>
  <c r="D37" i="19"/>
  <c r="B43" i="23"/>
  <c r="B42" i="23"/>
  <c r="B28" i="23"/>
  <c r="B27" i="23"/>
  <c r="C177" i="8"/>
  <c r="D177" i="8"/>
  <c r="C178" i="8"/>
  <c r="D178" i="8"/>
  <c r="C217" i="9"/>
  <c r="D217" i="9"/>
  <c r="C218" i="9"/>
  <c r="D218" i="9"/>
  <c r="D216" i="10"/>
  <c r="D217" i="10"/>
  <c r="C216" i="10"/>
  <c r="C217" i="10"/>
  <c r="D216" i="11"/>
  <c r="D217" i="11"/>
  <c r="C216" i="11"/>
  <c r="C217" i="11"/>
  <c r="H152" i="12"/>
  <c r="C152" i="12"/>
  <c r="A152" i="12"/>
  <c r="H113" i="12"/>
  <c r="C113" i="12"/>
  <c r="A113" i="12"/>
  <c r="H74" i="12"/>
  <c r="C74" i="12"/>
  <c r="A74" i="12"/>
  <c r="H35" i="12"/>
  <c r="C35" i="12"/>
  <c r="A35" i="12"/>
  <c r="H171" i="11"/>
  <c r="C171" i="11"/>
  <c r="A171" i="11"/>
  <c r="H126" i="11"/>
  <c r="C126" i="11"/>
  <c r="A126" i="11"/>
  <c r="H81" i="11"/>
  <c r="C81" i="11"/>
  <c r="A81" i="11"/>
  <c r="H36" i="11"/>
  <c r="C36" i="11"/>
  <c r="A36" i="11"/>
  <c r="H171" i="10"/>
  <c r="C171" i="10"/>
  <c r="A171" i="10"/>
  <c r="H126" i="10"/>
  <c r="C126" i="10"/>
  <c r="A126" i="10"/>
  <c r="H81" i="10"/>
  <c r="C81" i="10"/>
  <c r="A81" i="10"/>
  <c r="H36" i="10"/>
  <c r="C36" i="10"/>
  <c r="A36" i="10"/>
  <c r="H171" i="9"/>
  <c r="C171" i="9"/>
  <c r="A171" i="9"/>
  <c r="H126" i="9"/>
  <c r="C126" i="9"/>
  <c r="A126" i="9"/>
  <c r="H81" i="9"/>
  <c r="C81" i="9"/>
  <c r="A81" i="9"/>
  <c r="H36" i="9"/>
  <c r="C36" i="9"/>
  <c r="A36" i="9"/>
  <c r="H141" i="8"/>
  <c r="C141" i="8"/>
  <c r="A141" i="8"/>
  <c r="H105" i="8"/>
  <c r="C105" i="8"/>
  <c r="A105" i="8"/>
  <c r="H69" i="8"/>
  <c r="C69" i="8"/>
  <c r="A69" i="8"/>
  <c r="H33" i="8"/>
  <c r="C33" i="8"/>
  <c r="A33" i="8"/>
  <c r="H173" i="6"/>
  <c r="D173" i="6"/>
  <c r="C173" i="6"/>
  <c r="A173" i="6"/>
  <c r="H128" i="6"/>
  <c r="D128" i="6"/>
  <c r="C128" i="6"/>
  <c r="A128" i="6"/>
  <c r="H83" i="6"/>
  <c r="D83" i="6"/>
  <c r="C83" i="6"/>
  <c r="A83" i="6"/>
  <c r="H38" i="6"/>
  <c r="D38" i="6"/>
  <c r="C38" i="6"/>
  <c r="A38" i="6"/>
  <c r="H222" i="13"/>
  <c r="C222" i="13"/>
  <c r="A222" i="13"/>
  <c r="H184" i="13"/>
  <c r="C184" i="13"/>
  <c r="A184" i="13"/>
  <c r="H146" i="13"/>
  <c r="C146" i="13"/>
  <c r="A146" i="13"/>
  <c r="H108" i="13"/>
  <c r="C108" i="13"/>
  <c r="A108" i="13"/>
  <c r="H172" i="15"/>
  <c r="C172" i="15"/>
  <c r="A172" i="15"/>
  <c r="H126" i="15"/>
  <c r="C126" i="15"/>
  <c r="A126" i="15"/>
  <c r="H80" i="15"/>
  <c r="C80" i="15"/>
  <c r="A80" i="15"/>
  <c r="H226" i="14"/>
  <c r="D226" i="14"/>
  <c r="C226" i="14"/>
  <c r="A226" i="14"/>
  <c r="H187" i="14"/>
  <c r="D187" i="14"/>
  <c r="C187" i="14"/>
  <c r="A187" i="14"/>
  <c r="H148" i="14"/>
  <c r="D148" i="14"/>
  <c r="C148" i="14"/>
  <c r="A148" i="14"/>
  <c r="H226" i="18"/>
  <c r="C226" i="18"/>
  <c r="A226" i="18"/>
  <c r="H187" i="18"/>
  <c r="C187" i="18"/>
  <c r="A187" i="18"/>
  <c r="H148" i="18"/>
  <c r="C148" i="18"/>
  <c r="A148" i="18"/>
  <c r="H226" i="17"/>
  <c r="C226" i="17"/>
  <c r="A226" i="17"/>
  <c r="H187" i="17"/>
  <c r="C187" i="17"/>
  <c r="A187" i="17"/>
  <c r="H148" i="17"/>
  <c r="C148" i="17"/>
  <c r="A148" i="17"/>
  <c r="H226" i="16"/>
  <c r="C226" i="16"/>
  <c r="A226" i="16"/>
  <c r="H187" i="16"/>
  <c r="C187" i="16"/>
  <c r="A187" i="16"/>
  <c r="H148" i="16"/>
  <c r="C148" i="16"/>
  <c r="A148" i="16"/>
  <c r="H172" i="21"/>
  <c r="C172" i="21"/>
  <c r="A172" i="21"/>
  <c r="H126" i="21"/>
  <c r="C126" i="21"/>
  <c r="A126" i="21"/>
  <c r="H80" i="21"/>
  <c r="C80" i="21"/>
  <c r="A80" i="21"/>
  <c r="H172" i="22"/>
  <c r="C172" i="22"/>
  <c r="A172" i="22"/>
  <c r="H126" i="22"/>
  <c r="C126" i="22"/>
  <c r="A126" i="22"/>
  <c r="H80" i="22"/>
  <c r="C80" i="22"/>
  <c r="A80" i="22"/>
  <c r="H172" i="20"/>
  <c r="C172" i="20"/>
  <c r="A172" i="20"/>
  <c r="H126" i="20"/>
  <c r="C126" i="20"/>
  <c r="A126" i="20"/>
  <c r="H80" i="20"/>
  <c r="C80" i="20"/>
  <c r="A80" i="20"/>
  <c r="H173" i="19"/>
  <c r="C173" i="19"/>
  <c r="A173" i="19"/>
  <c r="H127" i="19"/>
  <c r="C127" i="19"/>
  <c r="A127" i="19"/>
  <c r="H81" i="19"/>
  <c r="C81" i="19"/>
  <c r="A81" i="19"/>
  <c r="H35" i="19"/>
  <c r="A35" i="19"/>
  <c r="C35" i="19"/>
  <c r="C138" i="7"/>
  <c r="C139" i="7"/>
  <c r="C140" i="7"/>
  <c r="C149" i="7"/>
  <c r="C150" i="7"/>
  <c r="C151" i="7"/>
  <c r="C152" i="7"/>
  <c r="C153" i="7"/>
  <c r="B36" i="9"/>
  <c r="C154" i="7"/>
  <c r="C155" i="7"/>
  <c r="B126" i="9"/>
  <c r="C156" i="7"/>
  <c r="B171" i="9"/>
  <c r="C157" i="7"/>
  <c r="B36" i="10"/>
  <c r="C158" i="7"/>
  <c r="B81" i="10"/>
  <c r="C159" i="7"/>
  <c r="B126" i="10"/>
  <c r="C160" i="7"/>
  <c r="C161" i="7"/>
  <c r="B36" i="11"/>
  <c r="C162" i="7"/>
  <c r="C163" i="7"/>
  <c r="C164" i="7"/>
  <c r="B171" i="11"/>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B81" i="33"/>
  <c r="C287" i="7"/>
  <c r="B127" i="33"/>
  <c r="C288" i="7"/>
  <c r="B173" i="33"/>
  <c r="C289" i="7"/>
  <c r="C290" i="7"/>
  <c r="B80" i="35"/>
  <c r="C291" i="7"/>
  <c r="B126" i="35"/>
  <c r="C292" i="7"/>
  <c r="B172" i="35"/>
  <c r="C293" i="7"/>
  <c r="C294" i="7"/>
  <c r="B80" i="37"/>
  <c r="C295" i="7"/>
  <c r="B126" i="37"/>
  <c r="C296" i="7"/>
  <c r="B172" i="37"/>
  <c r="C297" i="7"/>
  <c r="C298" i="7"/>
  <c r="B80" i="39"/>
  <c r="C299" i="7"/>
  <c r="B126" i="39"/>
  <c r="C300" i="7"/>
  <c r="B172" i="39"/>
  <c r="C137" i="7"/>
  <c r="B44" i="23"/>
  <c r="D40" i="23"/>
  <c r="C40" i="23"/>
  <c r="A40" i="23"/>
  <c r="B33" i="23"/>
  <c r="H40" i="23"/>
  <c r="B29" i="23"/>
  <c r="B18" i="23"/>
  <c r="H25" i="23"/>
  <c r="D25" i="23"/>
  <c r="C25" i="23"/>
  <c r="A25" i="23"/>
  <c r="H338" i="22"/>
  <c r="D338" i="22"/>
  <c r="C338" i="22"/>
  <c r="A338" i="22"/>
  <c r="H337" i="22"/>
  <c r="D337" i="22"/>
  <c r="C337" i="22"/>
  <c r="A337" i="22"/>
  <c r="H336" i="22"/>
  <c r="D336" i="22"/>
  <c r="C336" i="22"/>
  <c r="A336" i="22"/>
  <c r="H334" i="22"/>
  <c r="D334" i="22"/>
  <c r="C334" i="22"/>
  <c r="A334" i="22"/>
  <c r="H333" i="22"/>
  <c r="D333" i="22"/>
  <c r="C333" i="22"/>
  <c r="A333" i="22"/>
  <c r="H332" i="22"/>
  <c r="D332" i="22"/>
  <c r="C332" i="22"/>
  <c r="A332" i="22"/>
  <c r="C331" i="22"/>
  <c r="C330" i="22"/>
  <c r="B307" i="22"/>
  <c r="H330" i="22"/>
  <c r="H331" i="22"/>
  <c r="A330" i="22"/>
  <c r="A331" i="22"/>
  <c r="H299" i="22"/>
  <c r="D299" i="22"/>
  <c r="C299" i="22"/>
  <c r="A299" i="22"/>
  <c r="H298" i="22"/>
  <c r="D298" i="22"/>
  <c r="C298" i="22"/>
  <c r="A298" i="22"/>
  <c r="H297" i="22"/>
  <c r="D297" i="22"/>
  <c r="C297" i="22"/>
  <c r="A297" i="22"/>
  <c r="H295" i="22"/>
  <c r="D295" i="22"/>
  <c r="C295" i="22"/>
  <c r="A295" i="22"/>
  <c r="H294" i="22"/>
  <c r="D294" i="22"/>
  <c r="C294" i="22"/>
  <c r="A294" i="22"/>
  <c r="H293" i="22"/>
  <c r="D293" i="22"/>
  <c r="C293" i="22"/>
  <c r="A293" i="22"/>
  <c r="C292" i="22"/>
  <c r="C291" i="22"/>
  <c r="B268" i="22"/>
  <c r="H291" i="22"/>
  <c r="H292" i="22"/>
  <c r="A291" i="22"/>
  <c r="A292" i="22"/>
  <c r="H260" i="22"/>
  <c r="D260" i="22"/>
  <c r="C260" i="22"/>
  <c r="A260" i="22"/>
  <c r="H259" i="22"/>
  <c r="D259" i="22"/>
  <c r="C259" i="22"/>
  <c r="A259" i="22"/>
  <c r="H258" i="22"/>
  <c r="D258" i="22"/>
  <c r="C258" i="22"/>
  <c r="A258" i="22"/>
  <c r="H256" i="22"/>
  <c r="D256" i="22"/>
  <c r="C256" i="22"/>
  <c r="A256" i="22"/>
  <c r="H255" i="22"/>
  <c r="D255" i="22"/>
  <c r="C255" i="22"/>
  <c r="A255" i="22"/>
  <c r="H254" i="22"/>
  <c r="D254" i="22"/>
  <c r="C254" i="22"/>
  <c r="A254" i="22"/>
  <c r="C253" i="22"/>
  <c r="C252" i="22"/>
  <c r="B229" i="22"/>
  <c r="H252" i="22"/>
  <c r="H253" i="22"/>
  <c r="B260" i="22"/>
  <c r="A252" i="22"/>
  <c r="A253" i="22"/>
  <c r="H221" i="22"/>
  <c r="D221" i="22"/>
  <c r="C221" i="22"/>
  <c r="A221" i="22"/>
  <c r="H220" i="22"/>
  <c r="D220" i="22"/>
  <c r="C220" i="22"/>
  <c r="A220" i="22"/>
  <c r="H219" i="22"/>
  <c r="D219" i="22"/>
  <c r="C219" i="22"/>
  <c r="A219" i="22"/>
  <c r="H218" i="22"/>
  <c r="D218" i="22"/>
  <c r="C218" i="22"/>
  <c r="A218" i="22"/>
  <c r="H217" i="22"/>
  <c r="D217" i="22"/>
  <c r="C217" i="22"/>
  <c r="A217" i="22"/>
  <c r="H216" i="22"/>
  <c r="D216" i="22"/>
  <c r="C216" i="22"/>
  <c r="A216" i="22"/>
  <c r="C214" i="22"/>
  <c r="C213" i="22"/>
  <c r="B190" i="22"/>
  <c r="H213" i="22"/>
  <c r="H214" i="22"/>
  <c r="A213" i="22"/>
  <c r="A214" i="22"/>
  <c r="H180" i="22"/>
  <c r="C180" i="22"/>
  <c r="A180" i="22"/>
  <c r="H179" i="22"/>
  <c r="C179" i="22"/>
  <c r="A179" i="22"/>
  <c r="H178" i="22"/>
  <c r="C178" i="22"/>
  <c r="A178" i="22"/>
  <c r="H177" i="22"/>
  <c r="C177" i="22"/>
  <c r="A177" i="22"/>
  <c r="H176" i="22"/>
  <c r="C176" i="22"/>
  <c r="A176" i="22"/>
  <c r="H175" i="22"/>
  <c r="C175" i="22"/>
  <c r="A175" i="22"/>
  <c r="H174" i="22"/>
  <c r="C174" i="22"/>
  <c r="A174" i="22"/>
  <c r="H173" i="22"/>
  <c r="C173" i="22"/>
  <c r="A173" i="22"/>
  <c r="H171" i="22"/>
  <c r="C171" i="22"/>
  <c r="A171" i="22"/>
  <c r="H170" i="22"/>
  <c r="D170" i="22"/>
  <c r="C170" i="22"/>
  <c r="B144" i="22"/>
  <c r="A170" i="22"/>
  <c r="H134" i="22"/>
  <c r="C134" i="22"/>
  <c r="A134" i="22"/>
  <c r="H133" i="22"/>
  <c r="C133" i="22"/>
  <c r="A133" i="22"/>
  <c r="H132" i="22"/>
  <c r="C132" i="22"/>
  <c r="A132" i="22"/>
  <c r="H131" i="22"/>
  <c r="C131" i="22"/>
  <c r="A131" i="22"/>
  <c r="H130" i="22"/>
  <c r="C130" i="22"/>
  <c r="A130" i="22"/>
  <c r="H129" i="22"/>
  <c r="C129" i="22"/>
  <c r="A129" i="22"/>
  <c r="H128" i="22"/>
  <c r="C128" i="22"/>
  <c r="A128" i="22"/>
  <c r="H127" i="22"/>
  <c r="C127" i="22"/>
  <c r="A127" i="22"/>
  <c r="H125" i="22"/>
  <c r="C125" i="22"/>
  <c r="A125" i="22"/>
  <c r="H124" i="22"/>
  <c r="D124" i="22"/>
  <c r="C124" i="22"/>
  <c r="B98" i="22"/>
  <c r="H88" i="22"/>
  <c r="C88" i="22"/>
  <c r="A88" i="22"/>
  <c r="H87" i="22"/>
  <c r="C87" i="22"/>
  <c r="A87" i="22"/>
  <c r="H86" i="22"/>
  <c r="C86" i="22"/>
  <c r="A86" i="22"/>
  <c r="H85" i="22"/>
  <c r="C85" i="22"/>
  <c r="A85" i="22"/>
  <c r="H84" i="22"/>
  <c r="C84" i="22"/>
  <c r="A84" i="22"/>
  <c r="H83" i="22"/>
  <c r="C83" i="22"/>
  <c r="A83" i="22"/>
  <c r="H82" i="22"/>
  <c r="C82" i="22"/>
  <c r="A82" i="22"/>
  <c r="H81" i="22"/>
  <c r="C81" i="22"/>
  <c r="A81" i="22"/>
  <c r="H79" i="22"/>
  <c r="C79" i="22"/>
  <c r="A79" i="22"/>
  <c r="H78" i="22"/>
  <c r="D78" i="22"/>
  <c r="C78" i="22"/>
  <c r="B52" i="22"/>
  <c r="A78" i="22"/>
  <c r="H42" i="22"/>
  <c r="C42" i="22"/>
  <c r="A42" i="22"/>
  <c r="H41" i="22"/>
  <c r="C41" i="22"/>
  <c r="A41" i="22"/>
  <c r="H40" i="22"/>
  <c r="C40" i="22"/>
  <c r="A40" i="22"/>
  <c r="H39" i="22"/>
  <c r="C39" i="22"/>
  <c r="A39" i="22"/>
  <c r="H38" i="22"/>
  <c r="C38" i="22"/>
  <c r="A38" i="22"/>
  <c r="H37" i="22"/>
  <c r="C37" i="22"/>
  <c r="A37" i="22"/>
  <c r="H36" i="22"/>
  <c r="C36" i="22"/>
  <c r="A36" i="22"/>
  <c r="H35" i="22"/>
  <c r="C35" i="22"/>
  <c r="A35" i="22"/>
  <c r="H34" i="22"/>
  <c r="C34" i="22"/>
  <c r="A34" i="22"/>
  <c r="H33" i="22"/>
  <c r="D33" i="22"/>
  <c r="C33" i="22"/>
  <c r="B7" i="22"/>
  <c r="A33" i="22"/>
  <c r="H338" i="21"/>
  <c r="D338" i="21"/>
  <c r="C338" i="21"/>
  <c r="A338" i="21"/>
  <c r="H337" i="21"/>
  <c r="D337" i="21"/>
  <c r="C337" i="21"/>
  <c r="A337" i="21"/>
  <c r="H336" i="21"/>
  <c r="D336" i="21"/>
  <c r="C336" i="21"/>
  <c r="A336" i="21"/>
  <c r="H334" i="21"/>
  <c r="D334" i="21"/>
  <c r="C334" i="21"/>
  <c r="A334" i="21"/>
  <c r="H333" i="21"/>
  <c r="D333" i="21"/>
  <c r="C333" i="21"/>
  <c r="A333" i="21"/>
  <c r="H332" i="21"/>
  <c r="D332" i="21"/>
  <c r="C332" i="21"/>
  <c r="A332" i="21"/>
  <c r="C331" i="21"/>
  <c r="C330" i="21"/>
  <c r="B307" i="21"/>
  <c r="H330" i="21"/>
  <c r="H331" i="21"/>
  <c r="A330" i="21"/>
  <c r="A331" i="21"/>
  <c r="H299" i="21"/>
  <c r="D299" i="21"/>
  <c r="C299" i="21"/>
  <c r="A299" i="21"/>
  <c r="H298" i="21"/>
  <c r="D298" i="21"/>
  <c r="C298" i="21"/>
  <c r="A298" i="21"/>
  <c r="H297" i="21"/>
  <c r="D297" i="21"/>
  <c r="C297" i="21"/>
  <c r="A297" i="21"/>
  <c r="H295" i="21"/>
  <c r="D295" i="21"/>
  <c r="C295" i="21"/>
  <c r="A295" i="21"/>
  <c r="H294" i="21"/>
  <c r="D294" i="21"/>
  <c r="C294" i="21"/>
  <c r="A294" i="21"/>
  <c r="H293" i="21"/>
  <c r="D293" i="21"/>
  <c r="C293" i="21"/>
  <c r="A293" i="21"/>
  <c r="C292" i="21"/>
  <c r="C291" i="21"/>
  <c r="B268" i="21"/>
  <c r="H291" i="21"/>
  <c r="H292" i="21"/>
  <c r="B273" i="21"/>
  <c r="A291" i="21"/>
  <c r="A292" i="21"/>
  <c r="H260" i="21"/>
  <c r="D260" i="21"/>
  <c r="C260" i="21"/>
  <c r="A260" i="21"/>
  <c r="H259" i="21"/>
  <c r="D259" i="21"/>
  <c r="C259" i="21"/>
  <c r="A259" i="21"/>
  <c r="H258" i="21"/>
  <c r="D258" i="21"/>
  <c r="C258" i="21"/>
  <c r="A258" i="21"/>
  <c r="H256" i="21"/>
  <c r="D256" i="21"/>
  <c r="C256" i="21"/>
  <c r="A256" i="21"/>
  <c r="H255" i="21"/>
  <c r="D255" i="21"/>
  <c r="C255" i="21"/>
  <c r="A255" i="21"/>
  <c r="H254" i="21"/>
  <c r="D254" i="21"/>
  <c r="C254" i="21"/>
  <c r="A254" i="21"/>
  <c r="C253" i="21"/>
  <c r="C252" i="21"/>
  <c r="B229" i="21"/>
  <c r="H252" i="21"/>
  <c r="H253" i="21"/>
  <c r="B233" i="21"/>
  <c r="A252" i="21"/>
  <c r="A253" i="21"/>
  <c r="H221" i="21"/>
  <c r="D221" i="21"/>
  <c r="C221" i="21"/>
  <c r="A221" i="21"/>
  <c r="H220" i="21"/>
  <c r="D220" i="21"/>
  <c r="C220" i="21"/>
  <c r="A220" i="21"/>
  <c r="H219" i="21"/>
  <c r="D219" i="21"/>
  <c r="C219" i="21"/>
  <c r="A219" i="21"/>
  <c r="H218" i="21"/>
  <c r="D218" i="21"/>
  <c r="C218" i="21"/>
  <c r="A218" i="21"/>
  <c r="H217" i="21"/>
  <c r="D217" i="21"/>
  <c r="C217" i="21"/>
  <c r="A217" i="21"/>
  <c r="H216" i="21"/>
  <c r="D216" i="21"/>
  <c r="C216" i="21"/>
  <c r="A216" i="21"/>
  <c r="C214" i="21"/>
  <c r="C213" i="21"/>
  <c r="B190" i="21"/>
  <c r="H213" i="21"/>
  <c r="H214" i="21"/>
  <c r="B198" i="21"/>
  <c r="A213" i="21"/>
  <c r="A214" i="21"/>
  <c r="H180" i="21"/>
  <c r="C180" i="21"/>
  <c r="A180" i="21"/>
  <c r="H179" i="21"/>
  <c r="C179" i="21"/>
  <c r="A179" i="21"/>
  <c r="H178" i="21"/>
  <c r="C178" i="21"/>
  <c r="A178" i="21"/>
  <c r="H177" i="21"/>
  <c r="C177" i="21"/>
  <c r="A177" i="21"/>
  <c r="H176" i="21"/>
  <c r="C176" i="21"/>
  <c r="A176" i="21"/>
  <c r="H175" i="21"/>
  <c r="C175" i="21"/>
  <c r="A175" i="21"/>
  <c r="H174" i="21"/>
  <c r="C174" i="21"/>
  <c r="A174" i="21"/>
  <c r="H173" i="21"/>
  <c r="C173" i="21"/>
  <c r="A173" i="21"/>
  <c r="H171" i="21"/>
  <c r="C171" i="21"/>
  <c r="A171" i="21"/>
  <c r="H170" i="21"/>
  <c r="D170" i="21"/>
  <c r="C170" i="21"/>
  <c r="B144" i="21"/>
  <c r="A170" i="21"/>
  <c r="H134" i="21"/>
  <c r="C134" i="21"/>
  <c r="A134" i="21"/>
  <c r="H133" i="21"/>
  <c r="C133" i="21"/>
  <c r="A133" i="21"/>
  <c r="H132" i="21"/>
  <c r="C132" i="21"/>
  <c r="A132" i="21"/>
  <c r="H131" i="21"/>
  <c r="C131" i="21"/>
  <c r="A131" i="21"/>
  <c r="H130" i="21"/>
  <c r="C130" i="21"/>
  <c r="A130" i="21"/>
  <c r="H129" i="21"/>
  <c r="C129" i="21"/>
  <c r="A129" i="21"/>
  <c r="H128" i="21"/>
  <c r="C128" i="21"/>
  <c r="A128" i="21"/>
  <c r="H127" i="21"/>
  <c r="C127" i="21"/>
  <c r="A127" i="21"/>
  <c r="H125" i="21"/>
  <c r="C125" i="21"/>
  <c r="A125" i="21"/>
  <c r="H124" i="21"/>
  <c r="D124" i="21"/>
  <c r="C124" i="21"/>
  <c r="B98" i="21"/>
  <c r="A124" i="21"/>
  <c r="H88" i="21"/>
  <c r="C88" i="21"/>
  <c r="A88" i="21"/>
  <c r="H87" i="21"/>
  <c r="C87" i="21"/>
  <c r="A87" i="21"/>
  <c r="H86" i="21"/>
  <c r="C86" i="21"/>
  <c r="A86" i="21"/>
  <c r="H85" i="21"/>
  <c r="C85" i="21"/>
  <c r="A85" i="21"/>
  <c r="H84" i="21"/>
  <c r="C84" i="21"/>
  <c r="A84" i="21"/>
  <c r="H83" i="21"/>
  <c r="C83" i="21"/>
  <c r="A83" i="21"/>
  <c r="H82" i="21"/>
  <c r="C82" i="21"/>
  <c r="A82" i="21"/>
  <c r="H81" i="21"/>
  <c r="C81" i="21"/>
  <c r="A81" i="21"/>
  <c r="H79" i="21"/>
  <c r="C79" i="21"/>
  <c r="A79" i="21"/>
  <c r="H78" i="21"/>
  <c r="D78" i="21"/>
  <c r="C78" i="21"/>
  <c r="B52" i="21"/>
  <c r="A78" i="21"/>
  <c r="H42" i="21"/>
  <c r="C42" i="21"/>
  <c r="A42" i="21"/>
  <c r="H41" i="21"/>
  <c r="C41" i="21"/>
  <c r="A41" i="21"/>
  <c r="H40" i="21"/>
  <c r="C40" i="21"/>
  <c r="A40" i="21"/>
  <c r="H39" i="21"/>
  <c r="C39" i="21"/>
  <c r="A39" i="21"/>
  <c r="H38" i="21"/>
  <c r="C38" i="21"/>
  <c r="A38" i="21"/>
  <c r="H37" i="21"/>
  <c r="C37" i="21"/>
  <c r="A37" i="21"/>
  <c r="H36" i="21"/>
  <c r="C36" i="21"/>
  <c r="A36" i="21"/>
  <c r="H35" i="21"/>
  <c r="C35" i="21"/>
  <c r="A35" i="21"/>
  <c r="H34" i="21"/>
  <c r="C34" i="21"/>
  <c r="A34" i="21"/>
  <c r="H33" i="21"/>
  <c r="D33" i="21"/>
  <c r="C33" i="21"/>
  <c r="B7" i="21"/>
  <c r="A33" i="21"/>
  <c r="H338" i="20"/>
  <c r="D338" i="20"/>
  <c r="C338" i="20"/>
  <c r="A338" i="20"/>
  <c r="H337" i="20"/>
  <c r="D337" i="20"/>
  <c r="C337" i="20"/>
  <c r="A337" i="20"/>
  <c r="H336" i="20"/>
  <c r="D336" i="20"/>
  <c r="C336" i="20"/>
  <c r="A336" i="20"/>
  <c r="H334" i="20"/>
  <c r="D334" i="20"/>
  <c r="C334" i="20"/>
  <c r="A334" i="20"/>
  <c r="H333" i="20"/>
  <c r="D333" i="20"/>
  <c r="C333" i="20"/>
  <c r="A333" i="20"/>
  <c r="H332" i="20"/>
  <c r="D332" i="20"/>
  <c r="C332" i="20"/>
  <c r="A332" i="20"/>
  <c r="C331" i="20"/>
  <c r="C330" i="20"/>
  <c r="B307" i="20"/>
  <c r="H330" i="20"/>
  <c r="H331" i="20"/>
  <c r="A330" i="20"/>
  <c r="A331" i="20"/>
  <c r="H299" i="20"/>
  <c r="D299" i="20"/>
  <c r="C299" i="20"/>
  <c r="A299" i="20"/>
  <c r="H298" i="20"/>
  <c r="D298" i="20"/>
  <c r="C298" i="20"/>
  <c r="A298" i="20"/>
  <c r="H297" i="20"/>
  <c r="D297" i="20"/>
  <c r="C297" i="20"/>
  <c r="A297" i="20"/>
  <c r="H295" i="20"/>
  <c r="D295" i="20"/>
  <c r="C295" i="20"/>
  <c r="A295" i="20"/>
  <c r="H294" i="20"/>
  <c r="D294" i="20"/>
  <c r="C294" i="20"/>
  <c r="A294" i="20"/>
  <c r="H293" i="20"/>
  <c r="D293" i="20"/>
  <c r="C293" i="20"/>
  <c r="A293" i="20"/>
  <c r="C292" i="20"/>
  <c r="C291" i="20"/>
  <c r="B268" i="20"/>
  <c r="H291" i="20"/>
  <c r="H292" i="20"/>
  <c r="A291" i="20"/>
  <c r="A292" i="20"/>
  <c r="H260" i="20"/>
  <c r="D260" i="20"/>
  <c r="C260" i="20"/>
  <c r="A260" i="20"/>
  <c r="H259" i="20"/>
  <c r="D259" i="20"/>
  <c r="C259" i="20"/>
  <c r="A259" i="20"/>
  <c r="H258" i="20"/>
  <c r="D258" i="20"/>
  <c r="C258" i="20"/>
  <c r="A258" i="20"/>
  <c r="H256" i="20"/>
  <c r="D256" i="20"/>
  <c r="C256" i="20"/>
  <c r="A256" i="20"/>
  <c r="H255" i="20"/>
  <c r="D255" i="20"/>
  <c r="C255" i="20"/>
  <c r="A255" i="20"/>
  <c r="H254" i="20"/>
  <c r="D254" i="20"/>
  <c r="C254" i="20"/>
  <c r="A254" i="20"/>
  <c r="C253" i="20"/>
  <c r="C252" i="20"/>
  <c r="B229" i="20"/>
  <c r="H252" i="20"/>
  <c r="H253" i="20"/>
  <c r="B246" i="20"/>
  <c r="A252" i="20"/>
  <c r="A253" i="20"/>
  <c r="H221" i="20"/>
  <c r="D221" i="20"/>
  <c r="C221" i="20"/>
  <c r="A221" i="20"/>
  <c r="H220" i="20"/>
  <c r="D220" i="20"/>
  <c r="C220" i="20"/>
  <c r="A220" i="20"/>
  <c r="H219" i="20"/>
  <c r="D219" i="20"/>
  <c r="C219" i="20"/>
  <c r="A219" i="20"/>
  <c r="H218" i="20"/>
  <c r="D218" i="20"/>
  <c r="C218" i="20"/>
  <c r="A218" i="20"/>
  <c r="H217" i="20"/>
  <c r="D217" i="20"/>
  <c r="C217" i="20"/>
  <c r="A217" i="20"/>
  <c r="H216" i="20"/>
  <c r="D216" i="20"/>
  <c r="C216" i="20"/>
  <c r="A216" i="20"/>
  <c r="C214" i="20"/>
  <c r="C213" i="20"/>
  <c r="B190" i="20"/>
  <c r="H213" i="20"/>
  <c r="H214" i="20"/>
  <c r="A213" i="20"/>
  <c r="A214" i="20"/>
  <c r="H180" i="20"/>
  <c r="C180" i="20"/>
  <c r="A180" i="20"/>
  <c r="H179" i="20"/>
  <c r="C179" i="20"/>
  <c r="A179" i="20"/>
  <c r="H178" i="20"/>
  <c r="C178" i="20"/>
  <c r="A178" i="20"/>
  <c r="H177" i="20"/>
  <c r="C177" i="20"/>
  <c r="A177" i="20"/>
  <c r="H176" i="20"/>
  <c r="C176" i="20"/>
  <c r="A176" i="20"/>
  <c r="H175" i="20"/>
  <c r="C175" i="20"/>
  <c r="A175" i="20"/>
  <c r="H174" i="20"/>
  <c r="C174" i="20"/>
  <c r="A174" i="20"/>
  <c r="H173" i="20"/>
  <c r="C173" i="20"/>
  <c r="A173" i="20"/>
  <c r="H171" i="20"/>
  <c r="C171" i="20"/>
  <c r="A171" i="20"/>
  <c r="H170" i="20"/>
  <c r="D170" i="20"/>
  <c r="C170" i="20"/>
  <c r="B144" i="20"/>
  <c r="H134" i="20"/>
  <c r="C134" i="20"/>
  <c r="A134" i="20"/>
  <c r="H133" i="20"/>
  <c r="C133" i="20"/>
  <c r="A133" i="20"/>
  <c r="H132" i="20"/>
  <c r="C132" i="20"/>
  <c r="A132" i="20"/>
  <c r="H131" i="20"/>
  <c r="C131" i="20"/>
  <c r="A131" i="20"/>
  <c r="H130" i="20"/>
  <c r="C130" i="20"/>
  <c r="A130" i="20"/>
  <c r="H129" i="20"/>
  <c r="C129" i="20"/>
  <c r="A129" i="20"/>
  <c r="H128" i="20"/>
  <c r="C128" i="20"/>
  <c r="A128" i="20"/>
  <c r="H127" i="20"/>
  <c r="C127" i="20"/>
  <c r="A127" i="20"/>
  <c r="H125" i="20"/>
  <c r="C125" i="20"/>
  <c r="A125" i="20"/>
  <c r="H124" i="20"/>
  <c r="D124" i="20"/>
  <c r="C124" i="20"/>
  <c r="B98" i="20"/>
  <c r="H88" i="20"/>
  <c r="C88" i="20"/>
  <c r="A88" i="20"/>
  <c r="H87" i="20"/>
  <c r="C87" i="20"/>
  <c r="A87" i="20"/>
  <c r="H86" i="20"/>
  <c r="C86" i="20"/>
  <c r="A86" i="20"/>
  <c r="H85" i="20"/>
  <c r="C85" i="20"/>
  <c r="A85" i="20"/>
  <c r="H84" i="20"/>
  <c r="C84" i="20"/>
  <c r="A84" i="20"/>
  <c r="H83" i="20"/>
  <c r="C83" i="20"/>
  <c r="A83" i="20"/>
  <c r="H82" i="20"/>
  <c r="C82" i="20"/>
  <c r="A82" i="20"/>
  <c r="H81" i="20"/>
  <c r="C81" i="20"/>
  <c r="A81" i="20"/>
  <c r="H79" i="20"/>
  <c r="C79" i="20"/>
  <c r="A79" i="20"/>
  <c r="H78" i="20"/>
  <c r="D78" i="20"/>
  <c r="C78" i="20"/>
  <c r="B52" i="20"/>
  <c r="H42" i="20"/>
  <c r="C42" i="20"/>
  <c r="A42" i="20"/>
  <c r="H41" i="20"/>
  <c r="C41" i="20"/>
  <c r="A41" i="20"/>
  <c r="H40" i="20"/>
  <c r="C40" i="20"/>
  <c r="A40" i="20"/>
  <c r="H39" i="20"/>
  <c r="C39" i="20"/>
  <c r="A39" i="20"/>
  <c r="H38" i="20"/>
  <c r="C38" i="20"/>
  <c r="A38" i="20"/>
  <c r="H37" i="20"/>
  <c r="C37" i="20"/>
  <c r="A37" i="20"/>
  <c r="H36" i="20"/>
  <c r="C36" i="20"/>
  <c r="A36" i="20"/>
  <c r="H35" i="20"/>
  <c r="C35" i="20"/>
  <c r="A35" i="20"/>
  <c r="H34" i="20"/>
  <c r="C34" i="20"/>
  <c r="A34" i="20"/>
  <c r="H33" i="20"/>
  <c r="D33" i="20"/>
  <c r="C33" i="20"/>
  <c r="B7" i="20"/>
  <c r="H339" i="19"/>
  <c r="D339" i="19"/>
  <c r="C339" i="19"/>
  <c r="A339" i="19"/>
  <c r="H338" i="19"/>
  <c r="D338" i="19"/>
  <c r="C338" i="19"/>
  <c r="A338" i="19"/>
  <c r="H337" i="19"/>
  <c r="D337" i="19"/>
  <c r="C337" i="19"/>
  <c r="A337" i="19"/>
  <c r="H335" i="19"/>
  <c r="D335" i="19"/>
  <c r="C335" i="19"/>
  <c r="A335" i="19"/>
  <c r="H334" i="19"/>
  <c r="D334" i="19"/>
  <c r="C334" i="19"/>
  <c r="A334" i="19"/>
  <c r="H333" i="19"/>
  <c r="D333" i="19"/>
  <c r="C333" i="19"/>
  <c r="A333" i="19"/>
  <c r="C332" i="19"/>
  <c r="C331" i="19"/>
  <c r="B308" i="19"/>
  <c r="H331" i="19"/>
  <c r="H332" i="19"/>
  <c r="A331" i="19"/>
  <c r="A332" i="19"/>
  <c r="H300" i="19"/>
  <c r="D300" i="19"/>
  <c r="C300" i="19"/>
  <c r="A300" i="19"/>
  <c r="H299" i="19"/>
  <c r="D299" i="19"/>
  <c r="C299" i="19"/>
  <c r="A299" i="19"/>
  <c r="H298" i="19"/>
  <c r="D298" i="19"/>
  <c r="C298" i="19"/>
  <c r="A298" i="19"/>
  <c r="H296" i="19"/>
  <c r="D296" i="19"/>
  <c r="C296" i="19"/>
  <c r="A296" i="19"/>
  <c r="H295" i="19"/>
  <c r="D295" i="19"/>
  <c r="C295" i="19"/>
  <c r="A295" i="19"/>
  <c r="H294" i="19"/>
  <c r="D294" i="19"/>
  <c r="C294" i="19"/>
  <c r="A294" i="19"/>
  <c r="C293" i="19"/>
  <c r="C292" i="19"/>
  <c r="B269" i="19"/>
  <c r="H292" i="19"/>
  <c r="H293" i="19"/>
  <c r="A292" i="19"/>
  <c r="A293" i="19"/>
  <c r="H261" i="19"/>
  <c r="D261" i="19"/>
  <c r="C261" i="19"/>
  <c r="A261" i="19"/>
  <c r="H260" i="19"/>
  <c r="D260" i="19"/>
  <c r="C260" i="19"/>
  <c r="A260" i="19"/>
  <c r="H259" i="19"/>
  <c r="D259" i="19"/>
  <c r="C259" i="19"/>
  <c r="A259" i="19"/>
  <c r="H257" i="19"/>
  <c r="D257" i="19"/>
  <c r="C257" i="19"/>
  <c r="A257" i="19"/>
  <c r="H256" i="19"/>
  <c r="D256" i="19"/>
  <c r="C256" i="19"/>
  <c r="A256" i="19"/>
  <c r="H255" i="19"/>
  <c r="D255" i="19"/>
  <c r="C255" i="19"/>
  <c r="A255" i="19"/>
  <c r="C254" i="19"/>
  <c r="C253" i="19"/>
  <c r="B230" i="19"/>
  <c r="H253" i="19"/>
  <c r="H254" i="19"/>
  <c r="A253" i="19"/>
  <c r="A254" i="19"/>
  <c r="H222" i="19"/>
  <c r="D222" i="19"/>
  <c r="C222" i="19"/>
  <c r="A222" i="19"/>
  <c r="H221" i="19"/>
  <c r="D221" i="19"/>
  <c r="C221" i="19"/>
  <c r="A221" i="19"/>
  <c r="H220" i="19"/>
  <c r="D220" i="19"/>
  <c r="C220" i="19"/>
  <c r="A220" i="19"/>
  <c r="H218" i="19"/>
  <c r="D218" i="19"/>
  <c r="C218" i="19"/>
  <c r="A218" i="19"/>
  <c r="H217" i="19"/>
  <c r="D217" i="19"/>
  <c r="C217" i="19"/>
  <c r="A217" i="19"/>
  <c r="H216" i="19"/>
  <c r="D216" i="19"/>
  <c r="C216" i="19"/>
  <c r="A216" i="19"/>
  <c r="C215" i="19"/>
  <c r="C214" i="19"/>
  <c r="B191" i="19"/>
  <c r="H214" i="19"/>
  <c r="H215" i="19"/>
  <c r="A214" i="19"/>
  <c r="A215" i="19"/>
  <c r="H181" i="19"/>
  <c r="C181" i="19"/>
  <c r="A181" i="19"/>
  <c r="H180" i="19"/>
  <c r="C180" i="19"/>
  <c r="A180" i="19"/>
  <c r="H179" i="19"/>
  <c r="C179" i="19"/>
  <c r="A179" i="19"/>
  <c r="H178" i="19"/>
  <c r="C178" i="19"/>
  <c r="A178" i="19"/>
  <c r="H177" i="19"/>
  <c r="C177" i="19"/>
  <c r="A177" i="19"/>
  <c r="H176" i="19"/>
  <c r="C176" i="19"/>
  <c r="A176" i="19"/>
  <c r="H175" i="19"/>
  <c r="C175" i="19"/>
  <c r="A175" i="19"/>
  <c r="H174" i="19"/>
  <c r="C174" i="19"/>
  <c r="A174" i="19"/>
  <c r="H172" i="19"/>
  <c r="C172" i="19"/>
  <c r="A172" i="19"/>
  <c r="H171" i="19"/>
  <c r="D171" i="19"/>
  <c r="C171" i="19"/>
  <c r="B145" i="19"/>
  <c r="D181" i="19"/>
  <c r="B150" i="19"/>
  <c r="A171" i="19"/>
  <c r="H135" i="19"/>
  <c r="C135" i="19"/>
  <c r="A135" i="19"/>
  <c r="H134" i="19"/>
  <c r="C134" i="19"/>
  <c r="A134" i="19"/>
  <c r="H133" i="19"/>
  <c r="C133" i="19"/>
  <c r="A133" i="19"/>
  <c r="H132" i="19"/>
  <c r="C132" i="19"/>
  <c r="A132" i="19"/>
  <c r="H131" i="19"/>
  <c r="C131" i="19"/>
  <c r="A131" i="19"/>
  <c r="H130" i="19"/>
  <c r="C130" i="19"/>
  <c r="A130" i="19"/>
  <c r="H129" i="19"/>
  <c r="C129" i="19"/>
  <c r="A129" i="19"/>
  <c r="H128" i="19"/>
  <c r="C128" i="19"/>
  <c r="A128" i="19"/>
  <c r="H126" i="19"/>
  <c r="C126" i="19"/>
  <c r="A126" i="19"/>
  <c r="H125" i="19"/>
  <c r="D125" i="19"/>
  <c r="C125" i="19"/>
  <c r="B99" i="19"/>
  <c r="D135" i="19"/>
  <c r="B128" i="19"/>
  <c r="A125" i="19"/>
  <c r="H89" i="19"/>
  <c r="C89" i="19"/>
  <c r="A89" i="19"/>
  <c r="H88" i="19"/>
  <c r="C88" i="19"/>
  <c r="A88" i="19"/>
  <c r="H87" i="19"/>
  <c r="C87" i="19"/>
  <c r="A87" i="19"/>
  <c r="H86" i="19"/>
  <c r="C86" i="19"/>
  <c r="A86" i="19"/>
  <c r="H85" i="19"/>
  <c r="C85" i="19"/>
  <c r="A85" i="19"/>
  <c r="H84" i="19"/>
  <c r="C84" i="19"/>
  <c r="A84" i="19"/>
  <c r="H83" i="19"/>
  <c r="C83" i="19"/>
  <c r="A83" i="19"/>
  <c r="H82" i="19"/>
  <c r="C82" i="19"/>
  <c r="A82" i="19"/>
  <c r="H80" i="19"/>
  <c r="C80" i="19"/>
  <c r="A80" i="19"/>
  <c r="H79" i="19"/>
  <c r="D79" i="19"/>
  <c r="C79" i="19"/>
  <c r="B53" i="19"/>
  <c r="D89" i="19"/>
  <c r="A79" i="19"/>
  <c r="H43" i="19"/>
  <c r="C43" i="19"/>
  <c r="A43" i="19"/>
  <c r="H42" i="19"/>
  <c r="C42" i="19"/>
  <c r="A42" i="19"/>
  <c r="H41" i="19"/>
  <c r="C41" i="19"/>
  <c r="A41" i="19"/>
  <c r="H40" i="19"/>
  <c r="C40" i="19"/>
  <c r="A40" i="19"/>
  <c r="H39" i="19"/>
  <c r="C39" i="19"/>
  <c r="A39" i="19"/>
  <c r="H38" i="19"/>
  <c r="C38" i="19"/>
  <c r="A38" i="19"/>
  <c r="H37" i="19"/>
  <c r="C37" i="19"/>
  <c r="A37" i="19"/>
  <c r="H36" i="19"/>
  <c r="C36" i="19"/>
  <c r="A36" i="19"/>
  <c r="H34" i="19"/>
  <c r="C34" i="19"/>
  <c r="A34" i="19"/>
  <c r="H33" i="19"/>
  <c r="D33" i="19"/>
  <c r="C33" i="19"/>
  <c r="B7" i="19"/>
  <c r="D43" i="19"/>
  <c r="B36" i="19"/>
  <c r="H644" i="13"/>
  <c r="D644" i="13"/>
  <c r="C644" i="13"/>
  <c r="A644" i="13"/>
  <c r="H567" i="13"/>
  <c r="D567" i="13"/>
  <c r="C567" i="13"/>
  <c r="A567" i="13"/>
  <c r="H490" i="13"/>
  <c r="D490" i="13"/>
  <c r="C490" i="13"/>
  <c r="A490" i="13"/>
  <c r="H413" i="13"/>
  <c r="D413" i="13"/>
  <c r="C413" i="13"/>
  <c r="A413" i="13"/>
  <c r="H336" i="13"/>
  <c r="D336" i="13"/>
  <c r="C336" i="13"/>
  <c r="A336" i="13"/>
  <c r="H259" i="13"/>
  <c r="D259" i="13"/>
  <c r="C259" i="13"/>
  <c r="A259" i="13"/>
  <c r="H654" i="14"/>
  <c r="D654" i="14"/>
  <c r="C654" i="14"/>
  <c r="A654" i="14"/>
  <c r="H576" i="14"/>
  <c r="D576" i="14"/>
  <c r="C576" i="14"/>
  <c r="A576" i="14"/>
  <c r="H498" i="14"/>
  <c r="D498" i="14"/>
  <c r="C498" i="14"/>
  <c r="A498" i="14"/>
  <c r="H420" i="14"/>
  <c r="D420" i="14"/>
  <c r="C420" i="14"/>
  <c r="A420" i="14"/>
  <c r="H342" i="14"/>
  <c r="D342" i="14"/>
  <c r="C342" i="14"/>
  <c r="A342" i="14"/>
  <c r="H264" i="14"/>
  <c r="D264" i="14"/>
  <c r="C264" i="14"/>
  <c r="A264" i="14"/>
  <c r="H654" i="18"/>
  <c r="D654" i="18"/>
  <c r="C654" i="18"/>
  <c r="A654" i="18"/>
  <c r="H576" i="18"/>
  <c r="D576" i="18"/>
  <c r="C576" i="18"/>
  <c r="A576" i="18"/>
  <c r="H498" i="18"/>
  <c r="D498" i="18"/>
  <c r="C498" i="18"/>
  <c r="A498" i="18"/>
  <c r="H420" i="18"/>
  <c r="D420" i="18"/>
  <c r="C420" i="18"/>
  <c r="A420" i="18"/>
  <c r="H342" i="18"/>
  <c r="D342" i="18"/>
  <c r="C342" i="18"/>
  <c r="A342" i="18"/>
  <c r="H264" i="18"/>
  <c r="D264" i="18"/>
  <c r="C264" i="18"/>
  <c r="A264" i="18"/>
  <c r="H654" i="17"/>
  <c r="D654" i="17"/>
  <c r="C654" i="17"/>
  <c r="A654" i="17"/>
  <c r="H576" i="17"/>
  <c r="D576" i="17"/>
  <c r="C576" i="17"/>
  <c r="A576" i="17"/>
  <c r="H498" i="17"/>
  <c r="D498" i="17"/>
  <c r="C498" i="17"/>
  <c r="A498" i="17"/>
  <c r="H420" i="17"/>
  <c r="D420" i="17"/>
  <c r="C420" i="17"/>
  <c r="A420" i="17"/>
  <c r="H342" i="17"/>
  <c r="D342" i="17"/>
  <c r="C342" i="17"/>
  <c r="A342" i="17"/>
  <c r="H264" i="17"/>
  <c r="D264" i="17"/>
  <c r="C264" i="17"/>
  <c r="A264" i="17"/>
  <c r="H653" i="16"/>
  <c r="D653" i="16"/>
  <c r="C653" i="16"/>
  <c r="A653" i="16"/>
  <c r="H575" i="16"/>
  <c r="D575" i="16"/>
  <c r="C575" i="16"/>
  <c r="A575" i="16"/>
  <c r="H497" i="16"/>
  <c r="D497" i="16"/>
  <c r="C497" i="16"/>
  <c r="A497" i="16"/>
  <c r="H420" i="16"/>
  <c r="D420" i="16"/>
  <c r="C420" i="16"/>
  <c r="A420" i="16"/>
  <c r="H342" i="16"/>
  <c r="D342" i="16"/>
  <c r="C342" i="16"/>
  <c r="A342" i="16"/>
  <c r="H698" i="18"/>
  <c r="D698" i="18"/>
  <c r="C698" i="18"/>
  <c r="A698" i="18"/>
  <c r="H697" i="18"/>
  <c r="D697" i="18"/>
  <c r="C697" i="18"/>
  <c r="A697" i="18"/>
  <c r="H696" i="18"/>
  <c r="D696" i="18"/>
  <c r="C696" i="18"/>
  <c r="A696" i="18"/>
  <c r="E664" i="18"/>
  <c r="D664" i="18"/>
  <c r="A664" i="18"/>
  <c r="E663" i="18"/>
  <c r="D663" i="18"/>
  <c r="A663" i="18"/>
  <c r="E662" i="18"/>
  <c r="D662" i="18"/>
  <c r="A662" i="18"/>
  <c r="E661" i="18"/>
  <c r="D661" i="18"/>
  <c r="A661" i="18"/>
  <c r="E660" i="18"/>
  <c r="D660" i="18"/>
  <c r="A660" i="18"/>
  <c r="E659" i="18"/>
  <c r="D659" i="18"/>
  <c r="A659" i="18"/>
  <c r="E658" i="18"/>
  <c r="D658" i="18"/>
  <c r="A658" i="18"/>
  <c r="E657" i="18"/>
  <c r="D657" i="18"/>
  <c r="A657" i="18"/>
  <c r="E655" i="18"/>
  <c r="D655" i="18"/>
  <c r="A655" i="18"/>
  <c r="H653" i="18"/>
  <c r="D653" i="18"/>
  <c r="C653" i="18"/>
  <c r="A653" i="18"/>
  <c r="H652" i="18"/>
  <c r="D652" i="18"/>
  <c r="C652" i="18"/>
  <c r="A652" i="18"/>
  <c r="C650" i="18"/>
  <c r="C649" i="18"/>
  <c r="B628" i="18"/>
  <c r="H649" i="18"/>
  <c r="H650" i="18"/>
  <c r="B627" i="18"/>
  <c r="B622" i="18"/>
  <c r="A649" i="18"/>
  <c r="A650" i="18"/>
  <c r="H620" i="18"/>
  <c r="D620" i="18"/>
  <c r="C620" i="18"/>
  <c r="A620" i="18"/>
  <c r="H619" i="18"/>
  <c r="D619" i="18"/>
  <c r="C619" i="18"/>
  <c r="A619" i="18"/>
  <c r="H618" i="18"/>
  <c r="D618" i="18"/>
  <c r="C618" i="18"/>
  <c r="A618" i="18"/>
  <c r="E586" i="18"/>
  <c r="D586" i="18"/>
  <c r="A586" i="18"/>
  <c r="E585" i="18"/>
  <c r="D585" i="18"/>
  <c r="A585" i="18"/>
  <c r="E584" i="18"/>
  <c r="D584" i="18"/>
  <c r="A584" i="18"/>
  <c r="E583" i="18"/>
  <c r="D583" i="18"/>
  <c r="A583" i="18"/>
  <c r="E582" i="18"/>
  <c r="D582" i="18"/>
  <c r="A582" i="18"/>
  <c r="E581" i="18"/>
  <c r="D581" i="18"/>
  <c r="A581" i="18"/>
  <c r="E580" i="18"/>
  <c r="D580" i="18"/>
  <c r="A580" i="18"/>
  <c r="E579" i="18"/>
  <c r="D579" i="18"/>
  <c r="A579" i="18"/>
  <c r="E577" i="18"/>
  <c r="D577" i="18"/>
  <c r="A577" i="18"/>
  <c r="H575" i="18"/>
  <c r="D575" i="18"/>
  <c r="C575" i="18"/>
  <c r="A575" i="18"/>
  <c r="H574" i="18"/>
  <c r="D574" i="18"/>
  <c r="C574" i="18"/>
  <c r="A574" i="18"/>
  <c r="C572" i="18"/>
  <c r="C571" i="18"/>
  <c r="B550" i="18"/>
  <c r="H571" i="18"/>
  <c r="H572" i="18"/>
  <c r="B549" i="18"/>
  <c r="B544" i="18"/>
  <c r="A571" i="18"/>
  <c r="A572" i="18"/>
  <c r="H542" i="18"/>
  <c r="D542" i="18"/>
  <c r="C542" i="18"/>
  <c r="A542" i="18"/>
  <c r="H541" i="18"/>
  <c r="D541" i="18"/>
  <c r="C541" i="18"/>
  <c r="A541" i="18"/>
  <c r="H540" i="18"/>
  <c r="D540" i="18"/>
  <c r="C540" i="18"/>
  <c r="A540" i="18"/>
  <c r="E508" i="18"/>
  <c r="D508" i="18"/>
  <c r="A508" i="18"/>
  <c r="E507" i="18"/>
  <c r="D507" i="18"/>
  <c r="A507" i="18"/>
  <c r="E506" i="18"/>
  <c r="D506" i="18"/>
  <c r="A506" i="18"/>
  <c r="E505" i="18"/>
  <c r="D505" i="18"/>
  <c r="A505" i="18"/>
  <c r="E504" i="18"/>
  <c r="D504" i="18"/>
  <c r="A504" i="18"/>
  <c r="E503" i="18"/>
  <c r="D503" i="18"/>
  <c r="A503" i="18"/>
  <c r="E502" i="18"/>
  <c r="D502" i="18"/>
  <c r="A502" i="18"/>
  <c r="E501" i="18"/>
  <c r="D501" i="18"/>
  <c r="A501" i="18"/>
  <c r="E499" i="18"/>
  <c r="D499" i="18"/>
  <c r="A499" i="18"/>
  <c r="H497" i="18"/>
  <c r="D497" i="18"/>
  <c r="C497" i="18"/>
  <c r="A497" i="18"/>
  <c r="H496" i="18"/>
  <c r="D496" i="18"/>
  <c r="C496" i="18"/>
  <c r="A496" i="18"/>
  <c r="C494" i="18"/>
  <c r="C493" i="18"/>
  <c r="B472" i="18"/>
  <c r="H493" i="18"/>
  <c r="H494" i="18"/>
  <c r="B471" i="18"/>
  <c r="B500" i="18"/>
  <c r="B466" i="18"/>
  <c r="A493" i="18"/>
  <c r="A494" i="18"/>
  <c r="H464" i="18"/>
  <c r="D464" i="18"/>
  <c r="C464" i="18"/>
  <c r="A464" i="18"/>
  <c r="H463" i="18"/>
  <c r="D463" i="18"/>
  <c r="C463" i="18"/>
  <c r="A463" i="18"/>
  <c r="H462" i="18"/>
  <c r="D462" i="18"/>
  <c r="C462" i="18"/>
  <c r="A462" i="18"/>
  <c r="E430" i="18"/>
  <c r="D430" i="18"/>
  <c r="A430" i="18"/>
  <c r="E429" i="18"/>
  <c r="D429" i="18"/>
  <c r="A429" i="18"/>
  <c r="E428" i="18"/>
  <c r="D428" i="18"/>
  <c r="A428" i="18"/>
  <c r="E427" i="18"/>
  <c r="D427" i="18"/>
  <c r="A427" i="18"/>
  <c r="E426" i="18"/>
  <c r="D426" i="18"/>
  <c r="A426" i="18"/>
  <c r="E425" i="18"/>
  <c r="D425" i="18"/>
  <c r="A425" i="18"/>
  <c r="E424" i="18"/>
  <c r="D424" i="18"/>
  <c r="A424" i="18"/>
  <c r="E423" i="18"/>
  <c r="D423" i="18"/>
  <c r="A423" i="18"/>
  <c r="E421" i="18"/>
  <c r="D421" i="18"/>
  <c r="A421" i="18"/>
  <c r="H419" i="18"/>
  <c r="D419" i="18"/>
  <c r="C419" i="18"/>
  <c r="A419" i="18"/>
  <c r="H418" i="18"/>
  <c r="D418" i="18"/>
  <c r="C418" i="18"/>
  <c r="A418" i="18"/>
  <c r="C416" i="18"/>
  <c r="C415" i="18"/>
  <c r="B394" i="18"/>
  <c r="H415" i="18"/>
  <c r="H416" i="18"/>
  <c r="B393" i="18"/>
  <c r="B388" i="18"/>
  <c r="A415" i="18"/>
  <c r="A416" i="18"/>
  <c r="H386" i="18"/>
  <c r="D386" i="18"/>
  <c r="C386" i="18"/>
  <c r="A386" i="18"/>
  <c r="H385" i="18"/>
  <c r="D385" i="18"/>
  <c r="C385" i="18"/>
  <c r="A385" i="18"/>
  <c r="H384" i="18"/>
  <c r="D384" i="18"/>
  <c r="C384" i="18"/>
  <c r="A384" i="18"/>
  <c r="E352" i="18"/>
  <c r="D352" i="18"/>
  <c r="A352" i="18"/>
  <c r="E351" i="18"/>
  <c r="D351" i="18"/>
  <c r="A351" i="18"/>
  <c r="E350" i="18"/>
  <c r="D350" i="18"/>
  <c r="A350" i="18"/>
  <c r="E349" i="18"/>
  <c r="D349" i="18"/>
  <c r="A349" i="18"/>
  <c r="E348" i="18"/>
  <c r="D348" i="18"/>
  <c r="A348" i="18"/>
  <c r="E347" i="18"/>
  <c r="D347" i="18"/>
  <c r="A347" i="18"/>
  <c r="E346" i="18"/>
  <c r="D346" i="18"/>
  <c r="A346" i="18"/>
  <c r="E345" i="18"/>
  <c r="D345" i="18"/>
  <c r="A345" i="18"/>
  <c r="E343" i="18"/>
  <c r="D343" i="18"/>
  <c r="A343" i="18"/>
  <c r="H341" i="18"/>
  <c r="D341" i="18"/>
  <c r="C341" i="18"/>
  <c r="A341" i="18"/>
  <c r="H340" i="18"/>
  <c r="D340" i="18"/>
  <c r="C340" i="18"/>
  <c r="A340" i="18"/>
  <c r="C338" i="18"/>
  <c r="C337" i="18"/>
  <c r="B316" i="18"/>
  <c r="H337" i="18"/>
  <c r="H338" i="18"/>
  <c r="B315" i="18"/>
  <c r="B344" i="18"/>
  <c r="B310" i="18"/>
  <c r="A337" i="18"/>
  <c r="A338" i="18"/>
  <c r="H308" i="18"/>
  <c r="D308" i="18"/>
  <c r="C308" i="18"/>
  <c r="A308" i="18"/>
  <c r="H307" i="18"/>
  <c r="D307" i="18"/>
  <c r="C307" i="18"/>
  <c r="A307" i="18"/>
  <c r="H306" i="18"/>
  <c r="D306" i="18"/>
  <c r="C306" i="18"/>
  <c r="A306" i="18"/>
  <c r="E274" i="18"/>
  <c r="D274" i="18"/>
  <c r="A274" i="18"/>
  <c r="E273" i="18"/>
  <c r="D273" i="18"/>
  <c r="A273" i="18"/>
  <c r="E272" i="18"/>
  <c r="D272" i="18"/>
  <c r="A272" i="18"/>
  <c r="E271" i="18"/>
  <c r="D271" i="18"/>
  <c r="A271" i="18"/>
  <c r="E270" i="18"/>
  <c r="D270" i="18"/>
  <c r="A270" i="18"/>
  <c r="E269" i="18"/>
  <c r="D269" i="18"/>
  <c r="A269" i="18"/>
  <c r="E268" i="18"/>
  <c r="D268" i="18"/>
  <c r="A268" i="18"/>
  <c r="E267" i="18"/>
  <c r="D267" i="18"/>
  <c r="A267" i="18"/>
  <c r="E265" i="18"/>
  <c r="D265" i="18"/>
  <c r="A265" i="18"/>
  <c r="H263" i="18"/>
  <c r="D263" i="18"/>
  <c r="C263" i="18"/>
  <c r="A263" i="18"/>
  <c r="H262" i="18"/>
  <c r="D262" i="18"/>
  <c r="C262" i="18"/>
  <c r="A262" i="18"/>
  <c r="C260" i="18"/>
  <c r="C259" i="18"/>
  <c r="B238" i="18"/>
  <c r="H259" i="18"/>
  <c r="H260" i="18"/>
  <c r="B237" i="18"/>
  <c r="B266" i="18"/>
  <c r="B232" i="18"/>
  <c r="A259" i="18"/>
  <c r="A260" i="18"/>
  <c r="H227" i="18"/>
  <c r="C227" i="18"/>
  <c r="A227" i="18"/>
  <c r="H225" i="18"/>
  <c r="C225" i="18"/>
  <c r="A225" i="18"/>
  <c r="H224" i="18"/>
  <c r="C224" i="18"/>
  <c r="A224" i="18"/>
  <c r="H223" i="18"/>
  <c r="D223" i="18"/>
  <c r="C223" i="18"/>
  <c r="B199" i="18"/>
  <c r="B198" i="18"/>
  <c r="B193" i="18"/>
  <c r="A223" i="18"/>
  <c r="H188" i="18"/>
  <c r="C188" i="18"/>
  <c r="A188" i="18"/>
  <c r="H186" i="18"/>
  <c r="C186" i="18"/>
  <c r="A186" i="18"/>
  <c r="H185" i="18"/>
  <c r="C185" i="18"/>
  <c r="A185" i="18"/>
  <c r="H184" i="18"/>
  <c r="D184" i="18"/>
  <c r="C184" i="18"/>
  <c r="B160" i="18"/>
  <c r="B159" i="18"/>
  <c r="B154" i="18"/>
  <c r="A184" i="18"/>
  <c r="H149" i="18"/>
  <c r="C149" i="18"/>
  <c r="A149" i="18"/>
  <c r="H147" i="18"/>
  <c r="C147" i="18"/>
  <c r="A147" i="18"/>
  <c r="H146" i="18"/>
  <c r="C146" i="18"/>
  <c r="A146" i="18"/>
  <c r="H145" i="18"/>
  <c r="D145" i="18"/>
  <c r="C145" i="18"/>
  <c r="B121" i="18"/>
  <c r="B120" i="18"/>
  <c r="B132" i="18"/>
  <c r="B115" i="18"/>
  <c r="A145" i="18"/>
  <c r="H110" i="18"/>
  <c r="C110" i="18"/>
  <c r="A110" i="18"/>
  <c r="H109" i="18"/>
  <c r="C109" i="18"/>
  <c r="A109" i="18"/>
  <c r="H108" i="18"/>
  <c r="C108" i="18"/>
  <c r="A108" i="18"/>
  <c r="H107" i="18"/>
  <c r="D107" i="18"/>
  <c r="C107" i="18"/>
  <c r="B83" i="18"/>
  <c r="B82" i="18"/>
  <c r="B99" i="18"/>
  <c r="B77" i="18"/>
  <c r="A107" i="18"/>
  <c r="H72" i="18"/>
  <c r="C72" i="18"/>
  <c r="A72" i="18"/>
  <c r="H71" i="18"/>
  <c r="C71" i="18"/>
  <c r="A71" i="18"/>
  <c r="H70" i="18"/>
  <c r="C70" i="18"/>
  <c r="A70" i="18"/>
  <c r="H69" i="18"/>
  <c r="D69" i="18"/>
  <c r="C69" i="18"/>
  <c r="B45" i="18"/>
  <c r="B44" i="18"/>
  <c r="B52" i="18"/>
  <c r="B39" i="18"/>
  <c r="A69" i="18"/>
  <c r="H34" i="18"/>
  <c r="C34" i="18"/>
  <c r="A34" i="18"/>
  <c r="H33" i="18"/>
  <c r="C33" i="18"/>
  <c r="A33" i="18"/>
  <c r="H32" i="18"/>
  <c r="C32" i="18"/>
  <c r="A32" i="18"/>
  <c r="H31" i="18"/>
  <c r="D31" i="18"/>
  <c r="C31" i="18"/>
  <c r="B7" i="18"/>
  <c r="B6" i="18"/>
  <c r="B1" i="18"/>
  <c r="A31" i="18"/>
  <c r="H698" i="17"/>
  <c r="D698" i="17"/>
  <c r="C698" i="17"/>
  <c r="A698" i="17"/>
  <c r="H697" i="17"/>
  <c r="D697" i="17"/>
  <c r="C697" i="17"/>
  <c r="A697" i="17"/>
  <c r="H696" i="17"/>
  <c r="D696" i="17"/>
  <c r="C696" i="17"/>
  <c r="A696" i="17"/>
  <c r="E664" i="17"/>
  <c r="D664" i="17"/>
  <c r="A664" i="17"/>
  <c r="E663" i="17"/>
  <c r="D663" i="17"/>
  <c r="A663" i="17"/>
  <c r="E662" i="17"/>
  <c r="D662" i="17"/>
  <c r="A662" i="17"/>
  <c r="E661" i="17"/>
  <c r="D661" i="17"/>
  <c r="A661" i="17"/>
  <c r="E660" i="17"/>
  <c r="D660" i="17"/>
  <c r="A660" i="17"/>
  <c r="E659" i="17"/>
  <c r="D659" i="17"/>
  <c r="A659" i="17"/>
  <c r="E658" i="17"/>
  <c r="D658" i="17"/>
  <c r="A658" i="17"/>
  <c r="E657" i="17"/>
  <c r="D657" i="17"/>
  <c r="A657" i="17"/>
  <c r="E655" i="17"/>
  <c r="D655" i="17"/>
  <c r="A655" i="17"/>
  <c r="H653" i="17"/>
  <c r="D653" i="17"/>
  <c r="C653" i="17"/>
  <c r="A653" i="17"/>
  <c r="H652" i="17"/>
  <c r="D652" i="17"/>
  <c r="C652" i="17"/>
  <c r="A652" i="17"/>
  <c r="C650" i="17"/>
  <c r="C649" i="17"/>
  <c r="B628" i="17"/>
  <c r="H649" i="17"/>
  <c r="H650" i="17"/>
  <c r="B627" i="17"/>
  <c r="B622" i="17"/>
  <c r="A649" i="17"/>
  <c r="A650" i="17"/>
  <c r="H620" i="17"/>
  <c r="D620" i="17"/>
  <c r="C620" i="17"/>
  <c r="A620" i="17"/>
  <c r="H619" i="17"/>
  <c r="D619" i="17"/>
  <c r="C619" i="17"/>
  <c r="A619" i="17"/>
  <c r="H618" i="17"/>
  <c r="D618" i="17"/>
  <c r="C618" i="17"/>
  <c r="A618" i="17"/>
  <c r="E586" i="17"/>
  <c r="D586" i="17"/>
  <c r="A586" i="17"/>
  <c r="E585" i="17"/>
  <c r="D585" i="17"/>
  <c r="A585" i="17"/>
  <c r="E584" i="17"/>
  <c r="D584" i="17"/>
  <c r="A584" i="17"/>
  <c r="E583" i="17"/>
  <c r="D583" i="17"/>
  <c r="A583" i="17"/>
  <c r="E582" i="17"/>
  <c r="D582" i="17"/>
  <c r="A582" i="17"/>
  <c r="E581" i="17"/>
  <c r="D581" i="17"/>
  <c r="A581" i="17"/>
  <c r="E580" i="17"/>
  <c r="D580" i="17"/>
  <c r="A580" i="17"/>
  <c r="E579" i="17"/>
  <c r="D579" i="17"/>
  <c r="A579" i="17"/>
  <c r="E577" i="17"/>
  <c r="D577" i="17"/>
  <c r="A577" i="17"/>
  <c r="H575" i="17"/>
  <c r="D575" i="17"/>
  <c r="C575" i="17"/>
  <c r="A575" i="17"/>
  <c r="H574" i="17"/>
  <c r="D574" i="17"/>
  <c r="C574" i="17"/>
  <c r="A574" i="17"/>
  <c r="C572" i="17"/>
  <c r="C571" i="17"/>
  <c r="B550" i="17"/>
  <c r="H571" i="17"/>
  <c r="H572" i="17"/>
  <c r="B549" i="17"/>
  <c r="B544" i="17"/>
  <c r="A571" i="17"/>
  <c r="A572" i="17"/>
  <c r="H542" i="17"/>
  <c r="D542" i="17"/>
  <c r="C542" i="17"/>
  <c r="A542" i="17"/>
  <c r="H541" i="17"/>
  <c r="D541" i="17"/>
  <c r="C541" i="17"/>
  <c r="A541" i="17"/>
  <c r="H540" i="17"/>
  <c r="D540" i="17"/>
  <c r="C540" i="17"/>
  <c r="A540" i="17"/>
  <c r="E508" i="17"/>
  <c r="D508" i="17"/>
  <c r="A508" i="17"/>
  <c r="E507" i="17"/>
  <c r="D507" i="17"/>
  <c r="A507" i="17"/>
  <c r="E506" i="17"/>
  <c r="D506" i="17"/>
  <c r="A506" i="17"/>
  <c r="E505" i="17"/>
  <c r="D505" i="17"/>
  <c r="A505" i="17"/>
  <c r="E504" i="17"/>
  <c r="D504" i="17"/>
  <c r="A504" i="17"/>
  <c r="E503" i="17"/>
  <c r="D503" i="17"/>
  <c r="A503" i="17"/>
  <c r="E502" i="17"/>
  <c r="D502" i="17"/>
  <c r="A502" i="17"/>
  <c r="E501" i="17"/>
  <c r="D501" i="17"/>
  <c r="A501" i="17"/>
  <c r="E499" i="17"/>
  <c r="D499" i="17"/>
  <c r="A499" i="17"/>
  <c r="H497" i="17"/>
  <c r="D497" i="17"/>
  <c r="C497" i="17"/>
  <c r="A497" i="17"/>
  <c r="H496" i="17"/>
  <c r="D496" i="17"/>
  <c r="C496" i="17"/>
  <c r="A496" i="17"/>
  <c r="C494" i="17"/>
  <c r="C493" i="17"/>
  <c r="B472" i="17"/>
  <c r="H493" i="17"/>
  <c r="H494" i="17"/>
  <c r="B471" i="17"/>
  <c r="B466" i="17"/>
  <c r="A493" i="17"/>
  <c r="A494" i="17"/>
  <c r="H464" i="17"/>
  <c r="D464" i="17"/>
  <c r="C464" i="17"/>
  <c r="A464" i="17"/>
  <c r="H463" i="17"/>
  <c r="D463" i="17"/>
  <c r="C463" i="17"/>
  <c r="A463" i="17"/>
  <c r="H462" i="17"/>
  <c r="D462" i="17"/>
  <c r="C462" i="17"/>
  <c r="A462" i="17"/>
  <c r="E430" i="17"/>
  <c r="D430" i="17"/>
  <c r="A430" i="17"/>
  <c r="E429" i="17"/>
  <c r="D429" i="17"/>
  <c r="A429" i="17"/>
  <c r="E428" i="17"/>
  <c r="D428" i="17"/>
  <c r="A428" i="17"/>
  <c r="E427" i="17"/>
  <c r="D427" i="17"/>
  <c r="A427" i="17"/>
  <c r="E426" i="17"/>
  <c r="D426" i="17"/>
  <c r="A426" i="17"/>
  <c r="E425" i="17"/>
  <c r="D425" i="17"/>
  <c r="A425" i="17"/>
  <c r="E424" i="17"/>
  <c r="D424" i="17"/>
  <c r="A424" i="17"/>
  <c r="E423" i="17"/>
  <c r="D423" i="17"/>
  <c r="A423" i="17"/>
  <c r="E421" i="17"/>
  <c r="D421" i="17"/>
  <c r="A421" i="17"/>
  <c r="H419" i="17"/>
  <c r="D419" i="17"/>
  <c r="C419" i="17"/>
  <c r="A419" i="17"/>
  <c r="H418" i="17"/>
  <c r="D418" i="17"/>
  <c r="C418" i="17"/>
  <c r="A418" i="17"/>
  <c r="C416" i="17"/>
  <c r="C415" i="17"/>
  <c r="B394" i="17"/>
  <c r="H415" i="17"/>
  <c r="H416" i="17"/>
  <c r="B393" i="17"/>
  <c r="B422" i="17"/>
  <c r="B388" i="17"/>
  <c r="A415" i="17"/>
  <c r="A416" i="17"/>
  <c r="H386" i="17"/>
  <c r="D386" i="17"/>
  <c r="C386" i="17"/>
  <c r="A386" i="17"/>
  <c r="H385" i="17"/>
  <c r="D385" i="17"/>
  <c r="C385" i="17"/>
  <c r="A385" i="17"/>
  <c r="H384" i="17"/>
  <c r="D384" i="17"/>
  <c r="C384" i="17"/>
  <c r="A384" i="17"/>
  <c r="E352" i="17"/>
  <c r="D352" i="17"/>
  <c r="A352" i="17"/>
  <c r="E351" i="17"/>
  <c r="D351" i="17"/>
  <c r="A351" i="17"/>
  <c r="E350" i="17"/>
  <c r="D350" i="17"/>
  <c r="A350" i="17"/>
  <c r="E349" i="17"/>
  <c r="D349" i="17"/>
  <c r="A349" i="17"/>
  <c r="E348" i="17"/>
  <c r="D348" i="17"/>
  <c r="A348" i="17"/>
  <c r="E347" i="17"/>
  <c r="D347" i="17"/>
  <c r="A347" i="17"/>
  <c r="E346" i="17"/>
  <c r="D346" i="17"/>
  <c r="A346" i="17"/>
  <c r="E345" i="17"/>
  <c r="D345" i="17"/>
  <c r="A345" i="17"/>
  <c r="E343" i="17"/>
  <c r="D343" i="17"/>
  <c r="A343" i="17"/>
  <c r="H341" i="17"/>
  <c r="D341" i="17"/>
  <c r="C341" i="17"/>
  <c r="A341" i="17"/>
  <c r="H340" i="17"/>
  <c r="D340" i="17"/>
  <c r="C340" i="17"/>
  <c r="A340" i="17"/>
  <c r="C338" i="17"/>
  <c r="C337" i="17"/>
  <c r="B316" i="17"/>
  <c r="H337" i="17"/>
  <c r="H338" i="17"/>
  <c r="B315" i="17"/>
  <c r="B344" i="17"/>
  <c r="B310" i="17"/>
  <c r="A337" i="17"/>
  <c r="A338" i="17"/>
  <c r="H308" i="17"/>
  <c r="D308" i="17"/>
  <c r="C308" i="17"/>
  <c r="A308" i="17"/>
  <c r="H307" i="17"/>
  <c r="D307" i="17"/>
  <c r="C307" i="17"/>
  <c r="A307" i="17"/>
  <c r="H306" i="17"/>
  <c r="D306" i="17"/>
  <c r="C306" i="17"/>
  <c r="A306" i="17"/>
  <c r="E274" i="17"/>
  <c r="D274" i="17"/>
  <c r="A274" i="17"/>
  <c r="E273" i="17"/>
  <c r="D273" i="17"/>
  <c r="A273" i="17"/>
  <c r="E272" i="17"/>
  <c r="D272" i="17"/>
  <c r="A272" i="17"/>
  <c r="E271" i="17"/>
  <c r="D271" i="17"/>
  <c r="A271" i="17"/>
  <c r="E270" i="17"/>
  <c r="D270" i="17"/>
  <c r="A270" i="17"/>
  <c r="E269" i="17"/>
  <c r="D269" i="17"/>
  <c r="A269" i="17"/>
  <c r="E268" i="17"/>
  <c r="D268" i="17"/>
  <c r="A268" i="17"/>
  <c r="E267" i="17"/>
  <c r="D267" i="17"/>
  <c r="A267" i="17"/>
  <c r="E265" i="17"/>
  <c r="D265" i="17"/>
  <c r="A265" i="17"/>
  <c r="H263" i="17"/>
  <c r="D263" i="17"/>
  <c r="C263" i="17"/>
  <c r="A263" i="17"/>
  <c r="H262" i="17"/>
  <c r="D262" i="17"/>
  <c r="C262" i="17"/>
  <c r="A262" i="17"/>
  <c r="C260" i="17"/>
  <c r="C259" i="17"/>
  <c r="B238" i="17"/>
  <c r="H259" i="17"/>
  <c r="H260" i="17"/>
  <c r="B237" i="17"/>
  <c r="B243" i="17"/>
  <c r="B232" i="17"/>
  <c r="A259" i="17"/>
  <c r="A260" i="17"/>
  <c r="H227" i="17"/>
  <c r="C227" i="17"/>
  <c r="A227" i="17"/>
  <c r="H225" i="17"/>
  <c r="C225" i="17"/>
  <c r="A225" i="17"/>
  <c r="H224" i="17"/>
  <c r="C224" i="17"/>
  <c r="A224" i="17"/>
  <c r="H223" i="17"/>
  <c r="D223" i="17"/>
  <c r="C223" i="17"/>
  <c r="B199" i="17"/>
  <c r="B198" i="17"/>
  <c r="B206" i="17"/>
  <c r="B193" i="17"/>
  <c r="A223" i="17"/>
  <c r="H188" i="17"/>
  <c r="C188" i="17"/>
  <c r="A188" i="17"/>
  <c r="H186" i="17"/>
  <c r="C186" i="17"/>
  <c r="A186" i="17"/>
  <c r="H185" i="17"/>
  <c r="C185" i="17"/>
  <c r="A185" i="17"/>
  <c r="H184" i="17"/>
  <c r="D184" i="17"/>
  <c r="C184" i="17"/>
  <c r="B160" i="17"/>
  <c r="B159" i="17"/>
  <c r="B176" i="17"/>
  <c r="B154" i="17"/>
  <c r="A184" i="17"/>
  <c r="H149" i="17"/>
  <c r="C149" i="17"/>
  <c r="A149" i="17"/>
  <c r="H147" i="17"/>
  <c r="C147" i="17"/>
  <c r="A147" i="17"/>
  <c r="H146" i="17"/>
  <c r="C146" i="17"/>
  <c r="A146" i="17"/>
  <c r="H145" i="17"/>
  <c r="D145" i="17"/>
  <c r="C145" i="17"/>
  <c r="B121" i="17"/>
  <c r="B120" i="17"/>
  <c r="B127" i="17"/>
  <c r="B115" i="17"/>
  <c r="A145" i="17"/>
  <c r="H110" i="17"/>
  <c r="C110" i="17"/>
  <c r="A110" i="17"/>
  <c r="H109" i="17"/>
  <c r="C109" i="17"/>
  <c r="A109" i="17"/>
  <c r="H108" i="17"/>
  <c r="C108" i="17"/>
  <c r="A108" i="17"/>
  <c r="H107" i="17"/>
  <c r="D107" i="17"/>
  <c r="C107" i="17"/>
  <c r="B83" i="17"/>
  <c r="B82" i="17"/>
  <c r="B99" i="17"/>
  <c r="B77" i="17"/>
  <c r="A107" i="17"/>
  <c r="H72" i="17"/>
  <c r="C72" i="17"/>
  <c r="A72" i="17"/>
  <c r="H71" i="17"/>
  <c r="C71" i="17"/>
  <c r="A71" i="17"/>
  <c r="H70" i="17"/>
  <c r="C70" i="17"/>
  <c r="A70" i="17"/>
  <c r="H69" i="17"/>
  <c r="D69" i="17"/>
  <c r="C69" i="17"/>
  <c r="B45" i="17"/>
  <c r="B44" i="17"/>
  <c r="B59" i="17"/>
  <c r="B39" i="17"/>
  <c r="A69" i="17"/>
  <c r="H34" i="17"/>
  <c r="C34" i="17"/>
  <c r="A34" i="17"/>
  <c r="H33" i="17"/>
  <c r="C33" i="17"/>
  <c r="A33" i="17"/>
  <c r="H32" i="17"/>
  <c r="C32" i="17"/>
  <c r="A32" i="17"/>
  <c r="H31" i="17"/>
  <c r="D31" i="17"/>
  <c r="C31" i="17"/>
  <c r="B7" i="17"/>
  <c r="B6" i="17"/>
  <c r="B15" i="17"/>
  <c r="B1" i="17"/>
  <c r="A31" i="17"/>
  <c r="H698" i="16"/>
  <c r="D698" i="16"/>
  <c r="C698" i="16"/>
  <c r="A698" i="16"/>
  <c r="H697" i="16"/>
  <c r="D697" i="16"/>
  <c r="C697" i="16"/>
  <c r="A697" i="16"/>
  <c r="H696" i="16"/>
  <c r="D696" i="16"/>
  <c r="C696" i="16"/>
  <c r="A696" i="16"/>
  <c r="E664" i="16"/>
  <c r="D664" i="16"/>
  <c r="A664" i="16"/>
  <c r="E663" i="16"/>
  <c r="D663" i="16"/>
  <c r="A663" i="16"/>
  <c r="E662" i="16"/>
  <c r="D662" i="16"/>
  <c r="A662" i="16"/>
  <c r="E661" i="16"/>
  <c r="D661" i="16"/>
  <c r="A661" i="16"/>
  <c r="E660" i="16"/>
  <c r="D660" i="16"/>
  <c r="A660" i="16"/>
  <c r="E659" i="16"/>
  <c r="D659" i="16"/>
  <c r="A659" i="16"/>
  <c r="E658" i="16"/>
  <c r="D658" i="16"/>
  <c r="A658" i="16"/>
  <c r="E657" i="16"/>
  <c r="D657" i="16"/>
  <c r="A657" i="16"/>
  <c r="E655" i="16"/>
  <c r="D655" i="16"/>
  <c r="A655" i="16"/>
  <c r="H652" i="16"/>
  <c r="D652" i="16"/>
  <c r="C652" i="16"/>
  <c r="A652" i="16"/>
  <c r="H651" i="16"/>
  <c r="D651" i="16"/>
  <c r="C651" i="16"/>
  <c r="A651" i="16"/>
  <c r="C650" i="16"/>
  <c r="C649" i="16"/>
  <c r="B628" i="16"/>
  <c r="H649" i="16"/>
  <c r="H650" i="16"/>
  <c r="B627" i="16"/>
  <c r="B622" i="16"/>
  <c r="A649" i="16"/>
  <c r="A650" i="16"/>
  <c r="H620" i="16"/>
  <c r="D620" i="16"/>
  <c r="C620" i="16"/>
  <c r="A620" i="16"/>
  <c r="H619" i="16"/>
  <c r="D619" i="16"/>
  <c r="C619" i="16"/>
  <c r="A619" i="16"/>
  <c r="H618" i="16"/>
  <c r="D618" i="16"/>
  <c r="C618" i="16"/>
  <c r="A618" i="16"/>
  <c r="E586" i="16"/>
  <c r="D586" i="16"/>
  <c r="A586" i="16"/>
  <c r="E585" i="16"/>
  <c r="D585" i="16"/>
  <c r="A585" i="16"/>
  <c r="E584" i="16"/>
  <c r="D584" i="16"/>
  <c r="A584" i="16"/>
  <c r="E583" i="16"/>
  <c r="D583" i="16"/>
  <c r="A583" i="16"/>
  <c r="E582" i="16"/>
  <c r="D582" i="16"/>
  <c r="A582" i="16"/>
  <c r="E581" i="16"/>
  <c r="D581" i="16"/>
  <c r="A581" i="16"/>
  <c r="E580" i="16"/>
  <c r="D580" i="16"/>
  <c r="A580" i="16"/>
  <c r="E579" i="16"/>
  <c r="D579" i="16"/>
  <c r="A579" i="16"/>
  <c r="E577" i="16"/>
  <c r="D577" i="16"/>
  <c r="A577" i="16"/>
  <c r="H574" i="16"/>
  <c r="D574" i="16"/>
  <c r="C574" i="16"/>
  <c r="A574" i="16"/>
  <c r="H573" i="16"/>
  <c r="D573" i="16"/>
  <c r="C573" i="16"/>
  <c r="A573" i="16"/>
  <c r="C572" i="16"/>
  <c r="C571" i="16"/>
  <c r="B550" i="16"/>
  <c r="H571" i="16"/>
  <c r="H572" i="16"/>
  <c r="B549" i="16"/>
  <c r="B544" i="16"/>
  <c r="A571" i="16"/>
  <c r="A572" i="16"/>
  <c r="H542" i="16"/>
  <c r="D542" i="16"/>
  <c r="C542" i="16"/>
  <c r="A542" i="16"/>
  <c r="H541" i="16"/>
  <c r="D541" i="16"/>
  <c r="C541" i="16"/>
  <c r="A541" i="16"/>
  <c r="H540" i="16"/>
  <c r="D540" i="16"/>
  <c r="C540" i="16"/>
  <c r="A540" i="16"/>
  <c r="E508" i="16"/>
  <c r="D508" i="16"/>
  <c r="A508" i="16"/>
  <c r="E507" i="16"/>
  <c r="D507" i="16"/>
  <c r="A507" i="16"/>
  <c r="E506" i="16"/>
  <c r="D506" i="16"/>
  <c r="A506" i="16"/>
  <c r="E505" i="16"/>
  <c r="D505" i="16"/>
  <c r="A505" i="16"/>
  <c r="E504" i="16"/>
  <c r="D504" i="16"/>
  <c r="A504" i="16"/>
  <c r="E503" i="16"/>
  <c r="D503" i="16"/>
  <c r="A503" i="16"/>
  <c r="E502" i="16"/>
  <c r="D502" i="16"/>
  <c r="A502" i="16"/>
  <c r="E501" i="16"/>
  <c r="D501" i="16"/>
  <c r="A501" i="16"/>
  <c r="E499" i="16"/>
  <c r="D499" i="16"/>
  <c r="A499" i="16"/>
  <c r="H496" i="16"/>
  <c r="D496" i="16"/>
  <c r="C496" i="16"/>
  <c r="A496" i="16"/>
  <c r="H495" i="16"/>
  <c r="D495" i="16"/>
  <c r="C495" i="16"/>
  <c r="A495" i="16"/>
  <c r="C494" i="16"/>
  <c r="C493" i="16"/>
  <c r="B472" i="16"/>
  <c r="H493" i="16"/>
  <c r="H494" i="16"/>
  <c r="B471" i="16"/>
  <c r="B466" i="16"/>
  <c r="A493" i="16"/>
  <c r="A494" i="16"/>
  <c r="H464" i="16"/>
  <c r="D464" i="16"/>
  <c r="C464" i="16"/>
  <c r="A464" i="16"/>
  <c r="H463" i="16"/>
  <c r="D463" i="16"/>
  <c r="C463" i="16"/>
  <c r="A463" i="16"/>
  <c r="H462" i="16"/>
  <c r="D462" i="16"/>
  <c r="C462" i="16"/>
  <c r="A462" i="16"/>
  <c r="E430" i="16"/>
  <c r="D430" i="16"/>
  <c r="A430" i="16"/>
  <c r="E429" i="16"/>
  <c r="D429" i="16"/>
  <c r="A429" i="16"/>
  <c r="E428" i="16"/>
  <c r="D428" i="16"/>
  <c r="A428" i="16"/>
  <c r="E427" i="16"/>
  <c r="D427" i="16"/>
  <c r="A427" i="16"/>
  <c r="E426" i="16"/>
  <c r="D426" i="16"/>
  <c r="A426" i="16"/>
  <c r="E425" i="16"/>
  <c r="D425" i="16"/>
  <c r="A425" i="16"/>
  <c r="E424" i="16"/>
  <c r="D424" i="16"/>
  <c r="A424" i="16"/>
  <c r="E423" i="16"/>
  <c r="D423" i="16"/>
  <c r="A423" i="16"/>
  <c r="E421" i="16"/>
  <c r="D421" i="16"/>
  <c r="A421" i="16"/>
  <c r="H419" i="16"/>
  <c r="D419" i="16"/>
  <c r="C419" i="16"/>
  <c r="A419" i="16"/>
  <c r="H417" i="16"/>
  <c r="D417" i="16"/>
  <c r="C417" i="16"/>
  <c r="A417" i="16"/>
  <c r="C416" i="16"/>
  <c r="C415" i="16"/>
  <c r="B394" i="16"/>
  <c r="H415" i="16"/>
  <c r="H416" i="16"/>
  <c r="B393" i="16"/>
  <c r="B388" i="16"/>
  <c r="A415" i="16"/>
  <c r="A416" i="16"/>
  <c r="H386" i="16"/>
  <c r="D386" i="16"/>
  <c r="C386" i="16"/>
  <c r="A386" i="16"/>
  <c r="H385" i="16"/>
  <c r="D385" i="16"/>
  <c r="C385" i="16"/>
  <c r="A385" i="16"/>
  <c r="H384" i="16"/>
  <c r="D384" i="16"/>
  <c r="C384" i="16"/>
  <c r="A384" i="16"/>
  <c r="E352" i="16"/>
  <c r="D352" i="16"/>
  <c r="A352" i="16"/>
  <c r="E351" i="16"/>
  <c r="D351" i="16"/>
  <c r="A351" i="16"/>
  <c r="E350" i="16"/>
  <c r="D350" i="16"/>
  <c r="A350" i="16"/>
  <c r="E349" i="16"/>
  <c r="D349" i="16"/>
  <c r="A349" i="16"/>
  <c r="E348" i="16"/>
  <c r="D348" i="16"/>
  <c r="A348" i="16"/>
  <c r="E347" i="16"/>
  <c r="D347" i="16"/>
  <c r="A347" i="16"/>
  <c r="E346" i="16"/>
  <c r="D346" i="16"/>
  <c r="A346" i="16"/>
  <c r="E345" i="16"/>
  <c r="D345" i="16"/>
  <c r="A345" i="16"/>
  <c r="E343" i="16"/>
  <c r="D343" i="16"/>
  <c r="A343" i="16"/>
  <c r="H341" i="16"/>
  <c r="D341" i="16"/>
  <c r="C341" i="16"/>
  <c r="A341" i="16"/>
  <c r="H339" i="16"/>
  <c r="D339" i="16"/>
  <c r="C339" i="16"/>
  <c r="A339" i="16"/>
  <c r="C338" i="16"/>
  <c r="C337" i="16"/>
  <c r="B316" i="16"/>
  <c r="H337" i="16"/>
  <c r="H338" i="16"/>
  <c r="B315" i="16"/>
  <c r="B333" i="16"/>
  <c r="B310" i="16"/>
  <c r="A337" i="16"/>
  <c r="A338" i="16"/>
  <c r="H308" i="16"/>
  <c r="D308" i="16"/>
  <c r="C308" i="16"/>
  <c r="A308" i="16"/>
  <c r="H307" i="16"/>
  <c r="D307" i="16"/>
  <c r="C307" i="16"/>
  <c r="A307" i="16"/>
  <c r="H306" i="16"/>
  <c r="D306" i="16"/>
  <c r="C306" i="16"/>
  <c r="A306" i="16"/>
  <c r="E273" i="16"/>
  <c r="D273" i="16"/>
  <c r="A273" i="16"/>
  <c r="E272" i="16"/>
  <c r="D272" i="16"/>
  <c r="A272" i="16"/>
  <c r="E271" i="16"/>
  <c r="D271" i="16"/>
  <c r="A271" i="16"/>
  <c r="E270" i="16"/>
  <c r="D270" i="16"/>
  <c r="A270" i="16"/>
  <c r="E269" i="16"/>
  <c r="D269" i="16"/>
  <c r="A269" i="16"/>
  <c r="E268" i="16"/>
  <c r="D268" i="16"/>
  <c r="A268" i="16"/>
  <c r="E267" i="16"/>
  <c r="D267" i="16"/>
  <c r="A267" i="16"/>
  <c r="E265" i="16"/>
  <c r="D265" i="16"/>
  <c r="A265" i="16"/>
  <c r="H263" i="16"/>
  <c r="D263" i="16"/>
  <c r="C263" i="16"/>
  <c r="A263" i="16"/>
  <c r="H261" i="16"/>
  <c r="D261" i="16"/>
  <c r="C261" i="16"/>
  <c r="A261" i="16"/>
  <c r="C260" i="16"/>
  <c r="C259" i="16"/>
  <c r="B238" i="16"/>
  <c r="H259" i="16"/>
  <c r="H260" i="16"/>
  <c r="B237" i="16"/>
  <c r="B266" i="16"/>
  <c r="B232" i="16"/>
  <c r="A259" i="16"/>
  <c r="A260" i="16"/>
  <c r="H227" i="16"/>
  <c r="C227" i="16"/>
  <c r="A227" i="16"/>
  <c r="H225" i="16"/>
  <c r="C225" i="16"/>
  <c r="A225" i="16"/>
  <c r="H224" i="16"/>
  <c r="C224" i="16"/>
  <c r="A224" i="16"/>
  <c r="H223" i="16"/>
  <c r="D223" i="16"/>
  <c r="C223" i="16"/>
  <c r="B199" i="16"/>
  <c r="B198" i="16"/>
  <c r="B193" i="16"/>
  <c r="A223" i="16"/>
  <c r="H188" i="16"/>
  <c r="C188" i="16"/>
  <c r="A188" i="16"/>
  <c r="H186" i="16"/>
  <c r="C186" i="16"/>
  <c r="A186" i="16"/>
  <c r="H185" i="16"/>
  <c r="C185" i="16"/>
  <c r="A185" i="16"/>
  <c r="H184" i="16"/>
  <c r="D184" i="16"/>
  <c r="C184" i="16"/>
  <c r="B160" i="16"/>
  <c r="B159" i="16"/>
  <c r="B170" i="16"/>
  <c r="B154" i="16"/>
  <c r="A184" i="16"/>
  <c r="H149" i="16"/>
  <c r="C149" i="16"/>
  <c r="A149" i="16"/>
  <c r="H147" i="16"/>
  <c r="C147" i="16"/>
  <c r="A147" i="16"/>
  <c r="H146" i="16"/>
  <c r="C146" i="16"/>
  <c r="A146" i="16"/>
  <c r="H145" i="16"/>
  <c r="D145" i="16"/>
  <c r="C145" i="16"/>
  <c r="B121" i="16"/>
  <c r="B120" i="16"/>
  <c r="B138" i="16"/>
  <c r="B115" i="16"/>
  <c r="A145" i="16"/>
  <c r="H110" i="16"/>
  <c r="C110" i="16"/>
  <c r="A110" i="16"/>
  <c r="H109" i="16"/>
  <c r="C109" i="16"/>
  <c r="A109" i="16"/>
  <c r="H108" i="16"/>
  <c r="C108" i="16"/>
  <c r="A108" i="16"/>
  <c r="H107" i="16"/>
  <c r="D107" i="16"/>
  <c r="C107" i="16"/>
  <c r="B83" i="16"/>
  <c r="B82" i="16"/>
  <c r="B91" i="16"/>
  <c r="B77" i="16"/>
  <c r="A107" i="16"/>
  <c r="H72" i="16"/>
  <c r="C72" i="16"/>
  <c r="A72" i="16"/>
  <c r="H71" i="16"/>
  <c r="C71" i="16"/>
  <c r="A71" i="16"/>
  <c r="H70" i="16"/>
  <c r="C70" i="16"/>
  <c r="A70" i="16"/>
  <c r="H69" i="16"/>
  <c r="D69" i="16"/>
  <c r="C69" i="16"/>
  <c r="B45" i="16"/>
  <c r="B44" i="16"/>
  <c r="B39" i="16"/>
  <c r="A69" i="16"/>
  <c r="H34" i="16"/>
  <c r="C34" i="16"/>
  <c r="A34" i="16"/>
  <c r="H33" i="16"/>
  <c r="C33" i="16"/>
  <c r="A33" i="16"/>
  <c r="H32" i="16"/>
  <c r="C32" i="16"/>
  <c r="A32" i="16"/>
  <c r="H31" i="16"/>
  <c r="D31" i="16"/>
  <c r="C31" i="16"/>
  <c r="B7" i="16"/>
  <c r="B6" i="16"/>
  <c r="B17" i="16"/>
  <c r="B1" i="16"/>
  <c r="A31" i="16"/>
  <c r="H334" i="15"/>
  <c r="D334" i="15"/>
  <c r="C334" i="15"/>
  <c r="A334" i="15"/>
  <c r="H295" i="15"/>
  <c r="D295" i="15"/>
  <c r="C295" i="15"/>
  <c r="A295" i="15"/>
  <c r="H256" i="15"/>
  <c r="D256" i="15"/>
  <c r="C256" i="15"/>
  <c r="A256" i="15"/>
  <c r="H217" i="15"/>
  <c r="A217" i="15"/>
  <c r="D217" i="15"/>
  <c r="C217" i="15"/>
  <c r="H180" i="15"/>
  <c r="C180" i="15"/>
  <c r="A180" i="15"/>
  <c r="H179" i="15"/>
  <c r="C179" i="15"/>
  <c r="A179" i="15"/>
  <c r="H178" i="15"/>
  <c r="C178" i="15"/>
  <c r="A178" i="15"/>
  <c r="H177" i="15"/>
  <c r="C177" i="15"/>
  <c r="A177" i="15"/>
  <c r="H176" i="15"/>
  <c r="C176" i="15"/>
  <c r="A176" i="15"/>
  <c r="H175" i="15"/>
  <c r="C175" i="15"/>
  <c r="A175" i="15"/>
  <c r="H174" i="15"/>
  <c r="C174" i="15"/>
  <c r="A174" i="15"/>
  <c r="H173" i="15"/>
  <c r="C173" i="15"/>
  <c r="A173" i="15"/>
  <c r="H171" i="15"/>
  <c r="C171" i="15"/>
  <c r="A171" i="15"/>
  <c r="H170" i="15"/>
  <c r="D170" i="15"/>
  <c r="C170" i="15"/>
  <c r="B144" i="15"/>
  <c r="A170" i="15"/>
  <c r="H134" i="15"/>
  <c r="C134" i="15"/>
  <c r="A134" i="15"/>
  <c r="H133" i="15"/>
  <c r="C133" i="15"/>
  <c r="A133" i="15"/>
  <c r="H132" i="15"/>
  <c r="C132" i="15"/>
  <c r="A132" i="15"/>
  <c r="H131" i="15"/>
  <c r="C131" i="15"/>
  <c r="A131" i="15"/>
  <c r="H130" i="15"/>
  <c r="C130" i="15"/>
  <c r="A130" i="15"/>
  <c r="H129" i="15"/>
  <c r="C129" i="15"/>
  <c r="A129" i="15"/>
  <c r="H128" i="15"/>
  <c r="C128" i="15"/>
  <c r="A128" i="15"/>
  <c r="H127" i="15"/>
  <c r="C127" i="15"/>
  <c r="A127" i="15"/>
  <c r="H125" i="15"/>
  <c r="C125" i="15"/>
  <c r="A125" i="15"/>
  <c r="H124" i="15"/>
  <c r="D124" i="15"/>
  <c r="C124" i="15"/>
  <c r="B98" i="15"/>
  <c r="A124" i="15"/>
  <c r="H88" i="15"/>
  <c r="C88" i="15"/>
  <c r="A88" i="15"/>
  <c r="H87" i="15"/>
  <c r="C87" i="15"/>
  <c r="A87" i="15"/>
  <c r="H86" i="15"/>
  <c r="C86" i="15"/>
  <c r="A86" i="15"/>
  <c r="H85" i="15"/>
  <c r="C85" i="15"/>
  <c r="A85" i="15"/>
  <c r="H84" i="15"/>
  <c r="C84" i="15"/>
  <c r="A84" i="15"/>
  <c r="H83" i="15"/>
  <c r="C83" i="15"/>
  <c r="A83" i="15"/>
  <c r="H82" i="15"/>
  <c r="C82" i="15"/>
  <c r="A82" i="15"/>
  <c r="H81" i="15"/>
  <c r="C81" i="15"/>
  <c r="A81" i="15"/>
  <c r="H79" i="15"/>
  <c r="C79" i="15"/>
  <c r="A79" i="15"/>
  <c r="H78" i="15"/>
  <c r="D78" i="15"/>
  <c r="C78" i="15"/>
  <c r="B52" i="15"/>
  <c r="B82" i="15"/>
  <c r="A78" i="15"/>
  <c r="H42" i="15"/>
  <c r="H41" i="15"/>
  <c r="H40" i="15"/>
  <c r="H39" i="15"/>
  <c r="H38" i="15"/>
  <c r="C42" i="15"/>
  <c r="C41" i="15"/>
  <c r="C40" i="15"/>
  <c r="C39" i="15"/>
  <c r="C38" i="15"/>
  <c r="A42" i="15"/>
  <c r="A41" i="15"/>
  <c r="A40" i="15"/>
  <c r="A39" i="15"/>
  <c r="A38" i="15"/>
  <c r="H34" i="15"/>
  <c r="H338" i="15"/>
  <c r="D338" i="15"/>
  <c r="C338" i="15"/>
  <c r="A338" i="15"/>
  <c r="H337" i="15"/>
  <c r="D337" i="15"/>
  <c r="C337" i="15"/>
  <c r="A337" i="15"/>
  <c r="H336" i="15"/>
  <c r="D336" i="15"/>
  <c r="C336" i="15"/>
  <c r="A336" i="15"/>
  <c r="H335" i="15"/>
  <c r="D335" i="15"/>
  <c r="C335" i="15"/>
  <c r="A335" i="15"/>
  <c r="H333" i="15"/>
  <c r="D333" i="15"/>
  <c r="C333" i="15"/>
  <c r="A333" i="15"/>
  <c r="C331" i="15"/>
  <c r="C330" i="15"/>
  <c r="B307" i="15"/>
  <c r="H330" i="15"/>
  <c r="H331" i="15"/>
  <c r="A330" i="15"/>
  <c r="A331" i="15"/>
  <c r="H299" i="15"/>
  <c r="D299" i="15"/>
  <c r="C299" i="15"/>
  <c r="A299" i="15"/>
  <c r="H298" i="15"/>
  <c r="D298" i="15"/>
  <c r="C298" i="15"/>
  <c r="A298" i="15"/>
  <c r="H297" i="15"/>
  <c r="D297" i="15"/>
  <c r="C297" i="15"/>
  <c r="A297" i="15"/>
  <c r="H296" i="15"/>
  <c r="D296" i="15"/>
  <c r="C296" i="15"/>
  <c r="A296" i="15"/>
  <c r="H294" i="15"/>
  <c r="D294" i="15"/>
  <c r="C294" i="15"/>
  <c r="A294" i="15"/>
  <c r="C292" i="15"/>
  <c r="C291" i="15"/>
  <c r="B268" i="15"/>
  <c r="H291" i="15"/>
  <c r="H292" i="15"/>
  <c r="B276" i="15"/>
  <c r="A291" i="15"/>
  <c r="A292" i="15"/>
  <c r="H260" i="15"/>
  <c r="D260" i="15"/>
  <c r="C260" i="15"/>
  <c r="A260" i="15"/>
  <c r="H259" i="15"/>
  <c r="D259" i="15"/>
  <c r="C259" i="15"/>
  <c r="A259" i="15"/>
  <c r="H258" i="15"/>
  <c r="D258" i="15"/>
  <c r="C258" i="15"/>
  <c r="A258" i="15"/>
  <c r="H257" i="15"/>
  <c r="D257" i="15"/>
  <c r="C257" i="15"/>
  <c r="A257" i="15"/>
  <c r="H255" i="15"/>
  <c r="D255" i="15"/>
  <c r="C255" i="15"/>
  <c r="A255" i="15"/>
  <c r="C253" i="15"/>
  <c r="C252" i="15"/>
  <c r="B229" i="15"/>
  <c r="H252" i="15"/>
  <c r="H253" i="15"/>
  <c r="A252" i="15"/>
  <c r="A253" i="15"/>
  <c r="H221" i="15"/>
  <c r="D221" i="15"/>
  <c r="C221" i="15"/>
  <c r="A221" i="15"/>
  <c r="H220" i="15"/>
  <c r="D220" i="15"/>
  <c r="C220" i="15"/>
  <c r="A220" i="15"/>
  <c r="H219" i="15"/>
  <c r="D219" i="15"/>
  <c r="C219" i="15"/>
  <c r="A219" i="15"/>
  <c r="H218" i="15"/>
  <c r="D218" i="15"/>
  <c r="C218" i="15"/>
  <c r="A218" i="15"/>
  <c r="H216" i="15"/>
  <c r="D216" i="15"/>
  <c r="C216" i="15"/>
  <c r="A216" i="15"/>
  <c r="C214" i="15"/>
  <c r="C213" i="15"/>
  <c r="B190" i="15"/>
  <c r="H213" i="15"/>
  <c r="H214" i="15"/>
  <c r="H37" i="15"/>
  <c r="C37" i="15"/>
  <c r="A37" i="15"/>
  <c r="H36" i="15"/>
  <c r="C36" i="15"/>
  <c r="A36" i="15"/>
  <c r="H35" i="15"/>
  <c r="C35" i="15"/>
  <c r="A35" i="15"/>
  <c r="C34" i="15"/>
  <c r="A34" i="15"/>
  <c r="H33" i="15"/>
  <c r="D33" i="15"/>
  <c r="C33" i="15"/>
  <c r="B7" i="15"/>
  <c r="A33" i="15"/>
  <c r="H698" i="14"/>
  <c r="D698" i="14"/>
  <c r="C698" i="14"/>
  <c r="A698" i="14"/>
  <c r="H697" i="14"/>
  <c r="D697" i="14"/>
  <c r="C697" i="14"/>
  <c r="A697" i="14"/>
  <c r="H696" i="14"/>
  <c r="D696" i="14"/>
  <c r="C696" i="14"/>
  <c r="A696" i="14"/>
  <c r="E664" i="14"/>
  <c r="D664" i="14"/>
  <c r="A664" i="14"/>
  <c r="E663" i="14"/>
  <c r="D663" i="14"/>
  <c r="A663" i="14"/>
  <c r="E662" i="14"/>
  <c r="D662" i="14"/>
  <c r="A662" i="14"/>
  <c r="E661" i="14"/>
  <c r="D661" i="14"/>
  <c r="A661" i="14"/>
  <c r="E660" i="14"/>
  <c r="D660" i="14"/>
  <c r="A660" i="14"/>
  <c r="E659" i="14"/>
  <c r="D659" i="14"/>
  <c r="A659" i="14"/>
  <c r="E658" i="14"/>
  <c r="D658" i="14"/>
  <c r="A658" i="14"/>
  <c r="E657" i="14"/>
  <c r="D657" i="14"/>
  <c r="A657" i="14"/>
  <c r="E655" i="14"/>
  <c r="D655" i="14"/>
  <c r="A655" i="14"/>
  <c r="H653" i="14"/>
  <c r="D653" i="14"/>
  <c r="C653" i="14"/>
  <c r="A653" i="14"/>
  <c r="H652" i="14"/>
  <c r="D652" i="14"/>
  <c r="C652" i="14"/>
  <c r="A652" i="14"/>
  <c r="C650" i="14"/>
  <c r="C649" i="14"/>
  <c r="B628" i="14"/>
  <c r="H649" i="14"/>
  <c r="H650" i="14"/>
  <c r="B627" i="14"/>
  <c r="B694" i="14"/>
  <c r="B622" i="14"/>
  <c r="A649" i="14"/>
  <c r="A650" i="14"/>
  <c r="H620" i="14"/>
  <c r="D620" i="14"/>
  <c r="C620" i="14"/>
  <c r="A620" i="14"/>
  <c r="H619" i="14"/>
  <c r="D619" i="14"/>
  <c r="C619" i="14"/>
  <c r="A619" i="14"/>
  <c r="H618" i="14"/>
  <c r="D618" i="14"/>
  <c r="C618" i="14"/>
  <c r="A618" i="14"/>
  <c r="E586" i="14"/>
  <c r="D586" i="14"/>
  <c r="A586" i="14"/>
  <c r="E585" i="14"/>
  <c r="D585" i="14"/>
  <c r="A585" i="14"/>
  <c r="E584" i="14"/>
  <c r="D584" i="14"/>
  <c r="A584" i="14"/>
  <c r="E583" i="14"/>
  <c r="D583" i="14"/>
  <c r="A583" i="14"/>
  <c r="E582" i="14"/>
  <c r="D582" i="14"/>
  <c r="A582" i="14"/>
  <c r="E581" i="14"/>
  <c r="D581" i="14"/>
  <c r="A581" i="14"/>
  <c r="E580" i="14"/>
  <c r="D580" i="14"/>
  <c r="A580" i="14"/>
  <c r="E579" i="14"/>
  <c r="D579" i="14"/>
  <c r="A579" i="14"/>
  <c r="E577" i="14"/>
  <c r="D577" i="14"/>
  <c r="A577" i="14"/>
  <c r="H575" i="14"/>
  <c r="D575" i="14"/>
  <c r="C575" i="14"/>
  <c r="A575" i="14"/>
  <c r="H574" i="14"/>
  <c r="D574" i="14"/>
  <c r="C574" i="14"/>
  <c r="A574" i="14"/>
  <c r="C572" i="14"/>
  <c r="C571" i="14"/>
  <c r="B550" i="14"/>
  <c r="H571" i="14"/>
  <c r="H572" i="14"/>
  <c r="B549" i="14"/>
  <c r="B578" i="14"/>
  <c r="B544" i="14"/>
  <c r="A571" i="14"/>
  <c r="A572" i="14"/>
  <c r="H542" i="14"/>
  <c r="D542" i="14"/>
  <c r="C542" i="14"/>
  <c r="A542" i="14"/>
  <c r="H541" i="14"/>
  <c r="D541" i="14"/>
  <c r="C541" i="14"/>
  <c r="A541" i="14"/>
  <c r="H540" i="14"/>
  <c r="D540" i="14"/>
  <c r="C540" i="14"/>
  <c r="A540" i="14"/>
  <c r="E508" i="14"/>
  <c r="D508" i="14"/>
  <c r="A508" i="14"/>
  <c r="E507" i="14"/>
  <c r="D507" i="14"/>
  <c r="A507" i="14"/>
  <c r="E506" i="14"/>
  <c r="D506" i="14"/>
  <c r="A506" i="14"/>
  <c r="E505" i="14"/>
  <c r="D505" i="14"/>
  <c r="A505" i="14"/>
  <c r="E504" i="14"/>
  <c r="D504" i="14"/>
  <c r="A504" i="14"/>
  <c r="E503" i="14"/>
  <c r="D503" i="14"/>
  <c r="A503" i="14"/>
  <c r="E502" i="14"/>
  <c r="D502" i="14"/>
  <c r="A502" i="14"/>
  <c r="E501" i="14"/>
  <c r="D501" i="14"/>
  <c r="A501" i="14"/>
  <c r="E499" i="14"/>
  <c r="D499" i="14"/>
  <c r="A499" i="14"/>
  <c r="H497" i="14"/>
  <c r="D497" i="14"/>
  <c r="C497" i="14"/>
  <c r="A497" i="14"/>
  <c r="H496" i="14"/>
  <c r="D496" i="14"/>
  <c r="C496" i="14"/>
  <c r="A496" i="14"/>
  <c r="C494" i="14"/>
  <c r="C493" i="14"/>
  <c r="B472" i="14"/>
  <c r="H493" i="14"/>
  <c r="H494" i="14"/>
  <c r="B471" i="14"/>
  <c r="B500" i="14"/>
  <c r="B466" i="14"/>
  <c r="A493" i="14"/>
  <c r="A494" i="14"/>
  <c r="H464" i="14"/>
  <c r="D464" i="14"/>
  <c r="C464" i="14"/>
  <c r="A464" i="14"/>
  <c r="H463" i="14"/>
  <c r="D463" i="14"/>
  <c r="C463" i="14"/>
  <c r="A463" i="14"/>
  <c r="H462" i="14"/>
  <c r="D462" i="14"/>
  <c r="C462" i="14"/>
  <c r="A462" i="14"/>
  <c r="E430" i="14"/>
  <c r="D430" i="14"/>
  <c r="A430" i="14"/>
  <c r="E429" i="14"/>
  <c r="D429" i="14"/>
  <c r="A429" i="14"/>
  <c r="E428" i="14"/>
  <c r="D428" i="14"/>
  <c r="A428" i="14"/>
  <c r="E427" i="14"/>
  <c r="D427" i="14"/>
  <c r="A427" i="14"/>
  <c r="E426" i="14"/>
  <c r="D426" i="14"/>
  <c r="A426" i="14"/>
  <c r="E425" i="14"/>
  <c r="D425" i="14"/>
  <c r="A425" i="14"/>
  <c r="E424" i="14"/>
  <c r="D424" i="14"/>
  <c r="A424" i="14"/>
  <c r="E423" i="14"/>
  <c r="D423" i="14"/>
  <c r="A423" i="14"/>
  <c r="E421" i="14"/>
  <c r="D421" i="14"/>
  <c r="A421" i="14"/>
  <c r="H419" i="14"/>
  <c r="D419" i="14"/>
  <c r="C419" i="14"/>
  <c r="A419" i="14"/>
  <c r="H418" i="14"/>
  <c r="D418" i="14"/>
  <c r="C418" i="14"/>
  <c r="A418" i="14"/>
  <c r="C416" i="14"/>
  <c r="C415" i="14"/>
  <c r="B394" i="14"/>
  <c r="H415" i="14"/>
  <c r="H416" i="14"/>
  <c r="B393" i="14"/>
  <c r="B422" i="14"/>
  <c r="B388" i="14"/>
  <c r="A415" i="14"/>
  <c r="A416" i="14"/>
  <c r="H386" i="14"/>
  <c r="D386" i="14"/>
  <c r="C386" i="14"/>
  <c r="A386" i="14"/>
  <c r="H385" i="14"/>
  <c r="D385" i="14"/>
  <c r="C385" i="14"/>
  <c r="A385" i="14"/>
  <c r="H384" i="14"/>
  <c r="D384" i="14"/>
  <c r="C384" i="14"/>
  <c r="A384" i="14"/>
  <c r="E352" i="14"/>
  <c r="D352" i="14"/>
  <c r="A352" i="14"/>
  <c r="E351" i="14"/>
  <c r="D351" i="14"/>
  <c r="A351" i="14"/>
  <c r="E350" i="14"/>
  <c r="D350" i="14"/>
  <c r="A350" i="14"/>
  <c r="E349" i="14"/>
  <c r="D349" i="14"/>
  <c r="A349" i="14"/>
  <c r="E348" i="14"/>
  <c r="D348" i="14"/>
  <c r="A348" i="14"/>
  <c r="E347" i="14"/>
  <c r="D347" i="14"/>
  <c r="A347" i="14"/>
  <c r="E346" i="14"/>
  <c r="D346" i="14"/>
  <c r="A346" i="14"/>
  <c r="E345" i="14"/>
  <c r="D345" i="14"/>
  <c r="A345" i="14"/>
  <c r="E343" i="14"/>
  <c r="D343" i="14"/>
  <c r="A343" i="14"/>
  <c r="H341" i="14"/>
  <c r="D341" i="14"/>
  <c r="C341" i="14"/>
  <c r="A341" i="14"/>
  <c r="H340" i="14"/>
  <c r="D340" i="14"/>
  <c r="C340" i="14"/>
  <c r="A340" i="14"/>
  <c r="C338" i="14"/>
  <c r="C337" i="14"/>
  <c r="B316" i="14"/>
  <c r="H337" i="14"/>
  <c r="H338" i="14"/>
  <c r="B315" i="14"/>
  <c r="B310" i="14"/>
  <c r="A337" i="14"/>
  <c r="A338" i="14"/>
  <c r="H308" i="14"/>
  <c r="D308" i="14"/>
  <c r="C308" i="14"/>
  <c r="A308" i="14"/>
  <c r="H307" i="14"/>
  <c r="D307" i="14"/>
  <c r="C307" i="14"/>
  <c r="A307" i="14"/>
  <c r="H306" i="14"/>
  <c r="D306" i="14"/>
  <c r="C306" i="14"/>
  <c r="A306" i="14"/>
  <c r="E274" i="14"/>
  <c r="D274" i="14"/>
  <c r="A274" i="14"/>
  <c r="E273" i="14"/>
  <c r="D273" i="14"/>
  <c r="A273" i="14"/>
  <c r="E272" i="14"/>
  <c r="D272" i="14"/>
  <c r="A272" i="14"/>
  <c r="E271" i="14"/>
  <c r="D271" i="14"/>
  <c r="A271" i="14"/>
  <c r="E270" i="14"/>
  <c r="D270" i="14"/>
  <c r="A270" i="14"/>
  <c r="E269" i="14"/>
  <c r="D269" i="14"/>
  <c r="A269" i="14"/>
  <c r="E268" i="14"/>
  <c r="D268" i="14"/>
  <c r="A268" i="14"/>
  <c r="E267" i="14"/>
  <c r="D267" i="14"/>
  <c r="A267" i="14"/>
  <c r="E265" i="14"/>
  <c r="D265" i="14"/>
  <c r="A265" i="14"/>
  <c r="H263" i="14"/>
  <c r="D263" i="14"/>
  <c r="C263" i="14"/>
  <c r="A263" i="14"/>
  <c r="H262" i="14"/>
  <c r="D262" i="14"/>
  <c r="C262" i="14"/>
  <c r="A262" i="14"/>
  <c r="C260" i="14"/>
  <c r="C259" i="14"/>
  <c r="B238" i="14"/>
  <c r="H259" i="14"/>
  <c r="H260" i="14"/>
  <c r="B237" i="14"/>
  <c r="B266" i="14"/>
  <c r="B232" i="14"/>
  <c r="A259" i="14"/>
  <c r="A260" i="14"/>
  <c r="H227" i="14"/>
  <c r="D227" i="14"/>
  <c r="C227" i="14"/>
  <c r="A227" i="14"/>
  <c r="H225" i="14"/>
  <c r="D225" i="14"/>
  <c r="C225" i="14"/>
  <c r="A225" i="14"/>
  <c r="H224" i="14"/>
  <c r="D224" i="14"/>
  <c r="C224" i="14"/>
  <c r="A224" i="14"/>
  <c r="H223" i="14"/>
  <c r="D223" i="14"/>
  <c r="C223" i="14"/>
  <c r="B199" i="14"/>
  <c r="B198" i="14"/>
  <c r="B193" i="14"/>
  <c r="A223" i="14"/>
  <c r="H188" i="14"/>
  <c r="D188" i="14"/>
  <c r="C188" i="14"/>
  <c r="A188" i="14"/>
  <c r="H186" i="14"/>
  <c r="D186" i="14"/>
  <c r="C186" i="14"/>
  <c r="A186" i="14"/>
  <c r="H185" i="14"/>
  <c r="D185" i="14"/>
  <c r="C185" i="14"/>
  <c r="A185" i="14"/>
  <c r="H184" i="14"/>
  <c r="D184" i="14"/>
  <c r="C184" i="14"/>
  <c r="B160" i="14"/>
  <c r="B159" i="14"/>
  <c r="B165" i="14"/>
  <c r="B154" i="14"/>
  <c r="A184" i="14"/>
  <c r="H149" i="14"/>
  <c r="D149" i="14"/>
  <c r="C149" i="14"/>
  <c r="A149" i="14"/>
  <c r="H147" i="14"/>
  <c r="D147" i="14"/>
  <c r="C147" i="14"/>
  <c r="A147" i="14"/>
  <c r="H146" i="14"/>
  <c r="D146" i="14"/>
  <c r="C146" i="14"/>
  <c r="A146" i="14"/>
  <c r="H145" i="14"/>
  <c r="D145" i="14"/>
  <c r="C145" i="14"/>
  <c r="B121" i="14"/>
  <c r="B120" i="14"/>
  <c r="B115" i="14"/>
  <c r="A145" i="14"/>
  <c r="H110" i="14"/>
  <c r="D110" i="14"/>
  <c r="C110" i="14"/>
  <c r="A110" i="14"/>
  <c r="H109" i="14"/>
  <c r="D109" i="14"/>
  <c r="C109" i="14"/>
  <c r="A109" i="14"/>
  <c r="H108" i="14"/>
  <c r="D108" i="14"/>
  <c r="C108" i="14"/>
  <c r="A108" i="14"/>
  <c r="H107" i="14"/>
  <c r="D107" i="14"/>
  <c r="C107" i="14"/>
  <c r="B83" i="14"/>
  <c r="B82" i="14"/>
  <c r="B89" i="14"/>
  <c r="B77" i="14"/>
  <c r="A107" i="14"/>
  <c r="H72" i="14"/>
  <c r="D72" i="14"/>
  <c r="C72" i="14"/>
  <c r="A72" i="14"/>
  <c r="H71" i="14"/>
  <c r="D71" i="14"/>
  <c r="C71" i="14"/>
  <c r="A71" i="14"/>
  <c r="H70" i="14"/>
  <c r="D70" i="14"/>
  <c r="C70" i="14"/>
  <c r="A70" i="14"/>
  <c r="H69" i="14"/>
  <c r="D69" i="14"/>
  <c r="C69" i="14"/>
  <c r="B45" i="14"/>
  <c r="B44" i="14"/>
  <c r="B53" i="14"/>
  <c r="B39" i="14"/>
  <c r="A69" i="14"/>
  <c r="H34" i="14"/>
  <c r="D34" i="14"/>
  <c r="C34" i="14"/>
  <c r="A34" i="14"/>
  <c r="H33" i="14"/>
  <c r="D33" i="14"/>
  <c r="C33" i="14"/>
  <c r="A33" i="14"/>
  <c r="H32" i="14"/>
  <c r="C32" i="14"/>
  <c r="A32" i="14"/>
  <c r="H31" i="14"/>
  <c r="D31" i="14"/>
  <c r="C31" i="14"/>
  <c r="B7" i="14"/>
  <c r="B6" i="14"/>
  <c r="B18" i="14"/>
  <c r="B1" i="14"/>
  <c r="A31" i="14"/>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B84" i="33"/>
  <c r="G286" i="7"/>
  <c r="B85" i="33"/>
  <c r="F287" i="7"/>
  <c r="B130" i="33"/>
  <c r="G287" i="7"/>
  <c r="B131" i="33"/>
  <c r="F288" i="7"/>
  <c r="B176" i="33"/>
  <c r="G288" i="7"/>
  <c r="B177" i="33"/>
  <c r="F289" i="7"/>
  <c r="B37" i="35"/>
  <c r="G289" i="7"/>
  <c r="B38" i="35"/>
  <c r="F290" i="7"/>
  <c r="B83" i="35"/>
  <c r="G290" i="7"/>
  <c r="B84" i="35"/>
  <c r="F291" i="7"/>
  <c r="B129" i="35"/>
  <c r="G291" i="7"/>
  <c r="B130" i="35"/>
  <c r="F292" i="7"/>
  <c r="B175" i="35"/>
  <c r="G292" i="7"/>
  <c r="B176" i="35"/>
  <c r="F293" i="7"/>
  <c r="B37" i="37"/>
  <c r="G293" i="7"/>
  <c r="B38" i="37"/>
  <c r="F294" i="7"/>
  <c r="B83" i="37"/>
  <c r="G294" i="7"/>
  <c r="B84" i="37"/>
  <c r="F295" i="7"/>
  <c r="B129" i="37"/>
  <c r="G295" i="7"/>
  <c r="B130" i="37"/>
  <c r="F296" i="7"/>
  <c r="B175" i="37"/>
  <c r="G296" i="7"/>
  <c r="B176" i="37"/>
  <c r="F297" i="7"/>
  <c r="B37" i="39"/>
  <c r="G297" i="7"/>
  <c r="B38" i="39"/>
  <c r="F298" i="7"/>
  <c r="B83" i="39"/>
  <c r="G298" i="7"/>
  <c r="B84" i="39"/>
  <c r="F299" i="7"/>
  <c r="B129" i="39"/>
  <c r="G299" i="7"/>
  <c r="B130" i="39"/>
  <c r="F300" i="7"/>
  <c r="B175" i="39"/>
  <c r="G300" i="7"/>
  <c r="B176" i="39"/>
  <c r="F138" i="7"/>
  <c r="G138" i="7"/>
  <c r="F139" i="7"/>
  <c r="G139" i="7"/>
  <c r="B130" i="6"/>
  <c r="F140" i="7"/>
  <c r="G140" i="7"/>
  <c r="F149" i="7"/>
  <c r="G149" i="7"/>
  <c r="F150" i="7"/>
  <c r="G150" i="7"/>
  <c r="F151" i="7"/>
  <c r="G151" i="7"/>
  <c r="F152" i="7"/>
  <c r="G152" i="7"/>
  <c r="F153" i="7"/>
  <c r="G153" i="7"/>
  <c r="F154" i="7"/>
  <c r="G154" i="7"/>
  <c r="F155" i="7"/>
  <c r="G155" i="7"/>
  <c r="F156" i="7"/>
  <c r="B172" i="9"/>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B574" i="14"/>
  <c r="O210" i="7"/>
  <c r="O223" i="7"/>
  <c r="O224" i="7"/>
  <c r="O225" i="7"/>
  <c r="O226" i="7"/>
  <c r="B333" i="15"/>
  <c r="O235" i="7"/>
  <c r="O236" i="7"/>
  <c r="O237" i="7"/>
  <c r="O238" i="7"/>
  <c r="O239" i="7"/>
  <c r="O240" i="7"/>
  <c r="O241" i="7"/>
  <c r="O242" i="7"/>
  <c r="O243" i="7"/>
  <c r="O244" i="7"/>
  <c r="O245" i="7"/>
  <c r="O246" i="7"/>
  <c r="O247" i="7"/>
  <c r="B262" i="18"/>
  <c r="O248" i="7"/>
  <c r="O249" i="7"/>
  <c r="O250" i="7"/>
  <c r="O251" i="7"/>
  <c r="O252" i="7"/>
  <c r="B652" i="18"/>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B210" i="8"/>
  <c r="M151" i="7"/>
  <c r="M152" i="7"/>
  <c r="M153" i="7"/>
  <c r="B215" i="9"/>
  <c r="M154" i="7"/>
  <c r="B253" i="9"/>
  <c r="M155" i="7"/>
  <c r="B291" i="9"/>
  <c r="M156" i="7"/>
  <c r="M157" i="7"/>
  <c r="B214" i="10"/>
  <c r="M158" i="7"/>
  <c r="B252" i="10"/>
  <c r="M159" i="7"/>
  <c r="M160" i="7"/>
  <c r="B328" i="10"/>
  <c r="M161" i="7"/>
  <c r="B214" i="11"/>
  <c r="M162" i="7"/>
  <c r="M163" i="7"/>
  <c r="M164" i="7"/>
  <c r="B328" i="11"/>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B72" i="12"/>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24" i="14"/>
  <c r="B209" i="7"/>
  <c r="B208" i="7"/>
  <c r="B207" i="7"/>
  <c r="B206" i="7"/>
  <c r="B205" i="7"/>
  <c r="B198" i="7"/>
  <c r="B220" i="13"/>
  <c r="B197" i="7"/>
  <c r="B196" i="7"/>
  <c r="B195" i="7"/>
  <c r="B194" i="7"/>
  <c r="B193" i="7"/>
  <c r="B192" i="7"/>
  <c r="B191" i="7"/>
  <c r="B190" i="7"/>
  <c r="B189" i="7"/>
  <c r="B164" i="7"/>
  <c r="B169" i="11"/>
  <c r="B163" i="7"/>
  <c r="B124" i="11"/>
  <c r="B162" i="7"/>
  <c r="B79" i="11"/>
  <c r="B161" i="7"/>
  <c r="B34" i="11"/>
  <c r="B160" i="7"/>
  <c r="B169" i="10"/>
  <c r="B159" i="7"/>
  <c r="B124" i="10"/>
  <c r="B158" i="7"/>
  <c r="B79" i="10"/>
  <c r="B157" i="7"/>
  <c r="B34" i="10"/>
  <c r="B156" i="7"/>
  <c r="B169" i="9"/>
  <c r="B155" i="7"/>
  <c r="B124" i="9"/>
  <c r="B154" i="7"/>
  <c r="B153" i="7"/>
  <c r="B34" i="9"/>
  <c r="B152" i="7"/>
  <c r="B151" i="7"/>
  <c r="B150" i="7"/>
  <c r="B149" i="7"/>
  <c r="B140" i="7"/>
  <c r="B171" i="6"/>
  <c r="B139" i="7"/>
  <c r="B126" i="6"/>
  <c r="B138" i="7"/>
  <c r="B137" i="7"/>
  <c r="H687" i="13"/>
  <c r="D687" i="13"/>
  <c r="C687" i="13"/>
  <c r="A687" i="13"/>
  <c r="H686" i="13"/>
  <c r="D686" i="13"/>
  <c r="C686" i="13"/>
  <c r="A686" i="13"/>
  <c r="H685" i="13"/>
  <c r="D685" i="13"/>
  <c r="C685" i="13"/>
  <c r="A685" i="13"/>
  <c r="E653" i="13"/>
  <c r="D653" i="13"/>
  <c r="A653" i="13"/>
  <c r="E652" i="13"/>
  <c r="D652" i="13"/>
  <c r="A652" i="13"/>
  <c r="E651" i="13"/>
  <c r="D651" i="13"/>
  <c r="A651" i="13"/>
  <c r="E650" i="13"/>
  <c r="D650" i="13"/>
  <c r="A650" i="13"/>
  <c r="E649" i="13"/>
  <c r="D649" i="13"/>
  <c r="A649" i="13"/>
  <c r="E648" i="13"/>
  <c r="D648" i="13"/>
  <c r="A648" i="13"/>
  <c r="E647" i="13"/>
  <c r="D647" i="13"/>
  <c r="A647" i="13"/>
  <c r="E646" i="13"/>
  <c r="D646" i="13"/>
  <c r="A646" i="13"/>
  <c r="E645" i="13"/>
  <c r="D645" i="13"/>
  <c r="A645" i="13"/>
  <c r="H643" i="13"/>
  <c r="D643" i="13"/>
  <c r="C643" i="13"/>
  <c r="A643" i="13"/>
  <c r="H642" i="13"/>
  <c r="D642" i="13"/>
  <c r="C642" i="13"/>
  <c r="A642" i="13"/>
  <c r="C640" i="13"/>
  <c r="C639" i="13"/>
  <c r="B618" i="13"/>
  <c r="H639" i="13"/>
  <c r="H640" i="13"/>
  <c r="B617" i="13"/>
  <c r="B612" i="13"/>
  <c r="A639" i="13"/>
  <c r="A640" i="13"/>
  <c r="H610" i="13"/>
  <c r="D610" i="13"/>
  <c r="C610" i="13"/>
  <c r="A610" i="13"/>
  <c r="H609" i="13"/>
  <c r="D609" i="13"/>
  <c r="C609" i="13"/>
  <c r="A609" i="13"/>
  <c r="H608" i="13"/>
  <c r="D608" i="13"/>
  <c r="C608" i="13"/>
  <c r="A608" i="13"/>
  <c r="E576" i="13"/>
  <c r="D576" i="13"/>
  <c r="A576" i="13"/>
  <c r="E575" i="13"/>
  <c r="D575" i="13"/>
  <c r="A575" i="13"/>
  <c r="E574" i="13"/>
  <c r="D574" i="13"/>
  <c r="A574" i="13"/>
  <c r="E573" i="13"/>
  <c r="D573" i="13"/>
  <c r="A573" i="13"/>
  <c r="E572" i="13"/>
  <c r="D572" i="13"/>
  <c r="A572" i="13"/>
  <c r="E571" i="13"/>
  <c r="D571" i="13"/>
  <c r="A571" i="13"/>
  <c r="E570" i="13"/>
  <c r="D570" i="13"/>
  <c r="A570" i="13"/>
  <c r="E569" i="13"/>
  <c r="D569" i="13"/>
  <c r="A569" i="13"/>
  <c r="E568" i="13"/>
  <c r="D568" i="13"/>
  <c r="A568" i="13"/>
  <c r="H566" i="13"/>
  <c r="D566" i="13"/>
  <c r="C566" i="13"/>
  <c r="A566" i="13"/>
  <c r="H565" i="13"/>
  <c r="D565" i="13"/>
  <c r="C565" i="13"/>
  <c r="A565" i="13"/>
  <c r="C563" i="13"/>
  <c r="C562" i="13"/>
  <c r="B541" i="13"/>
  <c r="H562" i="13"/>
  <c r="H563" i="13"/>
  <c r="B540" i="13"/>
  <c r="B535" i="13"/>
  <c r="A562" i="13"/>
  <c r="A563" i="13"/>
  <c r="H533" i="13"/>
  <c r="D533" i="13"/>
  <c r="C533" i="13"/>
  <c r="A533" i="13"/>
  <c r="H532" i="13"/>
  <c r="D532" i="13"/>
  <c r="C532" i="13"/>
  <c r="A532" i="13"/>
  <c r="H531" i="13"/>
  <c r="D531" i="13"/>
  <c r="C531" i="13"/>
  <c r="A531" i="13"/>
  <c r="E499" i="13"/>
  <c r="D499" i="13"/>
  <c r="A499" i="13"/>
  <c r="E498" i="13"/>
  <c r="D498" i="13"/>
  <c r="A498" i="13"/>
  <c r="E497" i="13"/>
  <c r="D497" i="13"/>
  <c r="A497" i="13"/>
  <c r="E496" i="13"/>
  <c r="D496" i="13"/>
  <c r="A496" i="13"/>
  <c r="E495" i="13"/>
  <c r="D495" i="13"/>
  <c r="A495" i="13"/>
  <c r="E494" i="13"/>
  <c r="D494" i="13"/>
  <c r="A494" i="13"/>
  <c r="E493" i="13"/>
  <c r="D493" i="13"/>
  <c r="A493" i="13"/>
  <c r="E492" i="13"/>
  <c r="D492" i="13"/>
  <c r="A492" i="13"/>
  <c r="E491" i="13"/>
  <c r="D491" i="13"/>
  <c r="A491" i="13"/>
  <c r="H489" i="13"/>
  <c r="D489" i="13"/>
  <c r="C489" i="13"/>
  <c r="A489" i="13"/>
  <c r="H488" i="13"/>
  <c r="D488" i="13"/>
  <c r="C488" i="13"/>
  <c r="A488" i="13"/>
  <c r="C486" i="13"/>
  <c r="C485" i="13"/>
  <c r="B464" i="13"/>
  <c r="H485" i="13"/>
  <c r="H486" i="13"/>
  <c r="B463" i="13"/>
  <c r="B458" i="13"/>
  <c r="A485" i="13"/>
  <c r="A486" i="13"/>
  <c r="H456" i="13"/>
  <c r="D456" i="13"/>
  <c r="C456" i="13"/>
  <c r="A456" i="13"/>
  <c r="H455" i="13"/>
  <c r="D455" i="13"/>
  <c r="C455" i="13"/>
  <c r="A455" i="13"/>
  <c r="H454" i="13"/>
  <c r="D454" i="13"/>
  <c r="C454" i="13"/>
  <c r="A454" i="13"/>
  <c r="E422" i="13"/>
  <c r="D422" i="13"/>
  <c r="A422" i="13"/>
  <c r="E421" i="13"/>
  <c r="D421" i="13"/>
  <c r="A421" i="13"/>
  <c r="E420" i="13"/>
  <c r="D420" i="13"/>
  <c r="A420" i="13"/>
  <c r="E419" i="13"/>
  <c r="D419" i="13"/>
  <c r="A419" i="13"/>
  <c r="E418" i="13"/>
  <c r="D418" i="13"/>
  <c r="A418" i="13"/>
  <c r="E417" i="13"/>
  <c r="D417" i="13"/>
  <c r="A417" i="13"/>
  <c r="E416" i="13"/>
  <c r="D416" i="13"/>
  <c r="A416" i="13"/>
  <c r="E415" i="13"/>
  <c r="D415" i="13"/>
  <c r="A415" i="13"/>
  <c r="E414" i="13"/>
  <c r="D414" i="13"/>
  <c r="A414" i="13"/>
  <c r="H412" i="13"/>
  <c r="D412" i="13"/>
  <c r="C412" i="13"/>
  <c r="A412" i="13"/>
  <c r="H411" i="13"/>
  <c r="D411" i="13"/>
  <c r="C411" i="13"/>
  <c r="A411" i="13"/>
  <c r="C409" i="13"/>
  <c r="C408" i="13"/>
  <c r="B387" i="13"/>
  <c r="H408" i="13"/>
  <c r="H409" i="13"/>
  <c r="B386" i="13"/>
  <c r="B381" i="13"/>
  <c r="A408" i="13"/>
  <c r="A409" i="13"/>
  <c r="H379" i="13"/>
  <c r="D379" i="13"/>
  <c r="C379" i="13"/>
  <c r="A379" i="13"/>
  <c r="H378" i="13"/>
  <c r="D378" i="13"/>
  <c r="C378" i="13"/>
  <c r="A378" i="13"/>
  <c r="H377" i="13"/>
  <c r="D377" i="13"/>
  <c r="C377" i="13"/>
  <c r="A377" i="13"/>
  <c r="E345" i="13"/>
  <c r="D345" i="13"/>
  <c r="A345" i="13"/>
  <c r="E344" i="13"/>
  <c r="D344" i="13"/>
  <c r="A344" i="13"/>
  <c r="E343" i="13"/>
  <c r="D343" i="13"/>
  <c r="A343" i="13"/>
  <c r="E342" i="13"/>
  <c r="D342" i="13"/>
  <c r="A342" i="13"/>
  <c r="E341" i="13"/>
  <c r="D341" i="13"/>
  <c r="A341" i="13"/>
  <c r="E340" i="13"/>
  <c r="D340" i="13"/>
  <c r="A340" i="13"/>
  <c r="E339" i="13"/>
  <c r="D339" i="13"/>
  <c r="A339" i="13"/>
  <c r="E338" i="13"/>
  <c r="D338" i="13"/>
  <c r="A338" i="13"/>
  <c r="E337" i="13"/>
  <c r="D337" i="13"/>
  <c r="A337" i="13"/>
  <c r="H335" i="13"/>
  <c r="D335" i="13"/>
  <c r="C335" i="13"/>
  <c r="A335" i="13"/>
  <c r="H334" i="13"/>
  <c r="D334" i="13"/>
  <c r="C334" i="13"/>
  <c r="A334" i="13"/>
  <c r="C332" i="13"/>
  <c r="C331" i="13"/>
  <c r="B310" i="13"/>
  <c r="H331" i="13"/>
  <c r="H332" i="13"/>
  <c r="B309" i="13"/>
  <c r="B304" i="13"/>
  <c r="A331" i="13"/>
  <c r="A332" i="13"/>
  <c r="E268" i="13"/>
  <c r="E267" i="13"/>
  <c r="E266" i="13"/>
  <c r="E265" i="13"/>
  <c r="E264" i="13"/>
  <c r="E263" i="13"/>
  <c r="E262" i="13"/>
  <c r="E261" i="13"/>
  <c r="E260" i="13"/>
  <c r="H302" i="13"/>
  <c r="H301" i="13"/>
  <c r="H300" i="13"/>
  <c r="H258" i="13"/>
  <c r="H257" i="13"/>
  <c r="D302" i="13"/>
  <c r="D301" i="13"/>
  <c r="D300" i="13"/>
  <c r="D268" i="13"/>
  <c r="D267" i="13"/>
  <c r="D266" i="13"/>
  <c r="D265" i="13"/>
  <c r="D264" i="13"/>
  <c r="D263" i="13"/>
  <c r="D262" i="13"/>
  <c r="D261" i="13"/>
  <c r="D260" i="13"/>
  <c r="D258" i="13"/>
  <c r="C302" i="13"/>
  <c r="C301" i="13"/>
  <c r="C300" i="13"/>
  <c r="C258" i="13"/>
  <c r="A302" i="13"/>
  <c r="A301" i="13"/>
  <c r="A300" i="13"/>
  <c r="A268" i="13"/>
  <c r="A267" i="13"/>
  <c r="A266" i="13"/>
  <c r="A265" i="13"/>
  <c r="A264" i="13"/>
  <c r="A263" i="13"/>
  <c r="A262" i="13"/>
  <c r="A261" i="13"/>
  <c r="A260" i="13"/>
  <c r="A258" i="13"/>
  <c r="A257" i="13"/>
  <c r="C257" i="13"/>
  <c r="C255" i="13"/>
  <c r="C254" i="13"/>
  <c r="B233" i="13"/>
  <c r="H254" i="13"/>
  <c r="H255" i="13"/>
  <c r="B232" i="13"/>
  <c r="B227" i="13"/>
  <c r="A254" i="13"/>
  <c r="A255" i="13"/>
  <c r="H223" i="13"/>
  <c r="C223" i="13"/>
  <c r="A223" i="13"/>
  <c r="H221" i="13"/>
  <c r="C221" i="13"/>
  <c r="A221" i="13"/>
  <c r="H220" i="13"/>
  <c r="C220" i="13"/>
  <c r="A220" i="13"/>
  <c r="H219" i="13"/>
  <c r="D219" i="13"/>
  <c r="C219" i="13"/>
  <c r="B195" i="13"/>
  <c r="B194" i="13"/>
  <c r="B189" i="13"/>
  <c r="A219" i="13"/>
  <c r="H185" i="13"/>
  <c r="C185" i="13"/>
  <c r="A185" i="13"/>
  <c r="H183" i="13"/>
  <c r="C183" i="13"/>
  <c r="A183" i="13"/>
  <c r="H182" i="13"/>
  <c r="C182" i="13"/>
  <c r="A182" i="13"/>
  <c r="H181" i="13"/>
  <c r="D181" i="13"/>
  <c r="C181" i="13"/>
  <c r="B157" i="13"/>
  <c r="B156" i="13"/>
  <c r="B151" i="13"/>
  <c r="A181" i="13"/>
  <c r="H147" i="13"/>
  <c r="C147" i="13"/>
  <c r="A147" i="13"/>
  <c r="H145" i="13"/>
  <c r="C145" i="13"/>
  <c r="A145" i="13"/>
  <c r="H144" i="13"/>
  <c r="C144" i="13"/>
  <c r="A144" i="13"/>
  <c r="H143" i="13"/>
  <c r="D143" i="13"/>
  <c r="C143" i="13"/>
  <c r="B119" i="13"/>
  <c r="B118" i="13"/>
  <c r="B113" i="13"/>
  <c r="A143" i="13"/>
  <c r="H109" i="13"/>
  <c r="C109" i="13"/>
  <c r="A109" i="13"/>
  <c r="H107" i="13"/>
  <c r="C107" i="13"/>
  <c r="A107" i="13"/>
  <c r="H106" i="13"/>
  <c r="C106" i="13"/>
  <c r="A106" i="13"/>
  <c r="H105" i="13"/>
  <c r="D105" i="13"/>
  <c r="C105" i="13"/>
  <c r="B81" i="13"/>
  <c r="B80" i="13"/>
  <c r="B75" i="13"/>
  <c r="A105" i="13"/>
  <c r="H71" i="13"/>
  <c r="C71" i="13"/>
  <c r="A71" i="13"/>
  <c r="H70" i="13"/>
  <c r="C70" i="13"/>
  <c r="A70" i="13"/>
  <c r="H69" i="13"/>
  <c r="C69" i="13"/>
  <c r="A69" i="13"/>
  <c r="H34" i="13"/>
  <c r="H33" i="13"/>
  <c r="H32" i="13"/>
  <c r="A34" i="13"/>
  <c r="A33" i="13"/>
  <c r="A32" i="13"/>
  <c r="C34" i="13"/>
  <c r="C33" i="13"/>
  <c r="C32" i="13"/>
  <c r="H68" i="13"/>
  <c r="C68" i="13"/>
  <c r="B44" i="13"/>
  <c r="B43" i="13"/>
  <c r="B38" i="13"/>
  <c r="A68" i="13"/>
  <c r="H31" i="13"/>
  <c r="D31" i="13"/>
  <c r="C31" i="13"/>
  <c r="B7" i="13"/>
  <c r="B6" i="13"/>
  <c r="B1" i="13"/>
  <c r="A31" i="13"/>
  <c r="H317" i="12"/>
  <c r="D317" i="12"/>
  <c r="C317" i="12"/>
  <c r="A317" i="12"/>
  <c r="H315" i="12"/>
  <c r="D315" i="12"/>
  <c r="C315" i="12"/>
  <c r="A315" i="12"/>
  <c r="H274" i="12"/>
  <c r="D274" i="12"/>
  <c r="C274" i="12"/>
  <c r="A274" i="12"/>
  <c r="H272" i="12"/>
  <c r="D272" i="12"/>
  <c r="C272" i="12"/>
  <c r="A272" i="12"/>
  <c r="H231" i="12"/>
  <c r="D231" i="12"/>
  <c r="C231" i="12"/>
  <c r="A231" i="12"/>
  <c r="H229" i="12"/>
  <c r="D229" i="12"/>
  <c r="C229" i="12"/>
  <c r="A229" i="12"/>
  <c r="C188" i="12"/>
  <c r="C186" i="12"/>
  <c r="D188" i="12"/>
  <c r="D186" i="12"/>
  <c r="H188" i="12"/>
  <c r="H186" i="12"/>
  <c r="A188" i="12"/>
  <c r="A186" i="12"/>
  <c r="B163" i="12"/>
  <c r="H184" i="12"/>
  <c r="H185" i="12"/>
  <c r="D227" i="12"/>
  <c r="D270" i="12"/>
  <c r="D313" i="12"/>
  <c r="D184" i="12"/>
  <c r="H36" i="12"/>
  <c r="C36" i="12"/>
  <c r="A36" i="12"/>
  <c r="B142" i="11"/>
  <c r="B97" i="11"/>
  <c r="B52" i="11"/>
  <c r="B7" i="11"/>
  <c r="B142" i="10"/>
  <c r="B97" i="10"/>
  <c r="B52" i="10"/>
  <c r="B7" i="10"/>
  <c r="B302" i="9"/>
  <c r="B264" i="9"/>
  <c r="H287" i="9"/>
  <c r="H288" i="9"/>
  <c r="B226" i="9"/>
  <c r="H249" i="9"/>
  <c r="H250" i="9"/>
  <c r="B188" i="9"/>
  <c r="H211" i="9"/>
  <c r="H212" i="9"/>
  <c r="B142" i="9"/>
  <c r="B97" i="9"/>
  <c r="B52" i="9"/>
  <c r="B7" i="9"/>
  <c r="B115" i="8"/>
  <c r="B79" i="8"/>
  <c r="B43" i="8"/>
  <c r="B7" i="8"/>
  <c r="B144" i="6"/>
  <c r="H170" i="6"/>
  <c r="B99" i="6"/>
  <c r="H125" i="6"/>
  <c r="B54" i="6"/>
  <c r="H80" i="6"/>
  <c r="B9" i="6"/>
  <c r="H35" i="6"/>
  <c r="B124" i="12"/>
  <c r="B85" i="12"/>
  <c r="B46" i="12"/>
  <c r="B7" i="12"/>
  <c r="C314" i="12"/>
  <c r="C313" i="12"/>
  <c r="B292" i="12"/>
  <c r="H313" i="12"/>
  <c r="H314" i="12"/>
  <c r="B291" i="12"/>
  <c r="B299" i="12"/>
  <c r="B286" i="12"/>
  <c r="A313" i="12"/>
  <c r="A314" i="12"/>
  <c r="C271" i="12"/>
  <c r="C270" i="12"/>
  <c r="B249" i="12"/>
  <c r="H270" i="12"/>
  <c r="H271" i="12"/>
  <c r="B248" i="12"/>
  <c r="B265" i="12"/>
  <c r="B243" i="12"/>
  <c r="A270" i="12"/>
  <c r="A271" i="12"/>
  <c r="C228" i="12"/>
  <c r="C227" i="12"/>
  <c r="B206" i="12"/>
  <c r="H227" i="12"/>
  <c r="H228" i="12"/>
  <c r="B205" i="12"/>
  <c r="B219" i="12"/>
  <c r="B200" i="12"/>
  <c r="A227" i="12"/>
  <c r="A228" i="12"/>
  <c r="C185" i="12"/>
  <c r="C184" i="12"/>
  <c r="B162" i="12"/>
  <c r="B157" i="12"/>
  <c r="A184" i="12"/>
  <c r="A185" i="12"/>
  <c r="H153" i="12"/>
  <c r="C153" i="12"/>
  <c r="A153" i="12"/>
  <c r="H151" i="12"/>
  <c r="C151" i="12"/>
  <c r="A151" i="12"/>
  <c r="H150" i="12"/>
  <c r="C150" i="12"/>
  <c r="A150" i="12"/>
  <c r="H149" i="12"/>
  <c r="C149" i="12"/>
  <c r="A149" i="12"/>
  <c r="H148" i="12"/>
  <c r="D148" i="12"/>
  <c r="C148" i="12"/>
  <c r="B123" i="12"/>
  <c r="B141" i="12"/>
  <c r="B118" i="12"/>
  <c r="A148" i="12"/>
  <c r="H114" i="12"/>
  <c r="C114" i="12"/>
  <c r="A114" i="12"/>
  <c r="H112" i="12"/>
  <c r="C112" i="12"/>
  <c r="A112" i="12"/>
  <c r="H111" i="12"/>
  <c r="C111" i="12"/>
  <c r="A111" i="12"/>
  <c r="H110" i="12"/>
  <c r="C110" i="12"/>
  <c r="A110" i="12"/>
  <c r="H109" i="12"/>
  <c r="D109" i="12"/>
  <c r="C109" i="12"/>
  <c r="B84" i="12"/>
  <c r="B102" i="12"/>
  <c r="B79" i="12"/>
  <c r="A109" i="12"/>
  <c r="H75" i="12"/>
  <c r="C75" i="12"/>
  <c r="A75" i="12"/>
  <c r="H73" i="12"/>
  <c r="C73" i="12"/>
  <c r="A73" i="12"/>
  <c r="H72" i="12"/>
  <c r="C72" i="12"/>
  <c r="A72" i="12"/>
  <c r="H71" i="12"/>
  <c r="C71" i="12"/>
  <c r="A71" i="12"/>
  <c r="H70" i="12"/>
  <c r="D70" i="12"/>
  <c r="C70" i="12"/>
  <c r="B45" i="12"/>
  <c r="B62" i="12"/>
  <c r="B40" i="12"/>
  <c r="A70" i="12"/>
  <c r="H34" i="12"/>
  <c r="C34" i="12"/>
  <c r="A34" i="12"/>
  <c r="H33" i="12"/>
  <c r="C33" i="12"/>
  <c r="A33" i="12"/>
  <c r="H32" i="12"/>
  <c r="C32" i="12"/>
  <c r="A32" i="12"/>
  <c r="H31" i="12"/>
  <c r="D31" i="12"/>
  <c r="C31" i="12"/>
  <c r="B6" i="12"/>
  <c r="B21" i="12"/>
  <c r="B1" i="12"/>
  <c r="A31" i="12"/>
  <c r="H331" i="11"/>
  <c r="D331" i="11"/>
  <c r="C331" i="11"/>
  <c r="A331" i="11"/>
  <c r="H330" i="11"/>
  <c r="D330" i="11"/>
  <c r="C330" i="11"/>
  <c r="A330" i="11"/>
  <c r="H329" i="11"/>
  <c r="D329" i="11"/>
  <c r="C329" i="11"/>
  <c r="A329" i="11"/>
  <c r="H328" i="11"/>
  <c r="D328" i="11"/>
  <c r="C328" i="11"/>
  <c r="A328" i="11"/>
  <c r="H327" i="11"/>
  <c r="D327" i="11"/>
  <c r="C327" i="11"/>
  <c r="A327" i="11"/>
  <c r="C325" i="11"/>
  <c r="C324" i="11"/>
  <c r="B301" i="11"/>
  <c r="H324" i="11"/>
  <c r="H325" i="11"/>
  <c r="A324" i="11"/>
  <c r="A325" i="11"/>
  <c r="H293" i="11"/>
  <c r="D293" i="11"/>
  <c r="C293" i="11"/>
  <c r="A293" i="11"/>
  <c r="H292" i="11"/>
  <c r="D292" i="11"/>
  <c r="C292" i="11"/>
  <c r="A292" i="11"/>
  <c r="H291" i="11"/>
  <c r="D291" i="11"/>
  <c r="C291" i="11"/>
  <c r="A291" i="11"/>
  <c r="H290" i="11"/>
  <c r="D290" i="11"/>
  <c r="C290" i="11"/>
  <c r="A290" i="11"/>
  <c r="H289" i="11"/>
  <c r="D289" i="11"/>
  <c r="C289" i="11"/>
  <c r="A289" i="11"/>
  <c r="C287" i="11"/>
  <c r="C286" i="11"/>
  <c r="B263" i="11"/>
  <c r="H286" i="11"/>
  <c r="H287" i="11"/>
  <c r="A286" i="11"/>
  <c r="A287" i="11"/>
  <c r="H255" i="11"/>
  <c r="D255" i="11"/>
  <c r="C255" i="11"/>
  <c r="A255" i="11"/>
  <c r="H254" i="11"/>
  <c r="D254" i="11"/>
  <c r="C254" i="11"/>
  <c r="A254" i="11"/>
  <c r="H253" i="11"/>
  <c r="D253" i="11"/>
  <c r="C253" i="11"/>
  <c r="A253" i="11"/>
  <c r="H252" i="11"/>
  <c r="D252" i="11"/>
  <c r="C252" i="11"/>
  <c r="A252" i="11"/>
  <c r="H251" i="11"/>
  <c r="D251" i="11"/>
  <c r="C251" i="11"/>
  <c r="A251" i="11"/>
  <c r="C249" i="11"/>
  <c r="C248" i="11"/>
  <c r="B225" i="11"/>
  <c r="H248" i="11"/>
  <c r="H249" i="11"/>
  <c r="A248" i="11"/>
  <c r="A249" i="11"/>
  <c r="H217" i="11"/>
  <c r="A217" i="11"/>
  <c r="H216" i="11"/>
  <c r="A216" i="11"/>
  <c r="H215" i="11"/>
  <c r="D215" i="11"/>
  <c r="C215" i="11"/>
  <c r="A215" i="11"/>
  <c r="H214" i="11"/>
  <c r="D214" i="11"/>
  <c r="C214" i="11"/>
  <c r="A214" i="11"/>
  <c r="H213" i="11"/>
  <c r="D213" i="11"/>
  <c r="C213" i="11"/>
  <c r="A213" i="11"/>
  <c r="C211" i="11"/>
  <c r="C210" i="11"/>
  <c r="B187" i="11"/>
  <c r="H210" i="11"/>
  <c r="H211" i="11"/>
  <c r="A210" i="11"/>
  <c r="A211" i="11"/>
  <c r="H177" i="11"/>
  <c r="C177" i="11"/>
  <c r="A177" i="11"/>
  <c r="H176" i="11"/>
  <c r="C176" i="11"/>
  <c r="A176" i="11"/>
  <c r="H175" i="11"/>
  <c r="C175" i="11"/>
  <c r="A175" i="11"/>
  <c r="H174" i="11"/>
  <c r="C174" i="11"/>
  <c r="A174" i="11"/>
  <c r="H173" i="11"/>
  <c r="C173" i="11"/>
  <c r="A173" i="11"/>
  <c r="H172" i="11"/>
  <c r="C172" i="11"/>
  <c r="A172" i="11"/>
  <c r="H170" i="11"/>
  <c r="C170" i="11"/>
  <c r="A170" i="11"/>
  <c r="H169" i="11"/>
  <c r="C169" i="11"/>
  <c r="A169" i="11"/>
  <c r="H168" i="11"/>
  <c r="D168" i="11"/>
  <c r="C168" i="11"/>
  <c r="A168" i="11"/>
  <c r="H132" i="11"/>
  <c r="C132" i="11"/>
  <c r="A132" i="11"/>
  <c r="H131" i="11"/>
  <c r="C131" i="11"/>
  <c r="A131" i="11"/>
  <c r="H130" i="11"/>
  <c r="C130" i="11"/>
  <c r="A130" i="11"/>
  <c r="H129" i="11"/>
  <c r="C129" i="11"/>
  <c r="A129" i="11"/>
  <c r="H128" i="11"/>
  <c r="C128" i="11"/>
  <c r="A128" i="11"/>
  <c r="H127" i="11"/>
  <c r="C127" i="11"/>
  <c r="A127" i="11"/>
  <c r="H125" i="11"/>
  <c r="C125" i="11"/>
  <c r="A125" i="11"/>
  <c r="H124" i="11"/>
  <c r="C124" i="11"/>
  <c r="A124" i="11"/>
  <c r="H123" i="11"/>
  <c r="D123" i="11"/>
  <c r="C123" i="11"/>
  <c r="A123" i="11"/>
  <c r="H87" i="11"/>
  <c r="C87" i="11"/>
  <c r="A87" i="11"/>
  <c r="H86" i="11"/>
  <c r="C86" i="11"/>
  <c r="A86" i="11"/>
  <c r="H85" i="11"/>
  <c r="C85" i="11"/>
  <c r="A85" i="11"/>
  <c r="H84" i="11"/>
  <c r="C84" i="11"/>
  <c r="A84" i="11"/>
  <c r="H83" i="11"/>
  <c r="C83" i="11"/>
  <c r="A83" i="11"/>
  <c r="H82" i="11"/>
  <c r="C82" i="11"/>
  <c r="A82" i="11"/>
  <c r="H80" i="11"/>
  <c r="C80" i="11"/>
  <c r="A80" i="11"/>
  <c r="H79" i="11"/>
  <c r="C79" i="11"/>
  <c r="A79" i="11"/>
  <c r="H78" i="11"/>
  <c r="D78" i="11"/>
  <c r="C78" i="11"/>
  <c r="A78" i="11"/>
  <c r="H42" i="11"/>
  <c r="C42" i="11"/>
  <c r="A42" i="11"/>
  <c r="H41" i="11"/>
  <c r="C41" i="11"/>
  <c r="A41" i="11"/>
  <c r="H40" i="11"/>
  <c r="C40" i="11"/>
  <c r="A40" i="11"/>
  <c r="H39" i="11"/>
  <c r="C39" i="11"/>
  <c r="A39" i="11"/>
  <c r="H38" i="11"/>
  <c r="C38" i="11"/>
  <c r="A38" i="11"/>
  <c r="H37" i="11"/>
  <c r="C37" i="11"/>
  <c r="A37" i="11"/>
  <c r="H35" i="11"/>
  <c r="C35" i="11"/>
  <c r="A35" i="11"/>
  <c r="H34" i="11"/>
  <c r="C34" i="11"/>
  <c r="A34" i="11"/>
  <c r="H33" i="11"/>
  <c r="D33" i="11"/>
  <c r="C33" i="11"/>
  <c r="A33" i="11"/>
  <c r="H331" i="10"/>
  <c r="D331" i="10"/>
  <c r="C331" i="10"/>
  <c r="A331" i="10"/>
  <c r="H330" i="10"/>
  <c r="D330" i="10"/>
  <c r="C330" i="10"/>
  <c r="A330" i="10"/>
  <c r="H329" i="10"/>
  <c r="D329" i="10"/>
  <c r="C329" i="10"/>
  <c r="A329" i="10"/>
  <c r="H328" i="10"/>
  <c r="D328" i="10"/>
  <c r="C328" i="10"/>
  <c r="A328" i="10"/>
  <c r="H327" i="10"/>
  <c r="D327" i="10"/>
  <c r="C327" i="10"/>
  <c r="A327" i="10"/>
  <c r="C325" i="10"/>
  <c r="C324" i="10"/>
  <c r="B301" i="10"/>
  <c r="H324" i="10"/>
  <c r="H325" i="10"/>
  <c r="A324" i="10"/>
  <c r="A325" i="10"/>
  <c r="H293" i="10"/>
  <c r="D293" i="10"/>
  <c r="C293" i="10"/>
  <c r="A293" i="10"/>
  <c r="H292" i="10"/>
  <c r="D292" i="10"/>
  <c r="C292" i="10"/>
  <c r="A292" i="10"/>
  <c r="H291" i="10"/>
  <c r="D291" i="10"/>
  <c r="C291" i="10"/>
  <c r="A291" i="10"/>
  <c r="H290" i="10"/>
  <c r="D290" i="10"/>
  <c r="C290" i="10"/>
  <c r="A290" i="10"/>
  <c r="H289" i="10"/>
  <c r="D289" i="10"/>
  <c r="C289" i="10"/>
  <c r="A289" i="10"/>
  <c r="C287" i="10"/>
  <c r="C286" i="10"/>
  <c r="B263" i="10"/>
  <c r="H286" i="10"/>
  <c r="H287" i="10"/>
  <c r="A286" i="10"/>
  <c r="A287" i="10"/>
  <c r="H255" i="10"/>
  <c r="D255" i="10"/>
  <c r="C255" i="10"/>
  <c r="A255" i="10"/>
  <c r="H254" i="10"/>
  <c r="D254" i="10"/>
  <c r="C254" i="10"/>
  <c r="A254" i="10"/>
  <c r="H253" i="10"/>
  <c r="D253" i="10"/>
  <c r="C253" i="10"/>
  <c r="A253" i="10"/>
  <c r="H252" i="10"/>
  <c r="D252" i="10"/>
  <c r="C252" i="10"/>
  <c r="A252" i="10"/>
  <c r="H251" i="10"/>
  <c r="D251" i="10"/>
  <c r="C251" i="10"/>
  <c r="A251" i="10"/>
  <c r="C249" i="10"/>
  <c r="C248" i="10"/>
  <c r="B225" i="10"/>
  <c r="H248" i="10"/>
  <c r="H249" i="10"/>
  <c r="A248" i="10"/>
  <c r="A249" i="10"/>
  <c r="H217" i="10"/>
  <c r="A217" i="10"/>
  <c r="H216" i="10"/>
  <c r="A216" i="10"/>
  <c r="H215" i="10"/>
  <c r="D215" i="10"/>
  <c r="C215" i="10"/>
  <c r="A215" i="10"/>
  <c r="H214" i="10"/>
  <c r="D214" i="10"/>
  <c r="C214" i="10"/>
  <c r="A214" i="10"/>
  <c r="H213" i="10"/>
  <c r="D213" i="10"/>
  <c r="C213" i="10"/>
  <c r="A213" i="10"/>
  <c r="C211" i="10"/>
  <c r="C210" i="10"/>
  <c r="B187" i="10"/>
  <c r="H210" i="10"/>
  <c r="H211" i="10"/>
  <c r="A210" i="10"/>
  <c r="A211" i="10"/>
  <c r="H177" i="10"/>
  <c r="C177" i="10"/>
  <c r="A177" i="10"/>
  <c r="H176" i="10"/>
  <c r="C176" i="10"/>
  <c r="A176" i="10"/>
  <c r="H175" i="10"/>
  <c r="C175" i="10"/>
  <c r="A175" i="10"/>
  <c r="H174" i="10"/>
  <c r="C174" i="10"/>
  <c r="A174" i="10"/>
  <c r="H173" i="10"/>
  <c r="C173" i="10"/>
  <c r="A173" i="10"/>
  <c r="H172" i="10"/>
  <c r="C172" i="10"/>
  <c r="A172" i="10"/>
  <c r="H170" i="10"/>
  <c r="C170" i="10"/>
  <c r="A170" i="10"/>
  <c r="H169" i="10"/>
  <c r="C169" i="10"/>
  <c r="A169" i="10"/>
  <c r="H168" i="10"/>
  <c r="D168" i="10"/>
  <c r="C168" i="10"/>
  <c r="A168" i="10"/>
  <c r="H132" i="10"/>
  <c r="C132" i="10"/>
  <c r="A132" i="10"/>
  <c r="H131" i="10"/>
  <c r="C131" i="10"/>
  <c r="A131" i="10"/>
  <c r="H130" i="10"/>
  <c r="C130" i="10"/>
  <c r="A130" i="10"/>
  <c r="H129" i="10"/>
  <c r="C129" i="10"/>
  <c r="A129" i="10"/>
  <c r="H128" i="10"/>
  <c r="C128" i="10"/>
  <c r="A128" i="10"/>
  <c r="H127" i="10"/>
  <c r="C127" i="10"/>
  <c r="A127" i="10"/>
  <c r="H125" i="10"/>
  <c r="C125" i="10"/>
  <c r="A125" i="10"/>
  <c r="H124" i="10"/>
  <c r="C124" i="10"/>
  <c r="A124" i="10"/>
  <c r="H123" i="10"/>
  <c r="D123" i="10"/>
  <c r="C123" i="10"/>
  <c r="A123" i="10"/>
  <c r="H87" i="10"/>
  <c r="C87" i="10"/>
  <c r="A87" i="10"/>
  <c r="H86" i="10"/>
  <c r="C86" i="10"/>
  <c r="A86" i="10"/>
  <c r="H85" i="10"/>
  <c r="C85" i="10"/>
  <c r="A85" i="10"/>
  <c r="H84" i="10"/>
  <c r="C84" i="10"/>
  <c r="A84" i="10"/>
  <c r="H83" i="10"/>
  <c r="C83" i="10"/>
  <c r="A83" i="10"/>
  <c r="H82" i="10"/>
  <c r="C82" i="10"/>
  <c r="A82" i="10"/>
  <c r="H80" i="10"/>
  <c r="C80" i="10"/>
  <c r="A80" i="10"/>
  <c r="H79" i="10"/>
  <c r="C79" i="10"/>
  <c r="A79" i="10"/>
  <c r="H78" i="10"/>
  <c r="D78" i="10"/>
  <c r="C78" i="10"/>
  <c r="A78" i="10"/>
  <c r="H42" i="10"/>
  <c r="C42" i="10"/>
  <c r="A42" i="10"/>
  <c r="H41" i="10"/>
  <c r="C41" i="10"/>
  <c r="A41" i="10"/>
  <c r="H40" i="10"/>
  <c r="C40" i="10"/>
  <c r="A40" i="10"/>
  <c r="H39" i="10"/>
  <c r="C39" i="10"/>
  <c r="A39" i="10"/>
  <c r="H38" i="10"/>
  <c r="C38" i="10"/>
  <c r="A38" i="10"/>
  <c r="H37" i="10"/>
  <c r="C37" i="10"/>
  <c r="A37" i="10"/>
  <c r="H35" i="10"/>
  <c r="C35" i="10"/>
  <c r="A35" i="10"/>
  <c r="H34" i="10"/>
  <c r="C34" i="10"/>
  <c r="A34" i="10"/>
  <c r="H33" i="10"/>
  <c r="D33" i="10"/>
  <c r="C33" i="10"/>
  <c r="A33" i="10"/>
  <c r="H329" i="9"/>
  <c r="D329" i="9"/>
  <c r="C329" i="9"/>
  <c r="A329" i="9"/>
  <c r="H328" i="9"/>
  <c r="D328" i="9"/>
  <c r="C328" i="9"/>
  <c r="A328" i="9"/>
  <c r="H291" i="9"/>
  <c r="D291" i="9"/>
  <c r="C291" i="9"/>
  <c r="A291" i="9"/>
  <c r="H290" i="9"/>
  <c r="D290" i="9"/>
  <c r="C290" i="9"/>
  <c r="A290" i="9"/>
  <c r="H253" i="9"/>
  <c r="D253" i="9"/>
  <c r="C253" i="9"/>
  <c r="A253" i="9"/>
  <c r="H252" i="9"/>
  <c r="D252" i="9"/>
  <c r="C252" i="9"/>
  <c r="A252" i="9"/>
  <c r="H280" i="8"/>
  <c r="D280" i="8"/>
  <c r="C280" i="8"/>
  <c r="A280" i="8"/>
  <c r="H245" i="8"/>
  <c r="D245" i="8"/>
  <c r="C245" i="8"/>
  <c r="A245" i="8"/>
  <c r="H210" i="8"/>
  <c r="D210" i="8"/>
  <c r="C210" i="8"/>
  <c r="A210" i="8"/>
  <c r="H325" i="6"/>
  <c r="D325" i="6"/>
  <c r="C325" i="6"/>
  <c r="A325" i="6"/>
  <c r="H288" i="6"/>
  <c r="D288" i="6"/>
  <c r="C288" i="6"/>
  <c r="A288" i="6"/>
  <c r="H251" i="6"/>
  <c r="D251" i="6"/>
  <c r="C251" i="6"/>
  <c r="A251" i="6"/>
  <c r="H177" i="9"/>
  <c r="C177" i="9"/>
  <c r="A177" i="9"/>
  <c r="H176" i="9"/>
  <c r="C176" i="9"/>
  <c r="A176" i="9"/>
  <c r="H175" i="9"/>
  <c r="C175" i="9"/>
  <c r="A175" i="9"/>
  <c r="H174" i="9"/>
  <c r="C174" i="9"/>
  <c r="A174" i="9"/>
  <c r="H173" i="9"/>
  <c r="C173" i="9"/>
  <c r="A173" i="9"/>
  <c r="H172" i="9"/>
  <c r="C172" i="9"/>
  <c r="A172" i="9"/>
  <c r="H170" i="9"/>
  <c r="C170" i="9"/>
  <c r="A170" i="9"/>
  <c r="H169" i="9"/>
  <c r="C169" i="9"/>
  <c r="A169" i="9"/>
  <c r="H168" i="9"/>
  <c r="D168" i="9"/>
  <c r="C168" i="9"/>
  <c r="A168" i="9"/>
  <c r="H132" i="9"/>
  <c r="C132" i="9"/>
  <c r="A132" i="9"/>
  <c r="H131" i="9"/>
  <c r="C131" i="9"/>
  <c r="A131" i="9"/>
  <c r="H130" i="9"/>
  <c r="C130" i="9"/>
  <c r="A130" i="9"/>
  <c r="H129" i="9"/>
  <c r="C129" i="9"/>
  <c r="A129" i="9"/>
  <c r="H128" i="9"/>
  <c r="C128" i="9"/>
  <c r="A128" i="9"/>
  <c r="H127" i="9"/>
  <c r="C127" i="9"/>
  <c r="A127" i="9"/>
  <c r="H125" i="9"/>
  <c r="C125" i="9"/>
  <c r="A125" i="9"/>
  <c r="H124" i="9"/>
  <c r="C124" i="9"/>
  <c r="A124" i="9"/>
  <c r="H123" i="9"/>
  <c r="D123" i="9"/>
  <c r="C123" i="9"/>
  <c r="A123" i="9"/>
  <c r="H87" i="9"/>
  <c r="C87" i="9"/>
  <c r="A87" i="9"/>
  <c r="H86" i="9"/>
  <c r="C86" i="9"/>
  <c r="A86" i="9"/>
  <c r="H85" i="9"/>
  <c r="C85" i="9"/>
  <c r="A85" i="9"/>
  <c r="H84" i="9"/>
  <c r="C84" i="9"/>
  <c r="A84" i="9"/>
  <c r="H83" i="9"/>
  <c r="C83" i="9"/>
  <c r="A83" i="9"/>
  <c r="H82" i="9"/>
  <c r="C82" i="9"/>
  <c r="A82" i="9"/>
  <c r="H80" i="9"/>
  <c r="C80" i="9"/>
  <c r="A80" i="9"/>
  <c r="H79" i="9"/>
  <c r="C79" i="9"/>
  <c r="A79" i="9"/>
  <c r="H78" i="9"/>
  <c r="D78" i="9"/>
  <c r="C78" i="9"/>
  <c r="A78" i="9"/>
  <c r="H37" i="9"/>
  <c r="H38" i="9"/>
  <c r="H39" i="9"/>
  <c r="H214" i="9"/>
  <c r="H215" i="9"/>
  <c r="H40" i="9"/>
  <c r="H41" i="9"/>
  <c r="H42" i="9"/>
  <c r="C37" i="9"/>
  <c r="C38" i="9"/>
  <c r="C39" i="9"/>
  <c r="C214" i="9"/>
  <c r="D214" i="9"/>
  <c r="C215" i="9"/>
  <c r="D215" i="9"/>
  <c r="C40" i="9"/>
  <c r="C41" i="9"/>
  <c r="C42" i="9"/>
  <c r="A37" i="9"/>
  <c r="A38" i="9"/>
  <c r="A39" i="9"/>
  <c r="A214" i="9"/>
  <c r="A215" i="9"/>
  <c r="A40" i="9"/>
  <c r="A41" i="9"/>
  <c r="A42" i="9"/>
  <c r="H332" i="9"/>
  <c r="D332" i="9"/>
  <c r="C332" i="9"/>
  <c r="A332" i="9"/>
  <c r="H331" i="9"/>
  <c r="D331" i="9"/>
  <c r="C331" i="9"/>
  <c r="A331" i="9"/>
  <c r="H330" i="9"/>
  <c r="D330" i="9"/>
  <c r="C330" i="9"/>
  <c r="A330" i="9"/>
  <c r="C326" i="9"/>
  <c r="C325" i="9"/>
  <c r="H325" i="9"/>
  <c r="H326" i="9"/>
  <c r="A325" i="9"/>
  <c r="A326" i="9"/>
  <c r="H294" i="9"/>
  <c r="D294" i="9"/>
  <c r="C294" i="9"/>
  <c r="A294" i="9"/>
  <c r="H293" i="9"/>
  <c r="D293" i="9"/>
  <c r="C293" i="9"/>
  <c r="A293" i="9"/>
  <c r="H292" i="9"/>
  <c r="D292" i="9"/>
  <c r="C292" i="9"/>
  <c r="A292" i="9"/>
  <c r="C288" i="9"/>
  <c r="C287" i="9"/>
  <c r="A287" i="9"/>
  <c r="A288" i="9"/>
  <c r="H256" i="9"/>
  <c r="D256" i="9"/>
  <c r="C256" i="9"/>
  <c r="A256" i="9"/>
  <c r="H255" i="9"/>
  <c r="D255" i="9"/>
  <c r="C255" i="9"/>
  <c r="A255" i="9"/>
  <c r="H254" i="9"/>
  <c r="D254" i="9"/>
  <c r="C254" i="9"/>
  <c r="A254" i="9"/>
  <c r="C250" i="9"/>
  <c r="C249" i="9"/>
  <c r="A249" i="9"/>
  <c r="A250" i="9"/>
  <c r="H218" i="9"/>
  <c r="A218" i="9"/>
  <c r="H217" i="9"/>
  <c r="A217" i="9"/>
  <c r="H216" i="9"/>
  <c r="D216" i="9"/>
  <c r="C216" i="9"/>
  <c r="A216" i="9"/>
  <c r="C212" i="9"/>
  <c r="C211" i="9"/>
  <c r="A211" i="9"/>
  <c r="A212" i="9"/>
  <c r="H35" i="9"/>
  <c r="C35" i="9"/>
  <c r="A35" i="9"/>
  <c r="H34" i="9"/>
  <c r="C34" i="9"/>
  <c r="A34" i="9"/>
  <c r="H33" i="9"/>
  <c r="D33" i="9"/>
  <c r="C33" i="9"/>
  <c r="A33" i="9"/>
  <c r="H283" i="8"/>
  <c r="D283" i="8"/>
  <c r="C283" i="8"/>
  <c r="A283" i="8"/>
  <c r="H282" i="8"/>
  <c r="D282" i="8"/>
  <c r="C282" i="8"/>
  <c r="A282" i="8"/>
  <c r="H281" i="8"/>
  <c r="D281" i="8"/>
  <c r="C281" i="8"/>
  <c r="A281" i="8"/>
  <c r="C278" i="8"/>
  <c r="C277" i="8"/>
  <c r="B256" i="8"/>
  <c r="H277" i="8"/>
  <c r="H278" i="8"/>
  <c r="B255" i="8"/>
  <c r="B250" i="8"/>
  <c r="A277" i="8"/>
  <c r="A278" i="8"/>
  <c r="H248" i="8"/>
  <c r="D248" i="8"/>
  <c r="C248" i="8"/>
  <c r="A248" i="8"/>
  <c r="H247" i="8"/>
  <c r="D247" i="8"/>
  <c r="C247" i="8"/>
  <c r="A247" i="8"/>
  <c r="H246" i="8"/>
  <c r="D246" i="8"/>
  <c r="C246" i="8"/>
  <c r="A246" i="8"/>
  <c r="C243" i="8"/>
  <c r="C242" i="8"/>
  <c r="B221" i="8"/>
  <c r="H242" i="8"/>
  <c r="H243" i="8"/>
  <c r="B220" i="8"/>
  <c r="B234" i="8"/>
  <c r="B215" i="8"/>
  <c r="A242" i="8"/>
  <c r="A243" i="8"/>
  <c r="D212" i="8"/>
  <c r="D213" i="8"/>
  <c r="C212" i="8"/>
  <c r="C213" i="8"/>
  <c r="H213" i="8"/>
  <c r="A213" i="8"/>
  <c r="H212" i="8"/>
  <c r="A212" i="8"/>
  <c r="H211" i="8"/>
  <c r="D211" i="8"/>
  <c r="C211" i="8"/>
  <c r="A211" i="8"/>
  <c r="C208" i="8"/>
  <c r="C207" i="8"/>
  <c r="B186" i="8"/>
  <c r="H207" i="8"/>
  <c r="H208" i="8"/>
  <c r="B185" i="8"/>
  <c r="B180" i="8"/>
  <c r="A207" i="8"/>
  <c r="A208" i="8"/>
  <c r="H178" i="8"/>
  <c r="H177" i="8"/>
  <c r="A177" i="8"/>
  <c r="A178" i="8"/>
  <c r="H176" i="8"/>
  <c r="D176" i="8"/>
  <c r="C176" i="8"/>
  <c r="A176" i="8"/>
  <c r="C173" i="8"/>
  <c r="C172" i="8"/>
  <c r="B151" i="8"/>
  <c r="H172" i="8"/>
  <c r="H173" i="8"/>
  <c r="B150" i="8"/>
  <c r="B145" i="8"/>
  <c r="A172" i="8"/>
  <c r="A173" i="8"/>
  <c r="H140" i="8"/>
  <c r="C140" i="8"/>
  <c r="A140" i="8"/>
  <c r="H139" i="8"/>
  <c r="D139" i="8"/>
  <c r="C139" i="8"/>
  <c r="B114" i="8"/>
  <c r="B125" i="8"/>
  <c r="B109" i="8"/>
  <c r="A139" i="8"/>
  <c r="H104" i="8"/>
  <c r="C104" i="8"/>
  <c r="A104" i="8"/>
  <c r="H103" i="8"/>
  <c r="D103" i="8"/>
  <c r="C103" i="8"/>
  <c r="B78" i="8"/>
  <c r="B73" i="8"/>
  <c r="A103" i="8"/>
  <c r="H68" i="8"/>
  <c r="C68" i="8"/>
  <c r="A68" i="8"/>
  <c r="H67" i="8"/>
  <c r="D67" i="8"/>
  <c r="C67" i="8"/>
  <c r="B42" i="8"/>
  <c r="B37" i="8"/>
  <c r="A67" i="8"/>
  <c r="H175" i="8"/>
  <c r="H32" i="8"/>
  <c r="A175" i="8"/>
  <c r="C175" i="8"/>
  <c r="D175" i="8"/>
  <c r="C32" i="8"/>
  <c r="A32" i="8"/>
  <c r="B1" i="8"/>
  <c r="A31" i="8"/>
  <c r="B6" i="8"/>
  <c r="H31" i="8"/>
  <c r="D31" i="8"/>
  <c r="C31" i="8"/>
  <c r="H329" i="6"/>
  <c r="D329" i="6"/>
  <c r="C329" i="6"/>
  <c r="A329" i="6"/>
  <c r="H328" i="6"/>
  <c r="D328" i="6"/>
  <c r="C328" i="6"/>
  <c r="A328" i="6"/>
  <c r="H327" i="6"/>
  <c r="D327" i="6"/>
  <c r="C327" i="6"/>
  <c r="A327" i="6"/>
  <c r="C324" i="6"/>
  <c r="C323" i="6"/>
  <c r="B300" i="6"/>
  <c r="H323" i="6"/>
  <c r="H324" i="6"/>
  <c r="A323" i="6"/>
  <c r="A324" i="6"/>
  <c r="H292" i="6"/>
  <c r="D292" i="6"/>
  <c r="C292" i="6"/>
  <c r="A292" i="6"/>
  <c r="H291" i="6"/>
  <c r="D291" i="6"/>
  <c r="C291" i="6"/>
  <c r="A291" i="6"/>
  <c r="H290" i="6"/>
  <c r="D290" i="6"/>
  <c r="C290" i="6"/>
  <c r="A290" i="6"/>
  <c r="C287" i="6"/>
  <c r="C286" i="6"/>
  <c r="B263" i="6"/>
  <c r="H286" i="6"/>
  <c r="H287" i="6"/>
  <c r="A286" i="6"/>
  <c r="A287" i="6"/>
  <c r="H255" i="6"/>
  <c r="D255" i="6"/>
  <c r="C255" i="6"/>
  <c r="A255" i="6"/>
  <c r="H254" i="6"/>
  <c r="D254" i="6"/>
  <c r="C254" i="6"/>
  <c r="A254" i="6"/>
  <c r="H253" i="6"/>
  <c r="D253" i="6"/>
  <c r="C253" i="6"/>
  <c r="A253" i="6"/>
  <c r="C250" i="6"/>
  <c r="C249" i="6"/>
  <c r="B226" i="6"/>
  <c r="H249" i="6"/>
  <c r="H250" i="6"/>
  <c r="B230" i="6"/>
  <c r="B250" i="6"/>
  <c r="A249" i="6"/>
  <c r="A250" i="6"/>
  <c r="H216" i="6"/>
  <c r="H217" i="6"/>
  <c r="H218" i="6"/>
  <c r="A216" i="6"/>
  <c r="C216" i="6"/>
  <c r="D216" i="6"/>
  <c r="A217" i="6"/>
  <c r="C217" i="6"/>
  <c r="D217" i="6"/>
  <c r="A218" i="6"/>
  <c r="C218" i="6"/>
  <c r="D218" i="6"/>
  <c r="C213" i="6"/>
  <c r="B189" i="6"/>
  <c r="H212" i="6"/>
  <c r="H213" i="6"/>
  <c r="A212" i="6"/>
  <c r="A213" i="6"/>
  <c r="C212" i="6"/>
  <c r="B208" i="6"/>
  <c r="H179" i="6"/>
  <c r="D179" i="6"/>
  <c r="C179" i="6"/>
  <c r="A179" i="6"/>
  <c r="H177" i="6"/>
  <c r="D177" i="6"/>
  <c r="C177" i="6"/>
  <c r="A177" i="6"/>
  <c r="H176" i="6"/>
  <c r="D176" i="6"/>
  <c r="C176" i="6"/>
  <c r="A176" i="6"/>
  <c r="H175" i="6"/>
  <c r="D175" i="6"/>
  <c r="C175" i="6"/>
  <c r="A175" i="6"/>
  <c r="H174" i="6"/>
  <c r="D174" i="6"/>
  <c r="C174" i="6"/>
  <c r="A174" i="6"/>
  <c r="H172" i="6"/>
  <c r="D172" i="6"/>
  <c r="C172" i="6"/>
  <c r="A172" i="6"/>
  <c r="H171" i="6"/>
  <c r="D171" i="6"/>
  <c r="C171" i="6"/>
  <c r="A171" i="6"/>
  <c r="D170" i="6"/>
  <c r="C170" i="6"/>
  <c r="A170" i="6"/>
  <c r="H134" i="6"/>
  <c r="D134" i="6"/>
  <c r="C134" i="6"/>
  <c r="A134" i="6"/>
  <c r="H132" i="6"/>
  <c r="D132" i="6"/>
  <c r="C132" i="6"/>
  <c r="A132" i="6"/>
  <c r="H131" i="6"/>
  <c r="D131" i="6"/>
  <c r="C131" i="6"/>
  <c r="A131" i="6"/>
  <c r="H130" i="6"/>
  <c r="D130" i="6"/>
  <c r="C130" i="6"/>
  <c r="A130" i="6"/>
  <c r="H129" i="6"/>
  <c r="D129" i="6"/>
  <c r="C129" i="6"/>
  <c r="A129" i="6"/>
  <c r="H127" i="6"/>
  <c r="D127" i="6"/>
  <c r="C127" i="6"/>
  <c r="A127" i="6"/>
  <c r="H126" i="6"/>
  <c r="D126" i="6"/>
  <c r="C126" i="6"/>
  <c r="A126" i="6"/>
  <c r="D125" i="6"/>
  <c r="C125" i="6"/>
  <c r="A125" i="6"/>
  <c r="D81" i="6"/>
  <c r="C81" i="6"/>
  <c r="H89" i="6"/>
  <c r="D89" i="6"/>
  <c r="C89" i="6"/>
  <c r="A89" i="6"/>
  <c r="H86" i="6"/>
  <c r="D86" i="6"/>
  <c r="C86" i="6"/>
  <c r="A86" i="6"/>
  <c r="H85" i="6"/>
  <c r="D85" i="6"/>
  <c r="C85" i="6"/>
  <c r="A85" i="6"/>
  <c r="H84" i="6"/>
  <c r="D84" i="6"/>
  <c r="C84" i="6"/>
  <c r="A84" i="6"/>
  <c r="H82" i="6"/>
  <c r="D82" i="6"/>
  <c r="C82" i="6"/>
  <c r="A82" i="6"/>
  <c r="H81" i="6"/>
  <c r="A81" i="6"/>
  <c r="D80" i="6"/>
  <c r="C80" i="6"/>
  <c r="A80" i="6"/>
  <c r="H37" i="6"/>
  <c r="H39" i="6"/>
  <c r="H40" i="6"/>
  <c r="H41" i="6"/>
  <c r="H214" i="6"/>
  <c r="H42" i="6"/>
  <c r="H44" i="6"/>
  <c r="D37" i="6"/>
  <c r="D39" i="6"/>
  <c r="D40" i="6"/>
  <c r="D41" i="6"/>
  <c r="D214" i="6"/>
  <c r="D42" i="6"/>
  <c r="D44" i="6"/>
  <c r="C37" i="6"/>
  <c r="C39" i="6"/>
  <c r="C40" i="6"/>
  <c r="C41" i="6"/>
  <c r="C214" i="6"/>
  <c r="C42" i="6"/>
  <c r="C44" i="6"/>
  <c r="A37" i="6"/>
  <c r="A39" i="6"/>
  <c r="A40" i="6"/>
  <c r="A41" i="6"/>
  <c r="A214" i="6"/>
  <c r="A42" i="6"/>
  <c r="A44" i="6"/>
  <c r="H36" i="6"/>
  <c r="D36" i="6"/>
  <c r="C36" i="6"/>
  <c r="A36" i="6"/>
  <c r="AO4" i="1"/>
  <c r="AO5" i="1"/>
  <c r="B132" i="6"/>
  <c r="AO6" i="1"/>
  <c r="AO15" i="1"/>
  <c r="AO16" i="1"/>
  <c r="AO17" i="1"/>
  <c r="AO18" i="1"/>
  <c r="AO19" i="1"/>
  <c r="AO20" i="1"/>
  <c r="AO21" i="1"/>
  <c r="B131" i="9"/>
  <c r="AO22" i="1"/>
  <c r="AO23" i="1"/>
  <c r="AO24" i="1"/>
  <c r="AO25" i="1"/>
  <c r="AO26" i="1"/>
  <c r="AO27" i="1"/>
  <c r="AO28" i="1"/>
  <c r="AO29" i="1"/>
  <c r="B131" i="11"/>
  <c r="AO30" i="1"/>
  <c r="AO55" i="1"/>
  <c r="AO56" i="1"/>
  <c r="AO57" i="1"/>
  <c r="AO58" i="1"/>
  <c r="AO59" i="1"/>
  <c r="AO60" i="1"/>
  <c r="AO61" i="1"/>
  <c r="AO62" i="1"/>
  <c r="AO63" i="1"/>
  <c r="AO64" i="1"/>
  <c r="AO71" i="1"/>
  <c r="AO72" i="1"/>
  <c r="AO73" i="1"/>
  <c r="AO74" i="1"/>
  <c r="AO75" i="1"/>
  <c r="AO76" i="1"/>
  <c r="AO81" i="1"/>
  <c r="B41" i="15"/>
  <c r="AO82" i="1"/>
  <c r="B87" i="15"/>
  <c r="AO83" i="1"/>
  <c r="AO84" i="1"/>
  <c r="B179" i="15"/>
  <c r="AO112" i="1"/>
  <c r="AO113" i="1"/>
  <c r="AO114" i="1"/>
  <c r="AO116" i="1"/>
  <c r="AO117" i="1"/>
  <c r="AO118" i="1"/>
  <c r="AO151" i="1"/>
  <c r="B42" i="33"/>
  <c r="AO152" i="1"/>
  <c r="B88" i="33"/>
  <c r="AO153" i="1"/>
  <c r="B134" i="33"/>
  <c r="AO154" i="1"/>
  <c r="B180" i="33"/>
  <c r="AO159" i="1"/>
  <c r="B41" i="37"/>
  <c r="AO160" i="1"/>
  <c r="B87" i="37"/>
  <c r="AO161" i="1"/>
  <c r="B133" i="37"/>
  <c r="AO162" i="1"/>
  <c r="B179" i="37"/>
  <c r="AO163" i="1"/>
  <c r="B41" i="39"/>
  <c r="AO164" i="1"/>
  <c r="B87" i="39"/>
  <c r="AO165" i="1"/>
  <c r="B133" i="39"/>
  <c r="AO166" i="1"/>
  <c r="B179" i="39"/>
  <c r="AO3" i="1"/>
  <c r="A35" i="6"/>
  <c r="B19" i="6"/>
  <c r="B235" i="15"/>
  <c r="B163" i="13"/>
  <c r="AL56" i="1"/>
  <c r="B75" i="12"/>
  <c r="B76" i="12"/>
  <c r="AL57" i="1"/>
  <c r="B114" i="12"/>
  <c r="B115" i="12"/>
  <c r="AL58" i="1"/>
  <c r="AL55" i="1"/>
  <c r="B36" i="12"/>
  <c r="B37" i="12"/>
  <c r="D35" i="6"/>
  <c r="C35" i="6"/>
  <c r="Z4" i="1"/>
  <c r="AT4" i="1"/>
  <c r="Z5" i="1"/>
  <c r="AT5" i="1"/>
  <c r="Z6" i="1"/>
  <c r="AT6" i="1"/>
  <c r="B317" i="6"/>
  <c r="Z15" i="1"/>
  <c r="B163" i="8"/>
  <c r="Z16" i="1"/>
  <c r="Z17" i="1"/>
  <c r="B91" i="8"/>
  <c r="Z18" i="1"/>
  <c r="Z19" i="1"/>
  <c r="AT19" i="1"/>
  <c r="B24" i="9"/>
  <c r="Z20" i="1"/>
  <c r="AT20" i="1"/>
  <c r="B243" i="9"/>
  <c r="Z21" i="1"/>
  <c r="Z22" i="1"/>
  <c r="Z23" i="1"/>
  <c r="AT23" i="1"/>
  <c r="Z24" i="1"/>
  <c r="Z25" i="1"/>
  <c r="Z26" i="1"/>
  <c r="AT26" i="1"/>
  <c r="Z27" i="1"/>
  <c r="AT27" i="1"/>
  <c r="B204" i="11"/>
  <c r="Z28" i="1"/>
  <c r="Z29" i="1"/>
  <c r="AT29" i="1"/>
  <c r="Z30" i="1"/>
  <c r="AT30" i="1"/>
  <c r="Z55" i="1"/>
  <c r="AT55" i="1"/>
  <c r="Z56" i="1"/>
  <c r="AT56" i="1"/>
  <c r="Z57" i="1"/>
  <c r="Z58" i="1"/>
  <c r="AT58" i="1"/>
  <c r="Z59" i="1"/>
  <c r="Z60" i="1"/>
  <c r="B56" i="13"/>
  <c r="Z61" i="1"/>
  <c r="Z62" i="1"/>
  <c r="B131" i="13"/>
  <c r="Z63" i="1"/>
  <c r="B169" i="13"/>
  <c r="Z64" i="1"/>
  <c r="Z71" i="1"/>
  <c r="Z72" i="1"/>
  <c r="Z73" i="1"/>
  <c r="Z74" i="1"/>
  <c r="Z75" i="1"/>
  <c r="Z76" i="1"/>
  <c r="B640" i="14"/>
  <c r="Z101" i="1"/>
  <c r="Z102" i="1"/>
  <c r="B328" i="16"/>
  <c r="Z103" i="1"/>
  <c r="Z104" i="1"/>
  <c r="Z105" i="1"/>
  <c r="Z106" i="1"/>
  <c r="Z107" i="1"/>
  <c r="Z108" i="1"/>
  <c r="Z109" i="1"/>
  <c r="Z110" i="1"/>
  <c r="Z111" i="1"/>
  <c r="Z112" i="1"/>
  <c r="Z113" i="1"/>
  <c r="B250" i="18"/>
  <c r="Z114" i="1"/>
  <c r="B328" i="18"/>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B40" i="15"/>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B275" i="11"/>
  <c r="AP28" i="1"/>
  <c r="AP24" i="1"/>
  <c r="B314" i="9"/>
  <c r="AP6" i="1"/>
  <c r="U4" i="1"/>
  <c r="AN4" i="1"/>
  <c r="U5" i="1"/>
  <c r="AN5" i="1"/>
  <c r="B133" i="6"/>
  <c r="U6" i="1"/>
  <c r="AN6" i="1"/>
  <c r="B178" i="6"/>
  <c r="U15" i="1"/>
  <c r="AN15" i="1"/>
  <c r="U16" i="1"/>
  <c r="AN16" i="1"/>
  <c r="U17" i="1"/>
  <c r="AN17" i="1"/>
  <c r="U18" i="1"/>
  <c r="AN18" i="1"/>
  <c r="U19" i="1"/>
  <c r="AN19" i="1"/>
  <c r="U20" i="1"/>
  <c r="AN20" i="1"/>
  <c r="U21" i="1"/>
  <c r="AN21" i="1"/>
  <c r="U22" i="1"/>
  <c r="AN22" i="1"/>
  <c r="U23" i="1"/>
  <c r="P23" i="1"/>
  <c r="U24" i="1"/>
  <c r="AN24" i="1"/>
  <c r="B85" i="10"/>
  <c r="U25" i="1"/>
  <c r="AN25" i="1"/>
  <c r="U26" i="1"/>
  <c r="AN26" i="1"/>
  <c r="U27" i="1"/>
  <c r="AN27" i="1"/>
  <c r="U28" i="1"/>
  <c r="AN28" i="1"/>
  <c r="B85" i="1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B87" i="33"/>
  <c r="AN154" i="1"/>
  <c r="B179" i="33"/>
  <c r="AN166" i="1"/>
  <c r="B178" i="39"/>
  <c r="U3" i="1"/>
  <c r="AN3" i="1"/>
  <c r="B43" i="6"/>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B255" i="12"/>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B576" i="14"/>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B17" i="6"/>
  <c r="B15" i="6"/>
  <c r="B28" i="6"/>
  <c r="AW103" i="1"/>
  <c r="AW74" i="1"/>
  <c r="AW63" i="1"/>
  <c r="B569" i="13"/>
  <c r="AW114" i="1"/>
  <c r="B499" i="16"/>
  <c r="AW104" i="1"/>
  <c r="B501" i="16"/>
  <c r="AW113" i="1"/>
  <c r="AW101" i="1"/>
  <c r="AW105" i="1"/>
  <c r="B343" i="16"/>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B686" i="17"/>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608" i="17"/>
  <c r="BF111" i="1"/>
  <c r="CC111" i="1"/>
  <c r="BK111" i="1"/>
  <c r="CD111" i="1"/>
  <c r="BM111" i="1"/>
  <c r="CI111" i="1"/>
  <c r="BN111" i="1"/>
  <c r="BS111" i="1"/>
  <c r="AX111" i="1"/>
  <c r="BU111" i="1"/>
  <c r="BC111" i="1"/>
  <c r="BV111" i="1"/>
  <c r="B603" i="17"/>
  <c r="AZ105" i="1"/>
  <c r="BH105" i="1"/>
  <c r="BP105" i="1"/>
  <c r="BX105" i="1"/>
  <c r="CF105" i="1"/>
  <c r="BA105" i="1"/>
  <c r="B583" i="16"/>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B652" i="13"/>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577" i="13"/>
  <c r="BM63" i="1"/>
  <c r="BU63" i="1"/>
  <c r="CC63" i="1"/>
  <c r="AX63" i="1"/>
  <c r="BF63" i="1"/>
  <c r="BN63" i="1"/>
  <c r="BV63" i="1"/>
  <c r="CD63" i="1"/>
  <c r="AY63" i="1"/>
  <c r="BG63" i="1"/>
  <c r="B579" i="13"/>
  <c r="BO63" i="1"/>
  <c r="BW63" i="1"/>
  <c r="CE63" i="1"/>
  <c r="AZ63" i="1"/>
  <c r="BH63" i="1"/>
  <c r="BP63" i="1"/>
  <c r="CF63" i="1"/>
  <c r="BX63" i="1"/>
  <c r="BZ63" i="1"/>
  <c r="CH63" i="1"/>
  <c r="B605" i="13"/>
  <c r="BD59" i="1"/>
  <c r="BL59" i="1"/>
  <c r="BT59" i="1"/>
  <c r="CB59" i="1"/>
  <c r="CJ59" i="1"/>
  <c r="BF59" i="1"/>
  <c r="BN59" i="1"/>
  <c r="BV59" i="1"/>
  <c r="CD59" i="1"/>
  <c r="AY59" i="1"/>
  <c r="B263" i="13"/>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B313" i="6"/>
  <c r="B310" i="6"/>
  <c r="B239" i="9"/>
  <c r="B21" i="13"/>
  <c r="AH59" i="1"/>
  <c r="B34" i="13"/>
  <c r="K164" i="7"/>
  <c r="K205" i="7"/>
  <c r="K298" i="7"/>
  <c r="K291" i="7"/>
  <c r="K163" i="7"/>
  <c r="K189" i="7"/>
  <c r="K223" i="7"/>
  <c r="K190" i="7"/>
  <c r="K157" i="7"/>
  <c r="K297" i="7"/>
  <c r="K290" i="7"/>
  <c r="K207" i="7"/>
  <c r="K194" i="7"/>
  <c r="K161" i="7"/>
  <c r="K293" i="7"/>
  <c r="K210" i="7"/>
  <c r="AG72" i="1"/>
  <c r="AG108" i="1"/>
  <c r="AG117" i="1"/>
  <c r="K140" i="7"/>
  <c r="K288" i="7"/>
  <c r="K241" i="7"/>
  <c r="K226" i="7"/>
  <c r="AG61" i="1"/>
  <c r="B400" i="13"/>
  <c r="K299" i="7"/>
  <c r="K292" i="7"/>
  <c r="K237" i="7"/>
  <c r="K139" i="7"/>
  <c r="K156" i="7"/>
  <c r="K296" i="7"/>
  <c r="K249" i="7"/>
  <c r="K242" i="7"/>
  <c r="AG75" i="1"/>
  <c r="K152" i="7"/>
  <c r="K300" i="7"/>
  <c r="K245" i="7"/>
  <c r="K196" i="7"/>
  <c r="K155" i="7"/>
  <c r="AG73" i="1"/>
  <c r="AG59" i="1"/>
  <c r="B246" i="13"/>
  <c r="AW76" i="1"/>
  <c r="AW72" i="1"/>
  <c r="AG109" i="1"/>
  <c r="AH109" i="1"/>
  <c r="AH117" i="1"/>
  <c r="AH111" i="1"/>
  <c r="AG101" i="1"/>
  <c r="P108" i="1"/>
  <c r="AG111" i="1"/>
  <c r="AW111" i="1"/>
  <c r="B568" i="13"/>
  <c r="AW59" i="1"/>
  <c r="AW62" i="1"/>
  <c r="B414" i="13"/>
  <c r="B285" i="14"/>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256" i="15"/>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B515" i="14"/>
  <c r="B515" i="28"/>
  <c r="B645" i="13"/>
  <c r="AW64" i="1"/>
  <c r="B646" i="13"/>
  <c r="BD64" i="1"/>
  <c r="B653" i="13"/>
  <c r="BM64" i="1"/>
  <c r="B662" i="13"/>
  <c r="B246" i="15"/>
  <c r="B103" i="6"/>
  <c r="B192" i="10"/>
  <c r="B249" i="13"/>
  <c r="B154" i="15"/>
  <c r="B548" i="13"/>
  <c r="B39" i="15"/>
  <c r="B268" i="11"/>
  <c r="B307" i="9"/>
  <c r="B238" i="13"/>
  <c r="B247" i="15"/>
  <c r="B127" i="14"/>
  <c r="B62" i="9"/>
  <c r="B306" i="10"/>
  <c r="B35" i="15"/>
  <c r="B547" i="13"/>
  <c r="B199" i="13"/>
  <c r="B104" i="6"/>
  <c r="B62" i="6"/>
  <c r="B82" i="6"/>
  <c r="B308" i="9"/>
  <c r="B12" i="13"/>
  <c r="B319" i="6"/>
  <c r="B68" i="10"/>
  <c r="B60" i="13"/>
  <c r="B230" i="11"/>
  <c r="B107" i="11"/>
  <c r="B180" i="12"/>
  <c r="B157" i="11"/>
  <c r="B198" i="9"/>
  <c r="B268" i="8"/>
  <c r="B314" i="13"/>
  <c r="B332" i="13"/>
  <c r="B103" i="11"/>
  <c r="B23" i="10"/>
  <c r="B17" i="8"/>
  <c r="B125" i="10"/>
  <c r="B160" i="9"/>
  <c r="B312" i="15"/>
  <c r="B69" i="6"/>
  <c r="B320" i="13"/>
  <c r="B278" i="6"/>
  <c r="B271" i="6"/>
  <c r="B468" i="13"/>
  <c r="B486" i="13"/>
  <c r="B392" i="13"/>
  <c r="B98" i="12"/>
  <c r="B92" i="12"/>
  <c r="B148" i="11"/>
  <c r="B242" i="9"/>
  <c r="B168" i="8"/>
  <c r="B318" i="13"/>
  <c r="B52" i="13"/>
  <c r="B86" i="8"/>
  <c r="B54" i="12"/>
  <c r="B307" i="11"/>
  <c r="B270" i="10"/>
  <c r="B149" i="9"/>
  <c r="B22" i="8"/>
  <c r="B125" i="11"/>
  <c r="B17" i="9"/>
  <c r="B56" i="8"/>
  <c r="B477" i="16"/>
  <c r="B114" i="6"/>
  <c r="B270" i="6"/>
  <c r="B236" i="6"/>
  <c r="B117" i="6"/>
  <c r="B53" i="8"/>
  <c r="B125" i="13"/>
  <c r="B160" i="11"/>
  <c r="B327" i="13"/>
  <c r="B170" i="10"/>
  <c r="B306" i="11"/>
  <c r="B230" i="9"/>
  <c r="B250" i="9"/>
  <c r="B166" i="8"/>
  <c r="B326" i="13"/>
  <c r="B15" i="8"/>
  <c r="B308" i="12"/>
  <c r="B113" i="11"/>
  <c r="B62" i="10"/>
  <c r="B25" i="10"/>
  <c r="B67" i="6"/>
  <c r="B112" i="6"/>
  <c r="B58" i="6"/>
  <c r="B59" i="6"/>
  <c r="B306" i="6"/>
  <c r="B264" i="8"/>
  <c r="B60" i="8"/>
  <c r="B179" i="12"/>
  <c r="B129" i="9"/>
  <c r="B256" i="12"/>
  <c r="B230" i="10"/>
  <c r="B174" i="9"/>
  <c r="B194" i="8"/>
  <c r="B307" i="6"/>
  <c r="B112" i="10"/>
  <c r="B47" i="8"/>
  <c r="B401" i="13"/>
  <c r="B80" i="10"/>
  <c r="B262" i="8"/>
  <c r="B48" i="8"/>
  <c r="B159" i="8"/>
  <c r="B129" i="10"/>
  <c r="B131" i="6"/>
  <c r="B116" i="11"/>
  <c r="B102" i="11"/>
  <c r="B267" i="6"/>
  <c r="B95" i="13"/>
  <c r="B150" i="10"/>
  <c r="B39" i="10"/>
  <c r="B203" i="9"/>
  <c r="B60" i="12"/>
  <c r="B15" i="10"/>
  <c r="B233" i="9"/>
  <c r="B130" i="13"/>
  <c r="B107" i="9"/>
  <c r="B318" i="6"/>
  <c r="B13" i="9"/>
  <c r="B316" i="13"/>
  <c r="B21" i="8"/>
  <c r="B278" i="10"/>
  <c r="B51" i="8"/>
  <c r="B206" i="11"/>
  <c r="B104" i="9"/>
  <c r="B59" i="14"/>
  <c r="B158" i="9"/>
  <c r="B474" i="13"/>
  <c r="B273" i="6"/>
  <c r="B56" i="10"/>
  <c r="B272" i="9"/>
  <c r="B11" i="10"/>
  <c r="B229" i="10"/>
  <c r="B249" i="10"/>
  <c r="B125" i="9"/>
  <c r="B35" i="10"/>
  <c r="B113" i="9"/>
  <c r="B308" i="11"/>
  <c r="B233" i="10"/>
  <c r="B305" i="11"/>
  <c r="B325" i="11"/>
  <c r="B22" i="10"/>
  <c r="B97" i="13"/>
  <c r="B160" i="6"/>
  <c r="B240" i="11"/>
  <c r="B469" i="13"/>
  <c r="B24" i="13"/>
  <c r="B147" i="11"/>
  <c r="B83" i="8"/>
  <c r="B161" i="9"/>
  <c r="B325" i="6"/>
  <c r="B91" i="13"/>
  <c r="B159" i="6"/>
  <c r="B317" i="13"/>
  <c r="B480" i="13"/>
  <c r="B296" i="12"/>
  <c r="B109" i="6"/>
  <c r="B150" i="11"/>
  <c r="B273" i="11"/>
  <c r="B238" i="8"/>
  <c r="B107" i="6"/>
  <c r="B239" i="13"/>
  <c r="B148" i="9"/>
  <c r="B193" i="9"/>
  <c r="B203" i="11"/>
  <c r="B309" i="10"/>
  <c r="B102" i="9"/>
  <c r="B58" i="10"/>
  <c r="B123" i="8"/>
  <c r="B51" i="13"/>
  <c r="B58" i="8"/>
  <c r="B152" i="11"/>
  <c r="B50" i="8"/>
  <c r="B148" i="6"/>
  <c r="B103" i="10"/>
  <c r="B92" i="13"/>
  <c r="B26" i="10"/>
  <c r="B59" i="8"/>
  <c r="B157" i="8"/>
  <c r="B104" i="11"/>
  <c r="B49" i="8"/>
  <c r="B157" i="9"/>
  <c r="B88" i="13"/>
  <c r="B268" i="6"/>
  <c r="B83" i="6"/>
  <c r="B57" i="8"/>
  <c r="B157" i="6"/>
  <c r="B156" i="8"/>
  <c r="B113" i="10"/>
  <c r="B131" i="10"/>
  <c r="B271" i="8"/>
  <c r="B129" i="13"/>
  <c r="B105" i="11"/>
  <c r="B231" i="9"/>
  <c r="B475" i="13"/>
  <c r="B316" i="11"/>
  <c r="B244" i="9"/>
  <c r="B191" i="11"/>
  <c r="B211" i="11"/>
  <c r="B11" i="13"/>
  <c r="B81" i="11"/>
  <c r="B176" i="12"/>
  <c r="B146" i="9"/>
  <c r="B56" i="14"/>
  <c r="B207" i="9"/>
  <c r="B50" i="13"/>
  <c r="B84" i="9"/>
  <c r="B308" i="6"/>
  <c r="B172" i="6"/>
  <c r="B311" i="11"/>
  <c r="B311" i="10"/>
  <c r="B215" i="16"/>
  <c r="B477" i="14"/>
  <c r="B167" i="8"/>
  <c r="B128" i="12"/>
  <c r="B170" i="9"/>
  <c r="B136" i="13"/>
  <c r="B397" i="13"/>
  <c r="B12" i="10"/>
  <c r="B98" i="13"/>
  <c r="B300" i="12"/>
  <c r="B241" i="10"/>
  <c r="B260" i="8"/>
  <c r="B278" i="8"/>
  <c r="B135" i="13"/>
  <c r="B268" i="10"/>
  <c r="B158" i="8"/>
  <c r="B92" i="8"/>
  <c r="B231" i="10"/>
  <c r="B480" i="16"/>
  <c r="B273" i="8"/>
  <c r="B197" i="10"/>
  <c r="B35" i="9"/>
  <c r="B152" i="10"/>
  <c r="B26" i="9"/>
  <c r="B171" i="12"/>
  <c r="B213" i="14"/>
  <c r="B283" i="9"/>
  <c r="B251" i="10"/>
  <c r="B327" i="11"/>
  <c r="B60" i="6"/>
  <c r="B202" i="11"/>
  <c r="B395" i="13"/>
  <c r="B70" i="10"/>
  <c r="B63" i="12"/>
  <c r="B127" i="13"/>
  <c r="B270" i="9"/>
  <c r="B54" i="13"/>
  <c r="B101" i="11"/>
  <c r="B17" i="13"/>
  <c r="B95" i="8"/>
  <c r="B481" i="13"/>
  <c r="B124" i="13"/>
  <c r="B229" i="11"/>
  <c r="B249" i="11"/>
  <c r="B282" i="9"/>
  <c r="B73" i="6"/>
  <c r="B107" i="10"/>
  <c r="B233" i="11"/>
  <c r="B480" i="14"/>
  <c r="B129" i="14"/>
  <c r="B125" i="14"/>
  <c r="B278" i="15"/>
  <c r="B234" i="15"/>
  <c r="B209" i="14"/>
  <c r="B403" i="13"/>
  <c r="B274" i="9"/>
  <c r="B158" i="11"/>
  <c r="B11" i="9"/>
  <c r="B123" i="13"/>
  <c r="B152" i="9"/>
  <c r="B318" i="10"/>
  <c r="B315" i="6"/>
  <c r="B89" i="13"/>
  <c r="B152" i="6"/>
  <c r="B192" i="11"/>
  <c r="B328" i="9"/>
  <c r="B269" i="6"/>
  <c r="B251" i="11"/>
  <c r="B233" i="15"/>
  <c r="B253" i="15"/>
  <c r="B85" i="15"/>
  <c r="B276" i="6"/>
  <c r="B115" i="9"/>
  <c r="B241" i="9"/>
  <c r="B101" i="9"/>
  <c r="B174" i="11"/>
  <c r="B22" i="9"/>
  <c r="B174" i="10"/>
  <c r="B70" i="6"/>
  <c r="B281" i="6"/>
  <c r="B14" i="9"/>
  <c r="B155" i="8"/>
  <c r="B173" i="8"/>
  <c r="B161" i="8"/>
  <c r="B192" i="9"/>
  <c r="B212" i="9"/>
  <c r="B23" i="13"/>
  <c r="B140" i="12"/>
  <c r="B71" i="10"/>
  <c r="B126" i="11"/>
  <c r="B115" i="6"/>
  <c r="B327" i="10"/>
  <c r="B34" i="15"/>
  <c r="B624" i="13"/>
  <c r="B61" i="13"/>
  <c r="B23" i="9"/>
  <c r="B320" i="11"/>
  <c r="B315" i="13"/>
  <c r="B271" i="9"/>
  <c r="B394" i="13"/>
  <c r="B116" i="9"/>
  <c r="B12" i="9"/>
  <c r="B12" i="11"/>
  <c r="B15" i="9"/>
  <c r="B266" i="8"/>
  <c r="B470" i="13"/>
  <c r="B68" i="9"/>
  <c r="B203" i="8"/>
  <c r="B161" i="11"/>
  <c r="B558" i="16"/>
  <c r="B178" i="15"/>
  <c r="B81" i="15"/>
  <c r="B150" i="9"/>
  <c r="B243" i="10"/>
  <c r="B472" i="13"/>
  <c r="B164" i="8"/>
  <c r="B11" i="11"/>
  <c r="B126" i="13"/>
  <c r="B279" i="10"/>
  <c r="B90" i="12"/>
  <c r="B561" i="17"/>
  <c r="B165" i="13"/>
  <c r="B162" i="13"/>
  <c r="B244" i="13"/>
  <c r="B232" i="9"/>
  <c r="B269" i="8"/>
  <c r="B49" i="13"/>
  <c r="B149" i="11"/>
  <c r="B129" i="11"/>
  <c r="B13" i="10"/>
  <c r="B67" i="11"/>
  <c r="B557" i="17"/>
  <c r="B211" i="14"/>
  <c r="B206" i="14"/>
  <c r="B324" i="14"/>
  <c r="B62" i="14"/>
  <c r="B204" i="14"/>
  <c r="B104" i="10"/>
  <c r="B308" i="10"/>
  <c r="B244" i="11"/>
  <c r="B315" i="12"/>
  <c r="B112" i="9"/>
  <c r="B391" i="13"/>
  <c r="B409" i="13"/>
  <c r="B102" i="10"/>
  <c r="B57" i="10"/>
  <c r="B236" i="9"/>
  <c r="B267" i="10"/>
  <c r="B287" i="10"/>
  <c r="B149" i="15"/>
  <c r="B322" i="15"/>
  <c r="B202" i="13"/>
  <c r="B57" i="14"/>
  <c r="B138" i="14"/>
  <c r="B203" i="13"/>
  <c r="B13" i="14"/>
  <c r="B207" i="14"/>
  <c r="B116" i="10"/>
  <c r="B84" i="10"/>
  <c r="B319" i="11"/>
  <c r="B105" i="6"/>
  <c r="B302" i="12"/>
  <c r="B282" i="10"/>
  <c r="B269" i="11"/>
  <c r="B245" i="9"/>
  <c r="B206" i="9"/>
  <c r="B165" i="8"/>
  <c r="B476" i="14"/>
  <c r="B494" i="14"/>
  <c r="B323" i="15"/>
  <c r="B324" i="16"/>
  <c r="B210" i="14"/>
  <c r="B639" i="14"/>
  <c r="B281" i="10"/>
  <c r="B106" i="6"/>
  <c r="B269" i="9"/>
  <c r="B316" i="10"/>
  <c r="B306" i="12"/>
  <c r="B14" i="8"/>
  <c r="B11" i="8"/>
  <c r="B317" i="15"/>
  <c r="B23" i="18"/>
  <c r="B22" i="15"/>
  <c r="B206" i="13"/>
  <c r="B273" i="10"/>
  <c r="B231" i="11"/>
  <c r="B288" i="6"/>
  <c r="B168" i="12"/>
  <c r="B192" i="12"/>
  <c r="B196" i="9"/>
  <c r="B307" i="10"/>
  <c r="B290" i="9"/>
  <c r="B137" i="12"/>
  <c r="B311" i="15"/>
  <c r="B331" i="15"/>
  <c r="B315" i="15"/>
  <c r="B104" i="15"/>
  <c r="B203" i="14"/>
  <c r="B87" i="17"/>
  <c r="B401" i="14"/>
  <c r="B195" i="10"/>
  <c r="B60" i="10"/>
  <c r="B317" i="11"/>
  <c r="B177" i="12"/>
  <c r="B120" i="8"/>
  <c r="B204" i="9"/>
  <c r="B205" i="14"/>
  <c r="B327" i="14"/>
  <c r="B309" i="11"/>
  <c r="B176" i="6"/>
  <c r="B103" i="15"/>
  <c r="B70" i="15"/>
  <c r="B13" i="8"/>
  <c r="B24" i="12"/>
  <c r="B154" i="6"/>
  <c r="B93" i="12"/>
  <c r="B23" i="8"/>
  <c r="B60" i="9"/>
  <c r="B62" i="15"/>
  <c r="B59" i="15"/>
  <c r="B318" i="9"/>
  <c r="B306" i="9"/>
  <c r="B326" i="9"/>
  <c r="B195" i="9"/>
  <c r="B113" i="15"/>
  <c r="B236" i="15"/>
  <c r="B115" i="10"/>
  <c r="B205" i="13"/>
  <c r="B112" i="11"/>
  <c r="B94" i="8"/>
  <c r="B552" i="13"/>
  <c r="B243" i="13"/>
  <c r="B270" i="11"/>
  <c r="B629" i="13"/>
  <c r="B170" i="12"/>
  <c r="B241" i="13"/>
  <c r="B57" i="9"/>
  <c r="B305" i="6"/>
  <c r="B147" i="9"/>
  <c r="B320" i="17"/>
  <c r="B338" i="17"/>
  <c r="B232" i="11"/>
  <c r="B146" i="11"/>
  <c r="B173" i="15"/>
  <c r="B215" i="14"/>
  <c r="B635" i="13"/>
  <c r="B243" i="11"/>
  <c r="B26" i="15"/>
  <c r="B203" i="10"/>
  <c r="B279" i="9"/>
  <c r="B161" i="10"/>
  <c r="B148" i="10"/>
  <c r="B17" i="11"/>
  <c r="B558" i="13"/>
  <c r="B201" i="8"/>
  <c r="B85" i="13"/>
  <c r="B211" i="13"/>
  <c r="B122" i="8"/>
  <c r="B147" i="10"/>
  <c r="B57" i="11"/>
  <c r="B70" i="11"/>
  <c r="B248" i="15"/>
  <c r="B15" i="11"/>
  <c r="B62" i="11"/>
  <c r="B546" i="13"/>
  <c r="B167" i="12"/>
  <c r="B549" i="13"/>
  <c r="B316" i="6"/>
  <c r="B398" i="17"/>
  <c r="B416" i="17"/>
  <c r="B13" i="18"/>
  <c r="B39" i="9"/>
  <c r="B201" i="13"/>
  <c r="B402" i="14"/>
  <c r="B551" i="13"/>
  <c r="B58" i="15"/>
  <c r="B192" i="8"/>
  <c r="B125" i="15"/>
  <c r="B102" i="15"/>
  <c r="B289" i="11"/>
  <c r="B206" i="10"/>
  <c r="B148" i="15"/>
  <c r="B71" i="15"/>
  <c r="B22" i="11"/>
  <c r="B289" i="10"/>
  <c r="B12" i="15"/>
  <c r="B197" i="11"/>
  <c r="B321" i="9"/>
  <c r="B24" i="15"/>
  <c r="B128" i="14"/>
  <c r="B68" i="11"/>
  <c r="B150" i="6"/>
  <c r="B99" i="12"/>
  <c r="B244" i="15"/>
  <c r="B212" i="13"/>
  <c r="B59" i="10"/>
  <c r="B26" i="11"/>
  <c r="B633" i="17"/>
  <c r="B209" i="16"/>
  <c r="B260" i="21"/>
  <c r="B273" i="19"/>
  <c r="B293" i="19"/>
  <c r="B263" i="12"/>
  <c r="B206" i="22"/>
  <c r="B166" i="18"/>
  <c r="B105" i="10"/>
  <c r="B131" i="15"/>
  <c r="B186" i="12"/>
  <c r="B626" i="13"/>
  <c r="B636" i="14"/>
  <c r="B267" i="11"/>
  <c r="B287" i="11"/>
  <c r="B96" i="8"/>
  <c r="B195" i="11"/>
  <c r="B628" i="13"/>
  <c r="B23" i="11"/>
  <c r="B24" i="8"/>
  <c r="B116" i="15"/>
  <c r="B137" i="14"/>
  <c r="B280" i="9"/>
  <c r="B56" i="11"/>
  <c r="B235" i="10"/>
  <c r="B281" i="11"/>
  <c r="B174" i="15"/>
  <c r="B132" i="14"/>
  <c r="B164" i="13"/>
  <c r="B320" i="9"/>
  <c r="B13" i="15"/>
  <c r="B127" i="15"/>
  <c r="B191" i="8"/>
  <c r="B95" i="12"/>
  <c r="B101" i="10"/>
  <c r="B159" i="15"/>
  <c r="B35" i="11"/>
  <c r="B282" i="11"/>
  <c r="B18" i="13"/>
  <c r="AW73" i="1"/>
  <c r="AW60" i="1"/>
  <c r="B338" i="13"/>
  <c r="B337" i="13"/>
  <c r="B334" i="15"/>
  <c r="B241" i="15"/>
  <c r="B110" i="15"/>
  <c r="B89" i="8"/>
  <c r="B167" i="13"/>
  <c r="B115" i="11"/>
  <c r="B39" i="11"/>
  <c r="B310" i="9"/>
  <c r="B67" i="9"/>
  <c r="B84" i="11"/>
  <c r="B209" i="19"/>
  <c r="B260" i="20"/>
  <c r="B118" i="6"/>
  <c r="B393" i="13"/>
  <c r="B101" i="12"/>
  <c r="B162" i="15"/>
  <c r="B320" i="10"/>
  <c r="B171" i="15"/>
  <c r="B117" i="15"/>
  <c r="B17" i="15"/>
  <c r="B71" i="9"/>
  <c r="B634" i="13"/>
  <c r="B325" i="15"/>
  <c r="B205" i="11"/>
  <c r="B14" i="15"/>
  <c r="B119" i="8"/>
  <c r="B25" i="15"/>
  <c r="B128" i="8"/>
  <c r="B232" i="10"/>
  <c r="B332" i="16"/>
  <c r="B269" i="10"/>
  <c r="B64" i="15"/>
  <c r="B48" i="13"/>
  <c r="B113" i="21"/>
  <c r="B317" i="10"/>
  <c r="B105" i="9"/>
  <c r="B85" i="8"/>
  <c r="B41" i="22"/>
  <c r="B173" i="12"/>
  <c r="B200" i="13"/>
  <c r="B278" i="11"/>
  <c r="B149" i="6"/>
  <c r="B41" i="21"/>
  <c r="B321" i="17"/>
  <c r="B168" i="18"/>
  <c r="B117" i="21"/>
  <c r="B190" i="8"/>
  <c r="B208" i="8"/>
  <c r="B56" i="12"/>
  <c r="B79" i="15"/>
  <c r="B131" i="14"/>
  <c r="B625" i="13"/>
  <c r="B193" i="10"/>
  <c r="B272" i="8"/>
  <c r="B317" i="9"/>
  <c r="B279" i="11"/>
  <c r="B200" i="8"/>
  <c r="B304" i="6"/>
  <c r="B324" i="6"/>
  <c r="B240" i="10"/>
  <c r="B14" i="10"/>
  <c r="B326" i="15"/>
  <c r="B170" i="11"/>
  <c r="B172" i="15"/>
  <c r="B13" i="13"/>
  <c r="B81" i="9"/>
  <c r="B70" i="21"/>
  <c r="B238" i="19"/>
  <c r="B263" i="8"/>
  <c r="B25" i="11"/>
  <c r="B231" i="8"/>
  <c r="B336" i="22"/>
  <c r="B171" i="21"/>
  <c r="B67" i="10"/>
  <c r="B126" i="14"/>
  <c r="B323" i="22"/>
  <c r="B40" i="19"/>
  <c r="B12" i="21"/>
  <c r="B81" i="21"/>
  <c r="B332" i="17"/>
  <c r="B312" i="22"/>
  <c r="B61" i="19"/>
  <c r="B171" i="18"/>
  <c r="B131" i="21"/>
  <c r="B298" i="22"/>
  <c r="B56" i="22"/>
  <c r="B320" i="18"/>
  <c r="B338" i="18"/>
  <c r="B127" i="21"/>
  <c r="B293" i="20"/>
  <c r="B151" i="6"/>
  <c r="B93" i="8"/>
  <c r="B58" i="9"/>
  <c r="B80" i="11"/>
  <c r="B86" i="9"/>
  <c r="B11" i="15"/>
  <c r="B174" i="13"/>
  <c r="B146" i="10"/>
  <c r="B557" i="13"/>
  <c r="B108" i="15"/>
  <c r="B271" i="10"/>
  <c r="B160" i="10"/>
  <c r="B279" i="6"/>
  <c r="B67" i="15"/>
  <c r="B261" i="8"/>
  <c r="B17" i="10"/>
  <c r="B558" i="14"/>
  <c r="B655" i="16"/>
  <c r="B132" i="12"/>
  <c r="B79" i="21"/>
  <c r="B314" i="15"/>
  <c r="B313" i="22"/>
  <c r="B208" i="20"/>
  <c r="B103" i="9"/>
  <c r="B58" i="11"/>
  <c r="B311" i="22"/>
  <c r="B331" i="22"/>
  <c r="B194" i="9"/>
  <c r="B200" i="21"/>
  <c r="B72" i="19"/>
  <c r="B59" i="19"/>
  <c r="B275" i="22"/>
  <c r="B198" i="19"/>
  <c r="B35" i="22"/>
  <c r="B312" i="19"/>
  <c r="B332" i="19"/>
  <c r="B298" i="20"/>
  <c r="B633" i="18"/>
  <c r="B209" i="22"/>
  <c r="B160" i="22"/>
  <c r="B205" i="21"/>
  <c r="B324" i="18"/>
  <c r="B106" i="21"/>
  <c r="B57" i="21"/>
  <c r="B105" i="21"/>
  <c r="B60" i="19"/>
  <c r="B60" i="11"/>
  <c r="B152" i="15"/>
  <c r="B128" i="15"/>
  <c r="B57" i="15"/>
  <c r="B13" i="11"/>
  <c r="B160" i="15"/>
  <c r="B191" i="10"/>
  <c r="B211" i="10"/>
  <c r="B158" i="10"/>
  <c r="B36" i="15"/>
  <c r="B268" i="9"/>
  <c r="B288" i="9"/>
  <c r="B163" i="15"/>
  <c r="B282" i="6"/>
  <c r="B309" i="9"/>
  <c r="B57" i="17"/>
  <c r="B125" i="17"/>
  <c r="B322" i="20"/>
  <c r="B40" i="22"/>
  <c r="B133" i="15"/>
  <c r="B205" i="10"/>
  <c r="B17" i="22"/>
  <c r="B40" i="21"/>
  <c r="B25" i="9"/>
  <c r="B244" i="10"/>
  <c r="B14" i="11"/>
  <c r="B175" i="8"/>
  <c r="B34" i="21"/>
  <c r="B270" i="8"/>
  <c r="B299" i="20"/>
  <c r="B313" i="19"/>
  <c r="B59" i="21"/>
  <c r="B235" i="20"/>
  <c r="B638" i="18"/>
  <c r="B221" i="21"/>
  <c r="B324" i="17"/>
  <c r="B67" i="21"/>
  <c r="B234" i="21"/>
  <c r="B283" i="20"/>
  <c r="B273" i="20"/>
  <c r="B298" i="19"/>
  <c r="B26" i="19"/>
  <c r="B278" i="20"/>
  <c r="B277" i="19"/>
  <c r="B323" i="17"/>
  <c r="B315" i="21"/>
  <c r="B178" i="22"/>
  <c r="B272" i="20"/>
  <c r="B292" i="20"/>
  <c r="B12" i="18"/>
  <c r="B317" i="21"/>
  <c r="B217" i="20"/>
  <c r="B323" i="18"/>
  <c r="B200" i="22"/>
  <c r="B71" i="22"/>
  <c r="B172" i="19"/>
  <c r="B305" i="12"/>
  <c r="B14" i="13"/>
  <c r="B151" i="15"/>
  <c r="B149" i="10"/>
  <c r="B117" i="19"/>
  <c r="B84" i="8"/>
  <c r="B237" i="15"/>
  <c r="B20" i="12"/>
  <c r="B51" i="12"/>
  <c r="B305" i="10"/>
  <c r="B325" i="10"/>
  <c r="B15" i="15"/>
  <c r="B168" i="13"/>
  <c r="B202" i="8"/>
  <c r="B157" i="10"/>
  <c r="B59" i="12"/>
  <c r="B177" i="15"/>
  <c r="B161" i="13"/>
  <c r="B209" i="17"/>
  <c r="B61" i="14"/>
  <c r="B246" i="17"/>
  <c r="B132" i="15"/>
  <c r="B159" i="11"/>
  <c r="AP57" i="1"/>
  <c r="CE70" i="1"/>
  <c r="B690" i="28"/>
  <c r="BW70" i="1"/>
  <c r="B682" i="28"/>
  <c r="BO70" i="1"/>
  <c r="B675" i="28"/>
  <c r="BG70" i="1"/>
  <c r="B667" i="28"/>
  <c r="AY70" i="1"/>
  <c r="B659" i="28"/>
  <c r="CD70" i="1"/>
  <c r="B689" i="28"/>
  <c r="BV70" i="1"/>
  <c r="B681" i="28"/>
  <c r="BN70" i="1"/>
  <c r="B674" i="28"/>
  <c r="BF70" i="1"/>
  <c r="B666" i="28"/>
  <c r="AX70" i="1"/>
  <c r="B658" i="28"/>
  <c r="CC70" i="1"/>
  <c r="B688" i="28"/>
  <c r="BU70" i="1"/>
  <c r="B680" i="28"/>
  <c r="BM70" i="1"/>
  <c r="B673" i="28"/>
  <c r="BE70" i="1"/>
  <c r="B665" i="28"/>
  <c r="AW70" i="1"/>
  <c r="B657" i="28"/>
  <c r="CJ70" i="1"/>
  <c r="B695" i="28"/>
  <c r="CB70" i="1"/>
  <c r="B687" i="28"/>
  <c r="BT70" i="1"/>
  <c r="B679" i="28"/>
  <c r="BL70" i="1"/>
  <c r="B672" i="28"/>
  <c r="BD70" i="1"/>
  <c r="B664" i="28"/>
  <c r="B655" i="28"/>
  <c r="CI70" i="1"/>
  <c r="B694" i="28"/>
  <c r="CA70" i="1"/>
  <c r="B686" i="28"/>
  <c r="BS70" i="1"/>
  <c r="B678" i="28"/>
  <c r="BK70" i="1"/>
  <c r="B671" i="28"/>
  <c r="BC70" i="1"/>
  <c r="B663" i="28"/>
  <c r="CH70" i="1"/>
  <c r="B693" i="28"/>
  <c r="BZ70" i="1"/>
  <c r="B685" i="28"/>
  <c r="BR70" i="1"/>
  <c r="B677" i="28"/>
  <c r="BJ70" i="1"/>
  <c r="B670" i="28"/>
  <c r="BB70" i="1"/>
  <c r="B662" i="28"/>
  <c r="CG70" i="1"/>
  <c r="B692" i="28"/>
  <c r="BY70" i="1"/>
  <c r="B684" i="28"/>
  <c r="BQ70" i="1"/>
  <c r="B676" i="28"/>
  <c r="BI70" i="1"/>
  <c r="B669" i="28"/>
  <c r="BA70" i="1"/>
  <c r="B661" i="28"/>
  <c r="CF70" i="1"/>
  <c r="B691" i="28"/>
  <c r="BX70" i="1"/>
  <c r="B683" i="28"/>
  <c r="BP70" i="1"/>
  <c r="BH70" i="1"/>
  <c r="B668" i="28"/>
  <c r="AZ70" i="1"/>
  <c r="B660" i="28"/>
  <c r="B24" i="22"/>
  <c r="B64" i="11"/>
  <c r="B130" i="12"/>
  <c r="B19" i="22"/>
  <c r="B66" i="6"/>
  <c r="B19" i="9"/>
  <c r="P19" i="1"/>
  <c r="AP19" i="1"/>
  <c r="B200" i="9"/>
  <c r="B111" i="19"/>
  <c r="B64" i="22"/>
  <c r="AP164" i="1"/>
  <c r="B111" i="6"/>
  <c r="B64" i="21"/>
  <c r="AP15" i="1"/>
  <c r="B18" i="8"/>
  <c r="B162" i="8"/>
  <c r="B109" i="9"/>
  <c r="AP21" i="1"/>
  <c r="P21" i="1"/>
  <c r="B276" i="9"/>
  <c r="B128" i="10"/>
  <c r="B109" i="10"/>
  <c r="AP155" i="1"/>
  <c r="B319" i="22"/>
  <c r="B156" i="22"/>
  <c r="AP55" i="1"/>
  <c r="AP161" i="1"/>
  <c r="AP17" i="1"/>
  <c r="B90" i="8"/>
  <c r="AP27" i="1"/>
  <c r="P56" i="1"/>
  <c r="AP56" i="1"/>
  <c r="B203" i="19"/>
  <c r="B20" i="19"/>
  <c r="AW102" i="1"/>
  <c r="B345" i="16"/>
  <c r="B69" i="21"/>
  <c r="B246" i="21"/>
  <c r="B70" i="19"/>
  <c r="B247" i="19"/>
  <c r="B159" i="10"/>
  <c r="B681" i="14"/>
  <c r="B692" i="14"/>
  <c r="B668" i="14"/>
  <c r="B661" i="14"/>
  <c r="B695" i="14"/>
  <c r="B688" i="14"/>
  <c r="B676" i="14"/>
  <c r="B687" i="14"/>
  <c r="B161" i="21"/>
  <c r="B324" i="21"/>
  <c r="B286" i="19"/>
  <c r="B152" i="12"/>
  <c r="B266" i="12"/>
  <c r="B50" i="12"/>
  <c r="B229" i="12"/>
  <c r="B297" i="12"/>
  <c r="B136" i="12"/>
  <c r="B253" i="12"/>
  <c r="B275" i="12"/>
  <c r="B134" i="12"/>
  <c r="B53" i="12"/>
  <c r="B153" i="12"/>
  <c r="B154" i="12"/>
  <c r="B257" i="12"/>
  <c r="B254" i="12"/>
  <c r="B280" i="12"/>
  <c r="B150" i="12"/>
  <c r="B73" i="12"/>
  <c r="B272" i="12"/>
  <c r="B262" i="12"/>
  <c r="B259" i="12"/>
  <c r="B309" i="12"/>
  <c r="B304" i="12"/>
  <c r="B187" i="12"/>
  <c r="B189" i="12"/>
  <c r="B298" i="12"/>
  <c r="B133" i="14"/>
  <c r="B68" i="8"/>
  <c r="B488" i="13"/>
  <c r="B485" i="16"/>
  <c r="B583" i="17"/>
  <c r="B40" i="9"/>
  <c r="B245" i="13"/>
  <c r="B33" i="13"/>
  <c r="B257" i="13"/>
  <c r="B212" i="12"/>
  <c r="B86" i="10"/>
  <c r="B147" i="14"/>
  <c r="B151" i="12"/>
  <c r="B169" i="12"/>
  <c r="B316" i="12"/>
  <c r="B318" i="12"/>
  <c r="B55" i="8"/>
  <c r="B69" i="13"/>
  <c r="B145" i="13"/>
  <c r="B225" i="14"/>
  <c r="B280" i="8"/>
  <c r="B12" i="23"/>
  <c r="B175" i="12"/>
  <c r="B553" i="13"/>
  <c r="AN155" i="1"/>
  <c r="B40" i="35"/>
  <c r="W155" i="1"/>
  <c r="P155" i="1"/>
  <c r="AN158" i="1"/>
  <c r="B178" i="35"/>
  <c r="W158" i="1"/>
  <c r="AN157" i="1"/>
  <c r="B132" i="35"/>
  <c r="W157" i="1"/>
  <c r="AN156" i="1"/>
  <c r="B86" i="35"/>
  <c r="W156" i="1"/>
  <c r="B42" i="35"/>
  <c r="P55" i="1"/>
  <c r="B16" i="12"/>
  <c r="B38" i="12"/>
  <c r="P15" i="1"/>
  <c r="Q15" i="1"/>
  <c r="AN23" i="1"/>
  <c r="P83" i="1"/>
  <c r="B158" i="6"/>
  <c r="B161" i="6"/>
  <c r="B476" i="13"/>
  <c r="B314" i="6"/>
  <c r="AG115" i="1"/>
  <c r="B96" i="18"/>
  <c r="AG71" i="1"/>
  <c r="AT71" i="1"/>
  <c r="B22" i="14"/>
  <c r="B24" i="11"/>
  <c r="P17" i="1"/>
  <c r="B290" i="10"/>
  <c r="AG107" i="1"/>
  <c r="AT107" i="1"/>
  <c r="B22" i="17"/>
  <c r="B13" i="23"/>
  <c r="P110" i="1"/>
  <c r="B481" i="17"/>
  <c r="AT65" i="1"/>
  <c r="B106" i="9"/>
  <c r="B133" i="9"/>
  <c r="Q108" i="1"/>
  <c r="B196" i="10"/>
  <c r="B478" i="13"/>
  <c r="AH76" i="1"/>
  <c r="P76" i="1"/>
  <c r="AH104" i="1"/>
  <c r="P104" i="1"/>
  <c r="B133" i="13"/>
  <c r="B134" i="37"/>
  <c r="B555" i="13"/>
  <c r="B88" i="37"/>
  <c r="AH103" i="1"/>
  <c r="B110" i="16"/>
  <c r="B111" i="16"/>
  <c r="B21" i="18"/>
  <c r="B69" i="9"/>
  <c r="B322" i="13"/>
  <c r="AG63" i="1"/>
  <c r="B170" i="13"/>
  <c r="B57" i="18"/>
  <c r="B484" i="14"/>
  <c r="B171" i="13"/>
  <c r="AG105" i="1"/>
  <c r="AT105" i="1"/>
  <c r="AG113" i="1"/>
  <c r="AT113" i="1"/>
  <c r="AT118" i="1"/>
  <c r="B643" i="18"/>
  <c r="AT64" i="1"/>
  <c r="B130" i="10"/>
  <c r="B315" i="10"/>
  <c r="B57" i="16"/>
  <c r="B58" i="12"/>
  <c r="B198" i="8"/>
  <c r="AT104" i="1"/>
  <c r="B487" i="16"/>
  <c r="AT72" i="1"/>
  <c r="B60" i="14"/>
  <c r="B630" i="13"/>
  <c r="B207" i="13"/>
  <c r="AT3" i="1"/>
  <c r="B26" i="6"/>
  <c r="AT111" i="1"/>
  <c r="AT103" i="1"/>
  <c r="AT57" i="1"/>
  <c r="B100" i="12"/>
  <c r="AT25" i="1"/>
  <c r="AT79" i="1"/>
  <c r="B285" i="29"/>
  <c r="AT117" i="1"/>
  <c r="B565" i="18"/>
  <c r="AT109" i="1"/>
  <c r="B98" i="17"/>
  <c r="AT101" i="1"/>
  <c r="AT108" i="1"/>
  <c r="B331" i="17"/>
  <c r="AT76" i="1"/>
  <c r="AT22" i="1"/>
  <c r="B52" i="12"/>
  <c r="AT75" i="1"/>
  <c r="B565" i="14"/>
  <c r="B93" i="13"/>
  <c r="AT61" i="1"/>
  <c r="AT21" i="1"/>
  <c r="AT24" i="1"/>
  <c r="B242" i="10"/>
  <c r="AT28" i="1"/>
  <c r="B242" i="11"/>
  <c r="AT84" i="1"/>
  <c r="B161" i="15"/>
  <c r="AT73" i="1"/>
  <c r="B409" i="14"/>
  <c r="AT59" i="1"/>
  <c r="B22" i="13"/>
  <c r="B684" i="14"/>
  <c r="B672" i="14"/>
  <c r="B659" i="14"/>
  <c r="B665" i="14"/>
  <c r="B330" i="14"/>
  <c r="B690" i="14"/>
  <c r="B660" i="14"/>
  <c r="B658" i="14"/>
  <c r="B693" i="14"/>
  <c r="B680" i="14"/>
  <c r="B677" i="14"/>
  <c r="B691" i="14"/>
  <c r="B564" i="14"/>
  <c r="B408" i="14"/>
  <c r="B421" i="14"/>
  <c r="B242" i="14"/>
  <c r="B260" i="14"/>
  <c r="B406" i="14"/>
  <c r="B556" i="14"/>
  <c r="B482" i="14"/>
  <c r="B489" i="14"/>
  <c r="B478" i="14"/>
  <c r="B418" i="14"/>
  <c r="B644" i="14"/>
  <c r="B656" i="14"/>
  <c r="B678" i="14"/>
  <c r="B673" i="14"/>
  <c r="B674" i="14"/>
  <c r="B645" i="14"/>
  <c r="B535" i="14"/>
  <c r="B320" i="14"/>
  <c r="B338" i="14"/>
  <c r="B633" i="14"/>
  <c r="B328" i="14"/>
  <c r="B423" i="14"/>
  <c r="B555" i="14"/>
  <c r="B638" i="14"/>
  <c r="B654" i="14"/>
  <c r="B666" i="14"/>
  <c r="B682" i="14"/>
  <c r="B675" i="14"/>
  <c r="B669" i="14"/>
  <c r="B664" i="14"/>
  <c r="B686" i="14"/>
  <c r="B662" i="14"/>
  <c r="B670" i="14"/>
  <c r="B399" i="14"/>
  <c r="B566" i="14"/>
  <c r="B177" i="14"/>
  <c r="B405" i="14"/>
  <c r="B411" i="14"/>
  <c r="B634" i="14"/>
  <c r="B398" i="14"/>
  <c r="B416" i="14"/>
  <c r="B243" i="14"/>
  <c r="B410" i="14"/>
  <c r="B322" i="14"/>
  <c r="B554" i="14"/>
  <c r="B572" i="14"/>
  <c r="B479" i="14"/>
  <c r="B652" i="14"/>
  <c r="B632" i="14"/>
  <c r="B650" i="14"/>
  <c r="B560" i="14"/>
  <c r="B404" i="14"/>
  <c r="B488" i="14"/>
  <c r="B297" i="14"/>
  <c r="B501" i="14"/>
  <c r="B498" i="14"/>
  <c r="B496" i="14"/>
  <c r="B93" i="14"/>
  <c r="B100" i="14"/>
  <c r="B91" i="14"/>
  <c r="B344" i="14"/>
  <c r="B14" i="14"/>
  <c r="B188" i="14"/>
  <c r="B189" i="14"/>
  <c r="B108" i="14"/>
  <c r="B33" i="14"/>
  <c r="B94" i="14"/>
  <c r="B176" i="14"/>
  <c r="B87" i="14"/>
  <c r="B248" i="14"/>
  <c r="B23" i="14"/>
  <c r="B245" i="14"/>
  <c r="B90" i="14"/>
  <c r="B174" i="14"/>
  <c r="B170" i="14"/>
  <c r="B249" i="14"/>
  <c r="B168" i="14"/>
  <c r="B97" i="14"/>
  <c r="B299" i="14"/>
  <c r="B172" i="14"/>
  <c r="B19" i="14"/>
  <c r="B166" i="14"/>
  <c r="B71" i="14"/>
  <c r="B164" i="14"/>
  <c r="B95" i="14"/>
  <c r="B11" i="14"/>
  <c r="B15" i="14"/>
  <c r="B51" i="14"/>
  <c r="B246" i="14"/>
  <c r="B17" i="14"/>
  <c r="B244" i="14"/>
  <c r="B254" i="14"/>
  <c r="B99" i="14"/>
  <c r="B255" i="14"/>
  <c r="B326" i="14"/>
  <c r="B167" i="14"/>
  <c r="B24" i="14"/>
  <c r="B109" i="14"/>
  <c r="B262" i="14"/>
  <c r="B645" i="18"/>
  <c r="B656" i="18"/>
  <c r="B567" i="18"/>
  <c r="B578" i="18"/>
  <c r="B248" i="18"/>
  <c r="B411" i="18"/>
  <c r="B422" i="18"/>
  <c r="B343" i="18"/>
  <c r="B62" i="18"/>
  <c r="B55" i="18"/>
  <c r="B50" i="18"/>
  <c r="B326" i="18"/>
  <c r="B125" i="18"/>
  <c r="B126" i="18"/>
  <c r="B129" i="18"/>
  <c r="B632" i="18"/>
  <c r="B650" i="18"/>
  <c r="B138" i="18"/>
  <c r="B135" i="18"/>
  <c r="B149" i="18"/>
  <c r="B150" i="18"/>
  <c r="B108" i="17"/>
  <c r="B635" i="17"/>
  <c r="B656" i="17"/>
  <c r="B51" i="17"/>
  <c r="B207" i="17"/>
  <c r="B555" i="17"/>
  <c r="B578" i="17"/>
  <c r="B479" i="17"/>
  <c r="B500" i="17"/>
  <c r="B165" i="17"/>
  <c r="B340" i="17"/>
  <c r="B167" i="17"/>
  <c r="B90" i="17"/>
  <c r="B671" i="17"/>
  <c r="B593" i="17"/>
  <c r="B678" i="17"/>
  <c r="B692" i="17"/>
  <c r="B562" i="17"/>
  <c r="B558" i="17"/>
  <c r="B689" i="17"/>
  <c r="B688" i="17"/>
  <c r="B588" i="17"/>
  <c r="B644" i="17"/>
  <c r="B616" i="17"/>
  <c r="B560" i="17"/>
  <c r="B187" i="17"/>
  <c r="B166" i="17"/>
  <c r="B242" i="17"/>
  <c r="B260" i="17"/>
  <c r="B266" i="17"/>
  <c r="B636" i="16"/>
  <c r="B656" i="16"/>
  <c r="B564" i="16"/>
  <c r="B578" i="16"/>
  <c r="B224" i="16"/>
  <c r="B488" i="16"/>
  <c r="B500" i="16"/>
  <c r="B401" i="16"/>
  <c r="B422" i="16"/>
  <c r="B320" i="16"/>
  <c r="B338" i="16"/>
  <c r="B225" i="16"/>
  <c r="B340" i="16"/>
  <c r="B11" i="16"/>
  <c r="B344" i="16"/>
  <c r="B130" i="11"/>
  <c r="B88" i="6"/>
  <c r="B186" i="16"/>
  <c r="B407" i="14"/>
  <c r="AH64" i="1"/>
  <c r="P57" i="1"/>
  <c r="B94" i="12"/>
  <c r="B116" i="12"/>
  <c r="AH118" i="1"/>
  <c r="P118" i="1"/>
  <c r="B250" i="14"/>
  <c r="AG60" i="1"/>
  <c r="AT60" i="1"/>
  <c r="B59" i="13"/>
  <c r="AG106" i="1"/>
  <c r="B212" i="16"/>
  <c r="B632" i="13"/>
  <c r="AG74" i="1"/>
  <c r="AT74" i="1"/>
  <c r="P62" i="1"/>
  <c r="B180" i="35"/>
  <c r="P28" i="1"/>
  <c r="B264" i="12"/>
  <c r="B58" i="13"/>
  <c r="B257" i="15"/>
  <c r="B497" i="14"/>
  <c r="B643" i="13"/>
  <c r="B335" i="13"/>
  <c r="B115" i="35"/>
  <c r="B285" i="35"/>
  <c r="B324" i="39"/>
  <c r="B161" i="39"/>
  <c r="B284" i="35"/>
  <c r="B114" i="35"/>
  <c r="B21" i="35"/>
  <c r="B204" i="35"/>
  <c r="B334" i="35"/>
  <c r="B497" i="17"/>
  <c r="B254" i="39"/>
  <c r="B254" i="37"/>
  <c r="B254" i="35"/>
  <c r="B255" i="19"/>
  <c r="B255" i="33"/>
  <c r="B146" i="13"/>
  <c r="B41" i="9"/>
  <c r="AW65" i="1"/>
  <c r="AG66" i="1"/>
  <c r="AT66" i="1"/>
  <c r="K213" i="7"/>
  <c r="K199" i="7"/>
  <c r="K203" i="7"/>
  <c r="B217" i="35"/>
  <c r="B217" i="37"/>
  <c r="B217" i="39"/>
  <c r="B116" i="33"/>
  <c r="B286" i="33"/>
  <c r="B284" i="37"/>
  <c r="B114" i="37"/>
  <c r="B204" i="39"/>
  <c r="B21" i="39"/>
  <c r="B205" i="33"/>
  <c r="B21" i="33"/>
  <c r="B229" i="8"/>
  <c r="B220" i="12"/>
  <c r="B233" i="8"/>
  <c r="B213" i="12"/>
  <c r="B127" i="8"/>
  <c r="B19" i="12"/>
  <c r="B223" i="12"/>
  <c r="B55" i="14"/>
  <c r="B214" i="12"/>
  <c r="B129" i="8"/>
  <c r="B399" i="13"/>
  <c r="B50" i="14"/>
  <c r="B235" i="8"/>
  <c r="B161" i="37"/>
  <c r="B324" i="37"/>
  <c r="B631" i="13"/>
  <c r="B69" i="35"/>
  <c r="B246" i="35"/>
  <c r="B342" i="18"/>
  <c r="B245" i="39"/>
  <c r="B68" i="39"/>
  <c r="B245" i="37"/>
  <c r="B68" i="37"/>
  <c r="B68" i="35"/>
  <c r="B245" i="35"/>
  <c r="B69" i="33"/>
  <c r="B246" i="33"/>
  <c r="B321" i="39"/>
  <c r="B158" i="39"/>
  <c r="B321" i="37"/>
  <c r="B158" i="37"/>
  <c r="B158" i="35"/>
  <c r="B321" i="35"/>
  <c r="B322" i="33"/>
  <c r="B159" i="33"/>
  <c r="B274" i="39"/>
  <c r="B104" i="39"/>
  <c r="B295" i="39"/>
  <c r="B274" i="37"/>
  <c r="B295" i="37"/>
  <c r="B104" i="37"/>
  <c r="B110" i="12"/>
  <c r="B106" i="13"/>
  <c r="B33" i="12"/>
  <c r="B183" i="13"/>
  <c r="B112" i="12"/>
  <c r="B245" i="8"/>
  <c r="B295" i="35"/>
  <c r="B574" i="16"/>
  <c r="B419" i="14"/>
  <c r="B566" i="13"/>
  <c r="B216" i="39"/>
  <c r="B216" i="37"/>
  <c r="B216" i="35"/>
  <c r="B411" i="13"/>
  <c r="B51" i="16"/>
  <c r="B211" i="16"/>
  <c r="B108" i="13"/>
  <c r="B113" i="12"/>
  <c r="B176" i="11"/>
  <c r="B176" i="10"/>
  <c r="AW68" i="1"/>
  <c r="B501" i="28"/>
  <c r="AW69" i="1"/>
  <c r="B579" i="28"/>
  <c r="K212" i="7"/>
  <c r="K200" i="7"/>
  <c r="K204" i="7"/>
  <c r="B256" i="33"/>
  <c r="B255" i="35"/>
  <c r="B255" i="37"/>
  <c r="B255" i="39"/>
  <c r="B114" i="39"/>
  <c r="B284" i="39"/>
  <c r="B313" i="39"/>
  <c r="B150" i="39"/>
  <c r="B334" i="39"/>
  <c r="B88" i="22"/>
  <c r="B88" i="39"/>
  <c r="B236" i="8"/>
  <c r="B226" i="8"/>
  <c r="B261" i="12"/>
  <c r="B211" i="12"/>
  <c r="B225" i="8"/>
  <c r="B243" i="8"/>
  <c r="B210" i="12"/>
  <c r="B113" i="6"/>
  <c r="B121" i="8"/>
  <c r="B115" i="37"/>
  <c r="B285" i="37"/>
  <c r="Q166" i="1"/>
  <c r="B316" i="39"/>
  <c r="B153" i="39"/>
  <c r="B285" i="39"/>
  <c r="B115" i="39"/>
  <c r="B342" i="14"/>
  <c r="B180" i="39"/>
  <c r="B206" i="39"/>
  <c r="B23" i="39"/>
  <c r="B23" i="37"/>
  <c r="B206" i="37"/>
  <c r="B23" i="35"/>
  <c r="B206" i="35"/>
  <c r="B207" i="33"/>
  <c r="B23" i="33"/>
  <c r="B112" i="39"/>
  <c r="B282" i="39"/>
  <c r="B112" i="37"/>
  <c r="B282" i="37"/>
  <c r="B112" i="35"/>
  <c r="B282" i="35"/>
  <c r="B113" i="33"/>
  <c r="B283" i="33"/>
  <c r="B256" i="39"/>
  <c r="B58" i="39"/>
  <c r="B235" i="39"/>
  <c r="B256" i="37"/>
  <c r="B235" i="37"/>
  <c r="B58" i="37"/>
  <c r="B140" i="8"/>
  <c r="B144" i="13"/>
  <c r="B70" i="14"/>
  <c r="B224" i="17"/>
  <c r="B70" i="13"/>
  <c r="B221" i="13"/>
  <c r="B71" i="18"/>
  <c r="B188" i="12"/>
  <c r="B256" i="35"/>
  <c r="B653" i="14"/>
  <c r="B341" i="14"/>
  <c r="B489" i="13"/>
  <c r="B332" i="22"/>
  <c r="B332" i="39"/>
  <c r="B332" i="37"/>
  <c r="B332" i="35"/>
  <c r="B333" i="33"/>
  <c r="B642" i="13"/>
  <c r="B334" i="13"/>
  <c r="B172" i="16"/>
  <c r="B222" i="13"/>
  <c r="B74" i="12"/>
  <c r="B69" i="8"/>
  <c r="B175" i="10"/>
  <c r="B175" i="9"/>
  <c r="B85" i="9"/>
  <c r="AG62" i="1"/>
  <c r="B477" i="13"/>
  <c r="AG69" i="1"/>
  <c r="AT69" i="1"/>
  <c r="B265" i="28"/>
  <c r="K211" i="7"/>
  <c r="B295" i="33"/>
  <c r="B294" i="35"/>
  <c r="B294" i="37"/>
  <c r="B294" i="39"/>
  <c r="B115" i="33"/>
  <c r="B285" i="33"/>
  <c r="B21" i="37"/>
  <c r="B204" i="37"/>
  <c r="B150" i="37"/>
  <c r="B313" i="37"/>
  <c r="B334" i="37"/>
  <c r="B237" i="8"/>
  <c r="B23" i="12"/>
  <c r="B562" i="14"/>
  <c r="B132" i="8"/>
  <c r="B222" i="12"/>
  <c r="B130" i="8"/>
  <c r="B313" i="15"/>
  <c r="B15" i="12"/>
  <c r="B61" i="12"/>
  <c r="B671" i="14"/>
  <c r="B679" i="14"/>
  <c r="B663" i="14"/>
  <c r="B667" i="14"/>
  <c r="B685" i="14"/>
  <c r="B657" i="14"/>
  <c r="B655" i="14"/>
  <c r="B689" i="14"/>
  <c r="B683" i="14"/>
  <c r="B232" i="8"/>
  <c r="B13" i="12"/>
  <c r="B642" i="14"/>
  <c r="B635" i="14"/>
  <c r="B17" i="12"/>
  <c r="B218" i="12"/>
  <c r="B49" i="14"/>
  <c r="B227" i="8"/>
  <c r="B12" i="12"/>
  <c r="B97" i="12"/>
  <c r="B323" i="14"/>
  <c r="B333" i="14"/>
  <c r="B216" i="12"/>
  <c r="B141" i="8"/>
  <c r="B277" i="6"/>
  <c r="B69" i="39"/>
  <c r="B246" i="39"/>
  <c r="P64" i="1"/>
  <c r="Q64" i="1"/>
  <c r="B641" i="14"/>
  <c r="B497" i="16"/>
  <c r="B160" i="39"/>
  <c r="B323" i="39"/>
  <c r="B160" i="37"/>
  <c r="B323" i="37"/>
  <c r="B323" i="35"/>
  <c r="B160" i="35"/>
  <c r="P154" i="1"/>
  <c r="Q154" i="1"/>
  <c r="B324" i="33"/>
  <c r="B161" i="33"/>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B66" i="39"/>
  <c r="B243" i="39"/>
  <c r="B243" i="37"/>
  <c r="B66" i="37"/>
  <c r="B243" i="35"/>
  <c r="B66" i="35"/>
  <c r="B67" i="33"/>
  <c r="B244" i="33"/>
  <c r="B13" i="39"/>
  <c r="B196" i="39"/>
  <c r="B218" i="39"/>
  <c r="B196" i="37"/>
  <c r="B218" i="37"/>
  <c r="B13" i="37"/>
  <c r="B32" i="8"/>
  <c r="B32" i="12"/>
  <c r="B32" i="13"/>
  <c r="B182" i="13"/>
  <c r="B111" i="12"/>
  <c r="B107" i="13"/>
  <c r="B34" i="12"/>
  <c r="B258" i="13"/>
  <c r="B218" i="35"/>
  <c r="B575" i="14"/>
  <c r="B263" i="14"/>
  <c r="B412" i="13"/>
  <c r="B293" i="39"/>
  <c r="B293" i="37"/>
  <c r="B293" i="35"/>
  <c r="B294" i="33"/>
  <c r="B565" i="13"/>
  <c r="B184" i="13"/>
  <c r="B35" i="12"/>
  <c r="B41" i="11"/>
  <c r="B41" i="10"/>
  <c r="AW66" i="1"/>
  <c r="AW67" i="1"/>
  <c r="B423" i="28"/>
  <c r="AG70" i="1"/>
  <c r="B641" i="28"/>
  <c r="K214" i="7"/>
  <c r="K202" i="7"/>
  <c r="B334" i="33"/>
  <c r="B333" i="35"/>
  <c r="B333" i="37"/>
  <c r="B333" i="39"/>
  <c r="B327" i="34"/>
  <c r="B327" i="38"/>
  <c r="B327" i="36"/>
  <c r="B121" i="34"/>
  <c r="B167" i="34"/>
  <c r="B121" i="43"/>
  <c r="B121" i="41"/>
  <c r="B121" i="40"/>
  <c r="B121" i="38"/>
  <c r="B121" i="36"/>
  <c r="B121" i="42"/>
  <c r="B122" i="32"/>
  <c r="B165" i="45"/>
  <c r="B165" i="44"/>
  <c r="B165" i="49"/>
  <c r="B165" i="48"/>
  <c r="B165" i="46"/>
  <c r="B165" i="47"/>
  <c r="B287" i="6"/>
  <c r="B328" i="32"/>
  <c r="B167" i="41"/>
  <c r="B167" i="42"/>
  <c r="B167" i="40"/>
  <c r="B168" i="32"/>
  <c r="B211" i="32"/>
  <c r="B167" i="43"/>
  <c r="B167" i="36"/>
  <c r="B167" i="38"/>
  <c r="B75" i="34"/>
  <c r="B335" i="33"/>
  <c r="B296" i="33"/>
  <c r="B257" i="33"/>
  <c r="B160" i="19"/>
  <c r="B153" i="19"/>
  <c r="B174" i="19"/>
  <c r="B161" i="19"/>
  <c r="B179" i="19"/>
  <c r="B173" i="19"/>
  <c r="B212" i="14"/>
  <c r="AG110" i="1"/>
  <c r="AT110" i="1"/>
  <c r="B55" i="13"/>
  <c r="P71" i="1"/>
  <c r="P22" i="1"/>
  <c r="AP29" i="1"/>
  <c r="B132" i="11"/>
  <c r="P59" i="1"/>
  <c r="B16" i="13"/>
  <c r="B36" i="13"/>
  <c r="B483" i="14"/>
  <c r="AP22" i="1"/>
  <c r="B177" i="9"/>
  <c r="P113" i="1"/>
  <c r="B16" i="18"/>
  <c r="P158" i="1"/>
  <c r="P72" i="1"/>
  <c r="B154" i="9"/>
  <c r="B561" i="14"/>
  <c r="B320" i="19"/>
  <c r="B157" i="19"/>
  <c r="P58" i="1"/>
  <c r="Q58" i="1"/>
  <c r="B171" i="14"/>
  <c r="B398" i="13"/>
  <c r="AP154" i="1"/>
  <c r="B181" i="19"/>
  <c r="P63" i="1"/>
  <c r="Q63" i="1"/>
  <c r="P74" i="1"/>
  <c r="B321" i="13"/>
  <c r="B249" i="16"/>
  <c r="P60" i="1"/>
  <c r="B53" i="13"/>
  <c r="B237" i="10"/>
  <c r="B16" i="10"/>
  <c r="B44" i="10"/>
  <c r="AP23" i="1"/>
  <c r="B42" i="10"/>
  <c r="B130" i="21"/>
  <c r="B131" i="19"/>
  <c r="B38" i="15"/>
  <c r="B42" i="15"/>
  <c r="B241" i="22"/>
  <c r="B130" i="19"/>
  <c r="B37" i="15"/>
  <c r="B64" i="10"/>
  <c r="B128" i="9"/>
  <c r="B176" i="15"/>
  <c r="Q23" i="1"/>
  <c r="P24" i="1"/>
  <c r="B83" i="22"/>
  <c r="B175" i="15"/>
  <c r="B19" i="15"/>
  <c r="B38" i="22"/>
  <c r="B38" i="21"/>
  <c r="B39" i="19"/>
  <c r="B130" i="15"/>
  <c r="B19" i="10"/>
  <c r="B129" i="15"/>
  <c r="B38" i="9"/>
  <c r="B199" i="10"/>
  <c r="B37" i="9"/>
  <c r="B127" i="9"/>
  <c r="B173" i="10"/>
  <c r="B172" i="10"/>
  <c r="B127" i="10"/>
  <c r="B82" i="10"/>
  <c r="B37" i="10"/>
  <c r="P29" i="1"/>
  <c r="B172" i="11"/>
  <c r="B109" i="11"/>
  <c r="B127" i="11"/>
  <c r="B83" i="11"/>
  <c r="B82" i="11"/>
  <c r="B38" i="11"/>
  <c r="B37" i="11"/>
  <c r="B241" i="6"/>
  <c r="B234" i="6"/>
  <c r="B245" i="6"/>
  <c r="B197" i="6"/>
  <c r="B173" i="6"/>
  <c r="B128" i="6"/>
  <c r="B251" i="6"/>
  <c r="B86" i="6"/>
  <c r="B239" i="6"/>
  <c r="B68" i="6"/>
  <c r="B72" i="6"/>
  <c r="B231" i="6"/>
  <c r="B36" i="6"/>
  <c r="B232" i="6"/>
  <c r="B240" i="6"/>
  <c r="B244" i="6"/>
  <c r="B61" i="6"/>
  <c r="B64" i="6"/>
  <c r="B81" i="6"/>
  <c r="B177" i="6"/>
  <c r="B233" i="6"/>
  <c r="B242" i="6"/>
  <c r="B87" i="6"/>
  <c r="B174" i="6"/>
  <c r="B238" i="6"/>
  <c r="B129" i="6"/>
  <c r="B85" i="6"/>
  <c r="B156" i="6"/>
  <c r="B84" i="6"/>
  <c r="B496" i="17"/>
  <c r="B480" i="17"/>
  <c r="B100" i="16"/>
  <c r="B137" i="16"/>
  <c r="B129" i="16"/>
  <c r="B93" i="16"/>
  <c r="B255" i="16"/>
  <c r="B237" i="22"/>
  <c r="B267" i="16"/>
  <c r="B614" i="16"/>
  <c r="B276" i="21"/>
  <c r="B423" i="16"/>
  <c r="B234" i="20"/>
  <c r="B579" i="16"/>
  <c r="B613" i="16"/>
  <c r="B356" i="16"/>
  <c r="B177" i="16"/>
  <c r="B237" i="20"/>
  <c r="B254" i="16"/>
  <c r="B321" i="16"/>
  <c r="B482" i="16"/>
  <c r="B95" i="16"/>
  <c r="B185" i="16"/>
  <c r="B263" i="16"/>
  <c r="B239" i="20"/>
  <c r="B244" i="20"/>
  <c r="B557" i="16"/>
  <c r="B164" i="16"/>
  <c r="B258" i="20"/>
  <c r="B168" i="16"/>
  <c r="B50" i="16"/>
  <c r="B202" i="21"/>
  <c r="B554" i="16"/>
  <c r="B572" i="16"/>
  <c r="B342" i="16"/>
  <c r="B32" i="16"/>
  <c r="B109" i="16"/>
  <c r="B575" i="16"/>
  <c r="B255" i="21"/>
  <c r="B241" i="21"/>
  <c r="B208" i="21"/>
  <c r="B194" i="21"/>
  <c r="B214" i="21"/>
  <c r="B242" i="16"/>
  <c r="B260" i="16"/>
  <c r="B148" i="16"/>
  <c r="B603" i="16"/>
  <c r="B243" i="16"/>
  <c r="B287" i="15"/>
  <c r="B286" i="15"/>
  <c r="B84" i="15"/>
  <c r="B285" i="15"/>
  <c r="B275" i="15"/>
  <c r="B175" i="21"/>
  <c r="B83" i="15"/>
  <c r="B88" i="15"/>
  <c r="B126" i="15"/>
  <c r="B273" i="15"/>
  <c r="B274" i="15"/>
  <c r="B80" i="15"/>
  <c r="B272" i="15"/>
  <c r="B292" i="15"/>
  <c r="B283" i="15"/>
  <c r="B69" i="15"/>
  <c r="B294" i="15"/>
  <c r="B186" i="14"/>
  <c r="B340" i="14"/>
  <c r="B185" i="14"/>
  <c r="P111" i="1"/>
  <c r="B169" i="17"/>
  <c r="B252" i="11"/>
  <c r="B231" i="12"/>
  <c r="B296" i="15"/>
  <c r="B290" i="11"/>
  <c r="B317" i="12"/>
  <c r="B134" i="21"/>
  <c r="B42" i="9"/>
  <c r="B256" i="21"/>
  <c r="B179" i="6"/>
  <c r="B42" i="11"/>
  <c r="B576" i="16"/>
  <c r="B146" i="17"/>
  <c r="B255" i="15"/>
  <c r="B335" i="15"/>
  <c r="B132" i="9"/>
  <c r="B167" i="16"/>
  <c r="B171" i="16"/>
  <c r="B406" i="16"/>
  <c r="B62" i="16"/>
  <c r="B135" i="17"/>
  <c r="B483" i="17"/>
  <c r="B128" i="17"/>
  <c r="B411" i="17"/>
  <c r="B51" i="18"/>
  <c r="B560" i="16"/>
  <c r="B418" i="16"/>
  <c r="B400" i="16"/>
  <c r="B15" i="18"/>
  <c r="B407" i="17"/>
  <c r="B321" i="19"/>
  <c r="B90" i="16"/>
  <c r="B52" i="17"/>
  <c r="B653" i="17"/>
  <c r="B644" i="16"/>
  <c r="B225" i="17"/>
  <c r="B484" i="16"/>
  <c r="B645" i="16"/>
  <c r="B33" i="16"/>
  <c r="B133" i="16"/>
  <c r="B639" i="17"/>
  <c r="B246" i="16"/>
  <c r="B33" i="17"/>
  <c r="B71" i="17"/>
  <c r="B126" i="17"/>
  <c r="B341" i="17"/>
  <c r="B633" i="16"/>
  <c r="B185" i="17"/>
  <c r="B632" i="16"/>
  <c r="B650" i="16"/>
  <c r="B125" i="21"/>
  <c r="B206" i="16"/>
  <c r="B564" i="17"/>
  <c r="B53" i="17"/>
  <c r="B61" i="17"/>
  <c r="B343" i="17"/>
  <c r="B91" i="17"/>
  <c r="B216" i="17"/>
  <c r="B263" i="17"/>
  <c r="B19" i="17"/>
  <c r="B33" i="18"/>
  <c r="B205" i="16"/>
  <c r="B126" i="16"/>
  <c r="B165" i="16"/>
  <c r="B400" i="17"/>
  <c r="B327" i="18"/>
  <c r="B106" i="19"/>
  <c r="B321" i="18"/>
  <c r="B221" i="22"/>
  <c r="B566" i="17"/>
  <c r="B297" i="21"/>
  <c r="B283" i="22"/>
  <c r="B325" i="22"/>
  <c r="B39" i="21"/>
  <c r="B322" i="18"/>
  <c r="B164" i="18"/>
  <c r="B594" i="16"/>
  <c r="B337" i="22"/>
  <c r="B42" i="19"/>
  <c r="B314" i="22"/>
  <c r="B325" i="17"/>
  <c r="B399" i="16"/>
  <c r="B159" i="19"/>
  <c r="B243" i="19"/>
  <c r="B489" i="16"/>
  <c r="B133" i="17"/>
  <c r="B24" i="16"/>
  <c r="B245" i="16"/>
  <c r="B49" i="18"/>
  <c r="B21" i="16"/>
  <c r="B12" i="16"/>
  <c r="B204" i="17"/>
  <c r="B323" i="16"/>
  <c r="B404" i="16"/>
  <c r="B496" i="16"/>
  <c r="B132" i="17"/>
  <c r="B99" i="16"/>
  <c r="B561" i="16"/>
  <c r="B640" i="16"/>
  <c r="B405" i="17"/>
  <c r="B164" i="17"/>
  <c r="B406" i="17"/>
  <c r="B263" i="18"/>
  <c r="B210" i="17"/>
  <c r="B56" i="17"/>
  <c r="B246" i="18"/>
  <c r="B566" i="16"/>
  <c r="B53" i="18"/>
  <c r="B332" i="18"/>
  <c r="B170" i="17"/>
  <c r="B333" i="17"/>
  <c r="B609" i="16"/>
  <c r="B26" i="21"/>
  <c r="B489" i="17"/>
  <c r="B218" i="20"/>
  <c r="B71" i="16"/>
  <c r="B125" i="16"/>
  <c r="B97" i="16"/>
  <c r="B419" i="16"/>
  <c r="B407" i="16"/>
  <c r="B21" i="17"/>
  <c r="B476" i="16"/>
  <c r="B494" i="16"/>
  <c r="B252" i="17"/>
  <c r="B205" i="17"/>
  <c r="B645" i="17"/>
  <c r="B333" i="18"/>
  <c r="B638" i="17"/>
  <c r="B567" i="17"/>
  <c r="B133" i="21"/>
  <c r="B327" i="16"/>
  <c r="B171" i="17"/>
  <c r="B484" i="17"/>
  <c r="B18" i="17"/>
  <c r="B137" i="17"/>
  <c r="B341" i="16"/>
  <c r="B55" i="16"/>
  <c r="B61" i="16"/>
  <c r="B147" i="16"/>
  <c r="B250" i="17"/>
  <c r="B250" i="16"/>
  <c r="B402" i="16"/>
  <c r="B483" i="18"/>
  <c r="B478" i="17"/>
  <c r="B399" i="17"/>
  <c r="B254" i="17"/>
  <c r="B172" i="17"/>
  <c r="B204" i="16"/>
  <c r="B488" i="17"/>
  <c r="B17" i="17"/>
  <c r="B244" i="22"/>
  <c r="B591" i="16"/>
  <c r="B134" i="19"/>
  <c r="B195" i="19"/>
  <c r="B215" i="19"/>
  <c r="B555" i="18"/>
  <c r="B655" i="17"/>
  <c r="B421" i="16"/>
  <c r="B287" i="21"/>
  <c r="B220" i="21"/>
  <c r="B133" i="19"/>
  <c r="B166" i="16"/>
  <c r="B11" i="21"/>
  <c r="B254" i="22"/>
  <c r="B337" i="19"/>
  <c r="B60" i="22"/>
  <c r="B11" i="17"/>
  <c r="B131" i="16"/>
  <c r="B134" i="16"/>
  <c r="B89" i="16"/>
  <c r="B53" i="16"/>
  <c r="B132" i="16"/>
  <c r="B652" i="16"/>
  <c r="B127" i="16"/>
  <c r="B177" i="17"/>
  <c r="B341" i="18"/>
  <c r="B70" i="16"/>
  <c r="B483" i="16"/>
  <c r="B94" i="16"/>
  <c r="B567" i="16"/>
  <c r="B213" i="16"/>
  <c r="B638" i="16"/>
  <c r="B95" i="17"/>
  <c r="B635" i="16"/>
  <c r="B243" i="18"/>
  <c r="B245" i="18"/>
  <c r="B23" i="16"/>
  <c r="B56" i="16"/>
  <c r="B242" i="18"/>
  <c r="B260" i="18"/>
  <c r="B211" i="17"/>
  <c r="B482" i="17"/>
  <c r="B330" i="17"/>
  <c r="B148" i="17"/>
  <c r="B575" i="17"/>
  <c r="B14" i="17"/>
  <c r="B248" i="16"/>
  <c r="B410" i="16"/>
  <c r="B11" i="18"/>
  <c r="B80" i="19"/>
  <c r="B245" i="17"/>
  <c r="B168" i="17"/>
  <c r="B590" i="16"/>
  <c r="B57" i="22"/>
  <c r="B104" i="19"/>
  <c r="B477" i="17"/>
  <c r="B293" i="22"/>
  <c r="B197" i="20"/>
  <c r="B659" i="17"/>
  <c r="B265" i="16"/>
  <c r="B86" i="19"/>
  <c r="B314" i="19"/>
  <c r="B274" i="22"/>
  <c r="B11" i="19"/>
  <c r="B247" i="20"/>
  <c r="B203" i="17"/>
  <c r="B586" i="17"/>
  <c r="B315" i="19"/>
  <c r="B37" i="22"/>
  <c r="B222" i="19"/>
  <c r="B248" i="17"/>
  <c r="B479" i="16"/>
  <c r="B654" i="16"/>
  <c r="B88" i="16"/>
  <c r="B149" i="17"/>
  <c r="B150" i="17"/>
  <c r="B478" i="16"/>
  <c r="B418" i="18"/>
  <c r="B19" i="16"/>
  <c r="B405" i="16"/>
  <c r="B408" i="16"/>
  <c r="B210" i="16"/>
  <c r="B12" i="17"/>
  <c r="B174" i="16"/>
  <c r="B326" i="16"/>
  <c r="B55" i="17"/>
  <c r="B556" i="16"/>
  <c r="B13" i="16"/>
  <c r="B82" i="22"/>
  <c r="B70" i="17"/>
  <c r="B207" i="16"/>
  <c r="B135" i="16"/>
  <c r="B18" i="16"/>
  <c r="B129" i="17"/>
  <c r="B186" i="17"/>
  <c r="B129" i="21"/>
  <c r="B138" i="17"/>
  <c r="B634" i="17"/>
  <c r="B404" i="17"/>
  <c r="B61" i="18"/>
  <c r="B255" i="18"/>
  <c r="B255" i="17"/>
  <c r="B632" i="17"/>
  <c r="B650" i="17"/>
  <c r="B159" i="22"/>
  <c r="B216" i="16"/>
  <c r="B272" i="21"/>
  <c r="B292" i="21"/>
  <c r="B217" i="21"/>
  <c r="B562" i="16"/>
  <c r="B56" i="18"/>
  <c r="B590" i="17"/>
  <c r="B197" i="19"/>
  <c r="B164" i="19"/>
  <c r="B244" i="17"/>
  <c r="B677" i="17"/>
  <c r="B324" i="19"/>
  <c r="B236" i="21"/>
  <c r="B644" i="18"/>
  <c r="B104" i="21"/>
  <c r="B402" i="17"/>
  <c r="B24" i="18"/>
  <c r="B337" i="21"/>
  <c r="B361" i="16"/>
  <c r="B654" i="17"/>
  <c r="B245" i="22"/>
  <c r="B12" i="22"/>
  <c r="B39" i="22"/>
  <c r="B234" i="19"/>
  <c r="B254" i="19"/>
  <c r="B561" i="18"/>
  <c r="B683" i="17"/>
  <c r="B79" i="22"/>
  <c r="B12" i="19"/>
  <c r="B249" i="17"/>
  <c r="B14" i="16"/>
  <c r="B486" i="16"/>
  <c r="B131" i="17"/>
  <c r="B94" i="17"/>
  <c r="B398" i="16"/>
  <c r="B416" i="16"/>
  <c r="B215" i="17"/>
  <c r="B265" i="17"/>
  <c r="B634" i="16"/>
  <c r="B345" i="18"/>
  <c r="B62" i="17"/>
  <c r="B147" i="17"/>
  <c r="B244" i="18"/>
  <c r="B146" i="16"/>
  <c r="B220" i="19"/>
  <c r="B555" i="16"/>
  <c r="B174" i="17"/>
  <c r="B639" i="16"/>
  <c r="B244" i="16"/>
  <c r="B87" i="16"/>
  <c r="B574" i="18"/>
  <c r="B252" i="18"/>
  <c r="B88" i="17"/>
  <c r="B411" i="16"/>
  <c r="B32" i="18"/>
  <c r="B419" i="18"/>
  <c r="B322" i="16"/>
  <c r="B326" i="19"/>
  <c r="B634" i="18"/>
  <c r="B322" i="17"/>
  <c r="B476" i="17"/>
  <c r="B494" i="17"/>
  <c r="B25" i="19"/>
  <c r="B13" i="17"/>
  <c r="B49" i="16"/>
  <c r="B326" i="17"/>
  <c r="B176" i="16"/>
  <c r="B70" i="18"/>
  <c r="B690" i="17"/>
  <c r="B13" i="22"/>
  <c r="B187" i="16"/>
  <c r="B14" i="22"/>
  <c r="B278" i="21"/>
  <c r="B276" i="22"/>
  <c r="B196" i="21"/>
  <c r="B70" i="22"/>
  <c r="B262" i="17"/>
  <c r="B599" i="16"/>
  <c r="B679" i="17"/>
  <c r="B273" i="22"/>
  <c r="B204" i="22"/>
  <c r="B560" i="18"/>
  <c r="B127" i="18"/>
  <c r="B111" i="21"/>
  <c r="B245" i="20"/>
  <c r="B206" i="20"/>
  <c r="B114" i="21"/>
  <c r="B211" i="18"/>
  <c r="B242" i="21"/>
  <c r="B208" i="22"/>
  <c r="B152" i="22"/>
  <c r="B126" i="21"/>
  <c r="B322" i="19"/>
  <c r="B157" i="22"/>
  <c r="B116" i="21"/>
  <c r="B325" i="20"/>
  <c r="B220" i="20"/>
  <c r="B402" i="18"/>
  <c r="B236" i="19"/>
  <c r="B334" i="21"/>
  <c r="B554" i="18"/>
  <c r="B572" i="18"/>
  <c r="B326" i="20"/>
  <c r="B562" i="18"/>
  <c r="B176" i="22"/>
  <c r="B408" i="18"/>
  <c r="B336" i="20"/>
  <c r="B89" i="18"/>
  <c r="B216" i="22"/>
  <c r="B209" i="21"/>
  <c r="B38" i="19"/>
  <c r="B245" i="19"/>
  <c r="B172" i="22"/>
  <c r="B210" i="19"/>
  <c r="B95" i="18"/>
  <c r="B197" i="21"/>
  <c r="B298" i="21"/>
  <c r="B82" i="21"/>
  <c r="B218" i="21"/>
  <c r="B326" i="22"/>
  <c r="B36" i="21"/>
  <c r="B314" i="20"/>
  <c r="B158" i="21"/>
  <c r="B170" i="18"/>
  <c r="B478" i="18"/>
  <c r="B13" i="19"/>
  <c r="B564" i="18"/>
  <c r="B162" i="22"/>
  <c r="B150" i="22"/>
  <c r="B476" i="18"/>
  <c r="B494" i="18"/>
  <c r="B83" i="19"/>
  <c r="B97" i="18"/>
  <c r="B22" i="22"/>
  <c r="B484" i="18"/>
  <c r="B59" i="22"/>
  <c r="B108" i="18"/>
  <c r="B209" i="20"/>
  <c r="B162" i="21"/>
  <c r="B177" i="18"/>
  <c r="B338" i="20"/>
  <c r="B150" i="21"/>
  <c r="B195" i="20"/>
  <c r="B11" i="22"/>
  <c r="B163" i="21"/>
  <c r="B333" i="19"/>
  <c r="B276" i="19"/>
  <c r="B23" i="21"/>
  <c r="B172" i="18"/>
  <c r="B323" i="21"/>
  <c r="B221" i="19"/>
  <c r="B274" i="19"/>
  <c r="B14" i="19"/>
  <c r="B315" i="22"/>
  <c r="B118" i="19"/>
  <c r="B178" i="19"/>
  <c r="B259" i="20"/>
  <c r="B57" i="19"/>
  <c r="B204" i="20"/>
  <c r="B320" i="22"/>
  <c r="B66" i="19"/>
  <c r="B215" i="18"/>
  <c r="B81" i="22"/>
  <c r="B218" i="19"/>
  <c r="B246" i="19"/>
  <c r="B177" i="22"/>
  <c r="B84" i="21"/>
  <c r="B239" i="22"/>
  <c r="B176" i="21"/>
  <c r="B100" i="18"/>
  <c r="B90" i="18"/>
  <c r="B210" i="18"/>
  <c r="B248" i="22"/>
  <c r="B128" i="18"/>
  <c r="B488" i="18"/>
  <c r="B199" i="19"/>
  <c r="B148" i="21"/>
  <c r="B225" i="18"/>
  <c r="B496" i="18"/>
  <c r="B146" i="18"/>
  <c r="B128" i="21"/>
  <c r="B109" i="19"/>
  <c r="B179" i="21"/>
  <c r="B185" i="18"/>
  <c r="B22" i="19"/>
  <c r="B17" i="19"/>
  <c r="B282" i="19"/>
  <c r="B281" i="21"/>
  <c r="B320" i="20"/>
  <c r="B66" i="22"/>
  <c r="B242" i="20"/>
  <c r="B208" i="19"/>
  <c r="B62" i="22"/>
  <c r="B132" i="21"/>
  <c r="B94" i="18"/>
  <c r="B85" i="22"/>
  <c r="B312" i="21"/>
  <c r="B205" i="19"/>
  <c r="B112" i="19"/>
  <c r="B317" i="20"/>
  <c r="B69" i="19"/>
  <c r="B102" i="21"/>
  <c r="B204" i="18"/>
  <c r="B286" i="21"/>
  <c r="B566" i="18"/>
  <c r="B556" i="18"/>
  <c r="B220" i="22"/>
  <c r="B87" i="18"/>
  <c r="B68" i="22"/>
  <c r="B219" i="22"/>
  <c r="B275" i="20"/>
  <c r="B163" i="22"/>
  <c r="B103" i="21"/>
  <c r="B133" i="18"/>
  <c r="B237" i="21"/>
  <c r="B274" i="20"/>
  <c r="B88" i="19"/>
  <c r="B37" i="21"/>
  <c r="B285" i="19"/>
  <c r="B221" i="20"/>
  <c r="B207" i="18"/>
  <c r="B186" i="18"/>
  <c r="B114" i="19"/>
  <c r="B180" i="19"/>
  <c r="B295" i="22"/>
  <c r="B84" i="19"/>
  <c r="B294" i="20"/>
  <c r="B489" i="18"/>
  <c r="B234" i="22"/>
  <c r="B243" i="20"/>
  <c r="B244" i="19"/>
  <c r="B242" i="22"/>
  <c r="B204" i="21"/>
  <c r="B20" i="21"/>
  <c r="B205" i="22"/>
  <c r="B321" i="21"/>
  <c r="B245" i="21"/>
  <c r="B68" i="21"/>
  <c r="B80" i="22"/>
  <c r="B480" i="18"/>
  <c r="B216" i="18"/>
  <c r="B216" i="20"/>
  <c r="B174" i="18"/>
  <c r="B226" i="18"/>
  <c r="B176" i="18"/>
  <c r="B288" i="19"/>
  <c r="B635" i="18"/>
  <c r="B287" i="22"/>
  <c r="B200" i="20"/>
  <c r="B26" i="22"/>
  <c r="B334" i="20"/>
  <c r="B276" i="20"/>
  <c r="B105" i="19"/>
  <c r="B311" i="20"/>
  <c r="B331" i="20"/>
  <c r="B103" i="19"/>
  <c r="B295" i="21"/>
  <c r="B151" i="19"/>
  <c r="B175" i="19"/>
  <c r="B337" i="20"/>
  <c r="B339" i="19"/>
  <c r="B278" i="22"/>
  <c r="B334" i="22"/>
  <c r="B335" i="19"/>
  <c r="B297" i="22"/>
  <c r="B205" i="18"/>
  <c r="B127" i="19"/>
  <c r="B281" i="22"/>
  <c r="B21" i="21"/>
  <c r="B203" i="22"/>
  <c r="B404" i="18"/>
  <c r="B147" i="18"/>
  <c r="B173" i="22"/>
  <c r="B282" i="21"/>
  <c r="B322" i="21"/>
  <c r="B203" i="18"/>
  <c r="B194" i="20"/>
  <c r="B214" i="20"/>
  <c r="B177" i="21"/>
  <c r="B557" i="18"/>
  <c r="B401" i="18"/>
  <c r="B398" i="18"/>
  <c r="B416" i="18"/>
  <c r="B332" i="21"/>
  <c r="B151" i="22"/>
  <c r="B482" i="18"/>
  <c r="B479" i="18"/>
  <c r="B477" i="18"/>
  <c r="B132" i="19"/>
  <c r="B165" i="18"/>
  <c r="B300" i="19"/>
  <c r="B235" i="21"/>
  <c r="B236" i="22"/>
  <c r="B313" i="21"/>
  <c r="B575" i="18"/>
  <c r="B175" i="22"/>
  <c r="B259" i="21"/>
  <c r="B295" i="20"/>
  <c r="B163" i="19"/>
  <c r="B406" i="18"/>
  <c r="B286" i="20"/>
  <c r="B131" i="18"/>
  <c r="B283" i="19"/>
  <c r="B21" i="22"/>
  <c r="B203" i="20"/>
  <c r="B204" i="19"/>
  <c r="B66" i="21"/>
  <c r="B282" i="22"/>
  <c r="B321" i="20"/>
  <c r="B126" i="19"/>
  <c r="B84" i="22"/>
  <c r="B218" i="22"/>
  <c r="B93" i="18"/>
  <c r="B178" i="21"/>
  <c r="B260" i="19"/>
  <c r="B497" i="18"/>
  <c r="B197" i="22"/>
  <c r="B313" i="20"/>
  <c r="B259" i="22"/>
  <c r="B486" i="18"/>
  <c r="B205" i="20"/>
  <c r="B187" i="18"/>
  <c r="B58" i="22"/>
  <c r="B34" i="22"/>
  <c r="B332" i="20"/>
  <c r="B91" i="18"/>
  <c r="B88" i="18"/>
  <c r="B159" i="21"/>
  <c r="B400" i="18"/>
  <c r="B237" i="19"/>
  <c r="B256" i="22"/>
  <c r="B177" i="19"/>
  <c r="B209" i="18"/>
  <c r="B154" i="22"/>
  <c r="B108" i="21"/>
  <c r="B410" i="18"/>
  <c r="B172" i="21"/>
  <c r="B173" i="21"/>
  <c r="B196" i="19"/>
  <c r="B62" i="21"/>
  <c r="B327" i="19"/>
  <c r="B24" i="21"/>
  <c r="B80" i="21"/>
  <c r="B311" i="21"/>
  <c r="B331" i="21"/>
  <c r="B13" i="21"/>
  <c r="B256" i="20"/>
  <c r="B15" i="22"/>
  <c r="B194" i="22"/>
  <c r="B214" i="22"/>
  <c r="B157" i="21"/>
  <c r="B112" i="21"/>
  <c r="B335" i="22"/>
  <c r="B655" i="18"/>
  <c r="B668" i="18"/>
  <c r="B65" i="22"/>
  <c r="B326" i="21"/>
  <c r="B171" i="22"/>
  <c r="B129" i="19"/>
  <c r="B258" i="21"/>
  <c r="B692" i="18"/>
  <c r="B667" i="18"/>
  <c r="B680" i="18"/>
  <c r="B694" i="18"/>
  <c r="B670" i="18"/>
  <c r="B589" i="18"/>
  <c r="B590" i="18"/>
  <c r="B602" i="18"/>
  <c r="B616" i="18"/>
  <c r="B592" i="18"/>
  <c r="B285" i="22"/>
  <c r="B684" i="18"/>
  <c r="B659" i="18"/>
  <c r="B510" i="18"/>
  <c r="B524" i="18"/>
  <c r="B538" i="18"/>
  <c r="B514" i="18"/>
  <c r="B20" i="22"/>
  <c r="B243" i="22"/>
  <c r="B652" i="17"/>
  <c r="B247" i="21"/>
  <c r="B15" i="21"/>
  <c r="B657" i="18"/>
  <c r="B676" i="18"/>
  <c r="B689" i="18"/>
  <c r="B665" i="18"/>
  <c r="B678" i="18"/>
  <c r="B321" i="22"/>
  <c r="B158" i="19"/>
  <c r="B196" i="22"/>
  <c r="B37" i="19"/>
  <c r="B296" i="19"/>
  <c r="B180" i="22"/>
  <c r="B336" i="21"/>
  <c r="B174" i="21"/>
  <c r="B58" i="19"/>
  <c r="B155" i="19"/>
  <c r="B299" i="21"/>
  <c r="B338" i="19"/>
  <c r="B88" i="21"/>
  <c r="B683" i="18"/>
  <c r="B661" i="18"/>
  <c r="B674" i="18"/>
  <c r="B687" i="18"/>
  <c r="B663" i="18"/>
  <c r="B158" i="22"/>
  <c r="B65" i="21"/>
  <c r="B636" i="17"/>
  <c r="B261" i="19"/>
  <c r="B153" i="22"/>
  <c r="B181" i="22"/>
  <c r="B690" i="18"/>
  <c r="B666" i="18"/>
  <c r="B679" i="18"/>
  <c r="B693" i="18"/>
  <c r="B281" i="20"/>
  <c r="B282" i="20"/>
  <c r="B203" i="21"/>
  <c r="B243" i="21"/>
  <c r="B283" i="21"/>
  <c r="B249" i="18"/>
  <c r="B212" i="18"/>
  <c r="B660" i="18"/>
  <c r="B675" i="18"/>
  <c r="B688" i="18"/>
  <c r="B664" i="18"/>
  <c r="B677" i="18"/>
  <c r="B446" i="18"/>
  <c r="B424" i="18"/>
  <c r="B444" i="18"/>
  <c r="B458" i="18"/>
  <c r="P156" i="1"/>
  <c r="Q21" i="1"/>
  <c r="B109" i="13"/>
  <c r="P153" i="1"/>
  <c r="B40" i="11"/>
  <c r="P27" i="1"/>
  <c r="B16" i="11"/>
  <c r="B43" i="11"/>
  <c r="B130" i="9"/>
  <c r="B633" i="13"/>
  <c r="B210" i="13"/>
  <c r="P115" i="1"/>
  <c r="B110" i="18"/>
  <c r="B111" i="18"/>
  <c r="B402" i="13"/>
  <c r="B96" i="13"/>
  <c r="B207" i="20"/>
  <c r="B280" i="11"/>
  <c r="B114" i="11"/>
  <c r="B116" i="6"/>
  <c r="B280" i="6"/>
  <c r="B185" i="13"/>
  <c r="B204" i="6"/>
  <c r="B25" i="6"/>
  <c r="B41" i="6"/>
  <c r="B195" i="6"/>
  <c r="P161" i="1"/>
  <c r="AP153" i="1"/>
  <c r="B135" i="19"/>
  <c r="B127" i="6"/>
  <c r="B199" i="6"/>
  <c r="B37" i="6"/>
  <c r="B22" i="6"/>
  <c r="B42" i="6"/>
  <c r="B14" i="6"/>
  <c r="B16" i="6"/>
  <c r="B13" i="6"/>
  <c r="B273" i="9"/>
  <c r="B208" i="13"/>
  <c r="B194" i="6"/>
  <c r="B24" i="6"/>
  <c r="B27" i="6"/>
  <c r="B280" i="21"/>
  <c r="B110" i="21"/>
  <c r="AH114" i="1"/>
  <c r="P114" i="1"/>
  <c r="AG114" i="1"/>
  <c r="B329" i="18"/>
  <c r="AH112" i="1"/>
  <c r="P112" i="1"/>
  <c r="AG112" i="1"/>
  <c r="AG102" i="1"/>
  <c r="AH102" i="1"/>
  <c r="B72" i="16"/>
  <c r="B73" i="16"/>
  <c r="AO105" i="1"/>
  <c r="P105" i="1"/>
  <c r="P117" i="1"/>
  <c r="AN117" i="1"/>
  <c r="B316" i="20"/>
  <c r="B246" i="22"/>
  <c r="B333" i="22"/>
  <c r="B96" i="17"/>
  <c r="B563" i="17"/>
  <c r="B294" i="21"/>
  <c r="B615" i="17"/>
  <c r="B173" i="17"/>
  <c r="B116" i="19"/>
  <c r="B576" i="18"/>
  <c r="B585" i="16"/>
  <c r="B666" i="17"/>
  <c r="B20" i="18"/>
  <c r="B161" i="22"/>
  <c r="B498" i="18"/>
  <c r="B617" i="17"/>
  <c r="B255" i="22"/>
  <c r="B251" i="18"/>
  <c r="B333" i="21"/>
  <c r="B23" i="19"/>
  <c r="B673" i="17"/>
  <c r="B255" i="20"/>
  <c r="B58" i="17"/>
  <c r="B188" i="18"/>
  <c r="B189" i="18"/>
  <c r="B324" i="22"/>
  <c r="B591" i="17"/>
  <c r="B329" i="17"/>
  <c r="B20" i="16"/>
  <c r="B682" i="18"/>
  <c r="B658" i="18"/>
  <c r="B69" i="22"/>
  <c r="B251" i="16"/>
  <c r="AP116" i="1"/>
  <c r="P116" i="1"/>
  <c r="AP101" i="1"/>
  <c r="P101" i="1"/>
  <c r="B295" i="19"/>
  <c r="B527" i="18"/>
  <c r="B581" i="18"/>
  <c r="B582" i="18"/>
  <c r="B595" i="18"/>
  <c r="B608" i="18"/>
  <c r="B584" i="18"/>
  <c r="B461" i="17"/>
  <c r="B452" i="17"/>
  <c r="B443" i="17"/>
  <c r="B426" i="17"/>
  <c r="B440" i="17"/>
  <c r="B502" i="18"/>
  <c r="B517" i="18"/>
  <c r="B530" i="18"/>
  <c r="B506" i="18"/>
  <c r="B442" i="17"/>
  <c r="B430" i="17"/>
  <c r="B436" i="17"/>
  <c r="B456" i="17"/>
  <c r="B432" i="17"/>
  <c r="B439" i="18"/>
  <c r="B461" i="18"/>
  <c r="B437" i="18"/>
  <c r="B450" i="18"/>
  <c r="B426" i="18"/>
  <c r="B563" i="16"/>
  <c r="B673" i="18"/>
  <c r="B686" i="18"/>
  <c r="B662" i="18"/>
  <c r="B534" i="18"/>
  <c r="B509" i="18"/>
  <c r="B522" i="18"/>
  <c r="B536" i="18"/>
  <c r="B512" i="18"/>
  <c r="B612" i="18"/>
  <c r="B611" i="18"/>
  <c r="B587" i="18"/>
  <c r="B600" i="18"/>
  <c r="B614" i="18"/>
  <c r="B460" i="17"/>
  <c r="B450" i="17"/>
  <c r="B428" i="17"/>
  <c r="B448" i="17"/>
  <c r="B424" i="17"/>
  <c r="B431" i="18"/>
  <c r="B453" i="18"/>
  <c r="B429" i="18"/>
  <c r="B442" i="18"/>
  <c r="B456" i="18"/>
  <c r="B499" i="18"/>
  <c r="B526" i="18"/>
  <c r="B539" i="18"/>
  <c r="B515" i="18"/>
  <c r="B528" i="18"/>
  <c r="B504" i="18"/>
  <c r="B604" i="18"/>
  <c r="B603" i="18"/>
  <c r="B617" i="18"/>
  <c r="B593" i="18"/>
  <c r="B606" i="18"/>
  <c r="B438" i="17"/>
  <c r="B429" i="17"/>
  <c r="B427" i="17"/>
  <c r="B441" i="17"/>
  <c r="B454" i="17"/>
  <c r="B454" i="18"/>
  <c r="B445" i="18"/>
  <c r="B459" i="18"/>
  <c r="B435" i="18"/>
  <c r="B364" i="17"/>
  <c r="B691" i="18"/>
  <c r="B669" i="18"/>
  <c r="B681" i="18"/>
  <c r="B695" i="18"/>
  <c r="B671" i="18"/>
  <c r="B519" i="18"/>
  <c r="B531" i="18"/>
  <c r="B507" i="18"/>
  <c r="B520" i="18"/>
  <c r="B501" i="18"/>
  <c r="B597" i="18"/>
  <c r="B596" i="18"/>
  <c r="B609" i="18"/>
  <c r="B585" i="18"/>
  <c r="B598" i="18"/>
  <c r="B458" i="17"/>
  <c r="B445" i="17"/>
  <c r="B457" i="17"/>
  <c r="B433" i="17"/>
  <c r="B446" i="17"/>
  <c r="B455" i="18"/>
  <c r="B438" i="18"/>
  <c r="B451" i="18"/>
  <c r="B427" i="18"/>
  <c r="B441" i="18"/>
  <c r="B499" i="17"/>
  <c r="B514" i="17"/>
  <c r="B530" i="17"/>
  <c r="B505" i="17"/>
  <c r="B519" i="17"/>
  <c r="B533" i="18"/>
  <c r="B511" i="18"/>
  <c r="B523" i="18"/>
  <c r="B537" i="18"/>
  <c r="B513" i="18"/>
  <c r="B613" i="18"/>
  <c r="B588" i="18"/>
  <c r="B601" i="18"/>
  <c r="B615" i="18"/>
  <c r="B591" i="18"/>
  <c r="B437" i="17"/>
  <c r="B444" i="17"/>
  <c r="B449" i="17"/>
  <c r="B425" i="17"/>
  <c r="B439" i="17"/>
  <c r="B447" i="18"/>
  <c r="B430" i="18"/>
  <c r="B443" i="18"/>
  <c r="B457" i="18"/>
  <c r="B433" i="18"/>
  <c r="B525" i="18"/>
  <c r="B503" i="18"/>
  <c r="B516" i="18"/>
  <c r="B529" i="18"/>
  <c r="B505" i="18"/>
  <c r="B579" i="18"/>
  <c r="B605" i="18"/>
  <c r="B580" i="18"/>
  <c r="B594" i="18"/>
  <c r="B607" i="18"/>
  <c r="B583" i="18"/>
  <c r="B421" i="17"/>
  <c r="B453" i="17"/>
  <c r="B459" i="17"/>
  <c r="B455" i="17"/>
  <c r="B431" i="17"/>
  <c r="B421" i="18"/>
  <c r="B440" i="18"/>
  <c r="B460" i="18"/>
  <c r="B436" i="18"/>
  <c r="B449" i="18"/>
  <c r="B425" i="18"/>
  <c r="B672" i="18"/>
  <c r="B685" i="18"/>
  <c r="B518" i="18"/>
  <c r="B532" i="18"/>
  <c r="B508" i="18"/>
  <c r="B521" i="18"/>
  <c r="B535" i="18"/>
  <c r="B577" i="18"/>
  <c r="B610" i="18"/>
  <c r="B586" i="18"/>
  <c r="B599" i="18"/>
  <c r="B423" i="17"/>
  <c r="B435" i="17"/>
  <c r="B451" i="17"/>
  <c r="B434" i="17"/>
  <c r="B447" i="17"/>
  <c r="B423" i="18"/>
  <c r="B432" i="18"/>
  <c r="B452" i="18"/>
  <c r="B428" i="18"/>
  <c r="B278" i="12"/>
  <c r="B283" i="12"/>
  <c r="B276" i="12"/>
  <c r="B282" i="12"/>
  <c r="B284" i="12"/>
  <c r="B281" i="12"/>
  <c r="B279" i="12"/>
  <c r="B277" i="12"/>
  <c r="Q81" i="1"/>
  <c r="P16" i="1"/>
  <c r="B197" i="8"/>
  <c r="AP16" i="1"/>
  <c r="B54" i="8"/>
  <c r="AP18" i="1"/>
  <c r="P18" i="1"/>
  <c r="B126" i="8"/>
  <c r="B267" i="8"/>
  <c r="B198" i="12"/>
  <c r="B197" i="12"/>
  <c r="B19" i="11"/>
  <c r="B190" i="12"/>
  <c r="B193" i="12"/>
  <c r="B194" i="12"/>
  <c r="B195" i="12"/>
  <c r="B196" i="12"/>
  <c r="B191" i="12"/>
  <c r="B320" i="12"/>
  <c r="B321" i="12"/>
  <c r="B111" i="10"/>
  <c r="B156" i="10"/>
  <c r="B97" i="17"/>
  <c r="B20" i="9"/>
  <c r="B240" i="9"/>
  <c r="B162" i="19"/>
  <c r="B504" i="14"/>
  <c r="B429" i="14"/>
  <c r="B420" i="14"/>
  <c r="B209" i="13"/>
  <c r="B508" i="13"/>
  <c r="B21" i="14"/>
  <c r="B324" i="20"/>
  <c r="B663" i="17"/>
  <c r="B676" i="17"/>
  <c r="B612" i="17"/>
  <c r="B672" i="17"/>
  <c r="B605" i="17"/>
  <c r="B278" i="13"/>
  <c r="B298" i="13"/>
  <c r="B584" i="13"/>
  <c r="B581" i="13"/>
  <c r="B276" i="13"/>
  <c r="B502" i="13"/>
  <c r="B429" i="13"/>
  <c r="B453" i="13"/>
  <c r="B290" i="14"/>
  <c r="B270" i="14"/>
  <c r="B303" i="14"/>
  <c r="B20" i="8"/>
  <c r="B517" i="13"/>
  <c r="B200" i="10"/>
  <c r="B71" i="13"/>
  <c r="B201" i="10"/>
  <c r="B155" i="9"/>
  <c r="B207" i="19"/>
  <c r="B96" i="16"/>
  <c r="B418" i="13"/>
  <c r="B342" i="17"/>
  <c r="B490" i="13"/>
  <c r="B284" i="15"/>
  <c r="B114" i="15"/>
  <c r="B667" i="17"/>
  <c r="B595" i="17"/>
  <c r="B597" i="17"/>
  <c r="B600" i="17"/>
  <c r="B604" i="13"/>
  <c r="B295" i="13"/>
  <c r="B280" i="13"/>
  <c r="B589" i="13"/>
  <c r="B289" i="13"/>
  <c r="B495" i="13"/>
  <c r="B452" i="13"/>
  <c r="B435" i="13"/>
  <c r="B269" i="14"/>
  <c r="B289" i="14"/>
  <c r="B358" i="14"/>
  <c r="B357" i="14"/>
  <c r="B458" i="16"/>
  <c r="B323" i="20"/>
  <c r="B115" i="19"/>
  <c r="B486" i="14"/>
  <c r="B426" i="14"/>
  <c r="B336" i="13"/>
  <c r="B207" i="22"/>
  <c r="B604" i="17"/>
  <c r="B661" i="17"/>
  <c r="B581" i="17"/>
  <c r="B675" i="17"/>
  <c r="B599" i="17"/>
  <c r="B597" i="13"/>
  <c r="B592" i="13"/>
  <c r="B277" i="13"/>
  <c r="B265" i="13"/>
  <c r="B601" i="13"/>
  <c r="B572" i="13"/>
  <c r="B451" i="13"/>
  <c r="B433" i="13"/>
  <c r="B302" i="14"/>
  <c r="B304" i="14"/>
  <c r="B274" i="14"/>
  <c r="B372" i="14"/>
  <c r="B113" i="19"/>
  <c r="B579" i="14"/>
  <c r="B67" i="19"/>
  <c r="B201" i="11"/>
  <c r="B110" i="10"/>
  <c r="B316" i="9"/>
  <c r="B213" i="17"/>
  <c r="B585" i="17"/>
  <c r="B135" i="14"/>
  <c r="B341" i="13"/>
  <c r="B173" i="14"/>
  <c r="B408" i="17"/>
  <c r="B205" i="9"/>
  <c r="B607" i="17"/>
  <c r="B658" i="17"/>
  <c r="B609" i="17"/>
  <c r="B691" i="17"/>
  <c r="B580" i="17"/>
  <c r="B580" i="13"/>
  <c r="B262" i="13"/>
  <c r="B282" i="13"/>
  <c r="B270" i="13"/>
  <c r="B291" i="13"/>
  <c r="B576" i="13"/>
  <c r="B491" i="13"/>
  <c r="B439" i="13"/>
  <c r="B432" i="13"/>
  <c r="B305" i="14"/>
  <c r="B286" i="14"/>
  <c r="B288" i="14"/>
  <c r="B155" i="10"/>
  <c r="B330" i="16"/>
  <c r="B663" i="16"/>
  <c r="B96" i="14"/>
  <c r="B284" i="22"/>
  <c r="B23" i="15"/>
  <c r="B72" i="14"/>
  <c r="B73" i="14"/>
  <c r="B188" i="16"/>
  <c r="B189" i="16"/>
  <c r="B285" i="20"/>
  <c r="B592" i="17"/>
  <c r="B670" i="17"/>
  <c r="B610" i="17"/>
  <c r="B662" i="17"/>
  <c r="B614" i="17"/>
  <c r="B590" i="13"/>
  <c r="B296" i="13"/>
  <c r="B600" i="13"/>
  <c r="B285" i="13"/>
  <c r="B606" i="13"/>
  <c r="B595" i="13"/>
  <c r="B442" i="13"/>
  <c r="B434" i="13"/>
  <c r="B273" i="14"/>
  <c r="B276" i="14"/>
  <c r="B294" i="22"/>
  <c r="B111" i="15"/>
  <c r="B20" i="15"/>
  <c r="B59" i="18"/>
  <c r="B206" i="21"/>
  <c r="B507" i="16"/>
  <c r="B585" i="14"/>
  <c r="B420" i="16"/>
  <c r="B252" i="14"/>
  <c r="B325" i="19"/>
  <c r="B149" i="14"/>
  <c r="B150" i="14"/>
  <c r="B589" i="17"/>
  <c r="B687" i="17"/>
  <c r="B587" i="17"/>
  <c r="B660" i="17"/>
  <c r="B598" i="17"/>
  <c r="B607" i="13"/>
  <c r="B287" i="13"/>
  <c r="B596" i="13"/>
  <c r="B272" i="13"/>
  <c r="B567" i="13"/>
  <c r="B598" i="13"/>
  <c r="B440" i="13"/>
  <c r="B441" i="13"/>
  <c r="B275" i="14"/>
  <c r="B294" i="14"/>
  <c r="B291" i="14"/>
  <c r="B295" i="14"/>
  <c r="B438" i="16"/>
  <c r="B242" i="15"/>
  <c r="B238" i="11"/>
  <c r="B213" i="18"/>
  <c r="B158" i="15"/>
  <c r="B155" i="11"/>
  <c r="B324" i="13"/>
  <c r="B264" i="14"/>
  <c r="B642" i="17"/>
  <c r="B351" i="16"/>
  <c r="B351" i="17"/>
  <c r="B507" i="14"/>
  <c r="B642" i="18"/>
  <c r="B264" i="17"/>
  <c r="B586" i="13"/>
  <c r="B420" i="18"/>
  <c r="B576" i="17"/>
  <c r="B284" i="20"/>
  <c r="B23" i="22"/>
  <c r="B584" i="17"/>
  <c r="B694" i="17"/>
  <c r="B601" i="17"/>
  <c r="B680" i="17"/>
  <c r="B613" i="17"/>
  <c r="B267" i="13"/>
  <c r="B264" i="13"/>
  <c r="B573" i="13"/>
  <c r="B587" i="13"/>
  <c r="B585" i="13"/>
  <c r="B293" i="13"/>
  <c r="B430" i="13"/>
  <c r="B428" i="13"/>
  <c r="B293" i="14"/>
  <c r="B272" i="14"/>
  <c r="B281" i="14"/>
  <c r="B577" i="14"/>
  <c r="B40" i="6"/>
  <c r="B39" i="6"/>
  <c r="B501" i="17"/>
  <c r="B532" i="17"/>
  <c r="B538" i="17"/>
  <c r="B513" i="17"/>
  <c r="B526" i="17"/>
  <c r="B502" i="17"/>
  <c r="B345" i="14"/>
  <c r="B641" i="18"/>
  <c r="B375" i="18"/>
  <c r="B347" i="18"/>
  <c r="B437" i="13"/>
  <c r="B434" i="18"/>
  <c r="B523" i="17"/>
  <c r="B531" i="17"/>
  <c r="B522" i="17"/>
  <c r="B535" i="17"/>
  <c r="B511" i="17"/>
  <c r="B343" i="14"/>
  <c r="B20" i="13"/>
  <c r="B173" i="18"/>
  <c r="B364" i="14"/>
  <c r="B521" i="17"/>
  <c r="B509" i="17"/>
  <c r="B515" i="17"/>
  <c r="B527" i="17"/>
  <c r="B503" i="17"/>
  <c r="B492" i="13"/>
  <c r="B22" i="16"/>
  <c r="B110" i="17"/>
  <c r="B111" i="17"/>
  <c r="B359" i="18"/>
  <c r="B381" i="14"/>
  <c r="B539" i="16"/>
  <c r="B515" i="16"/>
  <c r="B503" i="16"/>
  <c r="B538" i="14"/>
  <c r="B539" i="17"/>
  <c r="B529" i="17"/>
  <c r="B507" i="17"/>
  <c r="B533" i="17"/>
  <c r="B188" i="17"/>
  <c r="B189" i="17"/>
  <c r="B34" i="14"/>
  <c r="B35" i="14"/>
  <c r="B499" i="14"/>
  <c r="B227" i="18"/>
  <c r="B228" i="18"/>
  <c r="B348" i="14"/>
  <c r="B368" i="14"/>
  <c r="B352" i="14"/>
  <c r="B458" i="14"/>
  <c r="B448" i="18"/>
  <c r="B517" i="17"/>
  <c r="B508" i="17"/>
  <c r="B536" i="17"/>
  <c r="B512" i="17"/>
  <c r="B525" i="17"/>
  <c r="B563" i="14"/>
  <c r="B368" i="18"/>
  <c r="B595" i="14"/>
  <c r="B530" i="13"/>
  <c r="B506" i="13"/>
  <c r="B511" i="13"/>
  <c r="B520" i="16"/>
  <c r="B537" i="17"/>
  <c r="B524" i="17"/>
  <c r="B528" i="17"/>
  <c r="B504" i="17"/>
  <c r="B518" i="17"/>
  <c r="B260" i="13"/>
  <c r="B579" i="17"/>
  <c r="B94" i="13"/>
  <c r="B251" i="14"/>
  <c r="B283" i="14"/>
  <c r="B271" i="14"/>
  <c r="B608" i="14"/>
  <c r="B584" i="14"/>
  <c r="B611" i="14"/>
  <c r="B509" i="13"/>
  <c r="B353" i="17"/>
  <c r="B516" i="17"/>
  <c r="B506" i="17"/>
  <c r="B520" i="17"/>
  <c r="B534" i="17"/>
  <c r="B510" i="17"/>
  <c r="B267" i="14"/>
  <c r="B261" i="13"/>
  <c r="B577" i="17"/>
  <c r="B54" i="17"/>
  <c r="B421" i="13"/>
  <c r="B356" i="17"/>
  <c r="B319" i="12"/>
  <c r="B327" i="12"/>
  <c r="B325" i="12"/>
  <c r="B322" i="12"/>
  <c r="B323" i="12"/>
  <c r="B324" i="12"/>
  <c r="B563" i="18"/>
  <c r="B314" i="12"/>
  <c r="B326" i="12"/>
  <c r="B185" i="12"/>
  <c r="B271" i="12"/>
  <c r="B643" i="14"/>
  <c r="B214" i="14"/>
  <c r="AN61" i="1"/>
  <c r="P61" i="1"/>
  <c r="B221" i="12"/>
  <c r="Q22" i="1"/>
  <c r="B312" i="6"/>
  <c r="B173" i="16"/>
  <c r="P6" i="1"/>
  <c r="AH73" i="1"/>
  <c r="B110" i="14"/>
  <c r="B111" i="14"/>
  <c r="AN164" i="1"/>
  <c r="P164" i="1"/>
  <c r="B61" i="10"/>
  <c r="B234" i="10"/>
  <c r="P163" i="1"/>
  <c r="Q163" i="1"/>
  <c r="B160" i="8"/>
  <c r="B169" i="8"/>
  <c r="P4" i="1"/>
  <c r="Q19" i="1"/>
  <c r="B447" i="16"/>
  <c r="B503" i="13"/>
  <c r="B262" i="16"/>
  <c r="B350" i="18"/>
  <c r="B200" i="11"/>
  <c r="B66" i="9"/>
  <c r="B65" i="15"/>
  <c r="B34" i="16"/>
  <c r="B35" i="16"/>
  <c r="B236" i="20"/>
  <c r="B427" i="16"/>
  <c r="B428" i="16"/>
  <c r="B445" i="16"/>
  <c r="B509" i="16"/>
  <c r="B586" i="14"/>
  <c r="B223" i="13"/>
  <c r="B21" i="11"/>
  <c r="B147" i="13"/>
  <c r="B330" i="18"/>
  <c r="B276" i="11"/>
  <c r="B314" i="11"/>
  <c r="B65" i="10"/>
  <c r="B277" i="10"/>
  <c r="B297" i="16"/>
  <c r="B593" i="13"/>
  <c r="B444" i="16"/>
  <c r="B533" i="16"/>
  <c r="B380" i="14"/>
  <c r="B374" i="18"/>
  <c r="B315" i="11"/>
  <c r="B201" i="9"/>
  <c r="B238" i="10"/>
  <c r="B247" i="13"/>
  <c r="B282" i="15"/>
  <c r="B111" i="11"/>
  <c r="B321" i="15"/>
  <c r="B156" i="11"/>
  <c r="B202" i="9"/>
  <c r="B160" i="21"/>
  <c r="B72" i="17"/>
  <c r="B73" i="17"/>
  <c r="B112" i="15"/>
  <c r="B110" i="11"/>
  <c r="B435" i="16"/>
  <c r="B360" i="17"/>
  <c r="B580" i="14"/>
  <c r="B426" i="13"/>
  <c r="B157" i="15"/>
  <c r="B21" i="9"/>
  <c r="B66" i="10"/>
  <c r="B277" i="9"/>
  <c r="B315" i="9"/>
  <c r="B20" i="10"/>
  <c r="B68" i="15"/>
  <c r="B239" i="10"/>
  <c r="B433" i="16"/>
  <c r="B374" i="14"/>
  <c r="B523" i="13"/>
  <c r="B373" i="18"/>
  <c r="B367" i="18"/>
  <c r="B21" i="19"/>
  <c r="B59" i="16"/>
  <c r="B111" i="9"/>
  <c r="B156" i="9"/>
  <c r="B320" i="15"/>
  <c r="B66" i="15"/>
  <c r="B65" i="11"/>
  <c r="B110" i="9"/>
  <c r="B277" i="11"/>
  <c r="B665" i="13"/>
  <c r="B275" i="13"/>
  <c r="B354" i="17"/>
  <c r="B357" i="17"/>
  <c r="B349" i="14"/>
  <c r="B422" i="13"/>
  <c r="B348" i="18"/>
  <c r="B247" i="22"/>
  <c r="B294" i="13"/>
  <c r="B273" i="13"/>
  <c r="B459" i="16"/>
  <c r="B439" i="16"/>
  <c r="B361" i="18"/>
  <c r="B21" i="10"/>
  <c r="B243" i="15"/>
  <c r="B66" i="11"/>
  <c r="B34" i="18"/>
  <c r="B35" i="18"/>
  <c r="B276" i="10"/>
  <c r="B314" i="10"/>
  <c r="B21" i="15"/>
  <c r="B20" i="11"/>
  <c r="B65" i="9"/>
  <c r="B239" i="11"/>
  <c r="B278" i="9"/>
  <c r="B281" i="15"/>
  <c r="B383" i="18"/>
  <c r="B351" i="18"/>
  <c r="B380" i="18"/>
  <c r="B356" i="18"/>
  <c r="B377" i="18"/>
  <c r="B424" i="13"/>
  <c r="B427" i="13"/>
  <c r="B448" i="13"/>
  <c r="B287" i="14"/>
  <c r="B301" i="14"/>
  <c r="B600" i="14"/>
  <c r="B614" i="14"/>
  <c r="B590" i="14"/>
  <c r="B603" i="14"/>
  <c r="B587" i="14"/>
  <c r="B501" i="13"/>
  <c r="B522" i="13"/>
  <c r="B498" i="13"/>
  <c r="B496" i="13"/>
  <c r="B377" i="14"/>
  <c r="B361" i="14"/>
  <c r="B356" i="14"/>
  <c r="B373" i="14"/>
  <c r="B383" i="17"/>
  <c r="B513" i="16"/>
  <c r="B510" i="16"/>
  <c r="B440" i="16"/>
  <c r="B441" i="14"/>
  <c r="B424" i="14"/>
  <c r="B453" i="14"/>
  <c r="B381" i="18"/>
  <c r="B372" i="18"/>
  <c r="B369" i="18"/>
  <c r="B446" i="13"/>
  <c r="B443" i="13"/>
  <c r="B419" i="13"/>
  <c r="B284" i="14"/>
  <c r="B292" i="14"/>
  <c r="B296" i="14"/>
  <c r="B280" i="14"/>
  <c r="B593" i="14"/>
  <c r="B606" i="14"/>
  <c r="B582" i="14"/>
  <c r="B596" i="14"/>
  <c r="B617" i="14"/>
  <c r="B514" i="13"/>
  <c r="B528" i="13"/>
  <c r="B519" i="13"/>
  <c r="B379" i="14"/>
  <c r="B369" i="14"/>
  <c r="B353" i="14"/>
  <c r="B365" i="14"/>
  <c r="B378" i="17"/>
  <c r="B523" i="16"/>
  <c r="B537" i="16"/>
  <c r="B441" i="16"/>
  <c r="B574" i="13"/>
  <c r="B449" i="14"/>
  <c r="B351" i="13"/>
  <c r="B301" i="18"/>
  <c r="B353" i="18"/>
  <c r="B364" i="18"/>
  <c r="B362" i="18"/>
  <c r="B438" i="13"/>
  <c r="B598" i="14"/>
  <c r="B612" i="14"/>
  <c r="B588" i="14"/>
  <c r="B609" i="14"/>
  <c r="B494" i="13"/>
  <c r="B507" i="13"/>
  <c r="B520" i="13"/>
  <c r="B504" i="13"/>
  <c r="B378" i="14"/>
  <c r="B362" i="14"/>
  <c r="B366" i="17"/>
  <c r="B370" i="17"/>
  <c r="B367" i="17"/>
  <c r="B532" i="16"/>
  <c r="B431" i="16"/>
  <c r="B451" i="16"/>
  <c r="B571" i="13"/>
  <c r="B274" i="17"/>
  <c r="B304" i="16"/>
  <c r="B316" i="22"/>
  <c r="B382" i="18"/>
  <c r="B357" i="18"/>
  <c r="B378" i="18"/>
  <c r="B354" i="18"/>
  <c r="B431" i="13"/>
  <c r="B425" i="13"/>
  <c r="B268" i="14"/>
  <c r="B278" i="14"/>
  <c r="B615" i="14"/>
  <c r="B591" i="14"/>
  <c r="B604" i="14"/>
  <c r="B601" i="14"/>
  <c r="B510" i="13"/>
  <c r="B499" i="13"/>
  <c r="B512" i="13"/>
  <c r="B526" i="13"/>
  <c r="B370" i="14"/>
  <c r="B354" i="14"/>
  <c r="B383" i="14"/>
  <c r="B365" i="17"/>
  <c r="B359" i="17"/>
  <c r="B363" i="17"/>
  <c r="B346" i="17"/>
  <c r="B508" i="16"/>
  <c r="B521" i="16"/>
  <c r="B452" i="16"/>
  <c r="B360" i="18"/>
  <c r="B365" i="18"/>
  <c r="B349" i="18"/>
  <c r="B370" i="18"/>
  <c r="B346" i="18"/>
  <c r="B416" i="13"/>
  <c r="B423" i="13"/>
  <c r="B444" i="13"/>
  <c r="B420" i="13"/>
  <c r="B417" i="13"/>
  <c r="B607" i="14"/>
  <c r="B583" i="14"/>
  <c r="B597" i="14"/>
  <c r="B594" i="14"/>
  <c r="B525" i="13"/>
  <c r="B515" i="13"/>
  <c r="B529" i="13"/>
  <c r="B505" i="13"/>
  <c r="B518" i="13"/>
  <c r="B363" i="14"/>
  <c r="B346" i="14"/>
  <c r="B375" i="14"/>
  <c r="B366" i="14"/>
  <c r="B358" i="17"/>
  <c r="B434" i="16"/>
  <c r="B283" i="13"/>
  <c r="B678" i="16"/>
  <c r="P65" i="1"/>
  <c r="B352" i="18"/>
  <c r="B358" i="18"/>
  <c r="B379" i="18"/>
  <c r="B363" i="18"/>
  <c r="B447" i="13"/>
  <c r="B436" i="13"/>
  <c r="B450" i="13"/>
  <c r="B449" i="13"/>
  <c r="B415" i="13"/>
  <c r="B298" i="14"/>
  <c r="B282" i="14"/>
  <c r="B277" i="14"/>
  <c r="B265" i="14"/>
  <c r="B599" i="14"/>
  <c r="B613" i="14"/>
  <c r="B589" i="14"/>
  <c r="B610" i="14"/>
  <c r="B175" i="11"/>
  <c r="B524" i="13"/>
  <c r="B521" i="13"/>
  <c r="B497" i="13"/>
  <c r="B355" i="14"/>
  <c r="B371" i="14"/>
  <c r="B359" i="14"/>
  <c r="B371" i="17"/>
  <c r="B352" i="17"/>
  <c r="B426" i="16"/>
  <c r="B368" i="13"/>
  <c r="B371" i="13"/>
  <c r="B511" i="14"/>
  <c r="B297" i="18"/>
  <c r="B684" i="17"/>
  <c r="B23" i="6"/>
  <c r="AH70" i="1"/>
  <c r="P70" i="1"/>
  <c r="B40" i="10"/>
  <c r="B376" i="18"/>
  <c r="B366" i="18"/>
  <c r="B371" i="18"/>
  <c r="B355" i="18"/>
  <c r="B445" i="13"/>
  <c r="B300" i="14"/>
  <c r="B279" i="14"/>
  <c r="B616" i="14"/>
  <c r="B592" i="14"/>
  <c r="B605" i="14"/>
  <c r="B581" i="14"/>
  <c r="B602" i="14"/>
  <c r="B516" i="13"/>
  <c r="B500" i="13"/>
  <c r="B513" i="13"/>
  <c r="B527" i="13"/>
  <c r="B347" i="14"/>
  <c r="B376" i="14"/>
  <c r="B360" i="14"/>
  <c r="B381" i="17"/>
  <c r="B377" i="17"/>
  <c r="B361" i="17"/>
  <c r="B525" i="16"/>
  <c r="B535" i="16"/>
  <c r="B511" i="16"/>
  <c r="B288" i="13"/>
  <c r="B268" i="13"/>
  <c r="B456" i="14"/>
  <c r="B440" i="14"/>
  <c r="B276" i="17"/>
  <c r="B273" i="17"/>
  <c r="B287" i="17"/>
  <c r="B301" i="17"/>
  <c r="B649" i="13"/>
  <c r="B663" i="13"/>
  <c r="B668" i="13"/>
  <c r="B536" i="14"/>
  <c r="B294" i="16"/>
  <c r="P75" i="1"/>
  <c r="B65" i="19"/>
  <c r="B85" i="19"/>
  <c r="B204" i="10"/>
  <c r="B24" i="10"/>
  <c r="B227" i="16"/>
  <c r="B228" i="16"/>
  <c r="P106" i="1"/>
  <c r="B83" i="9"/>
  <c r="B34" i="17"/>
  <c r="B35" i="17"/>
  <c r="P107" i="1"/>
  <c r="AP30" i="1"/>
  <c r="B177" i="11"/>
  <c r="B173" i="11"/>
  <c r="P5" i="1"/>
  <c r="AG67" i="1"/>
  <c r="AT67" i="1"/>
  <c r="B275" i="6"/>
  <c r="B253" i="16"/>
  <c r="B574" i="17"/>
  <c r="P77" i="1"/>
  <c r="B202" i="20"/>
  <c r="AP4" i="1"/>
  <c r="B89" i="6"/>
  <c r="B16" i="8"/>
  <c r="B35" i="8"/>
  <c r="P160" i="1"/>
  <c r="B227" i="14"/>
  <c r="B228" i="14"/>
  <c r="P67" i="1"/>
  <c r="B20" i="14"/>
  <c r="B335" i="20"/>
  <c r="Q56" i="1"/>
  <c r="B55" i="12"/>
  <c r="B77" i="12"/>
  <c r="B154" i="19"/>
  <c r="B183" i="19"/>
  <c r="P151" i="1"/>
  <c r="AP151" i="1"/>
  <c r="B19" i="19"/>
  <c r="AP159" i="1"/>
  <c r="B280" i="20"/>
  <c r="P157" i="1"/>
  <c r="AP157" i="1"/>
  <c r="B134" i="35"/>
  <c r="B154" i="10"/>
  <c r="P26" i="1"/>
  <c r="B313" i="10"/>
  <c r="AP26" i="1"/>
  <c r="B177" i="10"/>
  <c r="P25" i="1"/>
  <c r="AP25" i="1"/>
  <c r="B132" i="10"/>
  <c r="B275" i="10"/>
  <c r="B277" i="21"/>
  <c r="AP5" i="1"/>
  <c r="B134" i="6"/>
  <c r="B16" i="15"/>
  <c r="B44" i="15"/>
  <c r="B373" i="17"/>
  <c r="B380" i="17"/>
  <c r="B349" i="17"/>
  <c r="B347" i="17"/>
  <c r="B376" i="17"/>
  <c r="B505" i="16"/>
  <c r="B530" i="16"/>
  <c r="B529" i="16"/>
  <c r="B504" i="16"/>
  <c r="B457" i="16"/>
  <c r="B454" i="16"/>
  <c r="B461" i="16"/>
  <c r="B430" i="16"/>
  <c r="B437" i="16"/>
  <c r="B443" i="16"/>
  <c r="B450" i="16"/>
  <c r="B456" i="16"/>
  <c r="B425" i="16"/>
  <c r="B432" i="16"/>
  <c r="B286" i="13"/>
  <c r="B599" i="13"/>
  <c r="B434" i="14"/>
  <c r="B425" i="14"/>
  <c r="B454" i="14"/>
  <c r="B438" i="14"/>
  <c r="B451" i="14"/>
  <c r="B292" i="17"/>
  <c r="B296" i="17"/>
  <c r="B270" i="17"/>
  <c r="B271" i="17"/>
  <c r="B369" i="13"/>
  <c r="B373" i="13"/>
  <c r="B372" i="13"/>
  <c r="B355" i="13"/>
  <c r="B660" i="13"/>
  <c r="B680" i="13"/>
  <c r="B671" i="13"/>
  <c r="B647" i="13"/>
  <c r="B682" i="13"/>
  <c r="B520" i="14"/>
  <c r="B530" i="14"/>
  <c r="B299" i="16"/>
  <c r="B289" i="16"/>
  <c r="B295" i="16"/>
  <c r="B286" i="16"/>
  <c r="B275" i="16"/>
  <c r="B237" i="11"/>
  <c r="B272" i="18"/>
  <c r="B358" i="16"/>
  <c r="B615" i="16"/>
  <c r="B610" i="16"/>
  <c r="B674" i="17"/>
  <c r="B67" i="22"/>
  <c r="AH66" i="1"/>
  <c r="B72" i="28"/>
  <c r="B73" i="28"/>
  <c r="B534" i="16"/>
  <c r="B290" i="13"/>
  <c r="B266" i="13"/>
  <c r="B299" i="13"/>
  <c r="B594" i="13"/>
  <c r="B578" i="13"/>
  <c r="B583" i="13"/>
  <c r="B588" i="13"/>
  <c r="B450" i="14"/>
  <c r="B446" i="14"/>
  <c r="B430" i="14"/>
  <c r="B443" i="14"/>
  <c r="B285" i="17"/>
  <c r="B288" i="17"/>
  <c r="B302" i="17"/>
  <c r="B277" i="17"/>
  <c r="B268" i="17"/>
  <c r="B353" i="13"/>
  <c r="B344" i="13"/>
  <c r="B364" i="13"/>
  <c r="B363" i="13"/>
  <c r="B347" i="13"/>
  <c r="B664" i="13"/>
  <c r="B677" i="13"/>
  <c r="B674" i="13"/>
  <c r="B513" i="14"/>
  <c r="B529" i="14"/>
  <c r="B521" i="14"/>
  <c r="B291" i="16"/>
  <c r="B281" i="16"/>
  <c r="B287" i="16"/>
  <c r="B304" i="18"/>
  <c r="B291" i="18"/>
  <c r="B290" i="18"/>
  <c r="B675" i="16"/>
  <c r="B284" i="19"/>
  <c r="B256" i="19"/>
  <c r="B89" i="12"/>
  <c r="AN160" i="1"/>
  <c r="B176" i="19"/>
  <c r="B350" i="14"/>
  <c r="B382" i="17"/>
  <c r="B372" i="17"/>
  <c r="B379" i="17"/>
  <c r="B369" i="17"/>
  <c r="B528" i="16"/>
  <c r="B502" i="16"/>
  <c r="B522" i="16"/>
  <c r="B514" i="16"/>
  <c r="B526" i="16"/>
  <c r="B446" i="16"/>
  <c r="B453" i="16"/>
  <c r="B460" i="16"/>
  <c r="B429" i="16"/>
  <c r="B436" i="16"/>
  <c r="B442" i="16"/>
  <c r="B448" i="16"/>
  <c r="B455" i="16"/>
  <c r="B424" i="16"/>
  <c r="B284" i="13"/>
  <c r="B292" i="13"/>
  <c r="B570" i="13"/>
  <c r="B591" i="13"/>
  <c r="B455" i="14"/>
  <c r="B439" i="14"/>
  <c r="B460" i="14"/>
  <c r="B436" i="14"/>
  <c r="B305" i="17"/>
  <c r="B281" i="17"/>
  <c r="B294" i="17"/>
  <c r="B267" i="17"/>
  <c r="B346" i="13"/>
  <c r="B345" i="13"/>
  <c r="B365" i="13"/>
  <c r="B339" i="13"/>
  <c r="B672" i="13"/>
  <c r="B656" i="13"/>
  <c r="B669" i="13"/>
  <c r="B666" i="13"/>
  <c r="B505" i="14"/>
  <c r="B533" i="14"/>
  <c r="B531" i="14"/>
  <c r="B522" i="14"/>
  <c r="B283" i="16"/>
  <c r="B282" i="16"/>
  <c r="B280" i="16"/>
  <c r="B303" i="18"/>
  <c r="B294" i="18"/>
  <c r="B270" i="18"/>
  <c r="B683" i="16"/>
  <c r="B25" i="22"/>
  <c r="B68" i="19"/>
  <c r="B506" i="16"/>
  <c r="B297" i="13"/>
  <c r="B271" i="13"/>
  <c r="B603" i="13"/>
  <c r="B582" i="13"/>
  <c r="B435" i="14"/>
  <c r="B447" i="14"/>
  <c r="B431" i="14"/>
  <c r="B452" i="14"/>
  <c r="B428" i="14"/>
  <c r="B297" i="17"/>
  <c r="B272" i="17"/>
  <c r="B286" i="17"/>
  <c r="B375" i="13"/>
  <c r="B349" i="13"/>
  <c r="B348" i="13"/>
  <c r="B658" i="13"/>
  <c r="B648" i="13"/>
  <c r="B654" i="13"/>
  <c r="B659" i="13"/>
  <c r="B514" i="14"/>
  <c r="B525" i="14"/>
  <c r="B524" i="14"/>
  <c r="B523" i="14"/>
  <c r="B273" i="16"/>
  <c r="B272" i="16"/>
  <c r="B270" i="16"/>
  <c r="B301" i="16"/>
  <c r="B288" i="18"/>
  <c r="B286" i="18"/>
  <c r="B284" i="18"/>
  <c r="B376" i="16"/>
  <c r="B616" i="16"/>
  <c r="B17" i="21"/>
  <c r="B87" i="13"/>
  <c r="B427" i="14"/>
  <c r="B444" i="14"/>
  <c r="B289" i="17"/>
  <c r="B303" i="17"/>
  <c r="B278" i="17"/>
  <c r="B290" i="17"/>
  <c r="B376" i="13"/>
  <c r="B366" i="13"/>
  <c r="B357" i="13"/>
  <c r="B667" i="13"/>
  <c r="B683" i="13"/>
  <c r="B678" i="13"/>
  <c r="B684" i="13"/>
  <c r="B651" i="13"/>
  <c r="B526" i="14"/>
  <c r="B516" i="14"/>
  <c r="B292" i="16"/>
  <c r="B302" i="16"/>
  <c r="B293" i="16"/>
  <c r="B295" i="18"/>
  <c r="B686" i="16"/>
  <c r="B594" i="17"/>
  <c r="B199" i="8"/>
  <c r="B32" i="17"/>
  <c r="AG116" i="1"/>
  <c r="AT116" i="1"/>
  <c r="B517" i="16"/>
  <c r="B516" i="16"/>
  <c r="B527" i="16"/>
  <c r="B281" i="13"/>
  <c r="B457" i="14"/>
  <c r="B448" i="14"/>
  <c r="B432" i="14"/>
  <c r="B461" i="14"/>
  <c r="B282" i="17"/>
  <c r="B295" i="17"/>
  <c r="B269" i="17"/>
  <c r="B284" i="17"/>
  <c r="B283" i="17"/>
  <c r="B359" i="13"/>
  <c r="B358" i="13"/>
  <c r="B370" i="13"/>
  <c r="B657" i="13"/>
  <c r="B670" i="13"/>
  <c r="B676" i="13"/>
  <c r="B537" i="14"/>
  <c r="B510" i="14"/>
  <c r="B517" i="14"/>
  <c r="B268" i="16"/>
  <c r="B285" i="16"/>
  <c r="B277" i="16"/>
  <c r="B281" i="18"/>
  <c r="B285" i="18"/>
  <c r="B377" i="16"/>
  <c r="B617" i="16"/>
  <c r="B228" i="8"/>
  <c r="B104" i="8"/>
  <c r="P69" i="1"/>
  <c r="B320" i="21"/>
  <c r="B269" i="13"/>
  <c r="B274" i="13"/>
  <c r="B602" i="13"/>
  <c r="B433" i="14"/>
  <c r="B442" i="14"/>
  <c r="B445" i="14"/>
  <c r="B459" i="14"/>
  <c r="B300" i="17"/>
  <c r="B304" i="17"/>
  <c r="B280" i="17"/>
  <c r="B293" i="17"/>
  <c r="B275" i="17"/>
  <c r="B361" i="13"/>
  <c r="B352" i="13"/>
  <c r="B342" i="13"/>
  <c r="B356" i="13"/>
  <c r="B679" i="13"/>
  <c r="B655" i="13"/>
  <c r="B661" i="13"/>
  <c r="B528" i="14"/>
  <c r="B502" i="14"/>
  <c r="B509" i="14"/>
  <c r="B319" i="20"/>
  <c r="B300" i="16"/>
  <c r="B298" i="16"/>
  <c r="B296" i="16"/>
  <c r="B280" i="18"/>
  <c r="B273" i="18"/>
  <c r="B293" i="18"/>
  <c r="B298" i="18"/>
  <c r="B674" i="16"/>
  <c r="B693" i="17"/>
  <c r="B577" i="16"/>
  <c r="B275" i="19"/>
  <c r="B91" i="12"/>
  <c r="B22" i="12"/>
  <c r="P80" i="1"/>
  <c r="B107" i="21"/>
  <c r="B135" i="21"/>
  <c r="AP163" i="1"/>
  <c r="B199" i="11"/>
  <c r="B243" i="6"/>
  <c r="B71" i="6"/>
  <c r="B199" i="22"/>
  <c r="B277" i="20"/>
  <c r="B19" i="21"/>
  <c r="P159" i="1"/>
  <c r="B202" i="22"/>
  <c r="B197" i="9"/>
  <c r="B16" i="9"/>
  <c r="B44" i="9"/>
  <c r="B285" i="21"/>
  <c r="B115" i="21"/>
  <c r="AN82" i="1"/>
  <c r="B86" i="15"/>
  <c r="P82" i="1"/>
  <c r="B319" i="21"/>
  <c r="B156" i="21"/>
  <c r="AP162" i="1"/>
  <c r="P162" i="1"/>
  <c r="AP109" i="1"/>
  <c r="P109" i="1"/>
  <c r="B215" i="12"/>
  <c r="B281" i="19"/>
  <c r="B473" i="13"/>
  <c r="Q62" i="1"/>
  <c r="B329" i="14"/>
  <c r="B58" i="14"/>
  <c r="AG68" i="1"/>
  <c r="AT68" i="1"/>
  <c r="AH68" i="1"/>
  <c r="B149" i="28"/>
  <c r="B150" i="28"/>
  <c r="AP83" i="1"/>
  <c r="B134" i="15"/>
  <c r="B280" i="15"/>
  <c r="B18" i="18"/>
  <c r="P79" i="1"/>
  <c r="AP79" i="1"/>
  <c r="B134" i="29"/>
  <c r="B219" i="21"/>
  <c r="B654" i="18"/>
  <c r="B420" i="17"/>
  <c r="B556" i="17"/>
  <c r="B106" i="15"/>
  <c r="B567" i="14"/>
  <c r="B34" i="19"/>
  <c r="B219" i="20"/>
  <c r="B35" i="21"/>
  <c r="B317" i="22"/>
  <c r="B58" i="21"/>
  <c r="B322" i="22"/>
  <c r="B87" i="19"/>
  <c r="B41" i="19"/>
  <c r="B36" i="22"/>
  <c r="B86" i="11"/>
  <c r="B321" i="14"/>
  <c r="B400" i="14"/>
  <c r="B24" i="17"/>
  <c r="B108" i="16"/>
  <c r="B668" i="17"/>
  <c r="B665" i="17"/>
  <c r="B681" i="17"/>
  <c r="B333" i="20"/>
  <c r="B582" i="17"/>
  <c r="B359" i="16"/>
  <c r="B352" i="16"/>
  <c r="B383" i="16"/>
  <c r="B370" i="16"/>
  <c r="B676" i="16"/>
  <c r="B687" i="16"/>
  <c r="B688" i="16"/>
  <c r="B660" i="16"/>
  <c r="B671" i="16"/>
  <c r="B274" i="18"/>
  <c r="B498" i="17"/>
  <c r="B264" i="16"/>
  <c r="B15" i="13"/>
  <c r="B32" i="14"/>
  <c r="B149" i="19"/>
  <c r="B152" i="19"/>
  <c r="B151" i="21"/>
  <c r="B15" i="19"/>
  <c r="B201" i="19"/>
  <c r="B56" i="21"/>
  <c r="B235" i="19"/>
  <c r="B293" i="21"/>
  <c r="B59" i="9"/>
  <c r="B174" i="22"/>
  <c r="B12" i="14"/>
  <c r="B244" i="21"/>
  <c r="B207" i="21"/>
  <c r="B584" i="16"/>
  <c r="B366" i="16"/>
  <c r="B360" i="16"/>
  <c r="B347" i="16"/>
  <c r="B378" i="16"/>
  <c r="B693" i="16"/>
  <c r="B695" i="16"/>
  <c r="B667" i="16"/>
  <c r="B668" i="16"/>
  <c r="B340" i="18"/>
  <c r="B194" i="11"/>
  <c r="B59" i="11"/>
  <c r="B240" i="13"/>
  <c r="B167" i="18"/>
  <c r="B206" i="18"/>
  <c r="B640" i="17"/>
  <c r="B294" i="19"/>
  <c r="B240" i="19"/>
  <c r="B558" i="18"/>
  <c r="B71" i="21"/>
  <c r="B297" i="20"/>
  <c r="B254" i="21"/>
  <c r="B56" i="9"/>
  <c r="B50" i="17"/>
  <c r="B179" i="22"/>
  <c r="B593" i="16"/>
  <c r="B586" i="16"/>
  <c r="B587" i="16"/>
  <c r="B580" i="16"/>
  <c r="B346" i="16"/>
  <c r="B364" i="16"/>
  <c r="B365" i="16"/>
  <c r="B299" i="22"/>
  <c r="B318" i="11"/>
  <c r="B137" i="18"/>
  <c r="B237" i="13"/>
  <c r="B255" i="13"/>
  <c r="B202" i="10"/>
  <c r="B71" i="11"/>
  <c r="B131" i="12"/>
  <c r="B100" i="17"/>
  <c r="B315" i="20"/>
  <c r="B60" i="21"/>
  <c r="B233" i="20"/>
  <c r="B253" i="20"/>
  <c r="B642" i="16"/>
  <c r="B87" i="21"/>
  <c r="B252" i="16"/>
  <c r="B299" i="19"/>
  <c r="B312" i="9"/>
  <c r="B622" i="13"/>
  <c r="B640" i="13"/>
  <c r="B224" i="18"/>
  <c r="B486" i="17"/>
  <c r="B589" i="16"/>
  <c r="B592" i="16"/>
  <c r="B374" i="16"/>
  <c r="B367" i="16"/>
  <c r="B355" i="16"/>
  <c r="B662" i="16"/>
  <c r="B664" i="16"/>
  <c r="B644" i="13"/>
  <c r="B87" i="22"/>
  <c r="B557" i="14"/>
  <c r="B56" i="15"/>
  <c r="B154" i="21"/>
  <c r="B149" i="22"/>
  <c r="B206" i="19"/>
  <c r="B107" i="19"/>
  <c r="B195" i="21"/>
  <c r="B639" i="18"/>
  <c r="B128" i="16"/>
  <c r="B284" i="21"/>
  <c r="B265" i="18"/>
  <c r="B598" i="16"/>
  <c r="B600" i="16"/>
  <c r="B595" i="16"/>
  <c r="B588" i="16"/>
  <c r="B353" i="16"/>
  <c r="B372" i="16"/>
  <c r="B338" i="22"/>
  <c r="B399" i="18"/>
  <c r="B193" i="11"/>
  <c r="B146" i="14"/>
  <c r="B14" i="12"/>
  <c r="B235" i="22"/>
  <c r="B314" i="21"/>
  <c r="B203" i="16"/>
  <c r="B272" i="22"/>
  <c r="B292" i="22"/>
  <c r="B14" i="18"/>
  <c r="B82" i="19"/>
  <c r="B286" i="22"/>
  <c r="B198" i="22"/>
  <c r="B234" i="9"/>
  <c r="B274" i="21"/>
  <c r="B404" i="13"/>
  <c r="B70" i="9"/>
  <c r="B156" i="15"/>
  <c r="B109" i="18"/>
  <c r="B669" i="17"/>
  <c r="B596" i="17"/>
  <c r="B601" i="16"/>
  <c r="B597" i="16"/>
  <c r="B371" i="16"/>
  <c r="B382" i="16"/>
  <c r="B375" i="16"/>
  <c r="B363" i="16"/>
  <c r="B669" i="16"/>
  <c r="B670" i="16"/>
  <c r="B680" i="16"/>
  <c r="B681" i="16"/>
  <c r="B305" i="18"/>
  <c r="B277" i="18"/>
  <c r="B278" i="18"/>
  <c r="B279" i="18"/>
  <c r="B545" i="13"/>
  <c r="B563" i="13"/>
  <c r="B250" i="13"/>
  <c r="B79" i="9"/>
  <c r="B198" i="20"/>
  <c r="B312" i="20"/>
  <c r="B17" i="18"/>
  <c r="B254" i="18"/>
  <c r="B287" i="20"/>
  <c r="B287" i="19"/>
  <c r="B24" i="19"/>
  <c r="B176" i="9"/>
  <c r="B248" i="21"/>
  <c r="B52" i="14"/>
  <c r="B152" i="21"/>
  <c r="B267" i="18"/>
  <c r="B334" i="19"/>
  <c r="B109" i="17"/>
  <c r="B685" i="17"/>
  <c r="B657" i="17"/>
  <c r="B606" i="16"/>
  <c r="B608" i="16"/>
  <c r="B602" i="16"/>
  <c r="B596" i="16"/>
  <c r="B607" i="16"/>
  <c r="B369" i="16"/>
  <c r="P84" i="1"/>
  <c r="AP84" i="1"/>
  <c r="B180" i="15"/>
  <c r="P78" i="1"/>
  <c r="AP78" i="1"/>
  <c r="B88" i="29"/>
  <c r="AP77" i="1"/>
  <c r="B42" i="29"/>
  <c r="AN75" i="1"/>
  <c r="AN68" i="1"/>
  <c r="B83" i="10"/>
  <c r="B207" i="6"/>
  <c r="B205" i="6"/>
  <c r="B203" i="6"/>
  <c r="B196" i="6"/>
  <c r="B202" i="6"/>
  <c r="B193" i="6"/>
  <c r="B338" i="21"/>
  <c r="B264" i="18"/>
  <c r="B471" i="13"/>
  <c r="B49" i="17"/>
  <c r="B332" i="14"/>
  <c r="B271" i="11"/>
  <c r="B259" i="19"/>
  <c r="B413" i="13"/>
  <c r="B259" i="13"/>
  <c r="B653" i="16"/>
  <c r="B235" i="11"/>
  <c r="B216" i="14"/>
  <c r="B71" i="12"/>
  <c r="B129" i="12"/>
  <c r="B150" i="15"/>
  <c r="B60" i="15"/>
  <c r="B149" i="12"/>
  <c r="B105" i="15"/>
  <c r="B325" i="21"/>
  <c r="B149" i="21"/>
  <c r="B410" i="17"/>
  <c r="B318" i="19"/>
  <c r="B25" i="21"/>
  <c r="B216" i="21"/>
  <c r="B636" i="18"/>
  <c r="B328" i="17"/>
  <c r="B216" i="19"/>
  <c r="B196" i="20"/>
  <c r="B23" i="17"/>
  <c r="B640" i="18"/>
  <c r="B15" i="16"/>
  <c r="B319" i="10"/>
  <c r="B88" i="14"/>
  <c r="B52" i="16"/>
  <c r="B33" i="8"/>
  <c r="B173" i="13"/>
  <c r="B319" i="15"/>
  <c r="B657" i="16"/>
  <c r="B695" i="17"/>
  <c r="B664" i="17"/>
  <c r="B611" i="16"/>
  <c r="B604" i="16"/>
  <c r="B354" i="16"/>
  <c r="B348" i="16"/>
  <c r="B349" i="16"/>
  <c r="B380" i="16"/>
  <c r="B373" i="16"/>
  <c r="B684" i="16"/>
  <c r="B677" i="16"/>
  <c r="B672" i="16"/>
  <c r="B665" i="16"/>
  <c r="B658" i="16"/>
  <c r="B689" i="16"/>
  <c r="B682" i="16"/>
  <c r="B282" i="18"/>
  <c r="B275" i="18"/>
  <c r="B268" i="18"/>
  <c r="B299" i="18"/>
  <c r="B292" i="18"/>
  <c r="B278" i="16"/>
  <c r="B508" i="14"/>
  <c r="B539" i="14"/>
  <c r="B532" i="14"/>
  <c r="B518" i="14"/>
  <c r="B503" i="14"/>
  <c r="B534" i="14"/>
  <c r="B527" i="14"/>
  <c r="B681" i="13"/>
  <c r="B279" i="17"/>
  <c r="B298" i="17"/>
  <c r="B291" i="17"/>
  <c r="B437" i="14"/>
  <c r="B89" i="17"/>
  <c r="B239" i="15"/>
  <c r="B19" i="13"/>
  <c r="B80" i="9"/>
  <c r="B623" i="13"/>
  <c r="B12" i="8"/>
  <c r="B196" i="8"/>
  <c r="B401" i="17"/>
  <c r="B418" i="17"/>
  <c r="B19" i="18"/>
  <c r="B63" i="19"/>
  <c r="B323" i="19"/>
  <c r="B71" i="19"/>
  <c r="B233" i="22"/>
  <c r="B239" i="21"/>
  <c r="B248" i="19"/>
  <c r="B254" i="20"/>
  <c r="B249" i="19"/>
  <c r="B35" i="19"/>
  <c r="B248" i="20"/>
  <c r="B19" i="8"/>
  <c r="B14" i="21"/>
  <c r="B87" i="8"/>
  <c r="B22" i="21"/>
  <c r="B193" i="8"/>
  <c r="B93" i="17"/>
  <c r="B682" i="17"/>
  <c r="B606" i="17"/>
  <c r="B582" i="16"/>
  <c r="B581" i="16"/>
  <c r="B612" i="16"/>
  <c r="B368" i="16"/>
  <c r="B362" i="16"/>
  <c r="B357" i="16"/>
  <c r="B350" i="16"/>
  <c r="B381" i="16"/>
  <c r="B661" i="16"/>
  <c r="B692" i="16"/>
  <c r="B685" i="16"/>
  <c r="B679" i="16"/>
  <c r="B673" i="16"/>
  <c r="B666" i="16"/>
  <c r="B659" i="16"/>
  <c r="B690" i="16"/>
  <c r="B289" i="18"/>
  <c r="B283" i="18"/>
  <c r="B276" i="18"/>
  <c r="B269" i="18"/>
  <c r="B300" i="18"/>
  <c r="B274" i="16"/>
  <c r="B554" i="17"/>
  <c r="B162" i="6"/>
  <c r="B138" i="12"/>
  <c r="B11" i="12"/>
  <c r="B148" i="22"/>
  <c r="B85" i="21"/>
  <c r="B217" i="22"/>
  <c r="B405" i="18"/>
  <c r="B279" i="19"/>
  <c r="B327" i="17"/>
  <c r="B316" i="19"/>
  <c r="B275" i="21"/>
  <c r="B258" i="22"/>
  <c r="B163" i="6"/>
  <c r="B131" i="8"/>
  <c r="B195" i="22"/>
  <c r="B86" i="13"/>
  <c r="B194" i="10"/>
  <c r="B611" i="17"/>
  <c r="B602" i="17"/>
  <c r="B605" i="16"/>
  <c r="B379" i="16"/>
  <c r="B691" i="16"/>
  <c r="B694" i="16"/>
  <c r="B271" i="18"/>
  <c r="B302" i="18"/>
  <c r="B296" i="18"/>
  <c r="B287" i="18"/>
  <c r="B276" i="16"/>
  <c r="B279" i="16"/>
  <c r="B269" i="16"/>
  <c r="B303" i="16"/>
  <c r="B288" i="16"/>
  <c r="B271" i="16"/>
  <c r="B305" i="16"/>
  <c r="B290" i="16"/>
  <c r="B284" i="16"/>
  <c r="B173" i="9"/>
  <c r="B506" i="14"/>
  <c r="B519" i="14"/>
  <c r="B512" i="14"/>
  <c r="B650" i="13"/>
  <c r="B673" i="13"/>
  <c r="B675" i="13"/>
  <c r="B362" i="13"/>
  <c r="B340" i="13"/>
  <c r="B350" i="13"/>
  <c r="B343" i="13"/>
  <c r="B374" i="13"/>
  <c r="B367" i="13"/>
  <c r="B360" i="13"/>
  <c r="B354" i="13"/>
  <c r="B299" i="17"/>
  <c r="B575" i="13"/>
  <c r="B279" i="13"/>
  <c r="B498" i="16"/>
  <c r="B449" i="16"/>
  <c r="B519" i="16"/>
  <c r="B512" i="16"/>
  <c r="B538" i="16"/>
  <c r="B531" i="16"/>
  <c r="B524" i="16"/>
  <c r="B518" i="16"/>
  <c r="B536" i="16"/>
  <c r="B345" i="17"/>
  <c r="B375" i="17"/>
  <c r="B368" i="17"/>
  <c r="B362" i="17"/>
  <c r="B355" i="17"/>
  <c r="B348" i="17"/>
  <c r="B374" i="17"/>
  <c r="B350" i="17"/>
  <c r="B351" i="14"/>
  <c r="B382" i="14"/>
  <c r="B367" i="14"/>
  <c r="B493" i="13"/>
  <c r="B187" i="14"/>
  <c r="B538" i="28"/>
  <c r="B207" i="28"/>
  <c r="B503" i="28"/>
  <c r="B405" i="28"/>
  <c r="B539" i="28"/>
  <c r="B435" i="28"/>
  <c r="B455" i="28"/>
  <c r="B37" i="29"/>
  <c r="B370" i="28"/>
  <c r="B354" i="28"/>
  <c r="B225" i="28"/>
  <c r="B518" i="28"/>
  <c r="B270" i="28"/>
  <c r="B431" i="28"/>
  <c r="B114" i="29"/>
  <c r="B508" i="28"/>
  <c r="B296" i="28"/>
  <c r="B243" i="28"/>
  <c r="B561" i="28"/>
  <c r="B534" i="28"/>
  <c r="B376" i="28"/>
  <c r="B110" i="28"/>
  <c r="B111" i="28"/>
  <c r="B524" i="28"/>
  <c r="B498" i="28"/>
  <c r="B253" i="21"/>
  <c r="B175" i="6"/>
  <c r="B38" i="6"/>
  <c r="B148" i="18"/>
  <c r="B105" i="8"/>
  <c r="B514" i="28"/>
  <c r="B527" i="28"/>
  <c r="B513" i="28"/>
  <c r="B583" i="28"/>
  <c r="B614" i="28"/>
  <c r="B607" i="28"/>
  <c r="B600" i="28"/>
  <c r="B586" i="28"/>
  <c r="B617" i="28"/>
  <c r="B602" i="28"/>
  <c r="B596" i="28"/>
  <c r="B589" i="28"/>
  <c r="B582" i="28"/>
  <c r="B373" i="28"/>
  <c r="B357" i="28"/>
  <c r="B356" i="28"/>
  <c r="B300" i="28"/>
  <c r="B284" i="28"/>
  <c r="B438" i="28"/>
  <c r="B433" i="28"/>
  <c r="B459" i="28"/>
  <c r="B251" i="28"/>
  <c r="B128" i="28"/>
  <c r="B575" i="28"/>
  <c r="B224" i="28"/>
  <c r="B483" i="28"/>
  <c r="B255" i="28"/>
  <c r="B131" i="28"/>
  <c r="B148" i="28"/>
  <c r="B167" i="28"/>
  <c r="B638" i="28"/>
  <c r="B60" i="29"/>
  <c r="B106" i="29"/>
  <c r="B257" i="19"/>
  <c r="B507" i="28"/>
  <c r="B535" i="28"/>
  <c r="B520" i="28"/>
  <c r="B591" i="28"/>
  <c r="B584" i="28"/>
  <c r="B615" i="28"/>
  <c r="B608" i="28"/>
  <c r="B594" i="28"/>
  <c r="B610" i="28"/>
  <c r="B603" i="28"/>
  <c r="B597" i="28"/>
  <c r="B590" i="28"/>
  <c r="B374" i="28"/>
  <c r="B358" i="28"/>
  <c r="B272" i="28"/>
  <c r="B276" i="28"/>
  <c r="B290" i="28"/>
  <c r="B437" i="28"/>
  <c r="B440" i="28"/>
  <c r="B434" i="28"/>
  <c r="B428" i="28"/>
  <c r="B93" i="28"/>
  <c r="B486" i="28"/>
  <c r="B137" i="28"/>
  <c r="B135" i="28"/>
  <c r="B330" i="28"/>
  <c r="B418" i="28"/>
  <c r="B557" i="28"/>
  <c r="B33" i="28"/>
  <c r="B320" i="29"/>
  <c r="B85" i="29"/>
  <c r="B252" i="28"/>
  <c r="B186" i="28"/>
  <c r="B138" i="28"/>
  <c r="B244" i="28"/>
  <c r="B203" i="29"/>
  <c r="B194" i="29"/>
  <c r="B214" i="29"/>
  <c r="B233" i="29"/>
  <c r="B253" i="29"/>
  <c r="B171" i="29"/>
  <c r="B112" i="29"/>
  <c r="B128" i="29"/>
  <c r="B243" i="29"/>
  <c r="B84" i="29"/>
  <c r="B86" i="29"/>
  <c r="B235" i="29"/>
  <c r="B15" i="29"/>
  <c r="B130" i="29"/>
  <c r="B71" i="29"/>
  <c r="B246" i="29"/>
  <c r="B69" i="29"/>
  <c r="B315" i="29"/>
  <c r="B104" i="29"/>
  <c r="B283" i="29"/>
  <c r="B50" i="28"/>
  <c r="B14" i="28"/>
  <c r="B20" i="28"/>
  <c r="B188" i="28"/>
  <c r="B189" i="28"/>
  <c r="B91" i="28"/>
  <c r="B563" i="28"/>
  <c r="B53" i="28"/>
  <c r="B147" i="28"/>
  <c r="B564" i="28"/>
  <c r="B484" i="28"/>
  <c r="B206" i="28"/>
  <c r="B171" i="28"/>
  <c r="B360" i="28"/>
  <c r="B129" i="28"/>
  <c r="B242" i="28"/>
  <c r="B260" i="28"/>
  <c r="B40" i="29"/>
  <c r="B636" i="28"/>
  <c r="B257" i="29"/>
  <c r="B103" i="29"/>
  <c r="B196" i="29"/>
  <c r="B129" i="29"/>
  <c r="B149" i="29"/>
  <c r="B317" i="29"/>
  <c r="B116" i="29"/>
  <c r="B244" i="29"/>
  <c r="B24" i="29"/>
  <c r="B151" i="29"/>
  <c r="B312" i="29"/>
  <c r="B25" i="29"/>
  <c r="B82" i="29"/>
  <c r="B324" i="29"/>
  <c r="B113" i="29"/>
  <c r="B325" i="29"/>
  <c r="B62" i="28"/>
  <c r="B295" i="15"/>
  <c r="B333" i="29"/>
  <c r="B281" i="29"/>
  <c r="B255" i="29"/>
  <c r="B247" i="29"/>
  <c r="B216" i="29"/>
  <c r="B87" i="29"/>
  <c r="B633" i="28"/>
  <c r="B482" i="28"/>
  <c r="B18" i="28"/>
  <c r="B180" i="29"/>
  <c r="B174" i="29"/>
  <c r="B205" i="29"/>
  <c r="B110" i="29"/>
  <c r="B273" i="29"/>
  <c r="B208" i="29"/>
  <c r="B157" i="29"/>
  <c r="B13" i="29"/>
  <c r="B158" i="29"/>
  <c r="B276" i="29"/>
  <c r="B326" i="29"/>
  <c r="B125" i="29"/>
  <c r="B256" i="29"/>
  <c r="B36" i="29"/>
  <c r="B160" i="29"/>
  <c r="B321" i="29"/>
  <c r="B34" i="29"/>
  <c r="B313" i="29"/>
  <c r="B154" i="29"/>
  <c r="B126" i="29"/>
  <c r="B71" i="28"/>
  <c r="B51" i="28"/>
  <c r="B245" i="28"/>
  <c r="B375" i="28"/>
  <c r="B562" i="28"/>
  <c r="B108" i="28"/>
  <c r="B133" i="28"/>
  <c r="B70" i="28"/>
  <c r="B177" i="28"/>
  <c r="B226" i="28"/>
  <c r="B404" i="28"/>
  <c r="B271" i="28"/>
  <c r="B146" i="28"/>
  <c r="B250" i="28"/>
  <c r="B476" i="28"/>
  <c r="B494" i="28"/>
  <c r="B639" i="28"/>
  <c r="B187" i="28"/>
  <c r="B333" i="28"/>
  <c r="B436" i="28"/>
  <c r="B458" i="28"/>
  <c r="B427" i="28"/>
  <c r="B447" i="28"/>
  <c r="B454" i="28"/>
  <c r="B445" i="28"/>
  <c r="B460" i="28"/>
  <c r="B353" i="28"/>
  <c r="B293" i="28"/>
  <c r="B279" i="28"/>
  <c r="B349" i="28"/>
  <c r="B380" i="28"/>
  <c r="B365" i="28"/>
  <c r="B213" i="11"/>
  <c r="B242" i="29"/>
  <c r="B632" i="28"/>
  <c r="B650" i="28"/>
  <c r="B567" i="28"/>
  <c r="B57" i="28"/>
  <c r="B162" i="29"/>
  <c r="B204" i="29"/>
  <c r="B272" i="29"/>
  <c r="B292" i="29"/>
  <c r="B132" i="29"/>
  <c r="B296" i="29"/>
  <c r="B275" i="29"/>
  <c r="B197" i="29"/>
  <c r="B22" i="29"/>
  <c r="B175" i="29"/>
  <c r="B14" i="29"/>
  <c r="B133" i="29"/>
  <c r="B286" i="29"/>
  <c r="B17" i="29"/>
  <c r="B57" i="29"/>
  <c r="B177" i="29"/>
  <c r="B41" i="29"/>
  <c r="B322" i="29"/>
  <c r="B38" i="29"/>
  <c r="B163" i="29"/>
  <c r="B19" i="29"/>
  <c r="B156" i="29"/>
  <c r="B653" i="28"/>
  <c r="B19" i="28"/>
  <c r="B59" i="28"/>
  <c r="B401" i="28"/>
  <c r="B574" i="28"/>
  <c r="B125" i="28"/>
  <c r="B402" i="28"/>
  <c r="B168" i="28"/>
  <c r="B204" i="28"/>
  <c r="B341" i="28"/>
  <c r="B205" i="28"/>
  <c r="B420" i="28"/>
  <c r="B209" i="28"/>
  <c r="B289" i="28"/>
  <c r="B17" i="28"/>
  <c r="B164" i="28"/>
  <c r="B55" i="28"/>
  <c r="B165" i="28"/>
  <c r="B399" i="28"/>
  <c r="B426" i="28"/>
  <c r="B441" i="28"/>
  <c r="B283" i="28"/>
  <c r="B291" i="28"/>
  <c r="B362" i="28"/>
  <c r="B22" i="28"/>
  <c r="B292" i="28"/>
  <c r="B363" i="28"/>
  <c r="B371" i="28"/>
  <c r="B287" i="28"/>
  <c r="B273" i="28"/>
  <c r="B351" i="28"/>
  <c r="B214" i="9"/>
  <c r="B566" i="28"/>
  <c r="B489" i="28"/>
  <c r="B174" i="28"/>
  <c r="B400" i="28"/>
  <c r="B179" i="29"/>
  <c r="B152" i="29"/>
  <c r="B102" i="29"/>
  <c r="B280" i="29"/>
  <c r="B200" i="29"/>
  <c r="B319" i="29"/>
  <c r="B23" i="29"/>
  <c r="B150" i="29"/>
  <c r="B294" i="29"/>
  <c r="B26" i="29"/>
  <c r="B66" i="29"/>
  <c r="B236" i="29"/>
  <c r="B58" i="29"/>
  <c r="B334" i="29"/>
  <c r="B314" i="29"/>
  <c r="B176" i="29"/>
  <c r="B11" i="29"/>
  <c r="B198" i="29"/>
  <c r="B109" i="28"/>
  <c r="B21" i="28"/>
  <c r="B90" i="28"/>
  <c r="B274" i="28"/>
  <c r="B480" i="28"/>
  <c r="B246" i="28"/>
  <c r="B410" i="28"/>
  <c r="B176" i="28"/>
  <c r="B212" i="28"/>
  <c r="B213" i="28"/>
  <c r="B326" i="28"/>
  <c r="B127" i="28"/>
  <c r="B297" i="28"/>
  <c r="B34" i="28"/>
  <c r="B35" i="28"/>
  <c r="B172" i="28"/>
  <c r="B324" i="28"/>
  <c r="B214" i="6"/>
  <c r="B654" i="28"/>
  <c r="B645" i="28"/>
  <c r="B560" i="28"/>
  <c r="B263" i="28"/>
  <c r="B166" i="28"/>
  <c r="B23" i="28"/>
  <c r="B478" i="28"/>
  <c r="B383" i="28"/>
  <c r="B161" i="29"/>
  <c r="B202" i="29"/>
  <c r="B105" i="29"/>
  <c r="B195" i="29"/>
  <c r="B284" i="29"/>
  <c r="B64" i="29"/>
  <c r="B209" i="29"/>
  <c r="B335" i="29"/>
  <c r="B39" i="29"/>
  <c r="B159" i="29"/>
  <c r="B311" i="29"/>
  <c r="B331" i="29"/>
  <c r="B21" i="29"/>
  <c r="B83" i="29"/>
  <c r="B245" i="29"/>
  <c r="B67" i="29"/>
  <c r="B323" i="29"/>
  <c r="B239" i="29"/>
  <c r="B20" i="29"/>
  <c r="B68" i="29"/>
  <c r="B644" i="28"/>
  <c r="B555" i="28"/>
  <c r="B408" i="28"/>
  <c r="B216" i="28"/>
  <c r="B15" i="28"/>
  <c r="B634" i="28"/>
  <c r="B282" i="28"/>
  <c r="B282" i="29"/>
  <c r="B148" i="29"/>
  <c r="B131" i="29"/>
  <c r="B206" i="29"/>
  <c r="B111" i="29"/>
  <c r="B81" i="29"/>
  <c r="B56" i="29"/>
  <c r="B172" i="29"/>
  <c r="B108" i="29"/>
  <c r="B278" i="29"/>
  <c r="B12" i="29"/>
  <c r="B80" i="29"/>
  <c r="B35" i="29"/>
  <c r="B248" i="29"/>
  <c r="B70" i="29"/>
  <c r="B241" i="29"/>
  <c r="B89" i="28"/>
  <c r="B13" i="28"/>
  <c r="B342" i="28"/>
  <c r="B132" i="28"/>
  <c r="B304" i="28"/>
  <c r="B52" i="28"/>
  <c r="B262" i="28"/>
  <c r="B203" i="28"/>
  <c r="B126" i="28"/>
  <c r="B554" i="28"/>
  <c r="B572" i="28"/>
  <c r="B322" i="28"/>
  <c r="B170" i="28"/>
  <c r="B343" i="28"/>
  <c r="B87" i="28"/>
  <c r="B215" i="28"/>
  <c r="B340" i="28"/>
  <c r="B558" i="28"/>
  <c r="B640" i="28"/>
  <c r="B451" i="28"/>
  <c r="B452" i="28"/>
  <c r="B442" i="28"/>
  <c r="B449" i="28"/>
  <c r="B432" i="28"/>
  <c r="B439" i="28"/>
  <c r="B461" i="28"/>
  <c r="B430" i="28"/>
  <c r="B368" i="28"/>
  <c r="B348" i="28"/>
  <c r="B294" i="28"/>
  <c r="B364" i="28"/>
  <c r="B303" i="28"/>
  <c r="B241" i="11"/>
  <c r="B87" i="10"/>
  <c r="B81" i="19"/>
  <c r="B148" i="14"/>
  <c r="B506" i="28"/>
  <c r="B516" i="28"/>
  <c r="B532" i="28"/>
  <c r="B525" i="28"/>
  <c r="B511" i="28"/>
  <c r="B504" i="28"/>
  <c r="B288" i="28"/>
  <c r="B302" i="28"/>
  <c r="B301" i="28"/>
  <c r="B285" i="28"/>
  <c r="B346" i="28"/>
  <c r="B453" i="28"/>
  <c r="B448" i="28"/>
  <c r="B488" i="28"/>
  <c r="B173" i="28"/>
  <c r="B652" i="28"/>
  <c r="B406" i="28"/>
  <c r="B95" i="28"/>
  <c r="B323" i="28"/>
  <c r="B264" i="28"/>
  <c r="B328" i="28"/>
  <c r="B497" i="28"/>
  <c r="B12" i="28"/>
  <c r="B274" i="29"/>
  <c r="B237" i="29"/>
  <c r="B218" i="29"/>
  <c r="B127" i="29"/>
  <c r="B11" i="28"/>
  <c r="B642" i="28"/>
  <c r="B173" i="29"/>
  <c r="B38" i="10"/>
  <c r="B82" i="9"/>
  <c r="B83" i="21"/>
  <c r="B529" i="28"/>
  <c r="B528" i="28"/>
  <c r="B598" i="28"/>
  <c r="B592" i="28"/>
  <c r="B585" i="28"/>
  <c r="B616" i="28"/>
  <c r="B601" i="28"/>
  <c r="B587" i="28"/>
  <c r="B580" i="28"/>
  <c r="B611" i="28"/>
  <c r="B604" i="28"/>
  <c r="B366" i="28"/>
  <c r="B295" i="28"/>
  <c r="B381" i="28"/>
  <c r="B379" i="28"/>
  <c r="B355" i="28"/>
  <c r="B377" i="28"/>
  <c r="B268" i="28"/>
  <c r="B361" i="28"/>
  <c r="B446" i="28"/>
  <c r="B450" i="28"/>
  <c r="B477" i="28"/>
  <c r="B635" i="28"/>
  <c r="B56" i="28"/>
  <c r="B94" i="28"/>
  <c r="B576" i="28"/>
  <c r="B100" i="28"/>
  <c r="B320" i="28"/>
  <c r="B338" i="28"/>
  <c r="B367" i="28"/>
  <c r="B32" i="28"/>
  <c r="B207" i="29"/>
  <c r="B62" i="29"/>
  <c r="B65" i="29"/>
  <c r="B217" i="29"/>
  <c r="B653" i="18"/>
  <c r="B226" i="16"/>
  <c r="B522" i="28"/>
  <c r="B537" i="28"/>
  <c r="B523" i="28"/>
  <c r="B509" i="28"/>
  <c r="B502" i="28"/>
  <c r="B533" i="28"/>
  <c r="B519" i="28"/>
  <c r="B512" i="28"/>
  <c r="B605" i="28"/>
  <c r="B281" i="28"/>
  <c r="B372" i="28"/>
  <c r="B277" i="28"/>
  <c r="B299" i="28"/>
  <c r="B275" i="28"/>
  <c r="B421" i="28"/>
  <c r="B456" i="28"/>
  <c r="B443" i="28"/>
  <c r="B419" i="28"/>
  <c r="B88" i="28"/>
  <c r="B398" i="28"/>
  <c r="B416" i="28"/>
  <c r="B382" i="28"/>
  <c r="B248" i="28"/>
  <c r="B61" i="28"/>
  <c r="B254" i="28"/>
  <c r="B327" i="28"/>
  <c r="B24" i="28"/>
  <c r="B79" i="29"/>
  <c r="B59" i="29"/>
  <c r="B274" i="12"/>
  <c r="B329" i="9"/>
  <c r="B128" i="11"/>
  <c r="B87" i="11"/>
  <c r="B226" i="17"/>
  <c r="B171" i="10"/>
  <c r="B505" i="28"/>
  <c r="B536" i="28"/>
  <c r="B606" i="28"/>
  <c r="B599" i="28"/>
  <c r="B593" i="28"/>
  <c r="B577" i="28"/>
  <c r="B609" i="28"/>
  <c r="B595" i="28"/>
  <c r="B588" i="28"/>
  <c r="B581" i="28"/>
  <c r="B612" i="28"/>
  <c r="B359" i="28"/>
  <c r="B286" i="28"/>
  <c r="B347" i="28"/>
  <c r="B369" i="28"/>
  <c r="B444" i="28"/>
  <c r="B425" i="28"/>
  <c r="B457" i="28"/>
  <c r="B49" i="28"/>
  <c r="B332" i="28"/>
  <c r="B352" i="28"/>
  <c r="B496" i="28"/>
  <c r="B411" i="28"/>
  <c r="B211" i="28"/>
  <c r="B99" i="28"/>
  <c r="B298" i="28"/>
  <c r="B287" i="29"/>
  <c r="B178" i="29"/>
  <c r="B556" i="28"/>
  <c r="B295" i="29"/>
  <c r="B419" i="17"/>
  <c r="B226" i="14"/>
  <c r="B530" i="28"/>
  <c r="B499" i="28"/>
  <c r="B531" i="28"/>
  <c r="B517" i="28"/>
  <c r="B510" i="28"/>
  <c r="B521" i="28"/>
  <c r="B526" i="28"/>
  <c r="B613" i="28"/>
  <c r="B253" i="28"/>
  <c r="B280" i="28"/>
  <c r="B350" i="28"/>
  <c r="B278" i="28"/>
  <c r="B378" i="28"/>
  <c r="B269" i="28"/>
  <c r="B345" i="28"/>
  <c r="B267" i="28"/>
  <c r="B424" i="28"/>
  <c r="B429" i="28"/>
  <c r="B249" i="28"/>
  <c r="B305" i="28"/>
  <c r="B479" i="28"/>
  <c r="B321" i="28"/>
  <c r="B185" i="28"/>
  <c r="B210" i="28"/>
  <c r="B97" i="28"/>
  <c r="B117" i="29"/>
  <c r="B234" i="29"/>
  <c r="B273" i="12"/>
  <c r="Q55" i="1"/>
  <c r="B407" i="18"/>
  <c r="B60" i="17"/>
  <c r="B172" i="12"/>
  <c r="P103" i="1"/>
  <c r="AT115" i="1"/>
  <c r="B98" i="18"/>
  <c r="B281" i="9"/>
  <c r="B284" i="9"/>
  <c r="B230" i="12"/>
  <c r="B232" i="12"/>
  <c r="AL15" i="1"/>
  <c r="B174" i="8"/>
  <c r="CN15" i="1"/>
  <c r="CO15" i="1"/>
  <c r="CP15" i="1"/>
  <c r="CQ15" i="1"/>
  <c r="CR15" i="1"/>
  <c r="CS15" i="1"/>
  <c r="CT15" i="1"/>
  <c r="CU15" i="1"/>
  <c r="B176" i="8"/>
  <c r="AL21" i="1"/>
  <c r="CN21" i="1"/>
  <c r="CO21" i="1"/>
  <c r="CP21" i="1"/>
  <c r="CQ21" i="1"/>
  <c r="CR21" i="1"/>
  <c r="CS21" i="1"/>
  <c r="CT21" i="1"/>
  <c r="CU21" i="1"/>
  <c r="CN58" i="1"/>
  <c r="CO58" i="1"/>
  <c r="CP58" i="1"/>
  <c r="CQ58" i="1"/>
  <c r="CR58" i="1"/>
  <c r="CS58" i="1"/>
  <c r="CT58" i="1"/>
  <c r="CU58" i="1"/>
  <c r="AL63" i="1"/>
  <c r="B564" i="13"/>
  <c r="CN63" i="1"/>
  <c r="CO63" i="1"/>
  <c r="CP63" i="1"/>
  <c r="CQ63" i="1"/>
  <c r="CR63" i="1"/>
  <c r="CS63" i="1"/>
  <c r="CT63" i="1"/>
  <c r="CU63" i="1"/>
  <c r="B608" i="13"/>
  <c r="CN56" i="1"/>
  <c r="CO56" i="1"/>
  <c r="CP56" i="1"/>
  <c r="CQ56" i="1"/>
  <c r="CR56" i="1"/>
  <c r="CS56" i="1"/>
  <c r="CT56" i="1"/>
  <c r="CU56" i="1"/>
  <c r="AL22" i="1"/>
  <c r="B327" i="9"/>
  <c r="CN22" i="1"/>
  <c r="CO22" i="1"/>
  <c r="CP22" i="1"/>
  <c r="CQ22" i="1"/>
  <c r="CR22" i="1"/>
  <c r="CS22" i="1"/>
  <c r="CT22" i="1"/>
  <c r="CU22" i="1"/>
  <c r="AL81" i="1"/>
  <c r="CN81" i="1"/>
  <c r="CO81" i="1"/>
  <c r="CQ81" i="1"/>
  <c r="CR81" i="1"/>
  <c r="CS81" i="1"/>
  <c r="CT81" i="1"/>
  <c r="CU81" i="1"/>
  <c r="CP81" i="1"/>
  <c r="AL64" i="1"/>
  <c r="B641" i="13"/>
  <c r="CN64" i="1"/>
  <c r="CO64" i="1"/>
  <c r="CP64" i="1"/>
  <c r="CQ64" i="1"/>
  <c r="CR64" i="1"/>
  <c r="CS64" i="1"/>
  <c r="CT64" i="1"/>
  <c r="CU64" i="1"/>
  <c r="B685" i="13"/>
  <c r="CN55" i="1"/>
  <c r="CO55" i="1"/>
  <c r="CP55" i="1"/>
  <c r="CQ55" i="1"/>
  <c r="CR55" i="1"/>
  <c r="CS55" i="1"/>
  <c r="CT55" i="1"/>
  <c r="CU55" i="1"/>
  <c r="AL108" i="1"/>
  <c r="B339" i="17"/>
  <c r="CR108" i="1"/>
  <c r="CS108" i="1"/>
  <c r="CT108" i="1"/>
  <c r="CU108" i="1"/>
  <c r="B384" i="17"/>
  <c r="CN108" i="1"/>
  <c r="CO108" i="1"/>
  <c r="CP108" i="1"/>
  <c r="CQ108" i="1"/>
  <c r="CW108" i="1"/>
  <c r="B386" i="17"/>
  <c r="AL19" i="1"/>
  <c r="B213" i="9"/>
  <c r="CN19" i="1"/>
  <c r="CO19" i="1"/>
  <c r="CP19" i="1"/>
  <c r="CQ19" i="1"/>
  <c r="CR19" i="1"/>
  <c r="CS19" i="1"/>
  <c r="CT19" i="1"/>
  <c r="CU19" i="1"/>
  <c r="AL62" i="1"/>
  <c r="B487" i="13"/>
  <c r="CN62" i="1"/>
  <c r="CO62" i="1"/>
  <c r="CP62" i="1"/>
  <c r="CQ62" i="1"/>
  <c r="CR62" i="1"/>
  <c r="CS62" i="1"/>
  <c r="CT62" i="1"/>
  <c r="CU62" i="1"/>
  <c r="B531" i="13"/>
  <c r="AL23" i="1"/>
  <c r="B212" i="10"/>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B331" i="14"/>
  <c r="B107" i="15"/>
  <c r="B136" i="15"/>
  <c r="B230" i="8"/>
  <c r="B239" i="8"/>
  <c r="B149" i="16"/>
  <c r="B150" i="16"/>
  <c r="B277" i="15"/>
  <c r="B288" i="15"/>
  <c r="Q83" i="1"/>
  <c r="B88" i="8"/>
  <c r="B107" i="8"/>
  <c r="B98" i="14"/>
  <c r="B82" i="35"/>
  <c r="AO156" i="1"/>
  <c r="B87" i="35"/>
  <c r="B128" i="35"/>
  <c r="AO157" i="1"/>
  <c r="B133" i="35"/>
  <c r="B174" i="35"/>
  <c r="AO158" i="1"/>
  <c r="B179" i="35"/>
  <c r="B36" i="35"/>
  <c r="AO155" i="1"/>
  <c r="B41" i="35"/>
  <c r="B130" i="17"/>
  <c r="B151" i="17"/>
  <c r="B248" i="13"/>
  <c r="B258" i="12"/>
  <c r="B267" i="12"/>
  <c r="B251" i="17"/>
  <c r="B20" i="17"/>
  <c r="B134" i="14"/>
  <c r="Q110" i="1"/>
  <c r="B115" i="29"/>
  <c r="B319" i="13"/>
  <c r="B627" i="13"/>
  <c r="B636" i="13"/>
  <c r="B485" i="14"/>
  <c r="B204" i="13"/>
  <c r="B216" i="13"/>
  <c r="B641" i="16"/>
  <c r="B559" i="17"/>
  <c r="B236" i="12"/>
  <c r="B238" i="12"/>
  <c r="CV19" i="1"/>
  <c r="CV81" i="1"/>
  <c r="B485" i="17"/>
  <c r="B134" i="17"/>
  <c r="B247" i="18"/>
  <c r="B554" i="13"/>
  <c r="CV55" i="1"/>
  <c r="CV21" i="1"/>
  <c r="CW15" i="1"/>
  <c r="B178" i="8"/>
  <c r="CW23" i="1"/>
  <c r="CW21" i="1"/>
  <c r="CW55" i="1"/>
  <c r="CV15" i="1"/>
  <c r="B177" i="8"/>
  <c r="CV108" i="1"/>
  <c r="B385" i="17"/>
  <c r="CV56" i="1"/>
  <c r="CW166" i="1"/>
  <c r="B338" i="39"/>
  <c r="CW56" i="1"/>
  <c r="CW19" i="1"/>
  <c r="CW81" i="1"/>
  <c r="B114" i="9"/>
  <c r="B120" i="9"/>
  <c r="B253" i="14"/>
  <c r="Q115" i="1"/>
  <c r="B136" i="16"/>
  <c r="Q161" i="1"/>
  <c r="B96" i="28"/>
  <c r="B134" i="9"/>
  <c r="B289" i="9"/>
  <c r="B280" i="10"/>
  <c r="B106" i="8"/>
  <c r="B403" i="18"/>
  <c r="B92" i="18"/>
  <c r="B104" i="18"/>
  <c r="B637" i="14"/>
  <c r="B646" i="14"/>
  <c r="B114" i="10"/>
  <c r="B324" i="15"/>
  <c r="B22" i="18"/>
  <c r="B28" i="18"/>
  <c r="B253" i="18"/>
  <c r="Q70" i="1"/>
  <c r="B169" i="18"/>
  <c r="B190" i="18"/>
  <c r="B54" i="18"/>
  <c r="B75" i="18"/>
  <c r="B133" i="12"/>
  <c r="B155" i="12"/>
  <c r="Q103" i="1"/>
  <c r="B16" i="14"/>
  <c r="B28" i="14"/>
  <c r="B234" i="11"/>
  <c r="B245" i="11"/>
  <c r="B272" i="6"/>
  <c r="B283" i="6"/>
  <c r="Q105" i="1"/>
  <c r="Q27" i="1"/>
  <c r="B130" i="16"/>
  <c r="B152" i="16"/>
  <c r="Q77" i="1"/>
  <c r="Q65" i="1"/>
  <c r="Q60" i="1"/>
  <c r="Q113" i="1"/>
  <c r="B128" i="13"/>
  <c r="Q116" i="1"/>
  <c r="Q111" i="1"/>
  <c r="Q118" i="1"/>
  <c r="Q67" i="1"/>
  <c r="Q57" i="1"/>
  <c r="Q78" i="1"/>
  <c r="Q69" i="1"/>
  <c r="Q4" i="1"/>
  <c r="B481" i="14"/>
  <c r="Q59" i="1"/>
  <c r="Q79" i="1"/>
  <c r="B208" i="17"/>
  <c r="B230" i="17"/>
  <c r="Q72" i="1"/>
  <c r="B316" i="15"/>
  <c r="Q80" i="1"/>
  <c r="B265" i="8"/>
  <c r="B274" i="8"/>
  <c r="B166" i="13"/>
  <c r="B187" i="13"/>
  <c r="B311" i="9"/>
  <c r="CV22" i="1"/>
  <c r="Q76" i="1"/>
  <c r="B481" i="16"/>
  <c r="B490" i="16"/>
  <c r="AT63" i="1"/>
  <c r="B556" i="13"/>
  <c r="Q104" i="1"/>
  <c r="B43" i="10"/>
  <c r="P102" i="1"/>
  <c r="B54" i="16"/>
  <c r="P66" i="1"/>
  <c r="Q71" i="1"/>
  <c r="B35" i="13"/>
  <c r="B196" i="11"/>
  <c r="B207" i="11"/>
  <c r="B242" i="13"/>
  <c r="B251" i="13"/>
  <c r="B130" i="14"/>
  <c r="B151" i="14"/>
  <c r="Q74" i="1"/>
  <c r="B54" i="14"/>
  <c r="B66" i="14"/>
  <c r="B206" i="6"/>
  <c r="B227" i="28"/>
  <c r="B228" i="28"/>
  <c r="B407" i="28"/>
  <c r="B319" i="9"/>
  <c r="B159" i="9"/>
  <c r="B69" i="10"/>
  <c r="B75" i="10"/>
  <c r="B325" i="14"/>
  <c r="B334" i="14"/>
  <c r="B136" i="17"/>
  <c r="B487" i="17"/>
  <c r="B490" i="17"/>
  <c r="B409" i="28"/>
  <c r="B98" i="28"/>
  <c r="B175" i="28"/>
  <c r="B565" i="28"/>
  <c r="B136" i="14"/>
  <c r="B487" i="14"/>
  <c r="AT62" i="1"/>
  <c r="B134" i="13"/>
  <c r="B69" i="11"/>
  <c r="AT102" i="1"/>
  <c r="B331" i="16"/>
  <c r="AT112" i="1"/>
  <c r="B214" i="17"/>
  <c r="B132" i="13"/>
  <c r="AT70" i="1"/>
  <c r="B214" i="28"/>
  <c r="B325" i="13"/>
  <c r="AT106" i="1"/>
  <c r="B643" i="16"/>
  <c r="AT114" i="1"/>
  <c r="B331" i="18"/>
  <c r="B60" i="28"/>
  <c r="B331" i="28"/>
  <c r="B58" i="28"/>
  <c r="B235" i="12"/>
  <c r="B241" i="12"/>
  <c r="B208" i="14"/>
  <c r="B229" i="14"/>
  <c r="B57" i="13"/>
  <c r="B65" i="13"/>
  <c r="B175" i="14"/>
  <c r="B329" i="28"/>
  <c r="B234" i="12"/>
  <c r="B239" i="12"/>
  <c r="B240" i="12"/>
  <c r="B329" i="16"/>
  <c r="B637" i="18"/>
  <c r="B646" i="18"/>
  <c r="B208" i="18"/>
  <c r="B229" i="18"/>
  <c r="B301" i="12"/>
  <c r="B92" i="16"/>
  <c r="B112" i="16"/>
  <c r="B247" i="14"/>
  <c r="B403" i="16"/>
  <c r="B323" i="13"/>
  <c r="B237" i="12"/>
  <c r="B228" i="12"/>
  <c r="B233" i="12"/>
  <c r="B58" i="16"/>
  <c r="B92" i="28"/>
  <c r="B316" i="29"/>
  <c r="B327" i="29"/>
  <c r="B16" i="28"/>
  <c r="B36" i="28"/>
  <c r="B253" i="17"/>
  <c r="Q24" i="1"/>
  <c r="B550" i="13"/>
  <c r="B409" i="17"/>
  <c r="B247" i="28"/>
  <c r="B256" i="28"/>
  <c r="B153" i="29"/>
  <c r="B167" i="29"/>
  <c r="Q28" i="1"/>
  <c r="B403" i="28"/>
  <c r="B61" i="11"/>
  <c r="B89" i="11"/>
  <c r="Q18" i="1"/>
  <c r="B124" i="8"/>
  <c r="B143" i="8"/>
  <c r="B151" i="9"/>
  <c r="B179" i="9"/>
  <c r="B28" i="13"/>
  <c r="B28" i="8"/>
  <c r="B327" i="39"/>
  <c r="B167" i="39"/>
  <c r="B180" i="21"/>
  <c r="B180" i="37"/>
  <c r="B199" i="37"/>
  <c r="B16" i="37"/>
  <c r="B215" i="39"/>
  <c r="B42" i="22"/>
  <c r="B42" i="39"/>
  <c r="Q155" i="1"/>
  <c r="B16" i="35"/>
  <c r="B199" i="35"/>
  <c r="B200" i="33"/>
  <c r="B16" i="33"/>
  <c r="B336" i="19"/>
  <c r="B336" i="33"/>
  <c r="B199" i="39"/>
  <c r="B16" i="39"/>
  <c r="B86" i="22"/>
  <c r="B86" i="39"/>
  <c r="B108" i="19"/>
  <c r="B136" i="19"/>
  <c r="B108" i="33"/>
  <c r="B278" i="33"/>
  <c r="B289" i="33"/>
  <c r="B135" i="33"/>
  <c r="B207" i="35"/>
  <c r="B24" i="35"/>
  <c r="B107" i="35"/>
  <c r="B277" i="35"/>
  <c r="B288" i="35"/>
  <c r="B61" i="37"/>
  <c r="B238" i="37"/>
  <c r="B317" i="19"/>
  <c r="B328" i="19"/>
  <c r="B317" i="33"/>
  <c r="B154" i="33"/>
  <c r="B335" i="39"/>
  <c r="B296" i="21"/>
  <c r="B277" i="37"/>
  <c r="B288" i="37"/>
  <c r="B107" i="37"/>
  <c r="B246" i="37"/>
  <c r="B69" i="37"/>
  <c r="B182" i="39"/>
  <c r="B181" i="39"/>
  <c r="B24" i="33"/>
  <c r="B208" i="33"/>
  <c r="B24" i="39"/>
  <c r="B207" i="39"/>
  <c r="B316" i="37"/>
  <c r="B327" i="37"/>
  <c r="B153" i="37"/>
  <c r="B86" i="21"/>
  <c r="B86" i="37"/>
  <c r="B42" i="21"/>
  <c r="B42" i="37"/>
  <c r="B43" i="19"/>
  <c r="B43" i="33"/>
  <c r="B61" i="39"/>
  <c r="B238" i="39"/>
  <c r="B249" i="39"/>
  <c r="B61" i="35"/>
  <c r="B238" i="35"/>
  <c r="B249" i="35"/>
  <c r="Q158" i="1"/>
  <c r="B153" i="35"/>
  <c r="B316" i="35"/>
  <c r="B70" i="33"/>
  <c r="B247" i="33"/>
  <c r="B207" i="37"/>
  <c r="B24" i="37"/>
  <c r="B325" i="33"/>
  <c r="B162" i="33"/>
  <c r="B161" i="35"/>
  <c r="B324" i="35"/>
  <c r="B181" i="33"/>
  <c r="B334" i="17"/>
  <c r="B66" i="17"/>
  <c r="B210" i="34"/>
  <c r="B210" i="36"/>
  <c r="B210" i="38"/>
  <c r="B288" i="38"/>
  <c r="B288" i="34"/>
  <c r="B288" i="36"/>
  <c r="B249" i="34"/>
  <c r="B249" i="38"/>
  <c r="B249" i="36"/>
  <c r="A33" i="19"/>
  <c r="B169" i="16"/>
  <c r="B190" i="16"/>
  <c r="B559" i="16"/>
  <c r="B214" i="18"/>
  <c r="B175" i="18"/>
  <c r="B227" i="17"/>
  <c r="B228" i="17"/>
  <c r="P73" i="1"/>
  <c r="B208" i="28"/>
  <c r="B637" i="28"/>
  <c r="P30" i="1"/>
  <c r="B559" i="18"/>
  <c r="B568" i="18"/>
  <c r="Q117" i="1"/>
  <c r="B559" i="28"/>
  <c r="B169" i="28"/>
  <c r="B190" i="28"/>
  <c r="AP3" i="1"/>
  <c r="B44" i="6"/>
  <c r="B16" i="22"/>
  <c r="B44" i="22"/>
  <c r="B278" i="19"/>
  <c r="B289" i="19"/>
  <c r="Q153" i="1"/>
  <c r="B106" i="11"/>
  <c r="B120" i="11"/>
  <c r="B272" i="11"/>
  <c r="B283" i="11"/>
  <c r="Q29" i="1"/>
  <c r="Q5" i="1"/>
  <c r="B108" i="6"/>
  <c r="B135" i="6"/>
  <c r="B182" i="22"/>
  <c r="B106" i="12"/>
  <c r="B481" i="18"/>
  <c r="B199" i="29"/>
  <c r="B210" i="29"/>
  <c r="B16" i="29"/>
  <c r="B43" i="29"/>
  <c r="B134" i="28"/>
  <c r="B409" i="18"/>
  <c r="B485" i="28"/>
  <c r="B130" i="18"/>
  <c r="B152" i="18"/>
  <c r="AP156" i="1"/>
  <c r="B88" i="35"/>
  <c r="B241" i="20"/>
  <c r="P68" i="1"/>
  <c r="B72" i="18"/>
  <c r="B73" i="18"/>
  <c r="Q101" i="1"/>
  <c r="B247" i="16"/>
  <c r="B256" i="16"/>
  <c r="B191" i="18"/>
  <c r="Q112" i="1"/>
  <c r="B637" i="17"/>
  <c r="B16" i="16"/>
  <c r="B28" i="16"/>
  <c r="B212" i="17"/>
  <c r="B325" i="18"/>
  <c r="Q114" i="1"/>
  <c r="B58" i="18"/>
  <c r="B641" i="17"/>
  <c r="B565" i="17"/>
  <c r="B568" i="17"/>
  <c r="B175" i="17"/>
  <c r="B181" i="17"/>
  <c r="B30" i="15"/>
  <c r="B238" i="9"/>
  <c r="B225" i="13"/>
  <c r="B235" i="6"/>
  <c r="B246" i="6"/>
  <c r="B21" i="6"/>
  <c r="B63" i="6"/>
  <c r="B90" i="6"/>
  <c r="P3" i="1"/>
  <c r="B201" i="6"/>
  <c r="B195" i="8"/>
  <c r="B204" i="8"/>
  <c r="B52" i="8"/>
  <c r="B64" i="8"/>
  <c r="Q16" i="1"/>
  <c r="B168" i="19"/>
  <c r="B182" i="19"/>
  <c r="B30" i="10"/>
  <c r="B43" i="15"/>
  <c r="B44" i="11"/>
  <c r="B224" i="12"/>
  <c r="B208" i="9"/>
  <c r="B207" i="10"/>
  <c r="B30" i="9"/>
  <c r="B43" i="9"/>
  <c r="B34" i="8"/>
  <c r="B75" i="17"/>
  <c r="B74" i="17"/>
  <c r="B37" i="18"/>
  <c r="B36" i="18"/>
  <c r="B210" i="22"/>
  <c r="B327" i="22"/>
  <c r="B30" i="11"/>
  <c r="B245" i="10"/>
  <c r="B288" i="20"/>
  <c r="B565" i="16"/>
  <c r="B175" i="16"/>
  <c r="Q6" i="1"/>
  <c r="B153" i="6"/>
  <c r="B167" i="6"/>
  <c r="B309" i="6"/>
  <c r="B107" i="29"/>
  <c r="B238" i="22"/>
  <c r="B249" i="22"/>
  <c r="Q164" i="1"/>
  <c r="B61" i="22"/>
  <c r="B67" i="12"/>
  <c r="B288" i="21"/>
  <c r="B167" i="22"/>
  <c r="B136" i="21"/>
  <c r="Q156" i="1"/>
  <c r="B238" i="20"/>
  <c r="Q75" i="1"/>
  <c r="B559" i="14"/>
  <c r="B568" i="14"/>
  <c r="B169" i="14"/>
  <c r="B89" i="10"/>
  <c r="B88" i="10"/>
  <c r="B238" i="29"/>
  <c r="B249" i="29"/>
  <c r="Q61" i="1"/>
  <c r="B396" i="13"/>
  <c r="B405" i="13"/>
  <c r="B90" i="13"/>
  <c r="B102" i="13"/>
  <c r="B61" i="29"/>
  <c r="B90" i="29"/>
  <c r="B277" i="29"/>
  <c r="B288" i="29"/>
  <c r="B121" i="21"/>
  <c r="B28" i="12"/>
  <c r="B327" i="20"/>
  <c r="B208" i="16"/>
  <c r="Q106" i="1"/>
  <c r="B637" i="16"/>
  <c r="P152" i="1"/>
  <c r="B242" i="19"/>
  <c r="AP152" i="1"/>
  <c r="B154" i="11"/>
  <c r="B313" i="11"/>
  <c r="Q160" i="1"/>
  <c r="B238" i="21"/>
  <c r="B249" i="21"/>
  <c r="B61" i="21"/>
  <c r="B247" i="17"/>
  <c r="Q107" i="1"/>
  <c r="B16" i="17"/>
  <c r="AP165" i="1"/>
  <c r="B134" i="39"/>
  <c r="B280" i="22"/>
  <c r="P165" i="1"/>
  <c r="P20" i="1"/>
  <c r="B64" i="9"/>
  <c r="AP20" i="1"/>
  <c r="B87" i="9"/>
  <c r="B190" i="17"/>
  <c r="B191" i="17"/>
  <c r="Q151" i="1"/>
  <c r="B16" i="19"/>
  <c r="B200" i="19"/>
  <c r="B211" i="19"/>
  <c r="B310" i="10"/>
  <c r="B321" i="10"/>
  <c r="B151" i="10"/>
  <c r="Q26" i="1"/>
  <c r="B199" i="20"/>
  <c r="B210" i="20"/>
  <c r="Q157" i="1"/>
  <c r="B98" i="16"/>
  <c r="B409" i="16"/>
  <c r="B106" i="10"/>
  <c r="Q25" i="1"/>
  <c r="B272" i="10"/>
  <c r="B283" i="10"/>
  <c r="B134" i="18"/>
  <c r="B485" i="18"/>
  <c r="B178" i="12"/>
  <c r="B153" i="21"/>
  <c r="B167" i="21"/>
  <c r="B316" i="21"/>
  <c r="B327" i="21"/>
  <c r="Q162" i="1"/>
  <c r="B72" i="13"/>
  <c r="B73" i="13"/>
  <c r="B215" i="22"/>
  <c r="B215" i="20"/>
  <c r="B16" i="21"/>
  <c r="B30" i="21"/>
  <c r="B199" i="21"/>
  <c r="B210" i="21"/>
  <c r="Q159" i="1"/>
  <c r="B487" i="28"/>
  <c r="B136" i="28"/>
  <c r="Q84" i="1"/>
  <c r="B153" i="15"/>
  <c r="B167" i="15"/>
  <c r="B307" i="12"/>
  <c r="B139" i="12"/>
  <c r="Q109" i="1"/>
  <c r="B403" i="17"/>
  <c r="B92" i="17"/>
  <c r="B104" i="17"/>
  <c r="Q82" i="1"/>
  <c r="B238" i="15"/>
  <c r="B249" i="15"/>
  <c r="B61" i="15"/>
  <c r="B297" i="19"/>
  <c r="B572" i="17"/>
  <c r="B253" i="22"/>
  <c r="B213" i="6"/>
  <c r="B135" i="15"/>
  <c r="B121" i="15"/>
  <c r="B216" i="9"/>
  <c r="B121" i="29"/>
  <c r="B181" i="12"/>
  <c r="B28" i="17"/>
  <c r="B256" i="18"/>
  <c r="B100" i="8"/>
  <c r="CV166" i="1"/>
  <c r="B217" i="9"/>
  <c r="B215" i="10"/>
  <c r="CV23" i="1"/>
  <c r="B336" i="39"/>
  <c r="B292" i="9"/>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B495" i="16"/>
  <c r="CR104" i="1"/>
  <c r="CS104" i="1"/>
  <c r="CT104" i="1"/>
  <c r="CU104" i="1"/>
  <c r="B540" i="16"/>
  <c r="CN104" i="1"/>
  <c r="CO104" i="1"/>
  <c r="CP104" i="1"/>
  <c r="CQ104" i="1"/>
  <c r="AL77" i="1"/>
  <c r="B215" i="29"/>
  <c r="CN77" i="1"/>
  <c r="CO77" i="1"/>
  <c r="CQ77" i="1"/>
  <c r="CR77" i="1"/>
  <c r="CS77" i="1"/>
  <c r="CT77" i="1"/>
  <c r="CU77" i="1"/>
  <c r="CP77" i="1"/>
  <c r="AL103" i="1"/>
  <c r="B417" i="16"/>
  <c r="CR103" i="1"/>
  <c r="CS103" i="1"/>
  <c r="CT103" i="1"/>
  <c r="CU103" i="1"/>
  <c r="B462" i="16"/>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B258" i="39"/>
  <c r="CS164" i="1"/>
  <c r="CQ164" i="1"/>
  <c r="CN164" i="1"/>
  <c r="CO164" i="1"/>
  <c r="CP164" i="1"/>
  <c r="AL159" i="1"/>
  <c r="CR159" i="1"/>
  <c r="CO159" i="1"/>
  <c r="CP159" i="1"/>
  <c r="CN159" i="1"/>
  <c r="CQ159" i="1"/>
  <c r="CS159" i="1"/>
  <c r="CT159" i="1"/>
  <c r="CU159" i="1"/>
  <c r="B219" i="37"/>
  <c r="AL75" i="1"/>
  <c r="B573" i="14"/>
  <c r="CN75" i="1"/>
  <c r="CO75" i="1"/>
  <c r="CQ75" i="1"/>
  <c r="CR75" i="1"/>
  <c r="CS75" i="1"/>
  <c r="CT75" i="1"/>
  <c r="CU75" i="1"/>
  <c r="B618" i="14"/>
  <c r="CP75" i="1"/>
  <c r="AL17" i="1"/>
  <c r="B244" i="8"/>
  <c r="CN17" i="1"/>
  <c r="CO17" i="1"/>
  <c r="CP17" i="1"/>
  <c r="CQ17" i="1"/>
  <c r="CR17" i="1"/>
  <c r="CS17" i="1"/>
  <c r="CT17" i="1"/>
  <c r="CU17" i="1"/>
  <c r="B246" i="8"/>
  <c r="AL117" i="1"/>
  <c r="B573" i="18"/>
  <c r="CR117" i="1"/>
  <c r="CS117" i="1"/>
  <c r="CT117" i="1"/>
  <c r="CU117" i="1"/>
  <c r="B618" i="18"/>
  <c r="CN117" i="1"/>
  <c r="CO117" i="1"/>
  <c r="CP117" i="1"/>
  <c r="CQ117" i="1"/>
  <c r="AL28" i="1"/>
  <c r="CN28" i="1"/>
  <c r="CO28" i="1"/>
  <c r="CP28" i="1"/>
  <c r="CQ28" i="1"/>
  <c r="CR28" i="1"/>
  <c r="CS28" i="1"/>
  <c r="CT28" i="1"/>
  <c r="CU28" i="1"/>
  <c r="AL74" i="1"/>
  <c r="B495" i="14"/>
  <c r="CN74" i="1"/>
  <c r="CO74" i="1"/>
  <c r="CQ74" i="1"/>
  <c r="CR74" i="1"/>
  <c r="CS74" i="1"/>
  <c r="CT74" i="1"/>
  <c r="CU74" i="1"/>
  <c r="B540" i="14"/>
  <c r="CP74" i="1"/>
  <c r="AL80" i="1"/>
  <c r="CN80" i="1"/>
  <c r="CO80" i="1"/>
  <c r="CQ80" i="1"/>
  <c r="CR80" i="1"/>
  <c r="CS80" i="1"/>
  <c r="CT80" i="1"/>
  <c r="CU80" i="1"/>
  <c r="CP80" i="1"/>
  <c r="AL4" i="1"/>
  <c r="B252" i="6"/>
  <c r="CN4" i="1"/>
  <c r="CO4" i="1"/>
  <c r="CP4" i="1"/>
  <c r="CQ4" i="1"/>
  <c r="CR4" i="1"/>
  <c r="CS4" i="1"/>
  <c r="CT4" i="1"/>
  <c r="CU4" i="1"/>
  <c r="B253" i="6"/>
  <c r="AL111" i="1"/>
  <c r="B573" i="17"/>
  <c r="CR111" i="1"/>
  <c r="CS111" i="1"/>
  <c r="CT111" i="1"/>
  <c r="CU111" i="1"/>
  <c r="B618" i="17"/>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B651" i="16"/>
  <c r="CR106" i="1"/>
  <c r="CS106" i="1"/>
  <c r="CT106" i="1"/>
  <c r="CU106" i="1"/>
  <c r="B696" i="16"/>
  <c r="CN106" i="1"/>
  <c r="CO106" i="1"/>
  <c r="CP106" i="1"/>
  <c r="CQ106" i="1"/>
  <c r="AL162" i="1"/>
  <c r="CR162" i="1"/>
  <c r="CO162" i="1"/>
  <c r="CP162" i="1"/>
  <c r="CQ162" i="1"/>
  <c r="CS162" i="1"/>
  <c r="CT162" i="1"/>
  <c r="CU162" i="1"/>
  <c r="CN162" i="1"/>
  <c r="AL151" i="1"/>
  <c r="CR151" i="1"/>
  <c r="CO151" i="1"/>
  <c r="CP151" i="1"/>
  <c r="CS151" i="1"/>
  <c r="CT151" i="1"/>
  <c r="CU151" i="1"/>
  <c r="B220" i="33"/>
  <c r="CQ151" i="1"/>
  <c r="CN151" i="1"/>
  <c r="AL61" i="1"/>
  <c r="B410" i="13"/>
  <c r="CN61" i="1"/>
  <c r="CO61" i="1"/>
  <c r="CP61" i="1"/>
  <c r="CQ61" i="1"/>
  <c r="CR61" i="1"/>
  <c r="CW61" i="1"/>
  <c r="B456" i="13"/>
  <c r="CS61" i="1"/>
  <c r="CT61" i="1"/>
  <c r="CU61" i="1"/>
  <c r="B454" i="13"/>
  <c r="AL112" i="1"/>
  <c r="B651" i="17"/>
  <c r="CR112" i="1"/>
  <c r="CS112" i="1"/>
  <c r="CT112" i="1"/>
  <c r="CU112" i="1"/>
  <c r="B696" i="17"/>
  <c r="CN112" i="1"/>
  <c r="CV112" i="1"/>
  <c r="B697" i="17"/>
  <c r="CO112" i="1"/>
  <c r="CP112" i="1"/>
  <c r="CQ112" i="1"/>
  <c r="AL153" i="1"/>
  <c r="CR153" i="1"/>
  <c r="CO153" i="1"/>
  <c r="CP153" i="1"/>
  <c r="CS153" i="1"/>
  <c r="CT153" i="1"/>
  <c r="CU153" i="1"/>
  <c r="CQ153" i="1"/>
  <c r="CW153" i="1"/>
  <c r="B300" i="33"/>
  <c r="CN153" i="1"/>
  <c r="AL158" i="1"/>
  <c r="CR158" i="1"/>
  <c r="CO158" i="1"/>
  <c r="CN158" i="1"/>
  <c r="CV158" i="1"/>
  <c r="CP158" i="1"/>
  <c r="CQ158" i="1"/>
  <c r="CS158" i="1"/>
  <c r="CT158" i="1"/>
  <c r="CU158" i="1"/>
  <c r="AL76" i="1"/>
  <c r="B651" i="14"/>
  <c r="CN76" i="1"/>
  <c r="CO76" i="1"/>
  <c r="CQ76" i="1"/>
  <c r="CR76" i="1"/>
  <c r="CS76" i="1"/>
  <c r="CT76" i="1"/>
  <c r="CU76" i="1"/>
  <c r="B696" i="14"/>
  <c r="CP76" i="1"/>
  <c r="AL69" i="1"/>
  <c r="B573" i="28"/>
  <c r="CN69" i="1"/>
  <c r="CO69" i="1"/>
  <c r="CP69" i="1"/>
  <c r="CQ69" i="1"/>
  <c r="CR69" i="1"/>
  <c r="CS69" i="1"/>
  <c r="CT69" i="1"/>
  <c r="CU69" i="1"/>
  <c r="B618" i="28"/>
  <c r="AL116" i="1"/>
  <c r="B495" i="18"/>
  <c r="CR116" i="1"/>
  <c r="CS116" i="1"/>
  <c r="CT116" i="1"/>
  <c r="CU116" i="1"/>
  <c r="B540" i="18"/>
  <c r="CN116" i="1"/>
  <c r="CO116" i="1"/>
  <c r="CP116" i="1"/>
  <c r="CQ116" i="1"/>
  <c r="AL27" i="1"/>
  <c r="CN27" i="1"/>
  <c r="CO27" i="1"/>
  <c r="CP27" i="1"/>
  <c r="CQ27" i="1"/>
  <c r="CR27" i="1"/>
  <c r="CS27" i="1"/>
  <c r="CT27" i="1"/>
  <c r="CU27" i="1"/>
  <c r="AL71" i="1"/>
  <c r="B261" i="14"/>
  <c r="CN71" i="1"/>
  <c r="CO71" i="1"/>
  <c r="CP71" i="1"/>
  <c r="CQ71" i="1"/>
  <c r="CR71" i="1"/>
  <c r="CS71" i="1"/>
  <c r="CT71" i="1"/>
  <c r="CU71" i="1"/>
  <c r="B306" i="14"/>
  <c r="AL72" i="1"/>
  <c r="B339" i="14"/>
  <c r="CN72" i="1"/>
  <c r="CO72" i="1"/>
  <c r="CQ72" i="1"/>
  <c r="CW72" i="1"/>
  <c r="B386" i="14"/>
  <c r="CR72" i="1"/>
  <c r="CS72" i="1"/>
  <c r="CT72" i="1"/>
  <c r="CU72" i="1"/>
  <c r="B384" i="14"/>
  <c r="CP72" i="1"/>
  <c r="AL78" i="1"/>
  <c r="B254" i="29"/>
  <c r="CN78" i="1"/>
  <c r="CO78" i="1"/>
  <c r="CQ78" i="1"/>
  <c r="CW78" i="1"/>
  <c r="CR78" i="1"/>
  <c r="CS78" i="1"/>
  <c r="CT78" i="1"/>
  <c r="CU78" i="1"/>
  <c r="CP78" i="1"/>
  <c r="AL105" i="1"/>
  <c r="B573" i="16"/>
  <c r="CR105" i="1"/>
  <c r="CW105" i="1"/>
  <c r="B620" i="16"/>
  <c r="CS105" i="1"/>
  <c r="CT105" i="1"/>
  <c r="CU105" i="1"/>
  <c r="B618" i="16"/>
  <c r="CN105" i="1"/>
  <c r="CO105" i="1"/>
  <c r="CP105" i="1"/>
  <c r="CQ105" i="1"/>
  <c r="AL70" i="1"/>
  <c r="B651" i="28"/>
  <c r="CN70" i="1"/>
  <c r="CV70" i="1"/>
  <c r="B697" i="28"/>
  <c r="CO70" i="1"/>
  <c r="CP70" i="1"/>
  <c r="CQ70" i="1"/>
  <c r="CR70" i="1"/>
  <c r="CS70" i="1"/>
  <c r="CT70" i="1"/>
  <c r="CU70" i="1"/>
  <c r="B696" i="28"/>
  <c r="AL115" i="1"/>
  <c r="B417" i="18"/>
  <c r="CR115" i="1"/>
  <c r="CS115" i="1"/>
  <c r="CW115" i="1"/>
  <c r="B464" i="18"/>
  <c r="CT115" i="1"/>
  <c r="CU115" i="1"/>
  <c r="B462" i="18"/>
  <c r="CN115" i="1"/>
  <c r="CV115" i="1"/>
  <c r="B463" i="18"/>
  <c r="CO115" i="1"/>
  <c r="CP115" i="1"/>
  <c r="CQ115" i="1"/>
  <c r="CN57" i="1"/>
  <c r="CO57" i="1"/>
  <c r="CP57" i="1"/>
  <c r="CQ57" i="1"/>
  <c r="CR57" i="1"/>
  <c r="CS57" i="1"/>
  <c r="CT57" i="1"/>
  <c r="CU57" i="1"/>
  <c r="AL113" i="1"/>
  <c r="B261" i="18"/>
  <c r="CR113" i="1"/>
  <c r="CS113" i="1"/>
  <c r="CT113" i="1"/>
  <c r="CU113" i="1"/>
  <c r="B306" i="18"/>
  <c r="CN113" i="1"/>
  <c r="CV113" i="1"/>
  <c r="B307" i="18"/>
  <c r="CO113" i="1"/>
  <c r="CP113" i="1"/>
  <c r="CQ113" i="1"/>
  <c r="CW113" i="1"/>
  <c r="B308" i="18"/>
  <c r="AL109" i="1"/>
  <c r="B417" i="17"/>
  <c r="CR109" i="1"/>
  <c r="CS109" i="1"/>
  <c r="CT109" i="1"/>
  <c r="CU109" i="1"/>
  <c r="B462" i="17"/>
  <c r="CN109" i="1"/>
  <c r="CO109" i="1"/>
  <c r="CP109" i="1"/>
  <c r="CQ109" i="1"/>
  <c r="AL16" i="1"/>
  <c r="B209" i="8"/>
  <c r="CN16" i="1"/>
  <c r="CO16" i="1"/>
  <c r="CP16" i="1"/>
  <c r="CQ16" i="1"/>
  <c r="CW16" i="1"/>
  <c r="B213" i="8"/>
  <c r="CR16" i="1"/>
  <c r="CS16" i="1"/>
  <c r="CT16" i="1"/>
  <c r="CU16" i="1"/>
  <c r="B211" i="8"/>
  <c r="AL114" i="1"/>
  <c r="B339" i="18"/>
  <c r="CR114" i="1"/>
  <c r="CS114" i="1"/>
  <c r="CT114" i="1"/>
  <c r="CU114" i="1"/>
  <c r="B384" i="18"/>
  <c r="CN114" i="1"/>
  <c r="CO114" i="1"/>
  <c r="CP114" i="1"/>
  <c r="CV114" i="1"/>
  <c r="B385" i="18"/>
  <c r="CQ114" i="1"/>
  <c r="AL101" i="1"/>
  <c r="B261" i="16"/>
  <c r="CR101" i="1"/>
  <c r="CS101" i="1"/>
  <c r="CT101" i="1"/>
  <c r="CU101" i="1"/>
  <c r="B306" i="16"/>
  <c r="CN101" i="1"/>
  <c r="CO101" i="1"/>
  <c r="CP101" i="1"/>
  <c r="CV101" i="1"/>
  <c r="B307" i="16"/>
  <c r="CQ101" i="1"/>
  <c r="CW101" i="1"/>
  <c r="B308" i="16"/>
  <c r="AL155" i="1"/>
  <c r="CR155" i="1"/>
  <c r="CO155" i="1"/>
  <c r="CP155" i="1"/>
  <c r="CS155" i="1"/>
  <c r="CT155" i="1"/>
  <c r="CU155" i="1"/>
  <c r="CN155" i="1"/>
  <c r="CV155" i="1"/>
  <c r="B220" i="35"/>
  <c r="CQ155" i="1"/>
  <c r="AL18" i="1"/>
  <c r="B279" i="8"/>
  <c r="CN18" i="1"/>
  <c r="CO18" i="1"/>
  <c r="CV18" i="1"/>
  <c r="B282" i="8"/>
  <c r="CP18" i="1"/>
  <c r="CQ18" i="1"/>
  <c r="CR18" i="1"/>
  <c r="CS18" i="1"/>
  <c r="CT18" i="1"/>
  <c r="CU18" i="1"/>
  <c r="B281" i="8"/>
  <c r="AL79" i="1"/>
  <c r="B293" i="29"/>
  <c r="CN79" i="1"/>
  <c r="CO79" i="1"/>
  <c r="CQ79" i="1"/>
  <c r="CR79" i="1"/>
  <c r="CS79" i="1"/>
  <c r="CT79" i="1"/>
  <c r="CU79" i="1"/>
  <c r="CP79" i="1"/>
  <c r="AL67" i="1"/>
  <c r="B417" i="28"/>
  <c r="CN67" i="1"/>
  <c r="CO67" i="1"/>
  <c r="CP67" i="1"/>
  <c r="CQ67" i="1"/>
  <c r="CR67" i="1"/>
  <c r="CS67" i="1"/>
  <c r="CT67" i="1"/>
  <c r="CU67" i="1"/>
  <c r="B462" i="28"/>
  <c r="AL60" i="1"/>
  <c r="B333" i="13"/>
  <c r="CN60" i="1"/>
  <c r="CO60" i="1"/>
  <c r="CP60" i="1"/>
  <c r="CQ60" i="1"/>
  <c r="CR60" i="1"/>
  <c r="CS60" i="1"/>
  <c r="CW60" i="1"/>
  <c r="B379" i="13"/>
  <c r="CT60" i="1"/>
  <c r="CU60" i="1"/>
  <c r="B377" i="13"/>
  <c r="AL6" i="1"/>
  <c r="B326" i="6"/>
  <c r="CN6" i="1"/>
  <c r="CO6" i="1"/>
  <c r="CP6" i="1"/>
  <c r="CQ6" i="1"/>
  <c r="CR6" i="1"/>
  <c r="CS6" i="1"/>
  <c r="CW6" i="1"/>
  <c r="B329" i="6"/>
  <c r="CT6" i="1"/>
  <c r="CU6" i="1"/>
  <c r="B327" i="6"/>
  <c r="AL107" i="1"/>
  <c r="B261" i="17"/>
  <c r="CR107" i="1"/>
  <c r="CS107" i="1"/>
  <c r="CT107" i="1"/>
  <c r="CU107" i="1"/>
  <c r="B306" i="17"/>
  <c r="CN107" i="1"/>
  <c r="CO107" i="1"/>
  <c r="CP107" i="1"/>
  <c r="CQ107" i="1"/>
  <c r="AL5" i="1"/>
  <c r="B289" i="6"/>
  <c r="CN5" i="1"/>
  <c r="CO5" i="1"/>
  <c r="CP5" i="1"/>
  <c r="CQ5" i="1"/>
  <c r="CR5" i="1"/>
  <c r="CS5" i="1"/>
  <c r="CT5" i="1"/>
  <c r="CU5" i="1"/>
  <c r="B290" i="6"/>
  <c r="AL24" i="1"/>
  <c r="B250" i="10"/>
  <c r="CN24" i="1"/>
  <c r="CO24" i="1"/>
  <c r="CP24" i="1"/>
  <c r="CQ24" i="1"/>
  <c r="CR24" i="1"/>
  <c r="CS24" i="1"/>
  <c r="CT24" i="1"/>
  <c r="CU24" i="1"/>
  <c r="AL59" i="1"/>
  <c r="B256" i="13"/>
  <c r="CN59" i="1"/>
  <c r="CO59" i="1"/>
  <c r="CP59" i="1"/>
  <c r="CQ59" i="1"/>
  <c r="CR59" i="1"/>
  <c r="CS59" i="1"/>
  <c r="CT59" i="1"/>
  <c r="CU59" i="1"/>
  <c r="B300" i="13"/>
  <c r="AL118" i="1"/>
  <c r="B651" i="18"/>
  <c r="CR118" i="1"/>
  <c r="CS118" i="1"/>
  <c r="CT118" i="1"/>
  <c r="CU118" i="1"/>
  <c r="B696" i="18"/>
  <c r="CN118" i="1"/>
  <c r="CO118" i="1"/>
  <c r="CP118" i="1"/>
  <c r="CQ118" i="1"/>
  <c r="AL65" i="1"/>
  <c r="B261" i="28"/>
  <c r="CN65" i="1"/>
  <c r="CO65" i="1"/>
  <c r="CP65" i="1"/>
  <c r="CQ65" i="1"/>
  <c r="CR65" i="1"/>
  <c r="CS65" i="1"/>
  <c r="CT65" i="1"/>
  <c r="CU65" i="1"/>
  <c r="B306" i="28"/>
  <c r="AL110" i="1"/>
  <c r="B495" i="17"/>
  <c r="CR110" i="1"/>
  <c r="CS110" i="1"/>
  <c r="CT110" i="1"/>
  <c r="CU110" i="1"/>
  <c r="B540" i="17"/>
  <c r="CN110" i="1"/>
  <c r="CO110" i="1"/>
  <c r="CP110" i="1"/>
  <c r="CQ110" i="1"/>
  <c r="B142" i="17"/>
  <c r="B152" i="17"/>
  <c r="B224" i="13"/>
  <c r="B172" i="13"/>
  <c r="B178" i="13"/>
  <c r="B37" i="14"/>
  <c r="B643" i="28"/>
  <c r="B646" i="28"/>
  <c r="B332" i="29"/>
  <c r="Q102" i="1"/>
  <c r="B74" i="18"/>
  <c r="B296" i="37"/>
  <c r="B643" i="17"/>
  <c r="B646" i="17"/>
  <c r="CV63" i="1"/>
  <c r="B609" i="13"/>
  <c r="B151" i="16"/>
  <c r="CV24" i="1"/>
  <c r="B412" i="18"/>
  <c r="B216" i="10"/>
  <c r="CV116" i="1"/>
  <c r="B541" i="18"/>
  <c r="B256" i="14"/>
  <c r="CV77" i="1"/>
  <c r="B220" i="29"/>
  <c r="CV84" i="1"/>
  <c r="B337" i="15"/>
  <c r="CV28" i="1"/>
  <c r="B254" i="11"/>
  <c r="CV25" i="1"/>
  <c r="B292" i="10"/>
  <c r="CV157" i="1"/>
  <c r="CV74" i="1"/>
  <c r="B541" i="14"/>
  <c r="CV57" i="1"/>
  <c r="CV164" i="1"/>
  <c r="CV80" i="1"/>
  <c r="CV58" i="1"/>
  <c r="B293" i="9"/>
  <c r="CW62" i="1"/>
  <c r="B533" i="13"/>
  <c r="B217" i="10"/>
  <c r="B75" i="14"/>
  <c r="CV156" i="1"/>
  <c r="B259" i="35"/>
  <c r="CW64" i="1"/>
  <c r="B687" i="13"/>
  <c r="CV82" i="1"/>
  <c r="CV109" i="1"/>
  <c r="B463" i="17"/>
  <c r="CV151" i="1"/>
  <c r="CW29" i="1"/>
  <c r="B293" i="11"/>
  <c r="B294" i="9"/>
  <c r="CV163" i="1"/>
  <c r="B220" i="39"/>
  <c r="CW75" i="1"/>
  <c r="B620" i="14"/>
  <c r="CW22" i="1"/>
  <c r="B332" i="9"/>
  <c r="CW106" i="1"/>
  <c r="B698" i="16"/>
  <c r="B331" i="9"/>
  <c r="CV69" i="1"/>
  <c r="B619" i="28"/>
  <c r="CV62" i="1"/>
  <c r="B532" i="13"/>
  <c r="CV160" i="1"/>
  <c r="CW63" i="1"/>
  <c r="B610" i="13"/>
  <c r="CW161" i="1"/>
  <c r="CW27" i="1"/>
  <c r="CW159" i="1"/>
  <c r="B337" i="39"/>
  <c r="CW154" i="1"/>
  <c r="CW156" i="1"/>
  <c r="CW163" i="1"/>
  <c r="CV106" i="1"/>
  <c r="B697" i="16"/>
  <c r="CW71" i="1"/>
  <c r="B308" i="14"/>
  <c r="CW164" i="1"/>
  <c r="CW74" i="1"/>
  <c r="B542" i="14"/>
  <c r="CW117" i="1"/>
  <c r="B620" i="18"/>
  <c r="CW157" i="1"/>
  <c r="CW111" i="1"/>
  <c r="B620" i="17"/>
  <c r="CV104" i="1"/>
  <c r="B541" i="16"/>
  <c r="B337" i="33"/>
  <c r="B219" i="39"/>
  <c r="CV153" i="1"/>
  <c r="CV26" i="1"/>
  <c r="CV159" i="1"/>
  <c r="CW84" i="1"/>
  <c r="B330" i="9"/>
  <c r="CW4" i="1"/>
  <c r="B255" i="6"/>
  <c r="B218" i="9"/>
  <c r="B229" i="17"/>
  <c r="CV161" i="1"/>
  <c r="CV154" i="1"/>
  <c r="CW58" i="1"/>
  <c r="CW151" i="1"/>
  <c r="CW77" i="1"/>
  <c r="CW26" i="1"/>
  <c r="CW116" i="1"/>
  <c r="B542" i="18"/>
  <c r="CV76" i="1"/>
  <c r="B697" i="14"/>
  <c r="CV64" i="1"/>
  <c r="B686" i="13"/>
  <c r="CW103" i="1"/>
  <c r="B464" i="16"/>
  <c r="CW162" i="1"/>
  <c r="B112" i="18"/>
  <c r="B142" i="16"/>
  <c r="B186" i="13"/>
  <c r="B28" i="28"/>
  <c r="B113" i="18"/>
  <c r="B145" i="12"/>
  <c r="B327" i="15"/>
  <c r="B74" i="14"/>
  <c r="B37" i="28"/>
  <c r="B490" i="14"/>
  <c r="B36" i="14"/>
  <c r="B181" i="18"/>
  <c r="B88" i="11"/>
  <c r="B325" i="28"/>
  <c r="B334" i="28"/>
  <c r="B310" i="11"/>
  <c r="B321" i="11"/>
  <c r="B479" i="13"/>
  <c r="B482" i="13"/>
  <c r="B322" i="9"/>
  <c r="Q30" i="1"/>
  <c r="B250" i="11"/>
  <c r="B212" i="11"/>
  <c r="B151" i="11"/>
  <c r="B179" i="11"/>
  <c r="B18" i="6"/>
  <c r="B46" i="6"/>
  <c r="B403" i="14"/>
  <c r="B412" i="14"/>
  <c r="Q66" i="1"/>
  <c r="B54" i="28"/>
  <c r="B75" i="28"/>
  <c r="B325" i="16"/>
  <c r="B334" i="16"/>
  <c r="B148" i="13"/>
  <c r="B149" i="13"/>
  <c r="B230" i="14"/>
  <c r="B220" i="14"/>
  <c r="B165" i="9"/>
  <c r="B178" i="9"/>
  <c r="B230" i="18"/>
  <c r="B104" i="16"/>
  <c r="B182" i="29"/>
  <c r="B181" i="29"/>
  <c r="B142" i="8"/>
  <c r="B136" i="8"/>
  <c r="B220" i="17"/>
  <c r="B568" i="28"/>
  <c r="B412" i="28"/>
  <c r="B249" i="37"/>
  <c r="B328" i="13"/>
  <c r="B310" i="12"/>
  <c r="B256" i="17"/>
  <c r="B559" i="13"/>
  <c r="B152" i="14"/>
  <c r="B334" i="18"/>
  <c r="B140" i="13"/>
  <c r="B142" i="14"/>
  <c r="B75" i="11"/>
  <c r="B412" i="16"/>
  <c r="B104" i="28"/>
  <c r="B181" i="14"/>
  <c r="B60" i="18"/>
  <c r="B66" i="18"/>
  <c r="B220" i="28"/>
  <c r="B646" i="16"/>
  <c r="B214" i="16"/>
  <c r="B220" i="16"/>
  <c r="B60" i="16"/>
  <c r="B66" i="16"/>
  <c r="B210" i="35"/>
  <c r="B220" i="18"/>
  <c r="B412" i="17"/>
  <c r="B113" i="16"/>
  <c r="Q73" i="1"/>
  <c r="B568" i="16"/>
  <c r="B112" i="28"/>
  <c r="B113" i="28"/>
  <c r="B92" i="14"/>
  <c r="B113" i="14"/>
  <c r="B210" i="37"/>
  <c r="B229" i="28"/>
  <c r="B230" i="28"/>
  <c r="B210" i="39"/>
  <c r="B122" i="19"/>
  <c r="B137" i="19"/>
  <c r="B191" i="16"/>
  <c r="B90" i="35"/>
  <c r="B89" i="35"/>
  <c r="B75" i="35"/>
  <c r="B137" i="33"/>
  <c r="B136" i="33"/>
  <c r="B122" i="33"/>
  <c r="B43" i="37"/>
  <c r="B44" i="37"/>
  <c r="B30" i="37"/>
  <c r="B296" i="35"/>
  <c r="B62" i="33"/>
  <c r="B239" i="33"/>
  <c r="B250" i="33"/>
  <c r="B335" i="35"/>
  <c r="B183" i="33"/>
  <c r="B182" i="33"/>
  <c r="B168" i="33"/>
  <c r="B43" i="39"/>
  <c r="B44" i="39"/>
  <c r="B30" i="39"/>
  <c r="B45" i="33"/>
  <c r="B44" i="33"/>
  <c r="B30" i="33"/>
  <c r="B44" i="35"/>
  <c r="B30" i="35"/>
  <c r="B43" i="35"/>
  <c r="B257" i="35"/>
  <c r="B135" i="37"/>
  <c r="B136" i="37"/>
  <c r="B121" i="37"/>
  <c r="B335" i="37"/>
  <c r="B219" i="33"/>
  <c r="B277" i="39"/>
  <c r="B288" i="39"/>
  <c r="B107" i="39"/>
  <c r="B257" i="39"/>
  <c r="B297" i="33"/>
  <c r="B327" i="35"/>
  <c r="B328" i="33"/>
  <c r="B136" i="35"/>
  <c r="B135" i="35"/>
  <c r="B121" i="35"/>
  <c r="B211" i="33"/>
  <c r="B215" i="35"/>
  <c r="B215" i="37"/>
  <c r="B257" i="37"/>
  <c r="B89" i="19"/>
  <c r="B89" i="33"/>
  <c r="B182" i="35"/>
  <c r="B181" i="35"/>
  <c r="B167" i="35"/>
  <c r="B89" i="39"/>
  <c r="B75" i="39"/>
  <c r="B90" i="39"/>
  <c r="B182" i="37"/>
  <c r="B181" i="37"/>
  <c r="B167" i="37"/>
  <c r="B90" i="37"/>
  <c r="B75" i="37"/>
  <c r="B89" i="37"/>
  <c r="B181" i="16"/>
  <c r="B320" i="6"/>
  <c r="B181" i="28"/>
  <c r="B30" i="29"/>
  <c r="B30" i="22"/>
  <c r="B43" i="22"/>
  <c r="B136" i="6"/>
  <c r="B122" i="6"/>
  <c r="B191" i="28"/>
  <c r="B288" i="11"/>
  <c r="B134" i="11"/>
  <c r="B133" i="11"/>
  <c r="B135" i="29"/>
  <c r="B151" i="18"/>
  <c r="B249" i="20"/>
  <c r="B36" i="16"/>
  <c r="B37" i="16"/>
  <c r="B44" i="29"/>
  <c r="Q3" i="1"/>
  <c r="Q68" i="1"/>
  <c r="B481" i="28"/>
  <c r="B490" i="28"/>
  <c r="B130" i="28"/>
  <c r="B142" i="28"/>
  <c r="B198" i="6"/>
  <c r="B136" i="29"/>
  <c r="B77" i="6"/>
  <c r="B91" i="6"/>
  <c r="B75" i="29"/>
  <c r="B89" i="29"/>
  <c r="B71" i="8"/>
  <c r="B70" i="8"/>
  <c r="B74" i="16"/>
  <c r="B75" i="16"/>
  <c r="B111" i="13"/>
  <c r="B110" i="13"/>
  <c r="B257" i="20"/>
  <c r="B89" i="22"/>
  <c r="B90" i="22"/>
  <c r="B75" i="22"/>
  <c r="B190" i="14"/>
  <c r="B191" i="14"/>
  <c r="B257" i="22"/>
  <c r="B181" i="6"/>
  <c r="B180" i="6"/>
  <c r="B257" i="21"/>
  <c r="Q152" i="1"/>
  <c r="B62" i="19"/>
  <c r="B239" i="19"/>
  <c r="B250" i="19"/>
  <c r="B61" i="9"/>
  <c r="Q20" i="1"/>
  <c r="B235" i="9"/>
  <c r="B246" i="9"/>
  <c r="B37" i="17"/>
  <c r="B36" i="17"/>
  <c r="B230" i="16"/>
  <c r="B229" i="16"/>
  <c r="B277" i="22"/>
  <c r="B288" i="22"/>
  <c r="Q165" i="1"/>
  <c r="B89" i="21"/>
  <c r="B90" i="21"/>
  <c r="B75" i="21"/>
  <c r="B45" i="19"/>
  <c r="B44" i="19"/>
  <c r="B30" i="19"/>
  <c r="B288" i="10"/>
  <c r="B134" i="10"/>
  <c r="B120" i="10"/>
  <c r="B133" i="10"/>
  <c r="B296" i="20"/>
  <c r="B219" i="19"/>
  <c r="B326" i="10"/>
  <c r="B136" i="18"/>
  <c r="B142" i="18"/>
  <c r="B487" i="18"/>
  <c r="B490" i="18"/>
  <c r="B179" i="10"/>
  <c r="B165" i="10"/>
  <c r="B178" i="10"/>
  <c r="B44" i="21"/>
  <c r="B43" i="21"/>
  <c r="B254" i="15"/>
  <c r="B89" i="15"/>
  <c r="B90" i="15"/>
  <c r="B335" i="21"/>
  <c r="B112" i="17"/>
  <c r="B113" i="17"/>
  <c r="B181" i="15"/>
  <c r="B182" i="15"/>
  <c r="B75" i="15"/>
  <c r="B182" i="21"/>
  <c r="B181" i="21"/>
  <c r="B332" i="15"/>
  <c r="B215" i="21"/>
  <c r="CW59" i="1"/>
  <c r="B302" i="13"/>
  <c r="B298" i="35"/>
  <c r="CW57" i="1"/>
  <c r="CV79" i="1"/>
  <c r="CV72" i="1"/>
  <c r="B385" i="14"/>
  <c r="CW67" i="1"/>
  <c r="B464" i="28"/>
  <c r="B297" i="37"/>
  <c r="B253" i="10"/>
  <c r="B219" i="29"/>
  <c r="B259" i="39"/>
  <c r="CW118" i="1"/>
  <c r="B698" i="18"/>
  <c r="CV5" i="1"/>
  <c r="B291" i="6"/>
  <c r="CW28" i="1"/>
  <c r="CV117" i="1"/>
  <c r="B619" i="18"/>
  <c r="CW109" i="1"/>
  <c r="B464" i="17"/>
  <c r="CV118" i="1"/>
  <c r="B697" i="18"/>
  <c r="CV78" i="1"/>
  <c r="B291" i="11"/>
  <c r="CW76" i="1"/>
  <c r="B698" i="14"/>
  <c r="B254" i="10"/>
  <c r="CW155" i="1"/>
  <c r="B221" i="35"/>
  <c r="CW114" i="1"/>
  <c r="B386" i="18"/>
  <c r="CV16" i="1"/>
  <c r="B212" i="8"/>
  <c r="CW18" i="1"/>
  <c r="B283" i="8"/>
  <c r="CW112" i="1"/>
  <c r="B698" i="17"/>
  <c r="B259" i="15"/>
  <c r="CV67" i="1"/>
  <c r="B463" i="28"/>
  <c r="B297" i="35"/>
  <c r="B336" i="37"/>
  <c r="B329" i="10"/>
  <c r="B337" i="29"/>
  <c r="CW24" i="1"/>
  <c r="CW5" i="1"/>
  <c r="B292" i="6"/>
  <c r="CV107" i="1"/>
  <c r="B307" i="17"/>
  <c r="CV61" i="1"/>
  <c r="B455" i="13"/>
  <c r="CV162" i="1"/>
  <c r="B337" i="37"/>
  <c r="CW160" i="1"/>
  <c r="CV75" i="1"/>
  <c r="B619" i="14"/>
  <c r="CV65" i="1"/>
  <c r="B307" i="28"/>
  <c r="CW158" i="1"/>
  <c r="CW110" i="1"/>
  <c r="B542" i="17"/>
  <c r="CW69" i="1"/>
  <c r="B620" i="28"/>
  <c r="CW80" i="1"/>
  <c r="CV59" i="1"/>
  <c r="B301" i="13"/>
  <c r="CW79" i="1"/>
  <c r="CW17" i="1"/>
  <c r="B248" i="8"/>
  <c r="CV71" i="1"/>
  <c r="B307" i="14"/>
  <c r="CW82" i="1"/>
  <c r="B260" i="15"/>
  <c r="CW104" i="1"/>
  <c r="B542" i="16"/>
  <c r="CV29" i="1"/>
  <c r="CW65" i="1"/>
  <c r="B308" i="28"/>
  <c r="CW107" i="1"/>
  <c r="B308" i="17"/>
  <c r="CV6" i="1"/>
  <c r="B328" i="6"/>
  <c r="CV60" i="1"/>
  <c r="B378" i="13"/>
  <c r="CW70" i="1"/>
  <c r="B698" i="28"/>
  <c r="CV105" i="1"/>
  <c r="B619" i="16"/>
  <c r="CV17" i="1"/>
  <c r="B247" i="8"/>
  <c r="CW25" i="1"/>
  <c r="B293" i="10"/>
  <c r="CV103" i="1"/>
  <c r="B463" i="16"/>
  <c r="B258" i="35"/>
  <c r="B258" i="29"/>
  <c r="B336" i="15"/>
  <c r="B291" i="10"/>
  <c r="B215" i="11"/>
  <c r="B259" i="29"/>
  <c r="B336" i="35"/>
  <c r="B253" i="11"/>
  <c r="B258" i="37"/>
  <c r="B297" i="29"/>
  <c r="B338" i="35"/>
  <c r="B298" i="33"/>
  <c r="B258" i="15"/>
  <c r="B336" i="29"/>
  <c r="B219" i="35"/>
  <c r="AL20" i="1"/>
  <c r="CN20" i="1"/>
  <c r="CO20" i="1"/>
  <c r="CP20" i="1"/>
  <c r="CQ20" i="1"/>
  <c r="CR20" i="1"/>
  <c r="CS20" i="1"/>
  <c r="CT20" i="1"/>
  <c r="CU20" i="1"/>
  <c r="CV27" i="1"/>
  <c r="AL165" i="1"/>
  <c r="CR165" i="1"/>
  <c r="CS165" i="1"/>
  <c r="CT165" i="1"/>
  <c r="CU165" i="1"/>
  <c r="CN165" i="1"/>
  <c r="CO165" i="1"/>
  <c r="CP165" i="1"/>
  <c r="CQ165" i="1"/>
  <c r="CV4" i="1"/>
  <c r="B254" i="6"/>
  <c r="AL68" i="1"/>
  <c r="B495" i="28"/>
  <c r="CN68" i="1"/>
  <c r="CO68" i="1"/>
  <c r="CP68" i="1"/>
  <c r="CQ68" i="1"/>
  <c r="CR68" i="1"/>
  <c r="CS68" i="1"/>
  <c r="CT68" i="1"/>
  <c r="CU68" i="1"/>
  <c r="B540" i="28"/>
  <c r="AL3" i="1"/>
  <c r="B215" i="6"/>
  <c r="CO3" i="1"/>
  <c r="CT3" i="1"/>
  <c r="CU3" i="1"/>
  <c r="B216" i="6"/>
  <c r="CN3" i="1"/>
  <c r="CS3" i="1"/>
  <c r="CR3" i="1"/>
  <c r="CP3" i="1"/>
  <c r="CQ3" i="1"/>
  <c r="AL102" i="1"/>
  <c r="B339" i="16"/>
  <c r="CR102" i="1"/>
  <c r="CS102" i="1"/>
  <c r="CT102" i="1"/>
  <c r="CU102" i="1"/>
  <c r="B384" i="16"/>
  <c r="CN102" i="1"/>
  <c r="CO102" i="1"/>
  <c r="CP102" i="1"/>
  <c r="CV102" i="1"/>
  <c r="B385" i="16"/>
  <c r="CQ102" i="1"/>
  <c r="B297" i="15"/>
  <c r="B293" i="15"/>
  <c r="AL152" i="1"/>
  <c r="CR152" i="1"/>
  <c r="CO152" i="1"/>
  <c r="CP152" i="1"/>
  <c r="CN152" i="1"/>
  <c r="CQ152" i="1"/>
  <c r="CS152" i="1"/>
  <c r="CT152" i="1"/>
  <c r="CU152" i="1"/>
  <c r="CV110" i="1"/>
  <c r="B541" i="17"/>
  <c r="CW83" i="1"/>
  <c r="CV111" i="1"/>
  <c r="B619" i="17"/>
  <c r="AL73" i="1"/>
  <c r="B417" i="14"/>
  <c r="CN73" i="1"/>
  <c r="CO73" i="1"/>
  <c r="CQ73" i="1"/>
  <c r="CR73" i="1"/>
  <c r="CS73" i="1"/>
  <c r="CT73" i="1"/>
  <c r="CU73" i="1"/>
  <c r="B462" i="14"/>
  <c r="CP73" i="1"/>
  <c r="AL30" i="1"/>
  <c r="CN30" i="1"/>
  <c r="CO30" i="1"/>
  <c r="CP30" i="1"/>
  <c r="CQ30" i="1"/>
  <c r="CR30" i="1"/>
  <c r="CS30" i="1"/>
  <c r="CT30" i="1"/>
  <c r="CU30" i="1"/>
  <c r="AL66" i="1"/>
  <c r="B339" i="28"/>
  <c r="CN66" i="1"/>
  <c r="CO66" i="1"/>
  <c r="CP66" i="1"/>
  <c r="CQ66" i="1"/>
  <c r="CR66" i="1"/>
  <c r="CS66" i="1"/>
  <c r="CT66" i="1"/>
  <c r="CU66" i="1"/>
  <c r="B384" i="28"/>
  <c r="CV83" i="1"/>
  <c r="B32" i="6"/>
  <c r="B221" i="33"/>
  <c r="B298" i="29"/>
  <c r="CW165" i="1"/>
  <c r="CV152" i="1"/>
  <c r="B260" i="33"/>
  <c r="B338" i="15"/>
  <c r="B339" i="33"/>
  <c r="B222" i="33"/>
  <c r="CV20" i="1"/>
  <c r="B255" i="11"/>
  <c r="B338" i="33"/>
  <c r="B337" i="35"/>
  <c r="B338" i="37"/>
  <c r="B260" i="29"/>
  <c r="B298" i="37"/>
  <c r="B221" i="37"/>
  <c r="B299" i="29"/>
  <c r="B338" i="29"/>
  <c r="B260" i="39"/>
  <c r="B221" i="39"/>
  <c r="B259" i="37"/>
  <c r="B220" i="37"/>
  <c r="B299" i="35"/>
  <c r="B260" i="35"/>
  <c r="B217" i="11"/>
  <c r="B299" i="37"/>
  <c r="B255" i="10"/>
  <c r="B331" i="10"/>
  <c r="B330" i="10"/>
  <c r="B299" i="39"/>
  <c r="CW68" i="1"/>
  <c r="B542" i="28"/>
  <c r="CW3" i="1"/>
  <c r="B218" i="6"/>
  <c r="CW20" i="1"/>
  <c r="B221" i="29"/>
  <c r="B299" i="33"/>
  <c r="B45" i="6"/>
  <c r="B66" i="28"/>
  <c r="B165" i="11"/>
  <c r="B178" i="11"/>
  <c r="B74" i="28"/>
  <c r="B209" i="6"/>
  <c r="B112" i="14"/>
  <c r="B104" i="14"/>
  <c r="B258" i="33"/>
  <c r="B136" i="39"/>
  <c r="B135" i="39"/>
  <c r="B121" i="39"/>
  <c r="B91" i="33"/>
  <c r="B90" i="33"/>
  <c r="B76" i="33"/>
  <c r="B296" i="39"/>
  <c r="B152" i="28"/>
  <c r="B151" i="28"/>
  <c r="B251" i="9"/>
  <c r="B75" i="9"/>
  <c r="B88" i="9"/>
  <c r="B89" i="9"/>
  <c r="B90" i="19"/>
  <c r="B91" i="19"/>
  <c r="B76" i="19"/>
  <c r="B258" i="19"/>
  <c r="B296" i="22"/>
  <c r="B259" i="33"/>
  <c r="B260" i="37"/>
  <c r="CV66" i="1"/>
  <c r="B385" i="28"/>
  <c r="CV30" i="1"/>
  <c r="B330" i="11"/>
  <c r="CW102" i="1"/>
  <c r="B386" i="16"/>
  <c r="CW73" i="1"/>
  <c r="B464" i="14"/>
  <c r="CW152" i="1"/>
  <c r="CV73" i="1"/>
  <c r="B463" i="14"/>
  <c r="B297" i="39"/>
  <c r="CV3" i="1"/>
  <c r="B217" i="6"/>
  <c r="CV68" i="1"/>
  <c r="B541" i="28"/>
  <c r="CV165" i="1"/>
  <c r="B292" i="11"/>
  <c r="CW30" i="1"/>
  <c r="CW66" i="1"/>
  <c r="B386" i="28"/>
  <c r="B329" i="11"/>
  <c r="B254" i="9"/>
  <c r="B299" i="15"/>
  <c r="B216" i="11"/>
  <c r="B298" i="15"/>
  <c r="B326" i="11"/>
  <c r="B261" i="33"/>
  <c r="B256" i="9"/>
  <c r="B331" i="11"/>
  <c r="B255" i="9"/>
  <c r="B298" i="39"/>
  <c r="B11" i="20"/>
  <c r="B12" i="20"/>
  <c r="B13" i="20"/>
  <c r="B14" i="20"/>
  <c r="B15" i="20"/>
  <c r="B16" i="20"/>
  <c r="B44" i="20"/>
  <c r="B17" i="20"/>
  <c r="B19" i="20"/>
  <c r="B20" i="20"/>
  <c r="B21" i="20"/>
  <c r="B22" i="20"/>
  <c r="B23" i="20"/>
  <c r="B24" i="20"/>
  <c r="B25" i="20"/>
  <c r="B26" i="20"/>
  <c r="A33" i="20"/>
  <c r="B34" i="20"/>
  <c r="B35" i="20"/>
  <c r="B36" i="20"/>
  <c r="B37" i="20"/>
  <c r="B38" i="20"/>
  <c r="B39" i="20"/>
  <c r="B40" i="20"/>
  <c r="B41" i="20"/>
  <c r="B42" i="20"/>
  <c r="B56" i="20"/>
  <c r="B57" i="20"/>
  <c r="B58" i="20"/>
  <c r="B59" i="20"/>
  <c r="B60" i="20"/>
  <c r="B61" i="20"/>
  <c r="B89" i="20"/>
  <c r="B62" i="20"/>
  <c r="B64" i="20"/>
  <c r="B65" i="20"/>
  <c r="B66" i="20"/>
  <c r="B67" i="20"/>
  <c r="B68" i="20"/>
  <c r="B69" i="20"/>
  <c r="B70" i="20"/>
  <c r="B71" i="20"/>
  <c r="A78" i="20"/>
  <c r="B79" i="20"/>
  <c r="B80" i="20"/>
  <c r="B81" i="20"/>
  <c r="B82" i="20"/>
  <c r="B83" i="20"/>
  <c r="B84" i="20"/>
  <c r="B85" i="20"/>
  <c r="B86" i="20"/>
  <c r="B87" i="20"/>
  <c r="B88" i="20"/>
  <c r="B102" i="20"/>
  <c r="B103" i="20"/>
  <c r="B104" i="20"/>
  <c r="B105" i="20"/>
  <c r="B106" i="20"/>
  <c r="B107" i="20"/>
  <c r="B136" i="20"/>
  <c r="B108" i="20"/>
  <c r="B110" i="20"/>
  <c r="B111" i="20"/>
  <c r="B112" i="20"/>
  <c r="B113" i="20"/>
  <c r="B114" i="20"/>
  <c r="B115" i="20"/>
  <c r="B116" i="20"/>
  <c r="B117" i="20"/>
  <c r="A124" i="20"/>
  <c r="B125" i="20"/>
  <c r="B126" i="20"/>
  <c r="B127" i="20"/>
  <c r="B128" i="20"/>
  <c r="B129" i="20"/>
  <c r="B130" i="20"/>
  <c r="B131" i="20"/>
  <c r="B132" i="20"/>
  <c r="B133" i="20"/>
  <c r="B134" i="20"/>
  <c r="B148" i="20"/>
  <c r="B149" i="20"/>
  <c r="B150" i="20"/>
  <c r="B151" i="20"/>
  <c r="B152" i="20"/>
  <c r="B153" i="20"/>
  <c r="B182" i="20"/>
  <c r="B154" i="20"/>
  <c r="B156" i="20"/>
  <c r="B157" i="20"/>
  <c r="B158" i="20"/>
  <c r="B159" i="20"/>
  <c r="B160" i="20"/>
  <c r="B161" i="20"/>
  <c r="B162" i="20"/>
  <c r="B163" i="20"/>
  <c r="A170" i="20"/>
  <c r="B171" i="20"/>
  <c r="B172" i="20"/>
  <c r="B173" i="20"/>
  <c r="B174" i="20"/>
  <c r="B175" i="20"/>
  <c r="B176" i="20"/>
  <c r="B177" i="20"/>
  <c r="B178" i="20"/>
  <c r="B179" i="20"/>
  <c r="B180" i="20"/>
  <c r="A124" i="22"/>
  <c r="B102" i="22"/>
  <c r="B103" i="22"/>
  <c r="B104" i="22"/>
  <c r="B105" i="22"/>
  <c r="B106" i="22"/>
  <c r="B107" i="22"/>
  <c r="B136" i="22"/>
  <c r="B108" i="22"/>
  <c r="B110" i="22"/>
  <c r="B111" i="22"/>
  <c r="B112" i="22"/>
  <c r="B113" i="22"/>
  <c r="B114" i="22"/>
  <c r="B115" i="22"/>
  <c r="B116" i="22"/>
  <c r="B117" i="22"/>
  <c r="B125" i="22"/>
  <c r="B126" i="22"/>
  <c r="B127" i="22"/>
  <c r="B128" i="22"/>
  <c r="B129" i="22"/>
  <c r="B130" i="22"/>
  <c r="B131" i="22"/>
  <c r="B132" i="22"/>
  <c r="B133" i="22"/>
  <c r="B134" i="22"/>
  <c r="A213" i="15"/>
  <c r="A214" i="15"/>
  <c r="B194" i="15"/>
  <c r="B214" i="15"/>
  <c r="B195" i="15"/>
  <c r="B196" i="15"/>
  <c r="B197" i="15"/>
  <c r="B198" i="15"/>
  <c r="B199" i="15"/>
  <c r="B200" i="15"/>
  <c r="B202" i="15"/>
  <c r="B203" i="15"/>
  <c r="B204" i="15"/>
  <c r="B205" i="15"/>
  <c r="B206" i="15"/>
  <c r="B207" i="15"/>
  <c r="B208" i="15"/>
  <c r="B209" i="15"/>
  <c r="B215" i="15"/>
  <c r="B216" i="15"/>
  <c r="B217" i="15"/>
  <c r="B218" i="15"/>
  <c r="B219" i="15"/>
  <c r="B220" i="15"/>
  <c r="B221" i="15"/>
  <c r="B194" i="42"/>
  <c r="B214" i="42"/>
  <c r="B195" i="42"/>
  <c r="B196" i="42"/>
  <c r="B197" i="42"/>
  <c r="B198" i="42"/>
  <c r="B199" i="42"/>
  <c r="B200" i="42"/>
  <c r="B202" i="42"/>
  <c r="B203" i="42"/>
  <c r="B204" i="42"/>
  <c r="B205" i="42"/>
  <c r="B206" i="42"/>
  <c r="B207" i="42"/>
  <c r="B208" i="42"/>
  <c r="B209" i="42"/>
  <c r="A213" i="42"/>
  <c r="A214" i="42"/>
  <c r="B215" i="42"/>
  <c r="B216" i="42"/>
  <c r="B217" i="42"/>
  <c r="B218" i="42"/>
  <c r="B219" i="42"/>
  <c r="B220" i="42"/>
  <c r="B221" i="42"/>
  <c r="B194" i="43"/>
  <c r="B214" i="43"/>
  <c r="B195" i="43"/>
  <c r="B196" i="43"/>
  <c r="B197" i="43"/>
  <c r="B198" i="43"/>
  <c r="B199" i="43"/>
  <c r="B200" i="43"/>
  <c r="B202" i="43"/>
  <c r="B203" i="43"/>
  <c r="B204" i="43"/>
  <c r="B205" i="43"/>
  <c r="B206" i="43"/>
  <c r="B207" i="43"/>
  <c r="B208" i="43"/>
  <c r="B209" i="43"/>
  <c r="A213" i="43"/>
  <c r="A214" i="43"/>
  <c r="B215" i="43"/>
  <c r="B216" i="43"/>
  <c r="B217" i="43"/>
  <c r="B218" i="43"/>
  <c r="B219" i="43"/>
  <c r="B220" i="43"/>
  <c r="B221" i="43"/>
  <c r="B43" i="20"/>
  <c r="B135" i="22"/>
  <c r="B90" i="20"/>
  <c r="B135" i="20"/>
  <c r="B181" i="20"/>
  <c r="B75" i="20"/>
  <c r="B30" i="20"/>
  <c r="B121" i="22"/>
  <c r="B121" i="20"/>
  <c r="B167" i="20"/>
  <c r="B210" i="15"/>
  <c r="B210" i="43"/>
  <c r="B210" i="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<sst xmlns="http://schemas.openxmlformats.org/spreadsheetml/2006/main" count="39426" uniqueCount="1177">
  <si>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</si>
  <si>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</si>
  <si>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</si>
  <si>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</si>
  <si>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</si>
  <si>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</si>
  <si>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</si>
  <si>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</si>
  <si>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</si>
  <si>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</si>
  <si>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</si>
  <si>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</si>
  <si>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</si>
  <si>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</si>
  <si>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</si>
  <si>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</si>
  <si>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</si>
  <si>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</si>
  <si>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</si>
  <si>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</si>
  <si>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</si>
  <si>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</si>
  <si>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</si>
  <si>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</si>
  <si>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</si>
  <si>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</si>
  <si>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</si>
  <si>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</si>
  <si>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</si>
  <si>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</si>
  <si>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</si>
  <si>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</si>
  <si>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</si>
  <si>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</si>
  <si>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</si>
  <si>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</si>
  <si>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</si>
  <si>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</si>
  <si>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</si>
  <si>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</si>
  <si>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</si>
  <si>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</si>
  <si>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</si>
  <si>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</si>
  <si>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</si>
  <si>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</si>
  <si>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</si>
  <si>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</si>
  <si>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</si>
  <si>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</si>
  <si>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</si>
  <si>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</si>
  <si>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</si>
  <si>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</si>
  <si>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</si>
  <si>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</si>
  <si>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</si>
  <si>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</si>
  <si>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</si>
  <si>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</si>
  <si>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</si>
  <si>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</si>
  <si>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</si>
  <si>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</si>
  <si>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</si>
  <si>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</si>
  <si>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</si>
  <si>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</si>
  <si>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</si>
  <si>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</si>
  <si>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</si>
  <si>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</si>
  <si>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</si>
  <si>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</si>
  <si>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</si>
  <si>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</si>
  <si>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</si>
  <si>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</si>
  <si>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</si>
  <si>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</si>
  <si>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</si>
  <si>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</si>
  <si>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</si>
  <si>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</si>
  <si>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</si>
  <si>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</si>
  <si>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</si>
  <si>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</si>
  <si>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</si>
  <si>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</si>
  <si>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</si>
  <si>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</si>
  <si>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</si>
  <si>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</si>
  <si>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</si>
  <si>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</si>
  <si>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Battery cell</t>
  </si>
  <si>
    <t>Battery BoP</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</si>
  <si>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</si>
  <si>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</si>
  <si>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</si>
  <si>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</si>
  <si>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</si>
  <si>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</si>
  <si>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</si>
  <si>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</si>
  <si>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</si>
  <si>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</si>
  <si>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</si>
  <si>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</si>
  <si>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</si>
  <si>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</si>
  <si>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</si>
  <si>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</si>
  <si>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</si>
  <si>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</si>
  <si>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</si>
  <si>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</si>
  <si>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</si>
  <si>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</si>
  <si>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</si>
  <si>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</si>
  <si>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</si>
  <si>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</si>
  <si>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</si>
  <si>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</si>
  <si>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</si>
  <si>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</si>
  <si>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</si>
  <si>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</si>
  <si>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</si>
  <si>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</si>
  <si>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</si>
  <si>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</si>
  <si>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</si>
  <si>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</si>
  <si>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</si>
  <si>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</si>
  <si>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</si>
  <si>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</si>
  <si>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</si>
  <si>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</si>
  <si>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</si>
  <si>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</si>
  <si>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</si>
  <si>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</si>
  <si>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</si>
  <si>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</si>
  <si>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</si>
  <si>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</si>
  <si>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</si>
  <si>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</si>
  <si>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</si>
  <si>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</si>
  <si>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</si>
  <si>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</si>
  <si>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</si>
  <si>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</si>
  <si>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</si>
  <si>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</si>
  <si>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</si>
  <si>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</si>
  <si>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</si>
  <si>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</si>
  <si>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</si>
  <si>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</si>
  <si>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</si>
  <si>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</si>
  <si>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</si>
  <si>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</si>
  <si>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</si>
  <si>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</si>
  <si>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</si>
  <si>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</si>
  <si>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</si>
  <si>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</si>
  <si>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</si>
  <si>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</si>
  <si>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</si>
  <si>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</si>
  <si>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</si>
  <si>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</si>
  <si>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</si>
  <si>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</si>
  <si>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</si>
  <si>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</si>
  <si>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</si>
  <si>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</si>
  <si>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</si>
  <si>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</si>
  <si>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</si>
  <si>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</si>
  <si>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</si>
  <si>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Positive active material</t>
  </si>
  <si>
    <t>code</t>
  </si>
  <si>
    <t>worksheet name</t>
  </si>
  <si>
    <t>Heat, waste</t>
  </si>
  <si>
    <t>megajoule</t>
  </si>
  <si>
    <t>Ni1/3Co1/3Mn1/3(OH)2</t>
  </si>
  <si>
    <t>market for chemical factory, organics</t>
  </si>
  <si>
    <t>chemical factory, organics</t>
  </si>
  <si>
    <t>market for heat, future</t>
  </si>
  <si>
    <t>heat, future</t>
  </si>
  <si>
    <t>market for lithium hydroxide</t>
  </si>
  <si>
    <t>lithium hydroxide</t>
  </si>
  <si>
    <t>Positive current collector Al</t>
  </si>
  <si>
    <t>ad7cfb16e845c17e641cc73bbf2cd2b3</t>
  </si>
  <si>
    <t>aluminium ingot, primary, to aluminium, wrought alloy market</t>
  </si>
  <si>
    <t>aluminium, wrought alloy</t>
  </si>
  <si>
    <t>market for aluminium casting facility</t>
  </si>
  <si>
    <t>aluminium casting facility</t>
  </si>
  <si>
    <t>market for sheet rolling, aluminium</t>
  </si>
  <si>
    <t>sheet rolling, aluminium</t>
  </si>
  <si>
    <t>Positive electrode paste</t>
  </si>
  <si>
    <t>market for N-methyl-2-pyrrolidone</t>
  </si>
  <si>
    <t>N-methyl-2-pyrrolidone</t>
  </si>
  <si>
    <t>market for carbon black</t>
  </si>
  <si>
    <t>carbon black</t>
  </si>
  <si>
    <t>market for polyvinylfluoride</t>
  </si>
  <si>
    <t>polyvinylfluoride</t>
  </si>
  <si>
    <t>Anode</t>
  </si>
  <si>
    <t>e4615b23eff12908952e4e82fd21272d</t>
  </si>
  <si>
    <t>Negative current collector Cu</t>
  </si>
  <si>
    <t>Negative electrode paste</t>
  </si>
  <si>
    <t>f5073a2e-ca78-11e9-9899-2079186002a1</t>
  </si>
  <si>
    <t>Contains everything except the cell</t>
  </si>
  <si>
    <t>Battery management system</t>
  </si>
  <si>
    <t>Battery packaging</t>
  </si>
  <si>
    <t>Cooling system</t>
  </si>
  <si>
    <t>market for precious metal refinery</t>
  </si>
  <si>
    <t>precious metal refinery</t>
  </si>
  <si>
    <t>market for transport, freight, lorry 16-32 metric ton, EURO3</t>
  </si>
  <si>
    <t>RoW</t>
  </si>
  <si>
    <t>ton kilometer</t>
  </si>
  <si>
    <t>transport, freight, lorry 16-32 metric ton, EURO3</t>
  </si>
  <si>
    <t>market for transport, freight, sea, tanker for petroleum</t>
  </si>
  <si>
    <t>transport, freight, sea, tanker for petroleum</t>
  </si>
  <si>
    <t>market group for electricity, medium voltage</t>
  </si>
  <si>
    <t>Comment</t>
  </si>
  <si>
    <t>Cell container</t>
  </si>
  <si>
    <t>Electrolyte</t>
  </si>
  <si>
    <t>Separator</t>
  </si>
  <si>
    <t>market for heat, district or industrial, natural gas</t>
  </si>
  <si>
    <t>heat, district or industrial, natural gas</t>
  </si>
  <si>
    <t>market for water, decarbonised</t>
  </si>
  <si>
    <t>water, decarbonised</t>
  </si>
  <si>
    <t>This value is quite variable and drives the results.</t>
  </si>
  <si>
    <t>d89248a205e9a49775ca374b5adb9a57</t>
  </si>
  <si>
    <t>Battery management system (BMS)</t>
  </si>
  <si>
    <t>High voltage system</t>
  </si>
  <si>
    <t>IBIS</t>
  </si>
  <si>
    <t>IBIS fasteners</t>
  </si>
  <si>
    <t>Low voltage system</t>
  </si>
  <si>
    <t>market for printed wiring board, through-hole mounted, unspecified, Pb free</t>
  </si>
  <si>
    <t>BMB (Battery module board)</t>
  </si>
  <si>
    <t>printed wiring board, through-hole mounted, unspecified, Pb free</t>
  </si>
  <si>
    <t>market for transport, freight train</t>
  </si>
  <si>
    <t>Europe without Switzerland</t>
  </si>
  <si>
    <t>transport, freight train</t>
  </si>
  <si>
    <t>market for transport, freight, lorry &gt;32 metric ton, EURO3</t>
  </si>
  <si>
    <t>transport, freight, lorry &gt;32 metric ton, EURO3</t>
  </si>
  <si>
    <t>240c7384fbd6fe21b36448ede1e43999</t>
  </si>
  <si>
    <t>Battery retention</t>
  </si>
  <si>
    <t>Battery tray</t>
  </si>
  <si>
    <t>Module packaging</t>
  </si>
  <si>
    <t>c0a7f46edbcdd1bdaf083803277f862f</t>
  </si>
  <si>
    <t>Heat transfer plate</t>
  </si>
  <si>
    <t>Lower retention</t>
  </si>
  <si>
    <t>Strap retention</t>
  </si>
  <si>
    <t>market for synthetic rubber</t>
  </si>
  <si>
    <t>synthetic rubber</t>
  </si>
  <si>
    <t>d92dbab286303d5826577362ee6a99df</t>
  </si>
  <si>
    <t>Tray lid</t>
  </si>
  <si>
    <t>Tray seal</t>
  </si>
  <si>
    <t>Tray with fasteners</t>
  </si>
  <si>
    <t>Bimetallic busbars and washers</t>
  </si>
  <si>
    <t>11970fef2e9cc5161b92a44ac5513cd9</t>
  </si>
  <si>
    <t>market for acrylonitrile-butadiene-styrene copolymer</t>
  </si>
  <si>
    <t>acrylonitrile-butadiene-styrene copolymer</t>
  </si>
  <si>
    <t>market for copper, anode</t>
  </si>
  <si>
    <t>copper, anode</t>
  </si>
  <si>
    <t>market for injection moulding</t>
  </si>
  <si>
    <t>injection moulding</t>
  </si>
  <si>
    <t>market for metal working factory</t>
  </si>
  <si>
    <t>metal working factory</t>
  </si>
  <si>
    <t>market for metal working, average for aluminium product manufacturing</t>
  </si>
  <si>
    <t>metal working, average for aluminium product manufacturing</t>
  </si>
  <si>
    <t>market for metal working, average for copper product manufacturing</t>
  </si>
  <si>
    <t>metal working, average for copper product manufacturing</t>
  </si>
  <si>
    <t>market for plastic processing factory</t>
  </si>
  <si>
    <t>plastic processing factory</t>
  </si>
  <si>
    <t>cobalt</t>
  </si>
  <si>
    <t>4436c877aea82a5834ad25de3af6522c</t>
  </si>
  <si>
    <t>Integrated Battery Interface System (IBIS)</t>
  </si>
  <si>
    <t>market for brass</t>
  </si>
  <si>
    <t>brass</t>
  </si>
  <si>
    <t>market for casting, brass</t>
  </si>
  <si>
    <t>casting, brass</t>
  </si>
  <si>
    <t>market for electric connector, wire clamp</t>
  </si>
  <si>
    <t>electric connector, wire clamp</t>
  </si>
  <si>
    <t>market for electronic component factory</t>
  </si>
  <si>
    <t>electronic component factory</t>
  </si>
  <si>
    <t>market for integrated circuit, logic type</t>
  </si>
  <si>
    <t>integrated circuit, logic type</t>
  </si>
  <si>
    <t>market for metal working, average for steel product manufacturing</t>
  </si>
  <si>
    <t>metal working, average for steel product manufacturing</t>
  </si>
  <si>
    <t>market for nylon 6</t>
  </si>
  <si>
    <t>nylon 6</t>
  </si>
  <si>
    <t>market for polyethylene terephthalate, granulate, amorphous</t>
  </si>
  <si>
    <t>polyethylene terephthalate, granulate, amorphous</t>
  </si>
  <si>
    <t>market for steel, low-alloyed</t>
  </si>
  <si>
    <t>steel, low-alloyed</t>
  </si>
  <si>
    <t>6c73b27a210af2a318c4215073955e83</t>
  </si>
  <si>
    <t>4062da13e83f763e37db6eac23ce1a99</t>
  </si>
  <si>
    <t>market for sheet rolling, copper</t>
  </si>
  <si>
    <t>sheet rolling, copper</t>
  </si>
  <si>
    <t>c006e221a75622269637efbd88f9472d</t>
  </si>
  <si>
    <t>market for acrylic acid</t>
  </si>
  <si>
    <t>acrylic acid</t>
  </si>
  <si>
    <t>market for anode, graphite, for lithium-ion battery</t>
  </si>
  <si>
    <t>anode, graphite, for lithium-ion battery</t>
  </si>
  <si>
    <t>market for carboxymethyl cellulose, powder</t>
  </si>
  <si>
    <t>carboxymethyl cellulose, powder</t>
  </si>
  <si>
    <t>Sulfate</t>
  </si>
  <si>
    <t>water</t>
  </si>
  <si>
    <t>market for manganese sulfate</t>
  </si>
  <si>
    <t>production of manganese sulfate is available as a unit process in ecoenvent and the data is therefore not taken from Majeau-Bettez 2011</t>
  </si>
  <si>
    <t>manganese sulfate</t>
  </si>
  <si>
    <t>market for nickel sulfate</t>
  </si>
  <si>
    <t>production of nickel sulfate is available as a unit process in ecoenvent and the data is therefore not taken from Majeau-Bettez 2011</t>
  </si>
  <si>
    <t>nickel sulfate</t>
  </si>
  <si>
    <t>market for soda ash, light, crystalline, heptahydrate</t>
  </si>
  <si>
    <t>soda ash, light, crystalline, heptahydrate</t>
  </si>
  <si>
    <t>market for styrene butadiene rubber (SBR)</t>
  </si>
  <si>
    <t>095664b384537b91d8e3e63ab94a9948</t>
  </si>
  <si>
    <t>styrene butadiene rubber (SBR)</t>
  </si>
  <si>
    <t>refined</t>
  </si>
  <si>
    <t>biosphere3</t>
  </si>
  <si>
    <t>NMVOC, non-methane volatile organic compounds, unspecified origin</t>
  </si>
  <si>
    <t>Water, cooling, unspecified natural origin</t>
  </si>
  <si>
    <t>cubic meter</t>
  </si>
  <si>
    <t>natural resource::in water</t>
  </si>
  <si>
    <t>NMC battery import</t>
  </si>
  <si>
    <t>market for butadiene</t>
  </si>
  <si>
    <t>ecoinvent 3.3 cutoff</t>
  </si>
  <si>
    <t>butadiene</t>
  </si>
  <si>
    <t>market for cyclohexane</t>
  </si>
  <si>
    <t>cyclohexane</t>
  </si>
  <si>
    <t>market for soap</t>
  </si>
  <si>
    <t>soap</t>
  </si>
  <si>
    <t>market for sodium persulfate</t>
  </si>
  <si>
    <t>sodium persulfate</t>
  </si>
  <si>
    <t>market for styrene</t>
  </si>
  <si>
    <t>styrene</t>
  </si>
  <si>
    <t>market for water, deionised</t>
  </si>
  <si>
    <t>water, deionised</t>
  </si>
  <si>
    <t>market group for heat, central or small-scale, natural gas</t>
  </si>
  <si>
    <t>heat, central or small-scale, natural gas</t>
  </si>
  <si>
    <t>treatment of wastewater, unpolluted, capacity 5E9l/year</t>
  </si>
  <si>
    <t>wastewater, unpolluted</t>
  </si>
  <si>
    <t>e57e3b636cdadcdd4605c1a6c044ff8a</t>
  </si>
  <si>
    <t>Multilayer pouch</t>
  </si>
  <si>
    <t>Tab Aluminum</t>
  </si>
  <si>
    <t>Tab Copper</t>
  </si>
  <si>
    <t>ad0a2fa2697e7eba2c8b897ac5e9e599</t>
  </si>
  <si>
    <t>market for packaging film, low density polyethylene</t>
  </si>
  <si>
    <t>packaging film, low density polyethylene</t>
  </si>
  <si>
    <t>specifications (amorphous vs. bottle grade) are missing in Ellingsen 2014</t>
  </si>
  <si>
    <t>market for polypropylene, granulate</t>
  </si>
  <si>
    <t>polypropylene, granulate</t>
  </si>
  <si>
    <t>b096e06a9d87a89df6ed78739716cbb1</t>
  </si>
  <si>
    <t>474a28ea70e58630fd607e26e4c76a34</t>
  </si>
  <si>
    <t>04dd0f277fea2558316d5b7a8da24ad6</t>
  </si>
  <si>
    <t>Clamps and fasteners</t>
  </si>
  <si>
    <t>Manifolds</t>
  </si>
  <si>
    <t>Pipe fitting</t>
  </si>
  <si>
    <t>Radiator</t>
  </si>
  <si>
    <t>Thermal pad</t>
  </si>
  <si>
    <t>market for ethylene glycol</t>
  </si>
  <si>
    <t>ethylene glycol</t>
  </si>
  <si>
    <t>7d8dd74315915158cccb758a15be5cf3</t>
  </si>
  <si>
    <t>30d8ce62df48564bd63c4601218f4b28</t>
  </si>
  <si>
    <t>market for polyvinylchloride, suspension polymerised</t>
  </si>
  <si>
    <t>Ellingsen 2014 don't specify the polymerization method, here suspension polymerization was assumed</t>
  </si>
  <si>
    <t>polyvinylchloride, suspension polymerised</t>
  </si>
  <si>
    <t>f05e0c6e300f7625b028184e178b8940</t>
  </si>
  <si>
    <t>193066a770c19cd70c0bbd569cac241c</t>
  </si>
  <si>
    <t>f1e38682ea4c91fa2b012cd0ac83b960</t>
  </si>
  <si>
    <t>market for ethylene carbonate</t>
  </si>
  <si>
    <t>ethylene carbonate</t>
  </si>
  <si>
    <t>market for lithium hexafluorophosphate</t>
  </si>
  <si>
    <t>lithium hexafluorophosphate</t>
  </si>
  <si>
    <t>0b22f7b8d0063e18fa013f884185c677</t>
  </si>
  <si>
    <t>End-busbar aluminum</t>
  </si>
  <si>
    <t>End-busbar copper</t>
  </si>
  <si>
    <t>Inner frame</t>
  </si>
  <si>
    <t>Module fasteners</t>
  </si>
  <si>
    <t>Module lid</t>
  </si>
  <si>
    <t>Outer frame</t>
  </si>
  <si>
    <t>24cfc476945b0f9da27197821510e899</t>
  </si>
  <si>
    <t>f690d07f93708b7c3039d3da781f4dcc</t>
  </si>
  <si>
    <t>65ea350baea7e133bdb865b7acfe0ff5</t>
  </si>
  <si>
    <t>deae9e4eb5b26a3f21214d886c7799be</t>
  </si>
  <si>
    <t>market for anodising, aluminium sheet</t>
  </si>
  <si>
    <t>square meter</t>
  </si>
  <si>
    <t>anodising, aluminium sheet</t>
  </si>
  <si>
    <t>market for nylon 6-6, glass-filled</t>
  </si>
  <si>
    <t>nylon 6-6, glass-filled</t>
  </si>
  <si>
    <t>75660369e43fb42a1604bbedac268b24</t>
  </si>
  <si>
    <t>market for electronic component, passive, unspecified</t>
  </si>
  <si>
    <t>electronic component, passive, unspecified</t>
  </si>
  <si>
    <t>267ba4fc5f3c1df48c369c35650e563b</t>
  </si>
  <si>
    <t>84ce10d5e5ff409bc1e0b17df3f163dc</t>
  </si>
  <si>
    <t>7921b51ea9bf120745d9fa262fc5188f</t>
  </si>
  <si>
    <t>66d33c5c012e0ba8bcddbad8e3e577f0</t>
  </si>
  <si>
    <t>market for cable, ribbon cable, 20-pin, with plugs</t>
  </si>
  <si>
    <t>cable, ribbon cable, 20-pin, with plugs</t>
  </si>
  <si>
    <t>market for metal working, average for metal product manufacturing</t>
  </si>
  <si>
    <t>metal working, average for metal product manufacturing</t>
  </si>
  <si>
    <t>market for polyphenylene sulfide</t>
  </si>
  <si>
    <t>polyphenylene sulfide</t>
  </si>
  <si>
    <t>market for tin</t>
  </si>
  <si>
    <t>tin</t>
  </si>
  <si>
    <t>8594a373d2c41aae69ed551aeaf6b0da</t>
  </si>
  <si>
    <t>market for aluminium scrap, new</t>
  </si>
  <si>
    <t>aluminium scrap, new</t>
  </si>
  <si>
    <t>50df478fcb80435f93cc2e6081fba40b</t>
  </si>
  <si>
    <t>242e01805b2baf56b0e2663acc55c9e0</t>
  </si>
  <si>
    <t>a7583de34c84bdd20d6f8a2547f9205c</t>
  </si>
  <si>
    <t>market for glass fibre</t>
  </si>
  <si>
    <t>glass fibre</t>
  </si>
  <si>
    <t>market for silicon, electronics grade</t>
  </si>
  <si>
    <t>silicon, electronics grade</t>
  </si>
  <si>
    <t>c3735927f615c190f783182e27c2f9f2</t>
  </si>
  <si>
    <t>15d9a5378ba6ae876173c2eacc9cc78b</t>
  </si>
  <si>
    <t>market for butyl acrylate</t>
  </si>
  <si>
    <t>butyl acrylate</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</si>
  <si>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</si>
  <si>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</si>
  <si>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</si>
  <si>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</si>
  <si>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</si>
  <si>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</si>
  <si>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</si>
  <si>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</si>
  <si>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</si>
  <si>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</si>
  <si>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</si>
  <si>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</si>
  <si>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</si>
  <si>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</si>
  <si>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</si>
  <si>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</si>
  <si>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</si>
  <si>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</si>
  <si>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</si>
  <si>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</si>
  <si>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</si>
  <si>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</si>
  <si>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</si>
  <si>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</si>
  <si>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</si>
  <si>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</si>
  <si>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</si>
  <si>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</si>
  <si>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</si>
  <si>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</si>
  <si>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</si>
  <si>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</si>
  <si>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</si>
  <si>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</si>
  <si>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</si>
  <si>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</si>
  <si>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</si>
  <si>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</si>
  <si>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</si>
  <si>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</si>
  <si>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</si>
  <si>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</si>
  <si>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</si>
  <si>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</si>
  <si>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</si>
  <si>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</si>
  <si>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</si>
  <si>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</si>
  <si>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</si>
  <si>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</si>
  <si>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</si>
  <si>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</si>
  <si>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</si>
  <si>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</si>
  <si>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</si>
  <si>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</si>
  <si>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</si>
  <si>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</si>
  <si>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</si>
  <si>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</si>
  <si>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</si>
  <si>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</si>
  <si>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</si>
  <si>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</si>
  <si>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</si>
  <si>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</si>
  <si>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</si>
  <si>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</si>
  <si>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</si>
  <si>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</si>
  <si>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</si>
  <si>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</si>
  <si>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</si>
  <si>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</si>
  <si>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</si>
  <si>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</si>
  <si>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</si>
  <si>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</si>
  <si>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</si>
  <si>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</si>
  <si>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</si>
  <si>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</si>
  <si>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</si>
  <si>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</si>
  <si>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</si>
  <si>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</si>
  <si>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</si>
  <si>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</si>
  <si>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</si>
  <si>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</si>
  <si>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</si>
  <si>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</si>
  <si>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</si>
  <si>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</si>
  <si>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</si>
  <si>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</si>
  <si>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</si>
  <si>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</si>
  <si>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</si>
  <si>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</si>
  <si>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</si>
  <si>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</si>
  <si>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</si>
  <si>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</si>
  <si>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</si>
  <si>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</si>
  <si>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</si>
  <si>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</si>
  <si>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</si>
  <si>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</si>
  <si>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</si>
  <si>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</si>
  <si>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</si>
  <si>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</si>
  <si>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</si>
  <si>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</si>
  <si>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</si>
  <si>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</si>
  <si>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</si>
  <si>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</si>
  <si>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</si>
  <si>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</si>
  <si>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</si>
  <si>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</si>
  <si>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</si>
  <si>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</si>
  <si>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</si>
  <si>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</si>
  <si>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</si>
  <si>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</si>
  <si>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</si>
  <si>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</si>
  <si>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</si>
  <si>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</si>
  <si>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</si>
  <si>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</si>
  <si>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</si>
  <si>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</si>
  <si>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</si>
  <si>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</si>
  <si>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</si>
  <si>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</si>
  <si>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</si>
  <si>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</si>
  <si>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</si>
  <si>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</si>
  <si>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</si>
  <si>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</si>
  <si>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</si>
  <si>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</si>
  <si>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</si>
  <si>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</si>
  <si>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</si>
  <si>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</si>
  <si>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</si>
  <si>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</si>
  <si>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</si>
  <si>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</si>
  <si>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</si>
  <si>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</si>
  <si>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</si>
  <si>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</si>
  <si>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</si>
  <si>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</si>
  <si>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</si>
  <si>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</si>
  <si>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</si>
  <si>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</si>
  <si>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</si>
  <si>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</si>
  <si>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</si>
  <si>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</si>
  <si>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</si>
  <si>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</si>
  <si>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</si>
  <si>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</si>
  <si>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</si>
  <si>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</si>
  <si>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</si>
  <si>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</si>
  <si>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</si>
  <si>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</si>
  <si>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</si>
  <si>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</si>
  <si>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</si>
  <si>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</si>
  <si>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</si>
  <si>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</si>
  <si>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</si>
  <si>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</si>
  <si>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</si>
  <si>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</si>
  <si>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</si>
  <si>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</si>
  <si>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</si>
  <si>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</si>
  <si>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</si>
  <si>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</si>
  <si>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</si>
  <si>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</si>
  <si>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</si>
  <si>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</si>
  <si>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</si>
  <si>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</si>
  <si>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</si>
  <si>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</si>
  <si>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</si>
  <si>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</si>
  <si>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</si>
  <si>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</si>
  <si>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</si>
  <si>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</si>
  <si>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</si>
  <si>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</si>
  <si>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</si>
  <si>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</si>
  <si>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</si>
  <si>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</si>
  <si>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</si>
  <si>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</si>
  <si>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</si>
  <si>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</si>
  <si>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</si>
  <si>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</si>
  <si>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</si>
  <si>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</si>
  <si>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</si>
  <si>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</si>
  <si>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</si>
  <si>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</si>
  <si>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</si>
  <si>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</si>
  <si>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</si>
  <si>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</si>
  <si>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</si>
  <si>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</si>
  <si>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</si>
  <si>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</si>
  <si>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</si>
  <si>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</si>
  <si>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</si>
  <si>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</si>
  <si>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</si>
  <si>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</si>
  <si>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</si>
  <si>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</si>
  <si>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</si>
  <si>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</si>
  <si>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</si>
  <si>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</si>
  <si>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</si>
  <si>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</si>
  <si>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</si>
  <si>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</si>
  <si>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</si>
  <si>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</si>
  <si>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</si>
  <si>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</si>
  <si>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</si>
  <si>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</si>
  <si>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</si>
  <si>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</si>
  <si>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</si>
  <si>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</si>
  <si>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</si>
  <si>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</si>
  <si>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</si>
  <si>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</si>
  <si>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</si>
  <si>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</si>
  <si>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</si>
  <si>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</si>
  <si>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</si>
  <si>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</si>
  <si>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</si>
  <si>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</si>
  <si>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</si>
  <si>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</si>
  <si>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</si>
  <si>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</si>
  <si>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</si>
  <si>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</si>
  <si>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</si>
  <si>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</si>
  <si>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</si>
  <si>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</si>
  <si>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</si>
  <si>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</si>
  <si>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</si>
  <si>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</si>
  <si>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</si>
  <si>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</si>
  <si>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</si>
  <si>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</si>
  <si>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</si>
  <si>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</si>
  <si>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</si>
  <si>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</si>
  <si>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</si>
  <si>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</si>
  <si>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</si>
  <si>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</si>
  <si>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</si>
  <si>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</si>
  <si>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</si>
  <si>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</si>
  <si>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</si>
  <si>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</si>
  <si>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</si>
  <si>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</si>
  <si>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</si>
  <si>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</si>
  <si>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</si>
  <si>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</si>
  <si>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</si>
  <si>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</si>
  <si>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</si>
  <si>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</si>
  <si>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</si>
  <si>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</si>
  <si>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</si>
  <si>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</si>
  <si>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Battery cell, LFP</t>
  </si>
  <si>
    <t>Battery cell, NCA</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</si>
  <si>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</si>
  <si>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</si>
  <si>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</si>
  <si>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</si>
  <si>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</si>
  <si>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</si>
  <si>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</si>
  <si>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</si>
  <si>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</si>
  <si>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</si>
  <si>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</si>
  <si>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</si>
  <si>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</si>
  <si>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</si>
  <si>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tag</t>
  </si>
  <si>
    <t>Cathode paste, LFP</t>
  </si>
  <si>
    <t>JP</t>
  </si>
  <si>
    <t>Anode paste, LFP</t>
  </si>
  <si>
    <t>Cathode current collector, LFP</t>
  </si>
  <si>
    <t>Anode current collector, LFP</t>
  </si>
  <si>
    <t>Electrolyte, LFP</t>
  </si>
  <si>
    <t>Separator, LFP</t>
  </si>
  <si>
    <t>see harmonization of inventory data</t>
  </si>
  <si>
    <t>cd43a53888087471aaaa7862487aea87</t>
  </si>
  <si>
    <t>LFP battery import</t>
  </si>
  <si>
    <t>2f7b465d9c8e58470b30f53ab10d3e97</t>
  </si>
  <si>
    <t>aluminium production, primary, ingot</t>
  </si>
  <si>
    <t>IAI Area, Asia, without China and GCC</t>
  </si>
  <si>
    <t>aluminium, primary, ingot</t>
  </si>
  <si>
    <t>4a442e5e012603353eb459295f21d236</t>
  </si>
  <si>
    <t>Lithium iron phosphate [LiFePO4]</t>
  </si>
  <si>
    <t>eea5ca91a0bce6b0dac8515bf6d185ec</t>
  </si>
  <si>
    <t>60314574c3440bbb801684d85b853c1e</t>
  </si>
  <si>
    <t>market for extrusion, plastic film</t>
  </si>
  <si>
    <t>extrusion, plastic film</t>
  </si>
  <si>
    <t>market for polyethylene, low density, granulate</t>
  </si>
  <si>
    <t>polyethylene, low density, granulate</t>
  </si>
  <si>
    <t>6535d95f41fd1cb0e5310eae8dee57e7</t>
  </si>
  <si>
    <t>ec60d59e16b2f22596f852e9f1761c55</t>
  </si>
  <si>
    <t>Iron, ion</t>
  </si>
  <si>
    <t>Lithium, ion</t>
  </si>
  <si>
    <t>Phosphate</t>
  </si>
  <si>
    <t>market for heat, from steam, in chemical industry</t>
  </si>
  <si>
    <t>heat, from steam, in chemical industry</t>
  </si>
  <si>
    <t>market for iron sulfate</t>
  </si>
  <si>
    <t>iron sulfate</t>
  </si>
  <si>
    <t>market for phosphoric acid, industrial grade, without water, in 85% solution state</t>
  </si>
  <si>
    <t>phosphoric acid, industrial grade, without water, in 85% solution state</t>
  </si>
  <si>
    <t>Cathode paste, NCA</t>
  </si>
  <si>
    <t>Anode paste, NCA</t>
  </si>
  <si>
    <t>Cathode current collector, NCA</t>
  </si>
  <si>
    <t>Anode current collector, NCA</t>
  </si>
  <si>
    <t>Electrolyte, NCA</t>
  </si>
  <si>
    <t>Separator, NCA</t>
  </si>
  <si>
    <t>cf00be228d92d631ad408b47f60d08d0</t>
  </si>
  <si>
    <t>anode production, graphite, for lithium-ion battery</t>
  </si>
  <si>
    <t>fa30b656646b0585a2f6c11d5cdd05fe</t>
  </si>
  <si>
    <t>NCA electrode material (LiNi0.8Co0.15Al0.05O2)</t>
  </si>
  <si>
    <t>92b0a3a6100b9c43e0fb938faad2a6fb</t>
  </si>
  <si>
    <t>bdf31b0685b4e48931d1ab8e6089e1e8</t>
  </si>
  <si>
    <t>6ce68df8cb2c1b2aa8dadbeb6442446a</t>
  </si>
  <si>
    <t>1abcd4aca7bbc5afaa3f169b21adf1b2</t>
  </si>
  <si>
    <t>air::urban air close to ground</t>
  </si>
  <si>
    <t>aluminium hydroxide production</t>
  </si>
  <si>
    <t>CN</t>
  </si>
  <si>
    <t>aluminium hydroxide</t>
  </si>
  <si>
    <t>cobalt production</t>
  </si>
  <si>
    <t>heat production, natural gas, at industrial furnace low-NOx &gt;100kW</t>
  </si>
  <si>
    <t>hydrogen peroxide production, product in 50% solution state</t>
  </si>
  <si>
    <t>hydrogen peroxide, without water, in 50% solution state</t>
  </si>
  <si>
    <t>lithium hydroxide production</t>
  </si>
  <si>
    <t>market for sodium hydroxide, without water, in 50% solution state</t>
  </si>
  <si>
    <t>sodium hydroxide, without water, in 50% solution state</t>
  </si>
  <si>
    <t>nickel mine operation and benefication to nickel concentrate, 7% Ni</t>
  </si>
  <si>
    <t>nickel concentrate, 7% Ni</t>
  </si>
  <si>
    <t>nitric acid production, product in 50% solution state</t>
  </si>
  <si>
    <t>RER w/o RU</t>
  </si>
  <si>
    <t>nitric acid, without water, in 50% solution state</t>
  </si>
  <si>
    <t>treatment of wastewater, average, capacity 1E9l/year</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</si>
  <si>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</si>
  <si>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</si>
  <si>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</si>
  <si>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</si>
  <si>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</si>
  <si>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</si>
  <si>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</si>
  <si>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</si>
  <si>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</si>
  <si>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</si>
  <si>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</si>
  <si>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</si>
  <si>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</si>
  <si>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</si>
  <si>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</si>
  <si>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</si>
  <si>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</si>
  <si>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</si>
  <si>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</si>
  <si>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</si>
  <si>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</si>
  <si>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</si>
  <si>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</si>
  <si>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</si>
  <si>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Motorbike, gasoline, 2020 fleet average</t>
  </si>
  <si>
    <t>transport, Bicycle, conventional, urban, 2020/CH U</t>
  </si>
  <si>
    <t>transport, Kick Scooter, electric, &lt;1kW, NCA battery, 2020/CH U</t>
  </si>
  <si>
    <t>transport, Kick Scooter, electric, &lt;1kW, LFP battery, 2020/CH U</t>
  </si>
  <si>
    <t>Impact category</t>
  </si>
  <si>
    <t>IPCC GWP 100a</t>
  </si>
  <si>
    <t>Ecological scarcity 2013</t>
  </si>
  <si>
    <t>Unit</t>
  </si>
  <si>
    <t>kg CO2 eq</t>
  </si>
  <si>
    <t>UBP Pt</t>
  </si>
  <si>
    <t>transport, Bicycle, electric (&lt;25 km/h), LFP battery, 2020, label-certified electricity/CH U</t>
  </si>
  <si>
    <t>transport, Bicycle, electric (&lt;25 km/h), LFP battery, 2020/CH U</t>
  </si>
  <si>
    <t>transport, Bicycle, electric (&lt;25 km/h), NCA battery, 2020, label-certified electricity/CH U</t>
  </si>
  <si>
    <t>transport, Bicycle, electric (&lt;25 km/h), NCA battery, 2020/CH U</t>
  </si>
  <si>
    <t>transport, Bicycle, electric (&lt;25 km/h), NMC battery, 2020, label-certified electricity/CH U</t>
  </si>
  <si>
    <t>transport, Bicycle, electric (&lt;25 km/h), NMC battery, 2020/CH U</t>
  </si>
  <si>
    <t>transport, Bicycle, electric (&lt;45 km/h), LFP battery, 2020, label-certified electricity/CH U</t>
  </si>
  <si>
    <t>transport, Bicycle, electric (&lt;45 km/h), LFP battery, 2020/CH U</t>
  </si>
  <si>
    <t>transport, Bicycle, electric (&lt;45 km/h), NCA battery, 2020, label-certified electricity/CH U</t>
  </si>
  <si>
    <t>transport, Bicycle, electric (&lt;45 km/h), NCA battery, 2020/CH U</t>
  </si>
  <si>
    <t>transport, Bicycle, electric (&lt;45 km/h), NMC battery, 2020, label-certified electricity/CH U</t>
  </si>
  <si>
    <t>transport, Bicycle, electric (&lt;45 km/h), NMC battery, 2020/CH U</t>
  </si>
  <si>
    <t>transport, Bicycle, electric, cargo bike, LFP battery, 2020, label-certified electricity/CH U</t>
  </si>
  <si>
    <t>transport, Bicycle, electric, cargo bike, LFP battery, 2020/CH U</t>
  </si>
  <si>
    <t>transport, Bicycle, electric, cargo bike, NCA battery, 2020, label-certified electricity/CH U</t>
  </si>
  <si>
    <t>transport, Bicycle, electric, cargo bike, NCA battery, 2020/CH U</t>
  </si>
  <si>
    <t>transport, Bicycle, electric, cargo bike, NMC battery, 2020, label-certified electricity/CH U</t>
  </si>
  <si>
    <t>transport, Bicycle, electric, cargo bike, NMC battery, 2020/CH U</t>
  </si>
  <si>
    <t>transport, Moped, gasoline, &lt;4kW, EURO-3, 2006/CH U</t>
  </si>
  <si>
    <t>transport, Moped, gasoline, &lt;4kW, EURO-4, 2016/CH U</t>
  </si>
  <si>
    <t>transport, Moped, gasoline, &lt;4kW, EURO-5, 2020/CH U</t>
  </si>
  <si>
    <t>transport, Motorbike, electric, &lt;4kW, LFP battery, 2020, label-certified electricity/CH U</t>
  </si>
  <si>
    <t>transport, Motorbike, electric, &lt;4kW, LFP battery, 2020/CH U</t>
  </si>
  <si>
    <t>transport, Motorbike, electric, &lt;4kW, NCA battery, 2020, label-certified electricity/CH U</t>
  </si>
  <si>
    <t>transport, Motorbike, electric, &lt;4kW, NCA battery, 2020/CH U</t>
  </si>
  <si>
    <t>transport, Motorbike, electric, &lt;4kW, NMC battery, 2020, label-certified electricity/CH U</t>
  </si>
  <si>
    <t>transport, Motorbike, electric, &lt;4kW, NMC battery, 2020/CH U</t>
  </si>
  <si>
    <t>transport, Motorbike, electric, &gt;35kW, LFP battery, 2020, label-certified electricity/CH U</t>
  </si>
  <si>
    <t>transport, Motorbike, electric, &gt;35kW, LFP battery, 2020/CH U</t>
  </si>
  <si>
    <t>transport, Motorbike, electric, &gt;35kW, NCA battery, 2020, label-certified electricity/CH U</t>
  </si>
  <si>
    <t>transport, Motorbike, electric, &gt;35kW, NCA battery, 2020/CH U</t>
  </si>
  <si>
    <t>transport, Motorbike, electric, &gt;35kW, NMC battery, 2020, label-certified electricity/CH U</t>
  </si>
  <si>
    <t>transport, Motorbike, electric, &gt;35kW, NMC battery, 2020/CH U</t>
  </si>
  <si>
    <t>transport, Motorbike, electric, 11-35kW, LFP battery, 2020, label-certified electricity/CH U</t>
  </si>
  <si>
    <t>transport, Motorbike, electric, 11-35kW, LFP battery, 2020/CH U</t>
  </si>
  <si>
    <t>transport, Motorbike, electric, 11-35kW, NMC battery, 2020, label-certified electricity/CH U</t>
  </si>
  <si>
    <t>transport, Motorbike, electric, 11-35kW, NMC battery, 2020/CH U</t>
  </si>
  <si>
    <t>transport, Motorbike, electric, 4-11kW, LFP battery, 2020, label-certified electricity/CH U</t>
  </si>
  <si>
    <t>transport, Motorbike, electric, 4-11kW, LFP battery, 2020/CH U</t>
  </si>
  <si>
    <t>transport, Motorbike, electric, 4-11kW, NCA battery, 2020, label-certified electricity/CH U</t>
  </si>
  <si>
    <t>transport, Motorbike, electric, 4-11kW, NCA battery, 2020/CH U</t>
  </si>
  <si>
    <t>transport, Motorbike, electric, 4-11kW, NMC battery, 2020/CH U</t>
  </si>
  <si>
    <t>transport, Motorbike, electric, 4-11kW, NMC battery, 2030, label-certified electricity/CH U</t>
  </si>
  <si>
    <t>transport, Motorbike, gasoline, &gt;35kW, EURO-3, 2006/CH U</t>
  </si>
  <si>
    <t>transport, Motorbike, gasoline, &gt;35kW, EURO-4, 2016/CH U</t>
  </si>
  <si>
    <t>transport, Motorbike, gasoline, &gt;35kW, EURO-5, 2020/CH U</t>
  </si>
  <si>
    <t>transport, Motorbike, gasoline, 11-35kW, EURO-3, 2006/CH U</t>
  </si>
  <si>
    <t>transport, Motorbike, gasoline, 11-35kW, EURO-4, 2016/CH U</t>
  </si>
  <si>
    <t>transport, Motorbike, gasoline, 11-35kW, EURO-5, 2020/CH U</t>
  </si>
  <si>
    <t>transport, Motorbike, gasoline, 4-11kW, EURO-3, 2006/CH U</t>
  </si>
  <si>
    <t>transport, Motorbike, gasoline, 4-11kW, EURO-4, 2016/CH U</t>
  </si>
  <si>
    <t>transport, Motorbike, gasoline, 4-11kW, EURO-5, 2020/CH U</t>
  </si>
  <si>
    <t>transport, Scooter, electric, &lt;4kW, LFP battery, 2020, label-certified electricity/CH U</t>
  </si>
  <si>
    <t>transport, Scooter, electric, &lt;4kW, LFP battery, 2020/CH U</t>
  </si>
  <si>
    <t>transport, Scooter, electric, &lt;4kW, NCA battery, 2020, label-certified electricity/CH U</t>
  </si>
  <si>
    <t>transport, Scooter, electric, &lt;4kW, NCA battery, 2020/CH U</t>
  </si>
  <si>
    <t>transport, Scooter, electric, &lt;4kW, NMC battery, 2020, label-certified electricity/CH U</t>
  </si>
  <si>
    <t>transport, Scooter, electric, &lt;4kW, NMC battery, 2020/CH U</t>
  </si>
  <si>
    <t>transport, Scooter, electric, 4-11kW, LFP battery, 2020, label-certified electricity/CH U</t>
  </si>
  <si>
    <t>transport, Scooter, electric, 4-11kW, LFP battery, 2020/CH U</t>
  </si>
  <si>
    <t>transport, Scooter, electric, 4-11kW, NCA battery, 2020, label-certified electricity/CH U</t>
  </si>
  <si>
    <t>transport, Scooter, electric, 4-11kW, NCA battery, 2020/CH U</t>
  </si>
  <si>
    <t>transport, Scooter, electric, 4-11kW, NMC battery, 2020, label-certified electricity/CH U</t>
  </si>
  <si>
    <t>transport, Scooter, electric, 4-11kW, NMC battery, 2020/CH U</t>
  </si>
  <si>
    <t>transport, Scooter, gasoline, &lt;4kW, EURO-3, 2006/CH U</t>
  </si>
  <si>
    <t>transport, Scooter, gasoline, &lt;4kW, EURO-4, 2016/CH U</t>
  </si>
  <si>
    <t>transport, Scooter, gasoline, &lt;4kW, EURO-5, 2020/CH U</t>
  </si>
  <si>
    <t>transport, Scooter, gasoline, 4-11kW, EURO-3, 2006/CH U</t>
  </si>
  <si>
    <t>transport, Scooter, gasoline, 4-11kW, EURO-4, 2016/CH U</t>
  </si>
  <si>
    <t>transport, Scooter, gasoline, 4-11kW, EURO-5, 2020/CH U</t>
  </si>
  <si>
    <t>transport, Kick Scooter, electric, &lt;1kW, NMC battery, 2020/CH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</si>
  <si>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</si>
  <si>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</si>
  <si>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</si>
  <si>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</si>
  <si>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</si>
  <si>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</si>
  <si>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</si>
  <si>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</si>
  <si>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</si>
  <si>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</si>
  <si>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</si>
  <si>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</si>
  <si>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</si>
  <si>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</si>
  <si>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</si>
  <si>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</si>
  <si>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</si>
  <si>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</si>
  <si>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</si>
  <si>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</si>
  <si>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</si>
  <si>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</si>
  <si>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</si>
  <si>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</si>
  <si>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</si>
  <si>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</si>
  <si>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</si>
  <si>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</si>
  <si>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</si>
  <si>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</si>
  <si>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</si>
  <si>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</si>
  <si>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</si>
  <si>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</si>
  <si>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</si>
  <si>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</si>
  <si>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</si>
  <si>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</si>
  <si>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</si>
  <si>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</si>
  <si>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</si>
  <si>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</si>
  <si>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</si>
  <si>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</si>
  <si>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</si>
  <si>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</si>
  <si>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</si>
  <si>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</si>
  <si>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</si>
  <si>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</si>
  <si>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</si>
  <si>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</si>
  <si>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</si>
  <si>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</si>
  <si>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</si>
  <si>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</si>
  <si>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</si>
  <si>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</si>
  <si>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</si>
  <si>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</si>
  <si>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</si>
  <si>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</si>
  <si>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</si>
  <si>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</si>
  <si>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</si>
  <si>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</si>
  <si>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</si>
  <si>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</si>
  <si>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</si>
  <si>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</si>
  <si>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</si>
  <si>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</si>
  <si>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</si>
  <si>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</si>
  <si>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</si>
  <si>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</si>
  <si>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</si>
  <si>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</si>
  <si>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</si>
  <si>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</si>
  <si>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</si>
  <si>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</si>
  <si>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</si>
  <si>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</si>
  <si>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</si>
  <si>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</si>
  <si>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</si>
  <si>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</si>
  <si>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</si>
  <si>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</si>
  <si>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</si>
  <si>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</si>
  <si>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</si>
  <si>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</si>
  <si>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</si>
  <si>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</si>
  <si>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</si>
  <si>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</si>
  <si>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</si>
  <si>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</si>
  <si>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</si>
  <si>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</si>
  <si>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</si>
  <si>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</si>
  <si>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</si>
  <si>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</si>
  <si>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</si>
  <si>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</si>
  <si>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</si>
  <si>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</si>
  <si>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</si>
  <si>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</si>
  <si>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</si>
  <si>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</si>
  <si>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</si>
  <si>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</si>
  <si>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</si>
  <si>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</si>
  <si>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</si>
  <si>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</si>
  <si>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</si>
  <si>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</si>
  <si>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</si>
  <si>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</si>
  <si>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</si>
  <si>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</si>
  <si>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</si>
  <si>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</si>
  <si>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</si>
  <si>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</si>
  <si>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</si>
  <si>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</si>
  <si>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</si>
  <si>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</si>
  <si>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</si>
  <si>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</si>
  <si>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</si>
  <si>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</si>
  <si>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</si>
  <si>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</si>
  <si>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</si>
  <si>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2020/CH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</si>
  <si>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</si>
  <si>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</si>
  <si>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</si>
  <si>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</si>
  <si>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</si>
  <si>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</si>
  <si>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</si>
  <si>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</si>
  <si>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</si>
  <si>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2020,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</si>
  <si>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</si>
  <si>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</si>
  <si>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</si>
  <si>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</si>
  <si>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</si>
  <si>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</si>
  <si>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</si>
  <si>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</si>
  <si>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</si>
  <si>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</si>
  <si>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</si>
  <si>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</si>
  <si>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</si>
  <si>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</si>
  <si>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</si>
  <si>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</si>
  <si>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</si>
  <si>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</si>
  <si>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</si>
  <si>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</si>
  <si>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</si>
  <si>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</si>
  <si>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</si>
  <si>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</si>
  <si>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</si>
  <si>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</si>
  <si>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2020,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</si>
  <si>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</si>
  <si>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</si>
  <si>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</si>
  <si>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</si>
  <si>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</si>
  <si>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</si>
  <si>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2020/CH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</si>
  <si>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</si>
  <si>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</si>
  <si>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</si>
  <si>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</si>
  <si>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</si>
  <si>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</si>
  <si>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</si>
  <si>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</si>
  <si>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</si>
  <si>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</si>
  <si>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</si>
  <si>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</si>
  <si>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</si>
  <si>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</si>
  <si>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</si>
  <si>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</si>
  <si>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</si>
  <si>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</si>
  <si>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</si>
  <si>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</si>
  <si>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</si>
  <si>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</si>
  <si>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</si>
  <si>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</si>
  <si>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</si>
  <si>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</si>
  <si>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</si>
  <si>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</si>
  <si>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</si>
  <si>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</si>
  <si>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</si>
  <si>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</si>
  <si>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</si>
  <si>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Ni3/5Co1/5Mn1/5(OH)2</t>
  </si>
  <si>
    <t>This inventory is adapted from Majeau-Bettez 2011 and Ellingsen 2014.
Now updated to represent a 6-2-2 chemistry.</t>
  </si>
  <si>
    <t>"sodium sulfate" does not exist in ecoinvent, therefore sulfate was chosen so far using the emission amount specified by Ellingsen 2014</t>
  </si>
  <si>
    <t>Cathode, NMC-622</t>
  </si>
  <si>
    <t>Positive electrode paste, NMC-622</t>
  </si>
  <si>
    <t>Battery cell, NMC-622</t>
  </si>
  <si>
    <t>Same inventory as NMC-111, but changed the relative contribution of N, M, and C to 622.</t>
  </si>
  <si>
    <t>Positive active material, NMC-622</t>
  </si>
  <si>
    <t>Positive active material = Li(Ni1/3Co1/3Mn1/3)O2, this inventory is adapted from Majeau-Bettez 2011 and Ellingsen 2014. Has been adapted to represent NMC-622.</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</si>
  <si>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</si>
  <si>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</si>
  <si>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cobalt sulfate</t>
  </si>
  <si>
    <t>cobalt sulfate production, from copper mining, economic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</si>
</sst>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
    <numFmt numFmtId="168" formatCode="0.000000000"/>
    <numFmt numFmtId="169" formatCode="0.0E+00"/>
    <numFmt numFmtId="170"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9">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69" fontId="0" fillId="0" borderId="0" xfId="0" applyNumberForma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0" fontId="8" fillId="0" borderId="0" xfId="0" applyFont="1"/>
    <xf numFmtId="170"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0" fillId="0" borderId="0" xfId="0" applyAlignment="1">
      <alignment horizontal="left"/>
    </xf>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503</v>
      </c>
      <c r="B2" s="8" t="s">
        <v>844</v>
      </c>
    </row>
    <row r="3" spans="1:2" x14ac:dyDescent="0.2">
      <c r="A3" t="s">
        <v>504</v>
      </c>
      <c r="B3" t="s">
        <v>603</v>
      </c>
    </row>
    <row r="4" spans="1:2" x14ac:dyDescent="0.2">
      <c r="A4" t="s">
        <v>505</v>
      </c>
      <c r="B4" t="s">
        <v>506</v>
      </c>
    </row>
    <row r="5" spans="1:2" x14ac:dyDescent="0.2">
      <c r="A5" t="s">
        <v>537</v>
      </c>
      <c r="B5" s="15">
        <v>44502</v>
      </c>
    </row>
    <row r="7" spans="1:2" x14ac:dyDescent="0.2">
      <c r="A7" t="s">
        <v>507</v>
      </c>
    </row>
    <row r="8" spans="1:2" x14ac:dyDescent="0.2">
      <c r="A8" t="s">
        <v>536</v>
      </c>
    </row>
    <row r="9" spans="1:2" x14ac:dyDescent="0.2">
      <c r="A9" t="s">
        <v>508</v>
      </c>
    </row>
    <row r="10" spans="1:2" x14ac:dyDescent="0.2">
      <c r="A10" t="s">
        <v>538</v>
      </c>
    </row>
    <row r="11" spans="1:2" x14ac:dyDescent="0.2">
      <c r="A11" t="s">
        <v>606</v>
      </c>
    </row>
    <row r="12" spans="1:2" x14ac:dyDescent="0.2">
      <c r="A12" t="s">
        <v>607</v>
      </c>
    </row>
    <row r="13" spans="1:2" x14ac:dyDescent="0.2">
      <c r="A13" t="s">
        <v>539</v>
      </c>
    </row>
    <row r="14" spans="1:2" x14ac:dyDescent="0.2">
      <c r="A14" t="s">
        <v>540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7"/>
  <sheetViews>
    <sheetView topLeftCell="A170" workbookViewId="0">
      <selection activeCell="C331" sqref="C331"/>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tr">
        <f>B3&amp;", "&amp;B18&amp;" battery, "&amp;B5</f>
        <v>Kick Scooter, electric, &lt;1kW, LFP battery, 2020</v>
      </c>
    </row>
    <row r="2" spans="1:2" x14ac:dyDescent="0.2">
      <c r="A2" t="s">
        <v>72</v>
      </c>
      <c r="B2" t="s">
        <v>37</v>
      </c>
    </row>
    <row r="3" spans="1:2" x14ac:dyDescent="0.2">
      <c r="A3" t="s">
        <v>86</v>
      </c>
      <c r="B3" t="s">
        <v>618</v>
      </c>
    </row>
    <row r="4" spans="1:2" x14ac:dyDescent="0.2">
      <c r="A4" t="s">
        <v>87</v>
      </c>
    </row>
    <row r="5" spans="1:2" x14ac:dyDescent="0.2">
      <c r="A5" t="s">
        <v>88</v>
      </c>
      <c r="B5">
        <v>2020</v>
      </c>
    </row>
    <row r="6" spans="1:2" x14ac:dyDescent="0.2">
      <c r="A6" t="s">
        <v>126</v>
      </c>
      <c r="B6" t="str">
        <f>B3&amp;" - "&amp;B5&amp;" - "&amp;B18&amp;" - "&amp;B2</f>
        <v>Kick Scooter, electric, &lt;1kW - 2020 - LFP - CH</v>
      </c>
    </row>
    <row r="7" spans="1:2" x14ac:dyDescent="0.2">
      <c r="A7" t="s">
        <v>73</v>
      </c>
      <c r="B7" t="str">
        <f>B3</f>
        <v>Kick Scooter, electric, &lt;1kW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specifications'!$B$3:$CW$166,MATCH('lci-kick scooter - LFP'!B6,'vehicles specifications'!$A$3:$A$166,0),MATCH("Lifetime [km]",'vehicles specifications'!$B$2:$CW$2,0))</f>
        <v>1785</v>
      </c>
    </row>
    <row r="12" spans="1:2" x14ac:dyDescent="0.2">
      <c r="A12" t="s">
        <v>128</v>
      </c>
      <c r="B12">
        <f>INDEX('vehicles specifications'!$B$3:$CW$166,MATCH('lci-kick scooter - LFP'!B6,'vehicles specifications'!$A$3:$A$166,0),MATCH("Passengers [unit]",'vehicles specifications'!$B$2:$CW$2,0))</f>
        <v>1</v>
      </c>
    </row>
    <row r="13" spans="1:2" x14ac:dyDescent="0.2">
      <c r="A13" t="s">
        <v>129</v>
      </c>
      <c r="B13">
        <f>INDEX('vehicles specifications'!$B$3:$CW$166,MATCH('lci-kick scooter - LFP'!B6,'vehicles specifications'!$A$3:$A$166,0),MATCH("Servicing [unit]",'vehicles specifications'!$B$2:$CW$2,0))</f>
        <v>0</v>
      </c>
    </row>
    <row r="14" spans="1:2" x14ac:dyDescent="0.2">
      <c r="A14" t="s">
        <v>130</v>
      </c>
      <c r="B14">
        <f>INDEX('vehicles specifications'!$B$3:$CW$166,MATCH('lci-kick scooter - LFP'!B6,'vehicles specifications'!$A$3:$A$166,0),MATCH("Energy battery replacement [unit]",'vehicles specifications'!$B$2:$CW$2,0))</f>
        <v>0</v>
      </c>
    </row>
    <row r="15" spans="1:2" x14ac:dyDescent="0.2">
      <c r="A15" t="s">
        <v>131</v>
      </c>
      <c r="B15">
        <f>INDEX('vehicles specifications'!$B$3:$CW$166,MATCH('lci-kick scooter - LFP'!B6,'vehicles specifications'!$A$3:$A$166,0),MATCH("Annual kilometers [km]",'vehicles specifications'!$B$2:$CW$2,0))</f>
        <v>890</v>
      </c>
    </row>
    <row r="16" spans="1:2" x14ac:dyDescent="0.2">
      <c r="A16" t="s">
        <v>132</v>
      </c>
      <c r="B16">
        <f>INDEX('vehicles specifications'!$B$3:$CW$166,MATCH('lci-kick scooter - LFP'!B6,'vehicles specifications'!$A$3:$A$166,0),MATCH("Curb mass [kg]",'vehicles specifications'!$B$2:$CW$2,0))</f>
        <v>12</v>
      </c>
    </row>
    <row r="17" spans="1:8" x14ac:dyDescent="0.2">
      <c r="A17" t="s">
        <v>133</v>
      </c>
      <c r="B17">
        <f>INDEX('vehicles specifications'!$B$3:$CW$166,MATCH('lci-kick scooter - LFP'!B6,'vehicles specifications'!$A$3:$A$166,0),MATCH("Power [kW]",'vehicles specifications'!$B$2:$CW$2,0))</f>
        <v>0.25</v>
      </c>
    </row>
    <row r="18" spans="1:8" x14ac:dyDescent="0.2">
      <c r="A18" t="s">
        <v>652</v>
      </c>
      <c r="B18" s="20" t="s">
        <v>44</v>
      </c>
    </row>
    <row r="19" spans="1:8" x14ac:dyDescent="0.2">
      <c r="A19" t="s">
        <v>134</v>
      </c>
      <c r="B19">
        <f>INDEX('vehicles specifications'!$B$3:$CW$166,MATCH('lci-kick scooter - LFP'!B6,'vehicles specifications'!$A$3:$A$166,0),MATCH("Energy battery mass [kg]",'vehicles specifications'!$B$2:$CW$2,0))</f>
        <v>2</v>
      </c>
    </row>
    <row r="20" spans="1:8" x14ac:dyDescent="0.2">
      <c r="A20" t="s">
        <v>135</v>
      </c>
      <c r="B20">
        <f>INDEX('vehicles specifications'!$B$3:$CW$166,MATCH('lci-kick scooter - LFP'!B6,'vehicles specifications'!$A$3:$A$166,0),MATCH("Electric energy stored [kWh]",'vehicles specifications'!$B$2:$CW$2,0))</f>
        <v>0.25</v>
      </c>
    </row>
    <row r="21" spans="1:8" x14ac:dyDescent="0.2">
      <c r="A21" t="s">
        <v>588</v>
      </c>
      <c r="B21">
        <f>INDEX('vehicles specifications'!$B$3:$CW$166,MATCH('lci-kick scooter - LFP'!B6,'vehicles specifications'!$A$3:$A$166,0),MATCH("Electric energy available [kWh]",'vehicles specifications'!$B$2:$CW$2,0))</f>
        <v>0.2</v>
      </c>
    </row>
    <row r="22" spans="1:8" x14ac:dyDescent="0.2">
      <c r="A22" t="s">
        <v>138</v>
      </c>
      <c r="B22">
        <f>INDEX('vehicles specifications'!$B$3:$CW$166,MATCH('lci-kick scooter - LFP'!B6,'vehicles specifications'!$A$3:$A$166,0),MATCH("Oxydation energy stored [kWh]",'vehicles specifications'!$B$2:$CW$2,0))</f>
        <v>0</v>
      </c>
    </row>
    <row r="23" spans="1:8" x14ac:dyDescent="0.2">
      <c r="A23" t="s">
        <v>139</v>
      </c>
      <c r="B23">
        <f>INDEX('vehicles specifications'!$B$3:$CW$166,MATCH('lci-kick scooter - LFP'!B6,'vehicles specifications'!$A$3:$A$166,0),MATCH("Fuel mass [kg]",'vehicles specifications'!$B$2:$CW$2,0))</f>
        <v>0</v>
      </c>
    </row>
    <row r="24" spans="1:8" x14ac:dyDescent="0.2">
      <c r="A24" t="s">
        <v>136</v>
      </c>
      <c r="B24">
        <f>INDEX('vehicles specifications'!$B$3:$CW$166,MATCH('lci-kick scooter - LFP'!B6,'vehicles specifications'!$A$3:$A$166,0),MATCH("Range [km]",'vehicles specifications'!$B$2:$CW$2,0))</f>
        <v>8.3598130841121492</v>
      </c>
    </row>
    <row r="25" spans="1:8" x14ac:dyDescent="0.2">
      <c r="A25" t="s">
        <v>137</v>
      </c>
      <c r="B25" t="str">
        <f>INDEX('vehicles specifications'!$B$3:$CW$166,MATCH('lci-kick scooter - LFP'!B6,'vehicles specifications'!$A$3:$A$166,0),MATCH("Emission standard",'vehicles specifications'!$B$2:$CW$2,0))</f>
        <v>None</v>
      </c>
    </row>
    <row r="26" spans="1:8" x14ac:dyDescent="0.2">
      <c r="A26" t="s">
        <v>1174</v>
      </c>
      <c r="B26" s="6">
        <f>INDEX('vehicles specifications'!$B$3:$CW$166,MATCH('lci-kick scooter - LFP'!B6,'vehicles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LFP'!B10</f>
        <v>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Kick Scooter, electric, &lt;1kW, LFP battery, 2020</v>
      </c>
      <c r="B33">
        <v>1</v>
      </c>
      <c r="C33" t="str">
        <f>B2</f>
        <v>CH</v>
      </c>
      <c r="D33" t="str">
        <f>B9</f>
        <v>unit</v>
      </c>
      <c r="F33" t="s">
        <v>84</v>
      </c>
      <c r="G33" t="s">
        <v>85</v>
      </c>
      <c r="H33" t="str">
        <f>B7</f>
        <v>Kick Scooter, electric, &lt;1kW</v>
      </c>
    </row>
    <row r="34" spans="1:8" x14ac:dyDescent="0.2">
      <c r="A34" t="str">
        <f>INDEX('ei names mapping'!$B$4:$R$33,MATCH('lci-kick scooter - LFP'!$B$3,'ei names mapping'!$A$4:$A$33,0),MATCH('lci-kick scooter - LFP'!$G34,'ei names mapping'!$B$3:$R$3,0))</f>
        <v>bicycle production</v>
      </c>
      <c r="B34" s="4">
        <f>INDEX('vehicles specifications'!$B$3:$CW$166,MATCH(B6,'vehicles specifications'!$A$3:$A$166,0),MATCH(G34,'vehicles specifications'!$B$2:$CW$2,0))*INDEX('ei names mapping'!$B$137:$BL$300,MATCH(B6,'ei names mapping'!$A$137:$A$300,0),MATCH(G34,'ei names mapping'!$B$136:$BL$136,0))</f>
        <v>0.41176470588235292</v>
      </c>
      <c r="C34" t="str">
        <f>INDEX('ei names mapping'!$B$38:$R$67,MATCH('lci-kick scooter - LFP'!$B$3,'ei names mapping'!$A$4:$A$33,0),MATCH('lci-kick scooter - LFP'!$G34,'ei names mapping'!$B$3:$R$3,0))</f>
        <v>RER</v>
      </c>
      <c r="D34" t="str">
        <f>INDEX('ei names mapping'!$B$104:$R$133,MATCH('lci-kick scooter - LFP'!$B$3,'ei names mapping'!$A$4:$A$33,0),MATCH('lci-kick scooter - LFP'!$G34,'ei names mapping'!$B$3:$R$3,0))</f>
        <v>unit</v>
      </c>
      <c r="F34" t="s">
        <v>89</v>
      </c>
      <c r="G34" t="s">
        <v>15</v>
      </c>
      <c r="H34" t="str">
        <f>INDEX('ei names mapping'!$B$71:$R$100,MATCH('lci-kick scooter - LFP'!$B$3,'ei names mapping'!$A$4:$A$33,0),MATCH('lci-kick scooter - LFP'!$G34,'ei names mapping'!$B$3:$R$3,0))</f>
        <v>bicycle</v>
      </c>
    </row>
    <row r="35" spans="1:8" x14ac:dyDescent="0.2">
      <c r="A35" t="str">
        <f>INDEX('ei names mapping'!$B$4:$R$33,MATCH('lci-kick scooter - LFP'!$B$3,'ei names mapping'!$A$4:$A$33,0),MATCH('lci-kick scooter - LFP'!$G35,'ei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3</v>
      </c>
      <c r="C35" t="str">
        <f>INDEX('ei names mapping'!$B$38:$R$67,MATCH('lci-kick scooter - LFP'!$B$3,'ei names mapping'!$A$4:$A$33,0),MATCH('lci-kick scooter - LFP'!$G35,'ei names mapping'!$B$3:$R$3,0))</f>
        <v>GLO</v>
      </c>
      <c r="D35" t="str">
        <f>INDEX('ei names mapping'!$B$104:$R$133,MATCH('lci-kick scooter - LFP'!$B$3,'ei names mapping'!$A$4:$A$33,0),MATCH('lci-kick scooter - LFP'!$G35,'ei names mapping'!$B$3:$R$3,0))</f>
        <v>kilogram</v>
      </c>
      <c r="F35" t="s">
        <v>89</v>
      </c>
      <c r="G35" t="s">
        <v>501</v>
      </c>
      <c r="H35" t="str">
        <f>INDEX('ei names mapping'!$B$71:$R$100,MATCH('lci-kick scooter - LFP'!$B$3,'ei names mapping'!$A$4:$A$33,0),MATCH('lci-kick scooter - LFP'!$G35,'ei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mapping'!$A$4:$A$33,0),MATCH(G36,'ei names mapping'!$B$3:$R$3,0))</f>
        <v>kilogram</v>
      </c>
      <c r="F36" t="s">
        <v>89</v>
      </c>
      <c r="G36" t="s">
        <v>14</v>
      </c>
      <c r="H36" t="str">
        <f>INDEX('ei names mapping'!$B$71:$R$100,MATCH(B3,'ei names mapping'!$A$4:$A$33,0),MATCH(G36,'ei names mapping'!$B$3:$R$3,0))</f>
        <v>Glider lightweighting</v>
      </c>
    </row>
    <row r="37" spans="1:8" x14ac:dyDescent="0.2">
      <c r="A37" t="s">
        <v>759</v>
      </c>
      <c r="B37" s="4">
        <f>INDEX('vehicles specifications'!$B$3:$CW$166,MATCH(B6,'vehicles specifications'!$A$3:$A$166,0),MATCH(G37,'vehicles specifications'!$B$2:$CW$2,0))*INDEX('ei names mapping'!$B$137:$BL$300,MATCH(B6,'ei names mapping'!$A$137:$A$300,0),MATCH(G37,'ei names mapping'!$B$136:$BL$136,0))</f>
        <v>1.6666666666666667</v>
      </c>
      <c r="C37" t="str">
        <f>INDEX('ei names mapping'!$B$38:$R$67,MATCH('lci-kick scooter - LFP'!$B$3,'ei names mapping'!$A$4:$A$33,0),MATCH('lci-kick scooter - LFP'!$G37,'ei names mapping'!$B$3:$R$3,0))</f>
        <v>GLO</v>
      </c>
      <c r="D37" t="str">
        <f>INDEX('ei names mapping'!$B$104:$R$133,MATCH('lci-kick scooter - LFP'!$B$3,'ei names mapping'!$A$4:$A$33,0),MATCH('lci-kick scooter - LFP'!$G37,'ei names mapping'!$B$3:$R$3,0))</f>
        <v>kilogram</v>
      </c>
      <c r="F37" t="s">
        <v>89</v>
      </c>
      <c r="G37" t="s">
        <v>19</v>
      </c>
      <c r="H37" t="str">
        <f>INDEX('ei names mapping'!$B$71:$R$100,MATCH('lci-kick scooter - LFP'!$B$3,'ei names mapping'!$A$4:$A$33,0),MATCH('lci-kick scooter - LFP'!$G37,'ei names mapping'!$B$3:$R$3,0))</f>
        <v>Battery cell</v>
      </c>
    </row>
    <row r="38" spans="1:8" x14ac:dyDescent="0.2">
      <c r="A38" t="str">
        <f>INDEX('ei names mapping'!$B$4:$R$33,MATCH('lci-kick scooter - LFP'!$B$3,'ei names mapping'!$A$4:$A$33,0),MATCH('lci-kick scooter - LFP'!$G38,'ei names mapping'!$B$3:$R$3,0))</f>
        <v>Battery BoP</v>
      </c>
      <c r="B38" s="4">
        <f>INDEX('vehicles specifications'!$B$3:$CW$166,MATCH(B6,'vehicles specifications'!$A$3:$A$166,0),MATCH(G38,'vehicles specifications'!$B$2:$CW$2,0))*INDEX('ei names mapping'!$B$137:$BL$300,MATCH(B6,'ei names mapping'!$A$137:$A$300,0),MATCH(G38,'ei names mapping'!$B$136:$BL$136,0))</f>
        <v>0.33333333333333337</v>
      </c>
      <c r="C38" t="str">
        <f>INDEX('ei names mapping'!$B$38:$R$67,MATCH('lci-kick scooter - LFP'!$B$3,'ei names mapping'!$A$4:$A$33,0),MATCH('lci-kick scooter - LFP'!$G38,'ei names mapping'!$B$3:$R$3,0))</f>
        <v>GLO</v>
      </c>
      <c r="D38" t="str">
        <f>INDEX('ei names mapping'!$B$104:$R$133,MATCH('lci-kick scooter - LFP'!$B$3,'ei names mapping'!$A$4:$A$33,0),MATCH('lci-kick scooter - LFP'!$G38,'ei names mapping'!$B$3:$R$3,0))</f>
        <v>kilogram</v>
      </c>
      <c r="F38" t="s">
        <v>89</v>
      </c>
      <c r="G38" t="s">
        <v>20</v>
      </c>
      <c r="H38" t="str">
        <f>INDEX('ei names mapping'!$B$71:$R$100,MATCH('lci-kick scooter - LFP'!$B$3,'ei names mapping'!$A$4:$A$33,0),MATCH('lci-kick scooter - LFP'!$G38,'ei names mapping'!$B$3:$R$3,0))</f>
        <v>Battery BoP</v>
      </c>
    </row>
    <row r="39" spans="1:8" x14ac:dyDescent="0.2">
      <c r="A39" t="str">
        <f>INDEX('ei names mapping'!$B$4:$R$33,MATCH('lci-kick scooter - LFP'!$B$3,'ei names mapping'!$A$4:$A$33,0),MATCH('lci-kick scooter - LFP'!$G39,'ei names mapping'!$B$3:$R$3,0))</f>
        <v>charging station, 100W</v>
      </c>
      <c r="B39" s="4">
        <f>INDEX('vehicles specifications'!$B$3:$CW$166,MATCH(B6,'vehicles specifications'!$A$3:$A$166,0),MATCH(G39,'vehicles specifications'!$B$2:$CW$2,0))*INDEX('ei names mapping'!$B$137:$BL$300,MATCH(B6,'ei names mapping'!$A$137:$A$300,0),MATCH(G39,'ei names mapping'!$B$136:$BL$136,0))</f>
        <v>1</v>
      </c>
      <c r="C39" t="str">
        <f>INDEX('ei names mapping'!$B$38:$R$67,MATCH('lci-kick scooter - LFP'!$B$3,'ei names mapping'!$A$4:$A$33,0),MATCH('lci-kick scooter - LFP'!$G39,'ei names mapping'!$B$3:$R$3,0))</f>
        <v>GLO</v>
      </c>
      <c r="D39" t="str">
        <f>INDEX('ei names mapping'!$B$104:$R$133,MATCH('lci-kick scooter - LFP'!$B$3,'ei names mapping'!$A$4:$A$33,0),MATCH('lci-kick scooter - LFP'!$G39,'ei names mapping'!$B$3:$R$3,0))</f>
        <v>unit</v>
      </c>
      <c r="F39" t="s">
        <v>89</v>
      </c>
      <c r="G39" t="s">
        <v>52</v>
      </c>
      <c r="H39" t="str">
        <f>INDEX('ei names mapping'!$B$71:$R$100,MATCH('lci-kick scooter - LFP'!$B$3,'ei names mapping'!$A$4:$A$33,0),MATCH('lci-kick scooter - LFP'!$G39,'ei names mapping'!$B$3:$R$3,0))</f>
        <v>charging station, 100W</v>
      </c>
    </row>
    <row r="40" spans="1:8" x14ac:dyDescent="0.2">
      <c r="A40" t="str">
        <f>INDEX('ei names mapping'!$B$4:$R$33,MATCH('lci-kick scooter - LFP'!$B$3,'ei names mapping'!$A$4:$A$33,0),MATCH('lci-kick scooter - LFP'!$G40,'ei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-0.125</v>
      </c>
      <c r="C40" t="str">
        <f>INDEX('ei names mapping'!$B$38:$R$67,MATCH('lci-kick scooter - LFP'!$B$3,'ei names mapping'!$A$4:$A$33,0),MATCH('lci-kick scooter - LFP'!$G40,'ei names mapping'!$B$3:$R$3,0))</f>
        <v>CH</v>
      </c>
      <c r="D40" t="str">
        <f>INDEX('ei names mapping'!$B$104:$R$133,MATCH('lci-kick scooter - LFP'!$B$3,'ei names mapping'!$A$4:$A$33,0),MATCH('lci-kick scooter - LFP'!$G40,'ei names mapping'!$B$3:$R$3,0))</f>
        <v>unit</v>
      </c>
      <c r="F40" t="s">
        <v>89</v>
      </c>
      <c r="G40" t="s">
        <v>145</v>
      </c>
      <c r="H40" t="str">
        <f>INDEX('ei names mapping'!$B$71:$R$100,MATCH('lci-kick scooter - LFP'!$B$3,'ei names mapping'!$A$4:$A$33,0),MATCH('lci-kick scooter - LFP'!$G40,'ei names mapping'!$B$3:$R$3,0))</f>
        <v>used electric bicycle</v>
      </c>
    </row>
    <row r="41" spans="1:8" x14ac:dyDescent="0.2">
      <c r="A41" t="str">
        <f>INDEX('ei names mapping'!$B$4:$R$33,MATCH('lci-kick scooter - LFP'!$B$3,'ei names mapping'!$A$4:$A$33,0),MATCH('lci-kick scooter - LFP'!$G41,'ei names mapping'!$B$3:$R$3,0))</f>
        <v>treatment of used bicycle</v>
      </c>
      <c r="B41" s="4">
        <f>INDEX('vehicles specifications'!$B$3:$CW$166,MATCH(B6,'vehicles specifications'!$A$3:$A$166,0),MATCH(G41,'vehicles specifications'!$B$2:$CW$2,0))*INDEX('ei names mapping'!$B$137:$BL$300,MATCH(B6,'ei names mapping'!$A$137:$A$300,0),MATCH(G41,'ei names mapping'!$B$136:$BL$136,0))</f>
        <v>-0.41176470588235292</v>
      </c>
      <c r="C41" t="str">
        <f>INDEX('ei names mapping'!$B$38:$R$67,MATCH('lci-kick scooter - LFP'!$B$3,'ei names mapping'!$A$4:$A$33,0),MATCH('lci-kick scooter - LFP'!$G41,'ei names mapping'!$B$3:$R$3,0))</f>
        <v>CH</v>
      </c>
      <c r="D41" t="str">
        <f>INDEX('ei names mapping'!$B$104:$R$133,MATCH('lci-kick scooter - LFP'!$B$3,'ei names mapping'!$A$4:$A$33,0),MATCH('lci-kick scooter - LFP'!$G41,'ei names mapping'!$B$3:$R$3,0))</f>
        <v>unit</v>
      </c>
      <c r="F41" t="s">
        <v>89</v>
      </c>
      <c r="G41" t="s">
        <v>144</v>
      </c>
      <c r="H41" t="str">
        <f>INDEX('ei names mapping'!$B$71:$R$100,MATCH('lci-kick scooter - LFP'!$B$3,'ei names mapping'!$A$4:$A$33,0),MATCH('lci-kick scooter - LFP'!$G41,'ei names mapping'!$B$3:$R$3,0))</f>
        <v>used bicycle</v>
      </c>
    </row>
    <row r="42" spans="1:8" x14ac:dyDescent="0.2">
      <c r="A42" t="str">
        <f>INDEX('ei names mapping'!$B$4:$R$33,MATCH('lci-kick scooter - LFP'!$B$3,'ei names mapping'!$A$4:$A$33,0),MATCH('lci-kick scooter - LFP'!$G42,'ei names mapping'!$B$3:$R$3,0))</f>
        <v>market for used Li-ion battery</v>
      </c>
      <c r="B42" s="4">
        <f>INDEX('vehicles specifications'!$B$3:$CW$166,MATCH(B6,'vehicles specifications'!$A$3:$A$166,0),MATCH(G42,'vehicles specifications'!$B$2:$CW$2,0))*INDEX('ei names mapping'!$B$137:$BL$300,MATCH(B6,'ei names mapping'!$A$137:$A$300,0),MATCH(G42,'ei names mapping'!$B$136:$BL$136,0))</f>
        <v>-2</v>
      </c>
      <c r="C42" t="str">
        <f>INDEX('ei names mapping'!$B$38:$R$67,MATCH('lci-kick scooter - LFP'!$B$3,'ei names mapping'!$A$4:$A$33,0),MATCH('lci-kick scooter - LFP'!$G42,'ei names mapping'!$B$3:$R$3,0))</f>
        <v>GLO</v>
      </c>
      <c r="D42" t="str">
        <f>INDEX('ei names mapping'!$B$104:$R$133,MATCH('lci-kick scooter - LFP'!$B$3,'ei names mapping'!$A$4:$A$33,0),MATCH('lci-kick scooter - LFP'!$G42,'ei names mapping'!$B$3:$R$3,0))</f>
        <v>kilogram</v>
      </c>
      <c r="F42" t="s">
        <v>89</v>
      </c>
      <c r="G42" t="s">
        <v>146</v>
      </c>
      <c r="H42" t="str">
        <f>INDEX('ei names mapping'!$B$71:$R$100,MATCH('lci-kick scooter - LFP'!$B$3,'ei names mapping'!$A$4:$A$33,0),MATCH('lci-kick scooter - LFP'!$G42,'ei names mapping'!$B$3:$R$3,0))</f>
        <v>used Li-ion battery</v>
      </c>
    </row>
    <row r="43" spans="1:8" x14ac:dyDescent="0.2">
      <c r="A43" s="13" t="s">
        <v>840</v>
      </c>
      <c r="B43">
        <f>(B16/1000)*B29</f>
        <v>12</v>
      </c>
      <c r="C43" t="s">
        <v>92</v>
      </c>
      <c r="D43" t="s">
        <v>233</v>
      </c>
      <c r="F43" t="s">
        <v>89</v>
      </c>
      <c r="H43" s="13" t="s">
        <v>841</v>
      </c>
    </row>
    <row r="44" spans="1:8" x14ac:dyDescent="0.2">
      <c r="A44" s="13" t="s">
        <v>441</v>
      </c>
      <c r="B44" s="2">
        <f>(B16/1000)*B28</f>
        <v>190.8</v>
      </c>
      <c r="C44" t="s">
        <v>95</v>
      </c>
      <c r="D44" t="s">
        <v>233</v>
      </c>
      <c r="F44" t="s">
        <v>89</v>
      </c>
      <c r="H44" s="13" t="s">
        <v>441</v>
      </c>
    </row>
    <row r="46" spans="1:8" ht="16" x14ac:dyDescent="0.2">
      <c r="A46" s="10" t="s">
        <v>71</v>
      </c>
      <c r="B46" s="8" t="str">
        <f>B48&amp;", "&amp;B63&amp;" battery, "&amp;B50</f>
        <v>Kick Scooter, electric, &lt;1kW, LFP battery, 2030</v>
      </c>
    </row>
    <row r="47" spans="1:8" x14ac:dyDescent="0.2">
      <c r="A47" t="s">
        <v>72</v>
      </c>
      <c r="B47" t="s">
        <v>37</v>
      </c>
    </row>
    <row r="48" spans="1:8" x14ac:dyDescent="0.2">
      <c r="A48" t="s">
        <v>86</v>
      </c>
      <c r="B48" t="s">
        <v>618</v>
      </c>
    </row>
    <row r="49" spans="1:2" x14ac:dyDescent="0.2">
      <c r="A49" t="s">
        <v>87</v>
      </c>
    </row>
    <row r="50" spans="1:2" x14ac:dyDescent="0.2">
      <c r="A50" t="s">
        <v>88</v>
      </c>
      <c r="B50">
        <v>2030</v>
      </c>
    </row>
    <row r="51" spans="1:2" x14ac:dyDescent="0.2">
      <c r="A51" t="s">
        <v>126</v>
      </c>
      <c r="B51" t="str">
        <f>B48&amp;" - "&amp;B50&amp;" - "&amp;B63&amp;" - "&amp;B47</f>
        <v>Kick Scooter, electric, &lt;1kW - 2030 - LFP - CH</v>
      </c>
    </row>
    <row r="52" spans="1:2" x14ac:dyDescent="0.2">
      <c r="A52" t="s">
        <v>73</v>
      </c>
      <c r="B52" t="str">
        <f>B48</f>
        <v>Kick Scooter, electric, &lt;1kW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specifications'!$B$3:$CW$166,MATCH('lci-kick scooter - LFP'!B51,'vehicles specifications'!$A$3:$A$166,0),MATCH("Lifetime [km]",'vehicles specifications'!$B$2:$CW$2,0))</f>
        <v>1785</v>
      </c>
    </row>
    <row r="57" spans="1:2" x14ac:dyDescent="0.2">
      <c r="A57" t="s">
        <v>128</v>
      </c>
      <c r="B57">
        <f>INDEX('vehicles specifications'!$B$3:$CW$166,MATCH('lci-kick scooter - LFP'!B51,'vehicles specifications'!$A$3:$A$166,0),MATCH("Passengers [unit]",'vehicles specifications'!$B$2:$CW$2,0))</f>
        <v>1</v>
      </c>
    </row>
    <row r="58" spans="1:2" x14ac:dyDescent="0.2">
      <c r="A58" t="s">
        <v>129</v>
      </c>
      <c r="B58">
        <f>INDEX('vehicles specifications'!$B$3:$CW$166,MATCH('lci-kick scooter - LFP'!B51,'vehicles specifications'!$A$3:$A$166,0),MATCH("Servicing [unit]",'vehicles specifications'!$B$2:$CW$2,0))</f>
        <v>0</v>
      </c>
    </row>
    <row r="59" spans="1:2" x14ac:dyDescent="0.2">
      <c r="A59" t="s">
        <v>130</v>
      </c>
      <c r="B59">
        <f>INDEX('vehicles specifications'!$B$3:$CW$166,MATCH('lci-kick scooter - LFP'!B51,'vehicles specifications'!$A$3:$A$166,0),MATCH("Energy battery replacement [unit]",'vehicles specifications'!$B$2:$CW$2,0))</f>
        <v>0</v>
      </c>
    </row>
    <row r="60" spans="1:2" x14ac:dyDescent="0.2">
      <c r="A60" t="s">
        <v>131</v>
      </c>
      <c r="B60">
        <f>INDEX('vehicles specifications'!$B$3:$CW$166,MATCH('lci-kick scooter - LFP'!B51,'vehicles specifications'!$A$3:$A$166,0),MATCH("Annual kilometers [km]",'vehicles specifications'!$B$2:$CW$2,0))</f>
        <v>890</v>
      </c>
    </row>
    <row r="61" spans="1:2" x14ac:dyDescent="0.2">
      <c r="A61" t="s">
        <v>132</v>
      </c>
      <c r="B61">
        <f>INDEX('vehicles specifications'!$B$3:$CW$166,MATCH('lci-kick scooter - LFP'!B51,'vehicles specifications'!$A$3:$A$166,0),MATCH("Curb mass [kg]",'vehicles specifications'!$B$2:$CW$2,0))</f>
        <v>11.69</v>
      </c>
    </row>
    <row r="62" spans="1:2" x14ac:dyDescent="0.2">
      <c r="A62" t="s">
        <v>133</v>
      </c>
      <c r="B62">
        <f>INDEX('vehicles specifications'!$B$3:$CW$166,MATCH('lci-kick scooter - LFP'!B51,'vehicles specifications'!$A$3:$A$166,0),MATCH("Power [kW]",'vehicles specifications'!$B$2:$CW$2,0))</f>
        <v>0.25</v>
      </c>
    </row>
    <row r="63" spans="1:2" x14ac:dyDescent="0.2">
      <c r="A63" t="s">
        <v>652</v>
      </c>
      <c r="B63" t="s">
        <v>44</v>
      </c>
    </row>
    <row r="64" spans="1:2" x14ac:dyDescent="0.2">
      <c r="A64" t="s">
        <v>134</v>
      </c>
      <c r="B64">
        <f>INDEX('vehicles specifications'!$B$3:$CW$166,MATCH('lci-kick scooter - LFP'!B51,'vehicles specifications'!$A$3:$A$166,0),MATCH("Energy battery mass [kg]",'vehicles specifications'!$B$2:$CW$2,0))</f>
        <v>2</v>
      </c>
    </row>
    <row r="65" spans="1:8" x14ac:dyDescent="0.2">
      <c r="A65" t="s">
        <v>135</v>
      </c>
      <c r="B65">
        <f>INDEX('vehicles specifications'!$B$3:$CW$166,MATCH('lci-kick scooter - LFP'!B51,'vehicles specifications'!$A$3:$A$166,0),MATCH("Electric energy stored [kWh]",'vehicles specifications'!$B$2:$CW$2,0))</f>
        <v>0.3</v>
      </c>
    </row>
    <row r="66" spans="1:8" x14ac:dyDescent="0.2">
      <c r="A66" t="s">
        <v>588</v>
      </c>
      <c r="B66">
        <f>INDEX('vehicles specifications'!$B$3:$CW$166,MATCH('lci-kick scooter - LFP'!B51,'vehicles specifications'!$A$3:$A$166,0),MATCH("Electric energy available [kWh]",'vehicles specifications'!$B$2:$CW$2,0))</f>
        <v>0.24</v>
      </c>
    </row>
    <row r="67" spans="1:8" x14ac:dyDescent="0.2">
      <c r="A67" t="s">
        <v>138</v>
      </c>
      <c r="B67">
        <f>INDEX('vehicles specifications'!$B$3:$CW$166,MATCH('lci-kick scooter - LFP'!B51,'vehicles specifications'!$A$3:$A$166,0),MATCH("Oxydation energy stored [kWh]",'vehicles specifications'!$B$2:$CW$2,0))</f>
        <v>0</v>
      </c>
    </row>
    <row r="68" spans="1:8" x14ac:dyDescent="0.2">
      <c r="A68" t="s">
        <v>139</v>
      </c>
      <c r="B68">
        <f>INDEX('vehicles specifications'!$B$3:$CW$166,MATCH('lci-kick scooter - LFP'!B51,'vehicles specifications'!$A$3:$A$166,0),MATCH("Fuel mass [kg]",'vehicles specifications'!$B$2:$CW$2,0))</f>
        <v>0</v>
      </c>
    </row>
    <row r="69" spans="1:8" x14ac:dyDescent="0.2">
      <c r="A69" t="s">
        <v>136</v>
      </c>
      <c r="B69">
        <f>INDEX('vehicles specifications'!$B$3:$CW$166,MATCH('lci-kick scooter - LFP'!B51,'vehicles specifications'!$A$3:$A$166,0),MATCH("Range [km]",'vehicles specifications'!$B$2:$CW$2,0))</f>
        <v>10.031775700934579</v>
      </c>
    </row>
    <row r="70" spans="1:8" x14ac:dyDescent="0.2">
      <c r="A70" t="s">
        <v>137</v>
      </c>
      <c r="B70" t="str">
        <f>INDEX('vehicles specifications'!$B$3:$CW$166,MATCH('lci-kick scooter - LFP'!B51,'vehicles specifications'!$A$3:$A$166,0),MATCH("Emission standard",'vehicles specifications'!$B$2:$CW$2,0))</f>
        <v>None</v>
      </c>
    </row>
    <row r="71" spans="1:8" x14ac:dyDescent="0.2">
      <c r="A71" t="s">
        <v>1174</v>
      </c>
      <c r="B71" s="6">
        <f>INDEX('vehicles specifications'!$B$3:$CW$166,MATCH('lci-kick scooter - LFP'!B51,'vehicles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LFP'!B55</f>
        <v>Power: 0.25 kW. Lifetime: 1785 km. Annual kilometers: 890 km. Number of passengers: 1. Curb mass: 11.7 kg. Lightweighting of glider: 3%. Emission standard: None. Service visits throughout lifetime: 0. Range: 10 km. Battery capacity: 0.3 kWh. Available battery capacity: 0.24 kWh. Battery mass: 2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Kick Scooter, electric, &lt;1kW, LFP battery, 2030</v>
      </c>
      <c r="B78">
        <v>1</v>
      </c>
      <c r="C78" t="str">
        <f>B47</f>
        <v>CH</v>
      </c>
      <c r="D78" t="str">
        <f>B54</f>
        <v>unit</v>
      </c>
      <c r="F78" t="s">
        <v>84</v>
      </c>
      <c r="G78" t="s">
        <v>85</v>
      </c>
      <c r="H78" t="str">
        <f>B52</f>
        <v>Kick Scooter, electric, &lt;1kW</v>
      </c>
    </row>
    <row r="79" spans="1:8" x14ac:dyDescent="0.2">
      <c r="A79" t="str">
        <f>INDEX('ei names mapping'!$B$4:$R$33,MATCH('lci-kick scooter - LFP'!$B$3,'ei names mapping'!$A$4:$A$33,0),MATCH('lci-kick scooter - LFP'!$G79,'ei names mapping'!$B$3:$R$3,0))</f>
        <v>bicycle production</v>
      </c>
      <c r="B79" s="4">
        <f>INDEX('vehicles specifications'!$B$3:$CW$166,MATCH(B51,'vehicles specifications'!$A$3:$A$166,0),MATCH(G79,'vehicles specifications'!$B$2:$CW$2,0))*INDEX('ei names mapping'!$B$137:$BL$300,MATCH(B51,'ei names mapping'!$A$137:$A$300,0),MATCH(G79,'ei names mapping'!$B$136:$BL$136,0))</f>
        <v>0.41176470588235292</v>
      </c>
      <c r="C79" t="str">
        <f>INDEX('ei names mapping'!$B$38:$R$67,MATCH('lci-kick scooter - LFP'!$B$3,'ei names mapping'!$A$4:$A$33,0),MATCH('lci-kick scooter - LFP'!$G79,'ei names mapping'!$B$3:$R$3,0))</f>
        <v>RER</v>
      </c>
      <c r="D79" t="str">
        <f>INDEX('ei names mapping'!$B$104:$R$133,MATCH('lci-kick scooter - LFP'!$B$3,'ei names mapping'!$A$4:$A$33,0),MATCH('lci-kick scooter - LFP'!$G79,'ei names mapping'!$B$3:$R$3,0))</f>
        <v>unit</v>
      </c>
      <c r="F79" t="s">
        <v>89</v>
      </c>
      <c r="G79" t="s">
        <v>15</v>
      </c>
      <c r="H79" t="str">
        <f>INDEX('ei names mapping'!$B$71:$R$100,MATCH('lci-kick scooter - LFP'!$B$3,'ei names mapping'!$A$4:$A$33,0),MATCH('lci-kick scooter - LFP'!$G79,'ei names mapping'!$B$3:$R$3,0))</f>
        <v>bicycle</v>
      </c>
    </row>
    <row r="80" spans="1:8" x14ac:dyDescent="0.2">
      <c r="A80" t="str">
        <f>INDEX('ei names mapping'!$B$4:$R$33,MATCH('lci-kick scooter - LFP'!$B$3,'ei names mapping'!$A$4:$A$33,0),MATCH('lci-kick scooter - LFP'!$G80,'ei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2.9</v>
      </c>
      <c r="C80" t="str">
        <f>INDEX('ei names mapping'!$B$38:$R$67,MATCH('lci-kick scooter - LFP'!$B$3,'ei names mapping'!$A$4:$A$33,0),MATCH('lci-kick scooter - LFP'!$G80,'ei names mapping'!$B$3:$R$3,0))</f>
        <v>GLO</v>
      </c>
      <c r="D80" t="str">
        <f>INDEX('ei names mapping'!$B$104:$R$133,MATCH('lci-kick scooter - LFP'!$B$3,'ei names mapping'!$A$4:$A$33,0),MATCH('lci-kick scooter - LFP'!$G80,'ei names mapping'!$B$3:$R$3,0))</f>
        <v>kilogram</v>
      </c>
      <c r="F80" t="s">
        <v>89</v>
      </c>
      <c r="G80" t="s">
        <v>501</v>
      </c>
      <c r="H80" t="str">
        <f>INDEX('ei names mapping'!$B$71:$R$100,MATCH('lci-kick scooter - LFP'!$B$3,'ei names mapping'!$A$4:$A$33,0),MATCH('lci-kick scooter - LFP'!$G80,'ei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0.21</v>
      </c>
      <c r="C81" t="str">
        <f>INDEX('ei names mapping'!$B$38:$R$67,MATCH(B48,'ei names mapping'!$A$4:$A$33,0),MATCH(G81,'ei names mapping'!$B$3:$R$3,0))</f>
        <v>GLO</v>
      </c>
      <c r="D81" t="str">
        <f>INDEX('ei names mapping'!$B$104:$R$133,MATCH(B48,'ei names mapping'!$A$4:$A$33,0),MATCH(G81,'ei names mapping'!$B$3:$R$3,0))</f>
        <v>kilogram</v>
      </c>
      <c r="F81" t="s">
        <v>89</v>
      </c>
      <c r="G81" t="s">
        <v>14</v>
      </c>
      <c r="H81" t="str">
        <f>INDEX('ei names mapping'!$B$71:$R$100,MATCH(B48,'ei names mapping'!$A$4:$A$33,0),MATCH(G81,'ei names mapping'!$B$3:$R$3,0))</f>
        <v>Glider lightweighting</v>
      </c>
    </row>
    <row r="82" spans="1:8" x14ac:dyDescent="0.2">
      <c r="A82" t="s">
        <v>759</v>
      </c>
      <c r="B82" s="4">
        <f>INDEX('vehicles specifications'!$B$3:$CW$166,MATCH(B51,'vehicles specifications'!$A$3:$A$166,0),MATCH(G82,'vehicles specifications'!$B$2:$CW$2,0))*INDEX('ei names mapping'!$B$137:$BL$300,MATCH(B51,'ei names mapping'!$A$137:$A$300,0),MATCH(G82,'ei names mapping'!$B$136:$BL$136,0))</f>
        <v>1.6666666666666667</v>
      </c>
      <c r="C82" t="str">
        <f>INDEX('ei names mapping'!$B$38:$R$67,MATCH('lci-kick scooter - LFP'!$B$3,'ei names mapping'!$A$4:$A$33,0),MATCH('lci-kick scooter - LFP'!$G82,'ei names mapping'!$B$3:$R$3,0))</f>
        <v>GLO</v>
      </c>
      <c r="D82" t="str">
        <f>INDEX('ei names mapping'!$B$104:$R$133,MATCH('lci-kick scooter - LFP'!$B$3,'ei names mapping'!$A$4:$A$33,0),MATCH('lci-kick scooter - LFP'!$G82,'ei names mapping'!$B$3:$R$3,0))</f>
        <v>kilogram</v>
      </c>
      <c r="F82" t="s">
        <v>89</v>
      </c>
      <c r="G82" t="s">
        <v>19</v>
      </c>
      <c r="H82" t="str">
        <f>INDEX('ei names mapping'!$B$71:$R$100,MATCH('lci-kick scooter - LFP'!$B$3,'ei names mapping'!$A$4:$A$33,0),MATCH('lci-kick scooter - LFP'!$G82,'ei names mapping'!$B$3:$R$3,0))</f>
        <v>Battery cell</v>
      </c>
    </row>
    <row r="83" spans="1:8" x14ac:dyDescent="0.2">
      <c r="A83" t="str">
        <f>INDEX('ei names mapping'!$B$4:$R$33,MATCH('lci-kick scooter - LFP'!$B$3,'ei names mapping'!$A$4:$A$33,0),MATCH('lci-kick scooter - LFP'!$G83,'ei names mapping'!$B$3:$R$3,0))</f>
        <v>Battery BoP</v>
      </c>
      <c r="B83" s="4">
        <f>INDEX('vehicles specifications'!$B$3:$CW$166,MATCH(B51,'vehicles specifications'!$A$3:$A$166,0),MATCH(G83,'vehicles specifications'!$B$2:$CW$2,0))*INDEX('ei names mapping'!$B$137:$BL$300,MATCH(B51,'ei names mapping'!$A$137:$A$300,0),MATCH(G83,'ei names mapping'!$B$136:$BL$136,0))</f>
        <v>0.33333333333333337</v>
      </c>
      <c r="C83" t="str">
        <f>INDEX('ei names mapping'!$B$38:$R$67,MATCH('lci-kick scooter - LFP'!$B$3,'ei names mapping'!$A$4:$A$33,0),MATCH('lci-kick scooter - LFP'!$G83,'ei names mapping'!$B$3:$R$3,0))</f>
        <v>GLO</v>
      </c>
      <c r="D83" t="str">
        <f>INDEX('ei names mapping'!$B$104:$R$133,MATCH('lci-kick scooter - LFP'!$B$3,'ei names mapping'!$A$4:$A$33,0),MATCH('lci-kick scooter - LFP'!$G83,'ei names mapping'!$B$3:$R$3,0))</f>
        <v>kilogram</v>
      </c>
      <c r="F83" t="s">
        <v>89</v>
      </c>
      <c r="G83" t="s">
        <v>20</v>
      </c>
      <c r="H83" t="str">
        <f>INDEX('ei names mapping'!$B$71:$R$100,MATCH('lci-kick scooter - LFP'!$B$3,'ei names mapping'!$A$4:$A$33,0),MATCH('lci-kick scooter - LFP'!$G83,'ei names mapping'!$B$3:$R$3,0))</f>
        <v>Battery BoP</v>
      </c>
    </row>
    <row r="84" spans="1:8" x14ac:dyDescent="0.2">
      <c r="A84" t="str">
        <f>INDEX('ei names mapping'!$B$4:$R$33,MATCH('lci-kick scooter - LFP'!$B$3,'ei names mapping'!$A$4:$A$33,0),MATCH('lci-kick scooter - LFP'!$G84,'ei names mapping'!$B$3:$R$3,0))</f>
        <v>charging station, 100W</v>
      </c>
      <c r="B84" s="4">
        <f>INDEX('vehicles specifications'!$B$3:$CW$166,MATCH(B51,'vehicles specifications'!$A$3:$A$166,0),MATCH(G84,'vehicles specifications'!$B$2:$CW$2,0))*INDEX('ei names mapping'!$B$137:$BL$300,MATCH(B51,'ei names mapping'!$A$137:$A$300,0),MATCH(G84,'ei names mapping'!$B$136:$BL$136,0))</f>
        <v>1</v>
      </c>
      <c r="C84" t="str">
        <f>INDEX('ei names mapping'!$B$38:$R$67,MATCH('lci-kick scooter - LFP'!$B$3,'ei names mapping'!$A$4:$A$33,0),MATCH('lci-kick scooter - LFP'!$G84,'ei names mapping'!$B$3:$R$3,0))</f>
        <v>GLO</v>
      </c>
      <c r="D84" t="str">
        <f>INDEX('ei names mapping'!$B$104:$R$133,MATCH('lci-kick scooter - LFP'!$B$3,'ei names mapping'!$A$4:$A$33,0),MATCH('lci-kick scooter - LFP'!$G84,'ei names mapping'!$B$3:$R$3,0))</f>
        <v>unit</v>
      </c>
      <c r="F84" t="s">
        <v>89</v>
      </c>
      <c r="G84" t="s">
        <v>52</v>
      </c>
      <c r="H84" t="str">
        <f>INDEX('ei names mapping'!$B$71:$R$100,MATCH('lci-kick scooter - LFP'!$B$3,'ei names mapping'!$A$4:$A$33,0),MATCH('lci-kick scooter - LFP'!$G84,'ei names mapping'!$B$3:$R$3,0))</f>
        <v>charging station, 100W</v>
      </c>
    </row>
    <row r="85" spans="1:8" x14ac:dyDescent="0.2">
      <c r="A85" t="str">
        <f>INDEX('ei names mapping'!$B$4:$R$33,MATCH('lci-kick scooter - LFP'!$B$3,'ei names mapping'!$A$4:$A$33,0),MATCH('lci-kick scooter - LFP'!$G85,'ei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-0.12083333333333332</v>
      </c>
      <c r="C85" t="str">
        <f>INDEX('ei names mapping'!$B$38:$R$67,MATCH('lci-kick scooter - LFP'!$B$3,'ei names mapping'!$A$4:$A$33,0),MATCH('lci-kick scooter - LFP'!$G85,'ei names mapping'!$B$3:$R$3,0))</f>
        <v>CH</v>
      </c>
      <c r="D85" t="str">
        <f>INDEX('ei names mapping'!$B$104:$R$133,MATCH('lci-kick scooter - LFP'!$B$3,'ei names mapping'!$A$4:$A$33,0),MATCH('lci-kick scooter - LFP'!$G85,'ei names mapping'!$B$3:$R$3,0))</f>
        <v>unit</v>
      </c>
      <c r="F85" t="s">
        <v>89</v>
      </c>
      <c r="G85" t="s">
        <v>145</v>
      </c>
      <c r="H85" t="str">
        <f>INDEX('ei names mapping'!$B$71:$R$100,MATCH('lci-kick scooter - LFP'!$B$3,'ei names mapping'!$A$4:$A$33,0),MATCH('lci-kick scooter - LFP'!$G85,'ei names mapping'!$B$3:$R$3,0))</f>
        <v>used electric bicycle</v>
      </c>
    </row>
    <row r="86" spans="1:8" x14ac:dyDescent="0.2">
      <c r="A86" t="str">
        <f>INDEX('ei names mapping'!$B$4:$R$33,MATCH('lci-kick scooter - LFP'!$B$3,'ei names mapping'!$A$4:$A$33,0),MATCH('lci-kick scooter - LFP'!$G86,'ei names mapping'!$B$3:$R$3,0))</f>
        <v>treatment of used bicycle</v>
      </c>
      <c r="B86" s="4">
        <f>INDEX('vehicles specifications'!$B$3:$CW$166,MATCH(B51,'vehicles specifications'!$A$3:$A$166,0),MATCH(G86,'vehicles specifications'!$B$2:$CW$2,0))*INDEX('ei names mapping'!$B$137:$BL$300,MATCH(B51,'ei names mapping'!$A$137:$A$300,0),MATCH(G86,'ei names mapping'!$B$136:$BL$136,0))</f>
        <v>-0.39941176470588236</v>
      </c>
      <c r="C86" t="str">
        <f>INDEX('ei names mapping'!$B$38:$R$67,MATCH('lci-kick scooter - LFP'!$B$3,'ei names mapping'!$A$4:$A$33,0),MATCH('lci-kick scooter - LFP'!$G86,'ei names mapping'!$B$3:$R$3,0))</f>
        <v>CH</v>
      </c>
      <c r="D86" t="str">
        <f>INDEX('ei names mapping'!$B$104:$R$133,MATCH('lci-kick scooter - LFP'!$B$3,'ei names mapping'!$A$4:$A$33,0),MATCH('lci-kick scooter - LFP'!$G86,'ei names mapping'!$B$3:$R$3,0))</f>
        <v>unit</v>
      </c>
      <c r="F86" t="s">
        <v>89</v>
      </c>
      <c r="G86" t="s">
        <v>144</v>
      </c>
      <c r="H86" t="str">
        <f>INDEX('ei names mapping'!$B$71:$R$100,MATCH('lci-kick scooter - LFP'!$B$3,'ei names mapping'!$A$4:$A$33,0),MATCH('lci-kick scooter - LFP'!$G86,'ei names mapping'!$B$3:$R$3,0))</f>
        <v>used bicycle</v>
      </c>
    </row>
    <row r="87" spans="1:8" x14ac:dyDescent="0.2">
      <c r="A87" t="str">
        <f>INDEX('ei names mapping'!$B$4:$R$33,MATCH('lci-kick scooter - LFP'!$B$3,'ei names mapping'!$A$4:$A$33,0),MATCH('lci-kick scooter - LFP'!$G87,'ei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-2</v>
      </c>
      <c r="C87" t="str">
        <f>INDEX('ei names mapping'!$B$38:$R$67,MATCH('lci-kick scooter - LFP'!$B$3,'ei names mapping'!$A$4:$A$33,0),MATCH('lci-kick scooter - LFP'!$G87,'ei names mapping'!$B$3:$R$3,0))</f>
        <v>GLO</v>
      </c>
      <c r="D87" t="str">
        <f>INDEX('ei names mapping'!$B$104:$R$133,MATCH('lci-kick scooter - LFP'!$B$3,'ei names mapping'!$A$4:$A$33,0),MATCH('lci-kick scooter - LFP'!$G87,'ei names mapping'!$B$3:$R$3,0))</f>
        <v>kilogram</v>
      </c>
      <c r="F87" t="s">
        <v>89</v>
      </c>
      <c r="G87" t="s">
        <v>146</v>
      </c>
      <c r="H87" t="str">
        <f>INDEX('ei names mapping'!$B$71:$R$100,MATCH('lci-kick scooter - LFP'!$B$3,'ei names mapping'!$A$4:$A$33,0),MATCH('lci-kick scooter - LFP'!$G87,'ei names mapping'!$B$3:$R$3,0))</f>
        <v>used Li-ion battery</v>
      </c>
    </row>
    <row r="88" spans="1:8" x14ac:dyDescent="0.2">
      <c r="A88" s="13" t="s">
        <v>840</v>
      </c>
      <c r="B88">
        <f>(B61/1000)*B74</f>
        <v>11.69</v>
      </c>
      <c r="C88" t="s">
        <v>92</v>
      </c>
      <c r="D88" t="s">
        <v>233</v>
      </c>
      <c r="F88" t="s">
        <v>89</v>
      </c>
      <c r="H88" s="13" t="s">
        <v>841</v>
      </c>
    </row>
    <row r="89" spans="1:8" x14ac:dyDescent="0.2">
      <c r="A89" s="13" t="s">
        <v>441</v>
      </c>
      <c r="B89" s="2">
        <f>(B61/1000)*B73</f>
        <v>185.87099999999998</v>
      </c>
      <c r="C89" t="s">
        <v>95</v>
      </c>
      <c r="D89" t="s">
        <v>233</v>
      </c>
      <c r="F89" t="s">
        <v>89</v>
      </c>
      <c r="H89" s="13" t="s">
        <v>441</v>
      </c>
    </row>
    <row r="91" spans="1:8" ht="16" x14ac:dyDescent="0.2">
      <c r="A91" s="10" t="s">
        <v>71</v>
      </c>
      <c r="B91" s="8" t="str">
        <f>B93&amp;", "&amp;B108&amp;" battery, "&amp;B95</f>
        <v>Kick Scooter, electric, &lt;1kW, LFP battery, 2040</v>
      </c>
    </row>
    <row r="92" spans="1:8" x14ac:dyDescent="0.2">
      <c r="A92" t="s">
        <v>72</v>
      </c>
      <c r="B92" t="s">
        <v>37</v>
      </c>
    </row>
    <row r="93" spans="1:8" x14ac:dyDescent="0.2">
      <c r="A93" t="s">
        <v>86</v>
      </c>
      <c r="B93" t="s">
        <v>618</v>
      </c>
    </row>
    <row r="94" spans="1:8" x14ac:dyDescent="0.2">
      <c r="A94" t="s">
        <v>87</v>
      </c>
    </row>
    <row r="95" spans="1:8" x14ac:dyDescent="0.2">
      <c r="A95" t="s">
        <v>88</v>
      </c>
      <c r="B95">
        <v>2040</v>
      </c>
    </row>
    <row r="96" spans="1:8" x14ac:dyDescent="0.2">
      <c r="A96" t="s">
        <v>126</v>
      </c>
      <c r="B96" t="str">
        <f>B93&amp;" - "&amp;B95&amp;" - "&amp;B108&amp;" - "&amp;B92</f>
        <v>Kick Scooter, electric, &lt;1kW - 2040 - LFP - CH</v>
      </c>
    </row>
    <row r="97" spans="1:2" x14ac:dyDescent="0.2">
      <c r="A97" t="s">
        <v>73</v>
      </c>
      <c r="B97" t="str">
        <f>B93</f>
        <v>Kick Scooter, electric, &lt;1kW</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specifications'!$B$3:$CW$166,MATCH('lci-kick scooter - LFP'!B96,'vehicles specifications'!$A$3:$A$166,0),MATCH("Lifetime [km]",'vehicles specifications'!$B$2:$CW$2,0))</f>
        <v>1785</v>
      </c>
    </row>
    <row r="102" spans="1:2" x14ac:dyDescent="0.2">
      <c r="A102" t="s">
        <v>128</v>
      </c>
      <c r="B102">
        <f>INDEX('vehicles specifications'!$B$3:$CW$166,MATCH('lci-kick scooter - LFP'!B96,'vehicles specifications'!$A$3:$A$166,0),MATCH("Passengers [unit]",'vehicles specifications'!$B$2:$CW$2,0))</f>
        <v>1</v>
      </c>
    </row>
    <row r="103" spans="1:2" x14ac:dyDescent="0.2">
      <c r="A103" t="s">
        <v>129</v>
      </c>
      <c r="B103">
        <f>INDEX('vehicles specifications'!$B$3:$CW$166,MATCH('lci-kick scooter - LFP'!B96,'vehicles specifications'!$A$3:$A$166,0),MATCH("Servicing [unit]",'vehicles specifications'!$B$2:$CW$2,0))</f>
        <v>0</v>
      </c>
    </row>
    <row r="104" spans="1:2" x14ac:dyDescent="0.2">
      <c r="A104" t="s">
        <v>130</v>
      </c>
      <c r="B104">
        <f>INDEX('vehicles specifications'!$B$3:$CW$166,MATCH('lci-kick scooter - LFP'!B96,'vehicles specifications'!$A$3:$A$166,0),MATCH("Energy battery replacement [unit]",'vehicles specifications'!$B$2:$CW$2,0))</f>
        <v>0</v>
      </c>
    </row>
    <row r="105" spans="1:2" x14ac:dyDescent="0.2">
      <c r="A105" t="s">
        <v>131</v>
      </c>
      <c r="B105">
        <f>INDEX('vehicles specifications'!$B$3:$CW$166,MATCH('lci-kick scooter - LFP'!B96,'vehicles specifications'!$A$3:$A$166,0),MATCH("Annual kilometers [km]",'vehicles specifications'!$B$2:$CW$2,0))</f>
        <v>890</v>
      </c>
    </row>
    <row r="106" spans="1:2" x14ac:dyDescent="0.2">
      <c r="A106" t="s">
        <v>132</v>
      </c>
      <c r="B106">
        <f>INDEX('vehicles specifications'!$B$3:$CW$166,MATCH('lci-kick scooter - LFP'!B96,'vehicles specifications'!$A$3:$A$166,0),MATCH("Curb mass [kg]",'vehicles specifications'!$B$2:$CW$2,0))</f>
        <v>12.116666666666667</v>
      </c>
    </row>
    <row r="107" spans="1:2" x14ac:dyDescent="0.2">
      <c r="A107" t="s">
        <v>133</v>
      </c>
      <c r="B107">
        <f>INDEX('vehicles specifications'!$B$3:$CW$166,MATCH('lci-kick scooter - LFP'!B96,'vehicles specifications'!$A$3:$A$166,0),MATCH("Power [kW]",'vehicles specifications'!$B$2:$CW$2,0))</f>
        <v>0.25</v>
      </c>
    </row>
    <row r="108" spans="1:2" x14ac:dyDescent="0.2">
      <c r="A108" t="s">
        <v>652</v>
      </c>
      <c r="B108" t="s">
        <v>44</v>
      </c>
    </row>
    <row r="109" spans="1:2" x14ac:dyDescent="0.2">
      <c r="A109" t="s">
        <v>134</v>
      </c>
      <c r="B109">
        <f>INDEX('vehicles specifications'!$B$3:$CW$166,MATCH('lci-kick scooter - LFP'!B96,'vehicles specifications'!$A$3:$A$166,0),MATCH("Energy battery mass [kg]",'vehicles specifications'!$B$2:$CW$2,0))</f>
        <v>2.666666666666667</v>
      </c>
    </row>
    <row r="110" spans="1:2" x14ac:dyDescent="0.2">
      <c r="A110" t="s">
        <v>135</v>
      </c>
      <c r="B110">
        <f>INDEX('vehicles specifications'!$B$3:$CW$166,MATCH('lci-kick scooter - LFP'!B96,'vehicles specifications'!$A$3:$A$166,0),MATCH("Electric energy stored [kWh]",'vehicles specifications'!$B$2:$CW$2,0))</f>
        <v>0.4</v>
      </c>
    </row>
    <row r="111" spans="1:2" x14ac:dyDescent="0.2">
      <c r="A111" t="s">
        <v>588</v>
      </c>
      <c r="B111">
        <f>INDEX('vehicles specifications'!$B$3:$CW$166,MATCH('lci-kick scooter - LFP'!B96,'vehicles specifications'!$A$3:$A$166,0),MATCH("Electric energy available [kWh]",'vehicles specifications'!$B$2:$CW$2,0))</f>
        <v>0.32000000000000006</v>
      </c>
    </row>
    <row r="112" spans="1:2" x14ac:dyDescent="0.2">
      <c r="A112" t="s">
        <v>138</v>
      </c>
      <c r="B112">
        <f>INDEX('vehicles specifications'!$B$3:$CW$166,MATCH('lci-kick scooter - LFP'!B96,'vehicles specifications'!$A$3:$A$166,0),MATCH("Oxydation energy stored [kWh]",'vehicles specifications'!$B$2:$CW$2,0))</f>
        <v>0</v>
      </c>
    </row>
    <row r="113" spans="1:8" x14ac:dyDescent="0.2">
      <c r="A113" t="s">
        <v>139</v>
      </c>
      <c r="B113">
        <f>INDEX('vehicles specifications'!$B$3:$CW$166,MATCH('lci-kick scooter - LFP'!B96,'vehicles specifications'!$A$3:$A$166,0),MATCH("Fuel mass [kg]",'vehicles specifications'!$B$2:$CW$2,0))</f>
        <v>0</v>
      </c>
    </row>
    <row r="114" spans="1:8" x14ac:dyDescent="0.2">
      <c r="A114" t="s">
        <v>136</v>
      </c>
      <c r="B114">
        <f>INDEX('vehicles specifications'!$B$3:$CW$166,MATCH('lci-kick scooter - LFP'!B96,'vehicles specifications'!$A$3:$A$166,0),MATCH("Range [km]",'vehicles specifications'!$B$2:$CW$2,0))</f>
        <v>13.375700934579442</v>
      </c>
    </row>
    <row r="115" spans="1:8" x14ac:dyDescent="0.2">
      <c r="A115" t="s">
        <v>137</v>
      </c>
      <c r="B115" t="str">
        <f>INDEX('vehicles specifications'!$B$3:$CW$166,MATCH('lci-kick scooter - LFP'!B96,'vehicles specifications'!$A$3:$A$166,0),MATCH("Emission standard",'vehicles specifications'!$B$2:$CW$2,0))</f>
        <v>None</v>
      </c>
    </row>
    <row r="116" spans="1:8" x14ac:dyDescent="0.2">
      <c r="A116" t="s">
        <v>1174</v>
      </c>
      <c r="B116" s="6">
        <f>INDEX('vehicles specifications'!$B$3:$CW$166,MATCH('lci-kick scooter - LFP'!B96,'vehicles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LFP'!B100</f>
        <v>Power: 0.25 kW. Lifetime: 1785 km. Annual kilometers: 890 km. Number of passengers: 1. Curb mass: 12.1 kg. Lightweighting of glider: 5%. Emission standard: None. Service visits throughout lifetime: 0. Range: 13 km. Battery capacity: 0.4 kWh. Available battery capacity: 0.32 kWh. Battery mass: 2.7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Kick Scooter, electric, &lt;1kW, LFP battery, 2040</v>
      </c>
      <c r="B123">
        <v>1</v>
      </c>
      <c r="C123" t="str">
        <f>B92</f>
        <v>CH</v>
      </c>
      <c r="D123" t="str">
        <f>B99</f>
        <v>unit</v>
      </c>
      <c r="F123" t="s">
        <v>84</v>
      </c>
      <c r="G123" t="s">
        <v>85</v>
      </c>
      <c r="H123" t="str">
        <f>B97</f>
        <v>Kick Scooter, electric, &lt;1kW</v>
      </c>
    </row>
    <row r="124" spans="1:8" x14ac:dyDescent="0.2">
      <c r="A124" t="str">
        <f>INDEX('ei names mapping'!$B$4:$R$33,MATCH('lci-kick scooter - LFP'!$B$3,'ei names mapping'!$A$4:$A$33,0),MATCH('lci-kick scooter - LFP'!$G124,'ei names mapping'!$B$3:$R$3,0))</f>
        <v>bicycle production</v>
      </c>
      <c r="B124" s="4">
        <f>INDEX('vehicles specifications'!$B$3:$CW$166,MATCH(B96,'vehicles specifications'!$A$3:$A$166,0),MATCH(G124,'vehicles specifications'!$B$2:$CW$2,0))*INDEX('ei names mapping'!$B$137:$BL$300,MATCH(B96,'ei names mapping'!$A$137:$A$300,0),MATCH(G124,'ei names mapping'!$B$136:$BL$136,0))</f>
        <v>0.41176470588235292</v>
      </c>
      <c r="C124" t="str">
        <f>INDEX('ei names mapping'!$B$38:$R$67,MATCH('lci-kick scooter - LFP'!$B$3,'ei names mapping'!$A$4:$A$33,0),MATCH('lci-kick scooter - LFP'!$G124,'ei names mapping'!$B$3:$R$3,0))</f>
        <v>RER</v>
      </c>
      <c r="D124" t="str">
        <f>INDEX('ei names mapping'!$B$104:$R$133,MATCH('lci-kick scooter - LFP'!$B$3,'ei names mapping'!$A$4:$A$33,0),MATCH('lci-kick scooter - LFP'!$G124,'ei names mapping'!$B$3:$R$3,0))</f>
        <v>unit</v>
      </c>
      <c r="F124" t="s">
        <v>89</v>
      </c>
      <c r="G124" t="s">
        <v>15</v>
      </c>
      <c r="H124" t="str">
        <f>INDEX('ei names mapping'!$B$71:$R$100,MATCH('lci-kick scooter - LFP'!$B$3,'ei names mapping'!$A$4:$A$33,0),MATCH('lci-kick scooter - LFP'!$G124,'ei names mapping'!$B$3:$R$3,0))</f>
        <v>bicycle</v>
      </c>
    </row>
    <row r="125" spans="1:8" x14ac:dyDescent="0.2">
      <c r="A125" t="str">
        <f>INDEX('ei names mapping'!$B$4:$R$33,MATCH('lci-kick scooter - LFP'!$B$3,'ei names mapping'!$A$4:$A$33,0),MATCH('lci-kick scooter - LFP'!$G125,'ei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2.8</v>
      </c>
      <c r="C125" t="str">
        <f>INDEX('ei names mapping'!$B$38:$R$67,MATCH('lci-kick scooter - LFP'!$B$3,'ei names mapping'!$A$4:$A$33,0),MATCH('lci-kick scooter - LFP'!$G125,'ei names mapping'!$B$3:$R$3,0))</f>
        <v>GLO</v>
      </c>
      <c r="D125" t="str">
        <f>INDEX('ei names mapping'!$B$104:$R$133,MATCH('lci-kick scooter - LFP'!$B$3,'ei names mapping'!$A$4:$A$33,0),MATCH('lci-kick scooter - LFP'!$G125,'ei names mapping'!$B$3:$R$3,0))</f>
        <v>kilogram</v>
      </c>
      <c r="F125" t="s">
        <v>89</v>
      </c>
      <c r="G125" t="s">
        <v>501</v>
      </c>
      <c r="H125" t="str">
        <f>INDEX('ei names mapping'!$B$71:$R$100,MATCH('lci-kick scooter - LFP'!$B$3,'ei names mapping'!$A$4:$A$33,0),MATCH('lci-kick scooter - LFP'!$G125,'ei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0.35000000000000003</v>
      </c>
      <c r="C126" t="str">
        <f>INDEX('ei names mapping'!$B$38:$R$67,MATCH(B93,'ei names mapping'!$A$4:$A$33,0),MATCH(G126,'ei names mapping'!$B$3:$R$3,0))</f>
        <v>GLO</v>
      </c>
      <c r="D126" t="str">
        <f>INDEX('ei names mapping'!$B$104:$R$133,MATCH(B93,'ei names mapping'!$A$4:$A$33,0),MATCH(G126,'ei names mapping'!$B$3:$R$3,0))</f>
        <v>kilogram</v>
      </c>
      <c r="F126" t="s">
        <v>89</v>
      </c>
      <c r="G126" t="s">
        <v>14</v>
      </c>
      <c r="H126" t="str">
        <f>INDEX('ei names mapping'!$B$71:$R$100,MATCH(B93,'ei names mapping'!$A$4:$A$33,0),MATCH(G126,'ei names mapping'!$B$3:$R$3,0))</f>
        <v>Glider lightweighting</v>
      </c>
    </row>
    <row r="127" spans="1:8" x14ac:dyDescent="0.2">
      <c r="A127" t="s">
        <v>759</v>
      </c>
      <c r="B127" s="4">
        <f>INDEX('vehicles specifications'!$B$3:$CW$166,MATCH(B96,'vehicles specifications'!$A$3:$A$166,0),MATCH(G127,'vehicles specifications'!$B$2:$CW$2,0))*INDEX('ei names mapping'!$B$137:$BL$300,MATCH(B96,'ei names mapping'!$A$137:$A$300,0),MATCH(G127,'ei names mapping'!$B$136:$BL$136,0))</f>
        <v>2.2222222222222223</v>
      </c>
      <c r="C127" t="str">
        <f>INDEX('ei names mapping'!$B$38:$R$67,MATCH('lci-kick scooter - LFP'!$B$3,'ei names mapping'!$A$4:$A$33,0),MATCH('lci-kick scooter - LFP'!$G127,'ei names mapping'!$B$3:$R$3,0))</f>
        <v>GLO</v>
      </c>
      <c r="D127" t="str">
        <f>INDEX('ei names mapping'!$B$104:$R$133,MATCH('lci-kick scooter - LFP'!$B$3,'ei names mapping'!$A$4:$A$33,0),MATCH('lci-kick scooter - LFP'!$G127,'ei names mapping'!$B$3:$R$3,0))</f>
        <v>kilogram</v>
      </c>
      <c r="F127" t="s">
        <v>89</v>
      </c>
      <c r="G127" t="s">
        <v>19</v>
      </c>
      <c r="H127" t="str">
        <f>INDEX('ei names mapping'!$B$71:$R$100,MATCH('lci-kick scooter - LFP'!$B$3,'ei names mapping'!$A$4:$A$33,0),MATCH('lci-kick scooter - LFP'!$G127,'ei names mapping'!$B$3:$R$3,0))</f>
        <v>Battery cell</v>
      </c>
    </row>
    <row r="128" spans="1:8" x14ac:dyDescent="0.2">
      <c r="A128" t="str">
        <f>INDEX('ei names mapping'!$B$4:$R$33,MATCH('lci-kick scooter - LFP'!$B$3,'ei names mapping'!$A$4:$A$33,0),MATCH('lci-kick scooter - LFP'!$G128,'ei names mapping'!$B$3:$R$3,0))</f>
        <v>Battery BoP</v>
      </c>
      <c r="B128" s="4">
        <f>INDEX('vehicles specifications'!$B$3:$CW$166,MATCH(B96,'vehicles specifications'!$A$3:$A$166,0),MATCH(G128,'vehicles specifications'!$B$2:$CW$2,0))*INDEX('ei names mapping'!$B$137:$BL$300,MATCH(B96,'ei names mapping'!$A$137:$A$300,0),MATCH(G128,'ei names mapping'!$B$136:$BL$136,0))</f>
        <v>0.44444444444444448</v>
      </c>
      <c r="C128" t="str">
        <f>INDEX('ei names mapping'!$B$38:$R$67,MATCH('lci-kick scooter - LFP'!$B$3,'ei names mapping'!$A$4:$A$33,0),MATCH('lci-kick scooter - LFP'!$G128,'ei names mapping'!$B$3:$R$3,0))</f>
        <v>GLO</v>
      </c>
      <c r="D128" t="str">
        <f>INDEX('ei names mapping'!$B$104:$R$133,MATCH('lci-kick scooter - LFP'!$B$3,'ei names mapping'!$A$4:$A$33,0),MATCH('lci-kick scooter - LFP'!$G128,'ei names mapping'!$B$3:$R$3,0))</f>
        <v>kilogram</v>
      </c>
      <c r="F128" t="s">
        <v>89</v>
      </c>
      <c r="G128" t="s">
        <v>20</v>
      </c>
      <c r="H128" t="str">
        <f>INDEX('ei names mapping'!$B$71:$R$100,MATCH('lci-kick scooter - LFP'!$B$3,'ei names mapping'!$A$4:$A$33,0),MATCH('lci-kick scooter - LFP'!$G128,'ei names mapping'!$B$3:$R$3,0))</f>
        <v>Battery BoP</v>
      </c>
    </row>
    <row r="129" spans="1:8" x14ac:dyDescent="0.2">
      <c r="A129" t="str">
        <f>INDEX('ei names mapping'!$B$4:$R$33,MATCH('lci-kick scooter - LFP'!$B$3,'ei names mapping'!$A$4:$A$33,0),MATCH('lci-kick scooter - LFP'!$G129,'ei names mapping'!$B$3:$R$3,0))</f>
        <v>charging station, 100W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mapping'!$B$38:$R$67,MATCH('lci-kick scooter - LFP'!$B$3,'ei names mapping'!$A$4:$A$33,0),MATCH('lci-kick scooter - LFP'!$G129,'ei names mapping'!$B$3:$R$3,0))</f>
        <v>GLO</v>
      </c>
      <c r="D129" t="str">
        <f>INDEX('ei names mapping'!$B$104:$R$133,MATCH('lci-kick scooter - LFP'!$B$3,'ei names mapping'!$A$4:$A$33,0),MATCH('lci-kick scooter - LFP'!$G129,'ei names mapping'!$B$3:$R$3,0))</f>
        <v>unit</v>
      </c>
      <c r="F129" t="s">
        <v>89</v>
      </c>
      <c r="G129" t="s">
        <v>52</v>
      </c>
      <c r="H129" t="str">
        <f>INDEX('ei names mapping'!$B$71:$R$100,MATCH('lci-kick scooter - LFP'!$B$3,'ei names mapping'!$A$4:$A$33,0),MATCH('lci-kick scooter - LFP'!$G129,'ei names mapping'!$B$3:$R$3,0))</f>
        <v>charging station, 100W</v>
      </c>
    </row>
    <row r="130" spans="1:8" x14ac:dyDescent="0.2">
      <c r="A130" t="str">
        <f>INDEX('ei names mapping'!$B$4:$R$33,MATCH('lci-kick scooter - LFP'!$B$3,'ei names mapping'!$A$4:$A$33,0),MATCH('lci-kick scooter - LFP'!$G130,'ei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-0.11666666666666665</v>
      </c>
      <c r="C130" t="str">
        <f>INDEX('ei names mapping'!$B$38:$R$67,MATCH('lci-kick scooter - LFP'!$B$3,'ei names mapping'!$A$4:$A$33,0),MATCH('lci-kick scooter - LFP'!$G130,'ei names mapping'!$B$3:$R$3,0))</f>
        <v>CH</v>
      </c>
      <c r="D130" t="str">
        <f>INDEX('ei names mapping'!$B$104:$R$133,MATCH('lci-kick scooter - LFP'!$B$3,'ei names mapping'!$A$4:$A$33,0),MATCH('lci-kick scooter - LFP'!$G130,'ei names mapping'!$B$3:$R$3,0))</f>
        <v>unit</v>
      </c>
      <c r="F130" t="s">
        <v>89</v>
      </c>
      <c r="G130" t="s">
        <v>145</v>
      </c>
      <c r="H130" t="str">
        <f>INDEX('ei names mapping'!$B$71:$R$100,MATCH('lci-kick scooter - LFP'!$B$3,'ei names mapping'!$A$4:$A$33,0),MATCH('lci-kick scooter - LFP'!$G130,'ei names mapping'!$B$3:$R$3,0))</f>
        <v>used electric bicycle</v>
      </c>
    </row>
    <row r="131" spans="1:8" x14ac:dyDescent="0.2">
      <c r="A131" t="str">
        <f>INDEX('ei names mapping'!$B$4:$R$33,MATCH('lci-kick scooter - LFP'!$B$3,'ei names mapping'!$A$4:$A$33,0),MATCH('lci-kick scooter - LFP'!$G131,'ei names mapping'!$B$3:$R$3,0))</f>
        <v>treatment of used bicycle</v>
      </c>
      <c r="B131" s="4">
        <f>INDEX('vehicles specifications'!$B$3:$CW$166,MATCH(B96,'vehicles specifications'!$A$3:$A$166,0),MATCH(G131,'vehicles specifications'!$B$2:$CW$2,0))*INDEX('ei names mapping'!$B$137:$BL$300,MATCH(B96,'ei names mapping'!$A$137:$A$300,0),MATCH(G131,'ei names mapping'!$B$136:$BL$136,0))</f>
        <v>-0.39117647058823524</v>
      </c>
      <c r="C131" t="str">
        <f>INDEX('ei names mapping'!$B$38:$R$67,MATCH('lci-kick scooter - LFP'!$B$3,'ei names mapping'!$A$4:$A$33,0),MATCH('lci-kick scooter - LFP'!$G131,'ei names mapping'!$B$3:$R$3,0))</f>
        <v>CH</v>
      </c>
      <c r="D131" t="str">
        <f>INDEX('ei names mapping'!$B$104:$R$133,MATCH('lci-kick scooter - LFP'!$B$3,'ei names mapping'!$A$4:$A$33,0),MATCH('lci-kick scooter - LFP'!$G131,'ei names mapping'!$B$3:$R$3,0))</f>
        <v>unit</v>
      </c>
      <c r="F131" t="s">
        <v>89</v>
      </c>
      <c r="G131" t="s">
        <v>144</v>
      </c>
      <c r="H131" t="str">
        <f>INDEX('ei names mapping'!$B$71:$R$100,MATCH('lci-kick scooter - LFP'!$B$3,'ei names mapping'!$A$4:$A$33,0),MATCH('lci-kick scooter - LFP'!$G131,'ei names mapping'!$B$3:$R$3,0))</f>
        <v>used bicycle</v>
      </c>
    </row>
    <row r="132" spans="1:8" x14ac:dyDescent="0.2">
      <c r="A132" t="str">
        <f>INDEX('ei names mapping'!$B$4:$R$33,MATCH('lci-kick scooter - LFP'!$B$3,'ei names mapping'!$A$4:$A$33,0),MATCH('lci-kick scooter - LFP'!$G132,'ei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-2.666666666666667</v>
      </c>
      <c r="C132" t="str">
        <f>INDEX('ei names mapping'!$B$38:$R$67,MATCH('lci-kick scooter - LFP'!$B$3,'ei names mapping'!$A$4:$A$33,0),MATCH('lci-kick scooter - LFP'!$G132,'ei names mapping'!$B$3:$R$3,0))</f>
        <v>GLO</v>
      </c>
      <c r="D132" t="str">
        <f>INDEX('ei names mapping'!$B$104:$R$133,MATCH('lci-kick scooter - LFP'!$B$3,'ei names mapping'!$A$4:$A$33,0),MATCH('lci-kick scooter - LFP'!$G132,'ei names mapping'!$B$3:$R$3,0))</f>
        <v>kilogram</v>
      </c>
      <c r="F132" t="s">
        <v>89</v>
      </c>
      <c r="G132" t="s">
        <v>146</v>
      </c>
      <c r="H132" t="str">
        <f>INDEX('ei names mapping'!$B$71:$R$100,MATCH('lci-kick scooter - LFP'!$B$3,'ei names mapping'!$A$4:$A$33,0),MATCH('lci-kick scooter - LFP'!$G132,'ei names mapping'!$B$3:$R$3,0))</f>
        <v>used Li-ion battery</v>
      </c>
    </row>
    <row r="133" spans="1:8" x14ac:dyDescent="0.2">
      <c r="A133" s="13" t="s">
        <v>840</v>
      </c>
      <c r="B133">
        <f>(B106/1000)*B119</f>
        <v>12.116666666666667</v>
      </c>
      <c r="C133" t="s">
        <v>92</v>
      </c>
      <c r="D133" t="s">
        <v>233</v>
      </c>
      <c r="F133" t="s">
        <v>89</v>
      </c>
      <c r="H133" s="13" t="s">
        <v>841</v>
      </c>
    </row>
    <row r="134" spans="1:8" x14ac:dyDescent="0.2">
      <c r="A134" s="13" t="s">
        <v>441</v>
      </c>
      <c r="B134" s="2">
        <f>(B106/1000)*B118</f>
        <v>192.65500000000003</v>
      </c>
      <c r="C134" t="s">
        <v>95</v>
      </c>
      <c r="D134" t="s">
        <v>233</v>
      </c>
      <c r="F134" t="s">
        <v>89</v>
      </c>
      <c r="H134" s="13" t="s">
        <v>441</v>
      </c>
    </row>
    <row r="135" spans="1:8" x14ac:dyDescent="0.2">
      <c r="B135" s="6"/>
    </row>
    <row r="136" spans="1:8" ht="16" x14ac:dyDescent="0.2">
      <c r="A136" s="10" t="s">
        <v>71</v>
      </c>
      <c r="B136" s="8" t="str">
        <f>B138&amp;", "&amp;B153&amp;" battery, "&amp;B140</f>
        <v>Kick Scooter, electric, &lt;1kW, LFP battery, 2050</v>
      </c>
    </row>
    <row r="137" spans="1:8" x14ac:dyDescent="0.2">
      <c r="A137" t="s">
        <v>72</v>
      </c>
      <c r="B137" t="s">
        <v>37</v>
      </c>
    </row>
    <row r="138" spans="1:8" x14ac:dyDescent="0.2">
      <c r="A138" t="s">
        <v>86</v>
      </c>
      <c r="B138" t="s">
        <v>618</v>
      </c>
    </row>
    <row r="139" spans="1:8" x14ac:dyDescent="0.2">
      <c r="A139" t="s">
        <v>87</v>
      </c>
    </row>
    <row r="140" spans="1:8" x14ac:dyDescent="0.2">
      <c r="A140" t="s">
        <v>88</v>
      </c>
      <c r="B140">
        <v>2050</v>
      </c>
    </row>
    <row r="141" spans="1:8" x14ac:dyDescent="0.2">
      <c r="A141" t="s">
        <v>126</v>
      </c>
      <c r="B141" t="str">
        <f>B138&amp;" - "&amp;B140&amp;" - "&amp;B153&amp;" - "&amp;B137</f>
        <v>Kick Scooter, electric, &lt;1kW - 2050 - LFP - CH</v>
      </c>
    </row>
    <row r="142" spans="1:8" x14ac:dyDescent="0.2">
      <c r="A142" t="s">
        <v>73</v>
      </c>
      <c r="B142" t="str">
        <f>B138</f>
        <v>Kick Scooter, electric, &lt;1kW</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specifications'!$B$3:$CW$166,MATCH('lci-kick scooter - LFP'!B141,'vehicles specifications'!$A$3:$A$166,0),MATCH("Lifetime [km]",'vehicles specifications'!$B$2:$CW$2,0))</f>
        <v>1785</v>
      </c>
    </row>
    <row r="147" spans="1:2" x14ac:dyDescent="0.2">
      <c r="A147" t="s">
        <v>128</v>
      </c>
      <c r="B147">
        <f>INDEX('vehicles specifications'!$B$3:$CW$166,MATCH('lci-kick scooter - LFP'!B141,'vehicles specifications'!$A$3:$A$166,0),MATCH("Passengers [unit]",'vehicles specifications'!$B$2:$CW$2,0))</f>
        <v>1</v>
      </c>
    </row>
    <row r="148" spans="1:2" x14ac:dyDescent="0.2">
      <c r="A148" t="s">
        <v>129</v>
      </c>
      <c r="B148">
        <f>INDEX('vehicles specifications'!$B$3:$CW$166,MATCH('lci-kick scooter - LFP'!B141,'vehicles specifications'!$A$3:$A$166,0),MATCH("Servicing [unit]",'vehicles specifications'!$B$2:$CW$2,0))</f>
        <v>0</v>
      </c>
    </row>
    <row r="149" spans="1:2" x14ac:dyDescent="0.2">
      <c r="A149" t="s">
        <v>130</v>
      </c>
      <c r="B149">
        <f>INDEX('vehicles specifications'!$B$3:$CW$166,MATCH('lci-kick scooter - LFP'!B141,'vehicles specifications'!$A$3:$A$166,0),MATCH("Energy battery replacement [unit]",'vehicles specifications'!$B$2:$CW$2,0))</f>
        <v>0</v>
      </c>
    </row>
    <row r="150" spans="1:2" x14ac:dyDescent="0.2">
      <c r="A150" t="s">
        <v>131</v>
      </c>
      <c r="B150">
        <f>INDEX('vehicles specifications'!$B$3:$CW$166,MATCH('lci-kick scooter - LFP'!B141,'vehicles specifications'!$A$3:$A$166,0),MATCH("Annual kilometers [km]",'vehicles specifications'!$B$2:$CW$2,0))</f>
        <v>890</v>
      </c>
    </row>
    <row r="151" spans="1:2" x14ac:dyDescent="0.2">
      <c r="A151" t="s">
        <v>132</v>
      </c>
      <c r="B151">
        <f>INDEX('vehicles specifications'!$B$3:$CW$166,MATCH('lci-kick scooter - LFP'!B141,'vehicles specifications'!$A$3:$A$166,0),MATCH("Curb mass [kg]",'vehicles specifications'!$B$2:$CW$2,0))</f>
        <v>12.21</v>
      </c>
    </row>
    <row r="152" spans="1:2" x14ac:dyDescent="0.2">
      <c r="A152" t="s">
        <v>133</v>
      </c>
      <c r="B152">
        <f>INDEX('vehicles specifications'!$B$3:$CW$166,MATCH('lci-kick scooter - LFP'!B141,'vehicles specifications'!$A$3:$A$166,0),MATCH("Power [kW]",'vehicles specifications'!$B$2:$CW$2,0))</f>
        <v>0.25</v>
      </c>
    </row>
    <row r="153" spans="1:2" x14ac:dyDescent="0.2">
      <c r="A153" t="s">
        <v>652</v>
      </c>
      <c r="B153" t="s">
        <v>44</v>
      </c>
    </row>
    <row r="154" spans="1:2" x14ac:dyDescent="0.2">
      <c r="A154" t="s">
        <v>134</v>
      </c>
      <c r="B154">
        <f>INDEX('vehicles specifications'!$B$3:$CW$166,MATCH('lci-kick scooter - LFP'!B141,'vehicles specifications'!$A$3:$A$166,0),MATCH("Energy battery mass [kg]",'vehicles specifications'!$B$2:$CW$2,0))</f>
        <v>3</v>
      </c>
    </row>
    <row r="155" spans="1:2" x14ac:dyDescent="0.2">
      <c r="A155" t="s">
        <v>135</v>
      </c>
      <c r="B155">
        <f>INDEX('vehicles specifications'!$B$3:$CW$166,MATCH('lci-kick scooter - LFP'!B141,'vehicles specifications'!$A$3:$A$166,0),MATCH("Electric energy stored [kWh]",'vehicles specifications'!$B$2:$CW$2,0))</f>
        <v>0.5</v>
      </c>
    </row>
    <row r="156" spans="1:2" x14ac:dyDescent="0.2">
      <c r="A156" t="s">
        <v>588</v>
      </c>
      <c r="B156">
        <f>INDEX('vehicles specifications'!$B$3:$CW$166,MATCH('lci-kick scooter - LFP'!B141,'vehicles specifications'!$A$3:$A$166,0),MATCH("Electric energy available [kWh]",'vehicles specifications'!$B$2:$CW$2,0))</f>
        <v>0.4</v>
      </c>
    </row>
    <row r="157" spans="1:2" x14ac:dyDescent="0.2">
      <c r="A157" t="s">
        <v>138</v>
      </c>
      <c r="B157">
        <f>INDEX('vehicles specifications'!$B$3:$CW$166,MATCH('lci-kick scooter - LFP'!B141,'vehicles specifications'!$A$3:$A$166,0),MATCH("Oxydation energy stored [kWh]",'vehicles specifications'!$B$2:$CW$2,0))</f>
        <v>0</v>
      </c>
    </row>
    <row r="158" spans="1:2" x14ac:dyDescent="0.2">
      <c r="A158" t="s">
        <v>139</v>
      </c>
      <c r="B158">
        <f>INDEX('vehicles specifications'!$B$3:$CW$166,MATCH('lci-kick scooter - LFP'!B141,'vehicles specifications'!$A$3:$A$166,0),MATCH("Fuel mass [kg]",'vehicles specifications'!$B$2:$CW$2,0))</f>
        <v>0</v>
      </c>
    </row>
    <row r="159" spans="1:2" x14ac:dyDescent="0.2">
      <c r="A159" t="s">
        <v>136</v>
      </c>
      <c r="B159">
        <f>INDEX('vehicles specifications'!$B$3:$CW$166,MATCH('lci-kick scooter - LFP'!B141,'vehicles specifications'!$A$3:$A$166,0),MATCH("Range [km]",'vehicles specifications'!$B$2:$CW$2,0))</f>
        <v>16.719626168224298</v>
      </c>
    </row>
    <row r="160" spans="1:2" x14ac:dyDescent="0.2">
      <c r="A160" t="s">
        <v>137</v>
      </c>
      <c r="B160" t="str">
        <f>INDEX('vehicles specifications'!$B$3:$CW$166,MATCH('lci-kick scooter - LFP'!B141,'vehicles specifications'!$A$3:$A$166,0),MATCH("Emission standard",'vehicles specifications'!$B$2:$CW$2,0))</f>
        <v>None</v>
      </c>
    </row>
    <row r="161" spans="1:8" x14ac:dyDescent="0.2">
      <c r="A161" t="s">
        <v>1174</v>
      </c>
      <c r="B161" s="6">
        <f>INDEX('vehicles specifications'!$B$3:$CW$166,MATCH('lci-kick scooter - LFP'!B141,'vehicles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LFP'!B145</f>
        <v>Power: 0.25 kW. Lifetime: 1785 km. Annual kilometers: 890 km. Number of passengers: 1. Curb mass: 12.2 kg. Lightweighting of glider: 7%. Emission standard: None. Service visits throughout lifetime: 0. Range: 17 km. Battery capacity: 0.5 kWh. Available battery capacity: 0.4 kWh. Battery mass: 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Kick Scooter, electric, &lt;1kW, LFP battery, 2050</v>
      </c>
      <c r="B168">
        <v>1</v>
      </c>
      <c r="C168" t="str">
        <f>B137</f>
        <v>CH</v>
      </c>
      <c r="D168" t="str">
        <f>B144</f>
        <v>unit</v>
      </c>
      <c r="F168" t="s">
        <v>84</v>
      </c>
      <c r="G168" t="s">
        <v>85</v>
      </c>
      <c r="H168" t="str">
        <f>B142</f>
        <v>Kick Scooter, electric, &lt;1kW</v>
      </c>
    </row>
    <row r="169" spans="1:8" x14ac:dyDescent="0.2">
      <c r="A169" t="str">
        <f>INDEX('ei names mapping'!$B$4:$R$33,MATCH('lci-kick scooter - LFP'!$B$3,'ei names mapping'!$A$4:$A$33,0),MATCH('lci-kick scooter - LFP'!$G169,'ei names mapping'!$B$3:$R$3,0))</f>
        <v>bicycle production</v>
      </c>
      <c r="B169" s="4">
        <f>INDEX('vehicles specifications'!$B$3:$CW$166,MATCH(B141,'vehicles specifications'!$A$3:$A$166,0),MATCH(G169,'vehicles specifications'!$B$2:$CW$2,0))*INDEX('ei names mapping'!$B$137:$BL$300,MATCH(B141,'ei names mapping'!$A$137:$A$300,0),MATCH(G169,'ei names mapping'!$B$136:$BL$136,0))</f>
        <v>0.41176470588235292</v>
      </c>
      <c r="C169" t="str">
        <f>INDEX('ei names mapping'!$B$38:$R$67,MATCH('lci-kick scooter - LFP'!$B$3,'ei names mapping'!$A$4:$A$33,0),MATCH('lci-kick scooter - LFP'!$G169,'ei names mapping'!$B$3:$R$3,0))</f>
        <v>RER</v>
      </c>
      <c r="D169" t="str">
        <f>INDEX('ei names mapping'!$B$104:$R$133,MATCH('lci-kick scooter - LFP'!$B$3,'ei names mapping'!$A$4:$A$33,0),MATCH('lci-kick scooter - LFP'!$G169,'ei names mapping'!$B$3:$R$3,0))</f>
        <v>unit</v>
      </c>
      <c r="F169" t="s">
        <v>89</v>
      </c>
      <c r="G169" t="s">
        <v>15</v>
      </c>
      <c r="H169" t="str">
        <f>INDEX('ei names mapping'!$B$71:$R$100,MATCH('lci-kick scooter - LFP'!$B$3,'ei names mapping'!$A$4:$A$33,0),MATCH('lci-kick scooter - LFP'!$G169,'ei names mapping'!$B$3:$R$3,0))</f>
        <v>bicycle</v>
      </c>
    </row>
    <row r="170" spans="1:8" x14ac:dyDescent="0.2">
      <c r="A170" t="str">
        <f>INDEX('ei names mapping'!$B$4:$R$33,MATCH('lci-kick scooter - LFP'!$B$3,'ei names mapping'!$A$4:$A$33,0),MATCH('lci-kick scooter - LFP'!$G170,'ei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2.7</v>
      </c>
      <c r="C170" t="str">
        <f>INDEX('ei names mapping'!$B$38:$R$67,MATCH('lci-kick scooter - LFP'!$B$3,'ei names mapping'!$A$4:$A$33,0),MATCH('lci-kick scooter - LFP'!$G170,'ei names mapping'!$B$3:$R$3,0))</f>
        <v>GLO</v>
      </c>
      <c r="D170" t="str">
        <f>INDEX('ei names mapping'!$B$104:$R$133,MATCH('lci-kick scooter - LFP'!$B$3,'ei names mapping'!$A$4:$A$33,0),MATCH('lci-kick scooter - LFP'!$G170,'ei names mapping'!$B$3:$R$3,0))</f>
        <v>kilogram</v>
      </c>
      <c r="F170" t="s">
        <v>89</v>
      </c>
      <c r="G170" t="s">
        <v>501</v>
      </c>
      <c r="H170" t="str">
        <f>INDEX('ei names mapping'!$B$71:$R$100,MATCH('lci-kick scooter - LFP'!$B$3,'ei names mapping'!$A$4:$A$33,0),MATCH('lci-kick scooter - LFP'!$G170,'ei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0.49000000000000005</v>
      </c>
      <c r="C171" t="str">
        <f>INDEX('ei names mapping'!$B$38:$R$67,MATCH(B138,'ei names mapping'!$A$4:$A$33,0),MATCH(G171,'ei names mapping'!$B$3:$R$3,0))</f>
        <v>GLO</v>
      </c>
      <c r="D171" t="str">
        <f>INDEX('ei names mapping'!$B$104:$R$133,MATCH(B138,'ei names mapping'!$A$4:$A$33,0),MATCH(G171,'ei names mapping'!$B$3:$R$3,0))</f>
        <v>kilogram</v>
      </c>
      <c r="F171" t="s">
        <v>89</v>
      </c>
      <c r="G171" t="s">
        <v>14</v>
      </c>
      <c r="H171" t="str">
        <f>INDEX('ei names mapping'!$B$71:$R$100,MATCH(B138,'ei names mapping'!$A$4:$A$33,0),MATCH(G171,'ei names mapping'!$B$3:$R$3,0))</f>
        <v>Glider lightweighting</v>
      </c>
    </row>
    <row r="172" spans="1:8" x14ac:dyDescent="0.2">
      <c r="A172" t="s">
        <v>759</v>
      </c>
      <c r="B172" s="4">
        <f>INDEX('vehicles specifications'!$B$3:$CW$166,MATCH(B141,'vehicles specifications'!$A$3:$A$166,0),MATCH(G172,'vehicles specifications'!$B$2:$CW$2,0))*INDEX('ei names mapping'!$B$137:$BL$300,MATCH(B141,'ei names mapping'!$A$137:$A$300,0),MATCH(G172,'ei names mapping'!$B$136:$BL$136,0))</f>
        <v>2.5</v>
      </c>
      <c r="C172" t="str">
        <f>INDEX('ei names mapping'!$B$38:$R$67,MATCH('lci-kick scooter - LFP'!$B$3,'ei names mapping'!$A$4:$A$33,0),MATCH('lci-kick scooter - LFP'!$G172,'ei names mapping'!$B$3:$R$3,0))</f>
        <v>GLO</v>
      </c>
      <c r="D172" t="str">
        <f>INDEX('ei names mapping'!$B$104:$R$133,MATCH('lci-kick scooter - LFP'!$B$3,'ei names mapping'!$A$4:$A$33,0),MATCH('lci-kick scooter - LFP'!$G172,'ei names mapping'!$B$3:$R$3,0))</f>
        <v>kilogram</v>
      </c>
      <c r="F172" t="s">
        <v>89</v>
      </c>
      <c r="G172" t="s">
        <v>19</v>
      </c>
      <c r="H172" t="str">
        <f>INDEX('ei names mapping'!$B$71:$R$100,MATCH('lci-kick scooter - LFP'!$B$3,'ei names mapping'!$A$4:$A$33,0),MATCH('lci-kick scooter - LFP'!$G172,'ei names mapping'!$B$3:$R$3,0))</f>
        <v>Battery cell</v>
      </c>
    </row>
    <row r="173" spans="1:8" x14ac:dyDescent="0.2">
      <c r="A173" t="str">
        <f>INDEX('ei names mapping'!$B$4:$R$33,MATCH('lci-kick scooter - LFP'!$B$3,'ei names mapping'!$A$4:$A$33,0),MATCH('lci-kick scooter - LFP'!$G173,'ei names mapping'!$B$3:$R$3,0))</f>
        <v>Battery BoP</v>
      </c>
      <c r="B173" s="4">
        <f>INDEX('vehicles specifications'!$B$3:$CW$166,MATCH(B141,'vehicles specifications'!$A$3:$A$166,0),MATCH(G173,'vehicles specifications'!$B$2:$CW$2,0))*INDEX('ei names mapping'!$B$137:$BL$300,MATCH(B141,'ei names mapping'!$A$137:$A$300,0),MATCH(G173,'ei names mapping'!$B$136:$BL$136,0))</f>
        <v>0.5</v>
      </c>
      <c r="C173" t="str">
        <f>INDEX('ei names mapping'!$B$38:$R$67,MATCH('lci-kick scooter - LFP'!$B$3,'ei names mapping'!$A$4:$A$33,0),MATCH('lci-kick scooter - LFP'!$G173,'ei names mapping'!$B$3:$R$3,0))</f>
        <v>GLO</v>
      </c>
      <c r="D173" t="str">
        <f>INDEX('ei names mapping'!$B$104:$R$133,MATCH('lci-kick scooter - LFP'!$B$3,'ei names mapping'!$A$4:$A$33,0),MATCH('lci-kick scooter - LFP'!$G173,'ei names mapping'!$B$3:$R$3,0))</f>
        <v>kilogram</v>
      </c>
      <c r="F173" t="s">
        <v>89</v>
      </c>
      <c r="G173" t="s">
        <v>20</v>
      </c>
      <c r="H173" t="str">
        <f>INDEX('ei names mapping'!$B$71:$R$100,MATCH('lci-kick scooter - LFP'!$B$3,'ei names mapping'!$A$4:$A$33,0),MATCH('lci-kick scooter - LFP'!$G173,'ei names mapping'!$B$3:$R$3,0))</f>
        <v>Battery BoP</v>
      </c>
    </row>
    <row r="174" spans="1:8" x14ac:dyDescent="0.2">
      <c r="A174" t="str">
        <f>INDEX('ei names mapping'!$B$4:$R$33,MATCH('lci-kick scooter - LFP'!$B$3,'ei names mapping'!$A$4:$A$33,0),MATCH('lci-kick scooter - LFP'!$G174,'ei names mapping'!$B$3:$R$3,0))</f>
        <v>charging station, 100W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mapping'!$B$38:$R$67,MATCH('lci-kick scooter - LFP'!$B$3,'ei names mapping'!$A$4:$A$33,0),MATCH('lci-kick scooter - LFP'!$G174,'ei names mapping'!$B$3:$R$3,0))</f>
        <v>GLO</v>
      </c>
      <c r="D174" t="str">
        <f>INDEX('ei names mapping'!$B$104:$R$133,MATCH('lci-kick scooter - LFP'!$B$3,'ei names mapping'!$A$4:$A$33,0),MATCH('lci-kick scooter - LFP'!$G174,'ei names mapping'!$B$3:$R$3,0))</f>
        <v>unit</v>
      </c>
      <c r="F174" t="s">
        <v>89</v>
      </c>
      <c r="G174" t="s">
        <v>52</v>
      </c>
      <c r="H174" t="str">
        <f>INDEX('ei names mapping'!$B$71:$R$100,MATCH('lci-kick scooter - LFP'!$B$3,'ei names mapping'!$A$4:$A$33,0),MATCH('lci-kick scooter - LFP'!$G174,'ei names mapping'!$B$3:$R$3,0))</f>
        <v>charging station, 100W</v>
      </c>
    </row>
    <row r="175" spans="1:8" x14ac:dyDescent="0.2">
      <c r="A175" t="str">
        <f>INDEX('ei names mapping'!$B$4:$R$33,MATCH('lci-kick scooter - LFP'!$B$3,'ei names mapping'!$A$4:$A$33,0),MATCH('lci-kick scooter - LFP'!$G175,'ei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-0.1125</v>
      </c>
      <c r="C175" t="str">
        <f>INDEX('ei names mapping'!$B$38:$R$67,MATCH('lci-kick scooter - LFP'!$B$3,'ei names mapping'!$A$4:$A$33,0),MATCH('lci-kick scooter - LFP'!$G175,'ei names mapping'!$B$3:$R$3,0))</f>
        <v>CH</v>
      </c>
      <c r="D175" t="str">
        <f>INDEX('ei names mapping'!$B$104:$R$133,MATCH('lci-kick scooter - LFP'!$B$3,'ei names mapping'!$A$4:$A$33,0),MATCH('lci-kick scooter - LFP'!$G175,'ei names mapping'!$B$3:$R$3,0))</f>
        <v>unit</v>
      </c>
      <c r="F175" t="s">
        <v>89</v>
      </c>
      <c r="G175" t="s">
        <v>145</v>
      </c>
      <c r="H175" t="str">
        <f>INDEX('ei names mapping'!$B$71:$R$100,MATCH('lci-kick scooter - LFP'!$B$3,'ei names mapping'!$A$4:$A$33,0),MATCH('lci-kick scooter - LFP'!$G175,'ei names mapping'!$B$3:$R$3,0))</f>
        <v>used electric bicycle</v>
      </c>
    </row>
    <row r="176" spans="1:8" x14ac:dyDescent="0.2">
      <c r="A176" t="str">
        <f>INDEX('ei names mapping'!$B$4:$R$33,MATCH('lci-kick scooter - LFP'!$B$3,'ei names mapping'!$A$4:$A$33,0),MATCH('lci-kick scooter - LFP'!$G176,'ei names mapping'!$B$3:$R$3,0))</f>
        <v>treatment of used bicycle</v>
      </c>
      <c r="B176" s="4">
        <f>INDEX('vehicles specifications'!$B$3:$CW$166,MATCH(B141,'vehicles specifications'!$A$3:$A$166,0),MATCH(G176,'vehicles specifications'!$B$2:$CW$2,0))*INDEX('ei names mapping'!$B$137:$BL$300,MATCH(B141,'ei names mapping'!$A$137:$A$300,0),MATCH(G176,'ei names mapping'!$B$136:$BL$136,0))</f>
        <v>-0.38294117647058823</v>
      </c>
      <c r="C176" t="str">
        <f>INDEX('ei names mapping'!$B$38:$R$67,MATCH('lci-kick scooter - LFP'!$B$3,'ei names mapping'!$A$4:$A$33,0),MATCH('lci-kick scooter - LFP'!$G176,'ei names mapping'!$B$3:$R$3,0))</f>
        <v>CH</v>
      </c>
      <c r="D176" t="str">
        <f>INDEX('ei names mapping'!$B$104:$R$133,MATCH('lci-kick scooter - LFP'!$B$3,'ei names mapping'!$A$4:$A$33,0),MATCH('lci-kick scooter - LFP'!$G176,'ei names mapping'!$B$3:$R$3,0))</f>
        <v>unit</v>
      </c>
      <c r="F176" t="s">
        <v>89</v>
      </c>
      <c r="G176" t="s">
        <v>144</v>
      </c>
      <c r="H176" t="str">
        <f>INDEX('ei names mapping'!$B$71:$R$100,MATCH('lci-kick scooter - LFP'!$B$3,'ei names mapping'!$A$4:$A$33,0),MATCH('lci-kick scooter - LFP'!$G176,'ei names mapping'!$B$3:$R$3,0))</f>
        <v>used bicycle</v>
      </c>
    </row>
    <row r="177" spans="1:8" x14ac:dyDescent="0.2">
      <c r="A177" t="str">
        <f>INDEX('ei names mapping'!$B$4:$R$33,MATCH('lci-kick scooter - LFP'!$B$3,'ei names mapping'!$A$4:$A$33,0),MATCH('lci-kick scooter - LFP'!$G177,'ei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-3</v>
      </c>
      <c r="C177" t="str">
        <f>INDEX('ei names mapping'!$B$38:$R$67,MATCH('lci-kick scooter - LFP'!$B$3,'ei names mapping'!$A$4:$A$33,0),MATCH('lci-kick scooter - LFP'!$G177,'ei names mapping'!$B$3:$R$3,0))</f>
        <v>GLO</v>
      </c>
      <c r="D177" t="str">
        <f>INDEX('ei names mapping'!$B$104:$R$133,MATCH('lci-kick scooter - LFP'!$B$3,'ei names mapping'!$A$4:$A$33,0),MATCH('lci-kick scooter - LFP'!$G177,'ei names mapping'!$B$3:$R$3,0))</f>
        <v>kilogram</v>
      </c>
      <c r="F177" t="s">
        <v>89</v>
      </c>
      <c r="G177" t="s">
        <v>146</v>
      </c>
      <c r="H177" t="str">
        <f>INDEX('ei names mapping'!$B$71:$R$100,MATCH('lci-kick scooter - LFP'!$B$3,'ei names mapping'!$A$4:$A$33,0),MATCH('lci-kick scooter - LFP'!$G177,'ei names mapping'!$B$3:$R$3,0))</f>
        <v>used Li-ion battery</v>
      </c>
    </row>
    <row r="178" spans="1:8" x14ac:dyDescent="0.2">
      <c r="A178" s="13" t="s">
        <v>840</v>
      </c>
      <c r="B178">
        <f>(B151/1000)*B164</f>
        <v>12.21</v>
      </c>
      <c r="C178" t="s">
        <v>92</v>
      </c>
      <c r="D178" t="s">
        <v>233</v>
      </c>
      <c r="F178" t="s">
        <v>89</v>
      </c>
      <c r="H178" s="13" t="s">
        <v>841</v>
      </c>
    </row>
    <row r="179" spans="1:8" x14ac:dyDescent="0.2">
      <c r="A179" s="13" t="s">
        <v>441</v>
      </c>
      <c r="B179" s="2">
        <f>(B151/1000)*B163</f>
        <v>194.13900000000001</v>
      </c>
      <c r="C179" t="s">
        <v>95</v>
      </c>
      <c r="D179" t="s">
        <v>233</v>
      </c>
      <c r="F179" t="s">
        <v>89</v>
      </c>
      <c r="H179" s="13" t="s">
        <v>441</v>
      </c>
    </row>
    <row r="181" spans="1:8" ht="16" x14ac:dyDescent="0.2">
      <c r="A181" s="10" t="s">
        <v>71</v>
      </c>
      <c r="B181" s="8" t="str">
        <f>"transport, "&amp;B183&amp;", "&amp;B198&amp;" battery, "&amp;B185</f>
        <v>transport, Kick Scooter, electric, &lt;1kW, LFP battery, 2020</v>
      </c>
    </row>
    <row r="182" spans="1:8" x14ac:dyDescent="0.2">
      <c r="A182" t="s">
        <v>72</v>
      </c>
      <c r="B182" t="s">
        <v>37</v>
      </c>
    </row>
    <row r="183" spans="1:8" x14ac:dyDescent="0.2">
      <c r="A183" t="s">
        <v>86</v>
      </c>
      <c r="B183" t="s">
        <v>618</v>
      </c>
    </row>
    <row r="184" spans="1:8" x14ac:dyDescent="0.2">
      <c r="A184" t="s">
        <v>87</v>
      </c>
    </row>
    <row r="185" spans="1:8" x14ac:dyDescent="0.2">
      <c r="A185" t="s">
        <v>88</v>
      </c>
      <c r="B185">
        <v>2020</v>
      </c>
    </row>
    <row r="186" spans="1:8" x14ac:dyDescent="0.2">
      <c r="A186" t="s">
        <v>126</v>
      </c>
      <c r="B186" t="str">
        <f>B183&amp;" - "&amp;B185&amp;" - "&amp;B198&amp;" - "&amp;B182</f>
        <v>Kick Scooter, electric, &lt;1kW - 2020 - LFP - CH</v>
      </c>
    </row>
    <row r="187" spans="1:8" x14ac:dyDescent="0.2">
      <c r="A187" t="s">
        <v>73</v>
      </c>
      <c r="B187" t="str">
        <f>"transport, "&amp;B183</f>
        <v>transport, Kick Scooter, electric, &lt;1kW</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specifications'!$B$3:$CW$166,MATCH('lci-kick scooter - LFP'!B186,'vehicles specifications'!$A$3:$A$166,0),MATCH("Lifetime [km]",'vehicles specifications'!$B$2:$CW$2,0))</f>
        <v>1785</v>
      </c>
    </row>
    <row r="192" spans="1:8" x14ac:dyDescent="0.2">
      <c r="A192" t="s">
        <v>128</v>
      </c>
      <c r="B192">
        <f>INDEX('vehicles specifications'!$B$3:$CW$166,MATCH('lci-kick scooter - LFP'!B186,'vehicles specifications'!$A$3:$A$166,0),MATCH("Passengers [unit]",'vehicles specifications'!$B$2:$CW$2,0))</f>
        <v>1</v>
      </c>
    </row>
    <row r="193" spans="1:2" x14ac:dyDescent="0.2">
      <c r="A193" t="s">
        <v>129</v>
      </c>
      <c r="B193">
        <f>INDEX('vehicles specifications'!$B$3:$CW$166,MATCH('lci-kick scooter - LFP'!B186,'vehicles specifications'!$A$3:$A$166,0),MATCH("Servicing [unit]",'vehicles specifications'!$B$2:$CW$2,0))</f>
        <v>0</v>
      </c>
    </row>
    <row r="194" spans="1:2" x14ac:dyDescent="0.2">
      <c r="A194" t="s">
        <v>130</v>
      </c>
      <c r="B194">
        <f>INDEX('vehicles specifications'!$B$3:$CW$166,MATCH('lci-kick scooter - LFP'!B186,'vehicles specifications'!$A$3:$A$166,0),MATCH("Energy battery replacement [unit]",'vehicles specifications'!$B$2:$CW$2,0))</f>
        <v>0</v>
      </c>
    </row>
    <row r="195" spans="1:2" x14ac:dyDescent="0.2">
      <c r="A195" t="s">
        <v>131</v>
      </c>
      <c r="B195">
        <f>INDEX('vehicles specifications'!$B$3:$CW$166,MATCH('lci-kick scooter - LFP'!B186,'vehicles specifications'!$A$3:$A$166,0),MATCH("Annual kilometers [km]",'vehicles specifications'!$B$2:$CW$2,0))</f>
        <v>890</v>
      </c>
    </row>
    <row r="196" spans="1:2" x14ac:dyDescent="0.2">
      <c r="A196" t="s">
        <v>132</v>
      </c>
      <c r="B196">
        <f>INDEX('vehicles specifications'!$B$3:$CW$166,MATCH('lci-kick scooter - LFP'!B186,'vehicles specifications'!$A$3:$A$166,0),MATCH("Curb mass [kg]",'vehicles specifications'!$B$2:$CW$2,0))</f>
        <v>12</v>
      </c>
    </row>
    <row r="197" spans="1:2" x14ac:dyDescent="0.2">
      <c r="A197" t="s">
        <v>133</v>
      </c>
      <c r="B197">
        <f>INDEX('vehicles specifications'!$B$3:$CW$166,MATCH('lci-kick scooter - LFP'!B186,'vehicles specifications'!$A$3:$A$166,0),MATCH("Power [kW]",'vehicles specifications'!$B$2:$CW$2,0))</f>
        <v>0.25</v>
      </c>
    </row>
    <row r="198" spans="1:2" x14ac:dyDescent="0.2">
      <c r="A198" t="s">
        <v>652</v>
      </c>
      <c r="B198" t="s">
        <v>44</v>
      </c>
    </row>
    <row r="199" spans="1:2" x14ac:dyDescent="0.2">
      <c r="A199" t="s">
        <v>134</v>
      </c>
      <c r="B199">
        <f>INDEX('vehicles specifications'!$B$3:$CW$166,MATCH('lci-kick scooter - LFP'!B186,'vehicles specifications'!$A$3:$A$166,0),MATCH("Energy battery mass [kg]",'vehicles specifications'!$B$2:$CW$2,0))</f>
        <v>2</v>
      </c>
    </row>
    <row r="200" spans="1:2" x14ac:dyDescent="0.2">
      <c r="A200" t="s">
        <v>135</v>
      </c>
      <c r="B200">
        <f>INDEX('vehicles specifications'!$B$3:$CW$166,MATCH('lci-kick scooter - LFP'!B186,'vehicles specifications'!$A$3:$A$166,0),MATCH("Electric energy stored [kWh]",'vehicles specifications'!$B$2:$CW$2,0))</f>
        <v>0.25</v>
      </c>
    </row>
    <row r="201" spans="1:2" x14ac:dyDescent="0.2">
      <c r="A201" t="s">
        <v>588</v>
      </c>
      <c r="B201">
        <f>INDEX('vehicles specifications'!$B$3:$CW$166,MATCH('lci-kick scooter - LFP'!B186,'vehicles specifications'!$A$3:$A$166,0),MATCH("Electric energy available [kWh]",'vehicles specifications'!$B$2:$CW$2,0))</f>
        <v>0.2</v>
      </c>
    </row>
    <row r="202" spans="1:2" x14ac:dyDescent="0.2">
      <c r="A202" t="s">
        <v>138</v>
      </c>
      <c r="B202">
        <f>INDEX('vehicles specifications'!$B$3:$CW$166,MATCH('lci-kick scooter - LFP'!B186,'vehicles specifications'!$A$3:$A$166,0),MATCH("Oxydation energy stored [kWh]",'vehicles specifications'!$B$2:$CW$2,0))</f>
        <v>0</v>
      </c>
    </row>
    <row r="203" spans="1:2" x14ac:dyDescent="0.2">
      <c r="A203" t="s">
        <v>139</v>
      </c>
      <c r="B203">
        <f>INDEX('vehicles specifications'!$B$3:$CW$166,MATCH('lci-kick scooter - LFP'!B186,'vehicles specifications'!$A$3:$A$166,0),MATCH("Fuel mass [kg]",'vehicles specifications'!$B$2:$CW$2,0))</f>
        <v>0</v>
      </c>
    </row>
    <row r="204" spans="1:2" x14ac:dyDescent="0.2">
      <c r="A204" t="s">
        <v>136</v>
      </c>
      <c r="B204">
        <f>INDEX('vehicles specifications'!$B$3:$CW$166,MATCH('lci-kick scooter - LFP'!B186,'vehicles specifications'!$A$3:$A$166,0),MATCH("Range [km]",'vehicles specifications'!$B$2:$CW$2,0))</f>
        <v>8.3598130841121492</v>
      </c>
    </row>
    <row r="205" spans="1:2" x14ac:dyDescent="0.2">
      <c r="A205" t="s">
        <v>137</v>
      </c>
      <c r="B205" t="str">
        <f>INDEX('vehicles specifications'!$B$3:$CW$166,MATCH('lci-kick scooter - LFP'!B186,'vehicles specifications'!$A$3:$A$166,0),MATCH("Emission standard",'vehicles specifications'!$B$2:$CW$2,0))</f>
        <v>None</v>
      </c>
    </row>
    <row r="206" spans="1:2" x14ac:dyDescent="0.2">
      <c r="A206" t="s">
        <v>1174</v>
      </c>
      <c r="B206" s="6">
        <f>INDEX('vehicles specifications'!$B$3:$CW$166,MATCH('lci-kick scooter - LFP'!B186,'vehicles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"&amp;'lci-kick scooter - LFP'!B143</f>
        <v>Power: 0.25 kW. Lifetime: 1785 km. Annual kilometers: 890 km. Number of passengers: 1. Curb mass: 12 kg. Lightweighting of glider: 0%. Emission standard: None. Service visits throughout lifetime: 0. Range: 8 km. Battery capacity: 0.3 kWh. Available battery capacity: 0.2 kWh. Battery mass: 2 kg. Battery replacement throughout lifetime: 0. Fuel tank capacity: 0 kWh. Fuel mass: 0 kg. Documentation: Life-cycle inventories for on-road vehicles, Sacchi R. (PSI), Bauer C. (PSI), 2021. process</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Kick Scooter, electric, &lt;1kW, LFP battery, 2020</v>
      </c>
      <c r="B210">
        <v>1</v>
      </c>
      <c r="C210" t="str">
        <f>B182</f>
        <v>CH</v>
      </c>
      <c r="D210" t="s">
        <v>166</v>
      </c>
      <c r="F210" t="s">
        <v>84</v>
      </c>
      <c r="G210" t="s">
        <v>85</v>
      </c>
      <c r="H210" t="str">
        <f>B187</f>
        <v>transport, Kick Scooter, electric, &lt;1kW</v>
      </c>
    </row>
    <row r="211" spans="1:8" x14ac:dyDescent="0.2">
      <c r="A211" t="str">
        <f>RIGHT(A210,LEN(A210)-11)</f>
        <v>Kick Scooter, electric, &lt;1kW, LFP battery, 2020</v>
      </c>
      <c r="B211" s="7">
        <f>1/B191</f>
        <v>5.602240896358543E-4</v>
      </c>
      <c r="C211" t="str">
        <f>B182</f>
        <v>CH</v>
      </c>
      <c r="D211" t="s">
        <v>76</v>
      </c>
      <c r="F211" t="s">
        <v>89</v>
      </c>
      <c r="H211" t="str">
        <f>RIGHT(H210,LEN(H210)-11)</f>
        <v>Kick Scooter, electric, &lt;1kW</v>
      </c>
    </row>
    <row r="212" spans="1:8" x14ac:dyDescent="0.2">
      <c r="A212" t="str">
        <f>INDEX('ei names mapping'!$B$4:$R$33,MATCH('lci-kick scooter - LFP'!$B$3,'ei names mapping'!$A$4:$A$33,0),MATCH('lci-kick scooter - LFP'!$G212,'ei names mapping'!$B$3:$R$3,0))</f>
        <v>market for electricity, low voltage</v>
      </c>
      <c r="B212" s="7">
        <f>INDEX('vehicles specifications'!$B$3:$CW$166,MATCH(B186,'vehicles specifications'!$A$3:$A$166,0),MATCH(G212,'vehicles specifications'!$B$2:$CW$2,0))*INDEX('ei names mapping'!$B$137:$BL$300,MATCH(B186,'ei names mapping'!$A$137:$A$300,0),MATCH(G212,'ei names mapping'!$B$136:$BL$136,0))</f>
        <v>2.6316377864728905E-2</v>
      </c>
      <c r="C212" t="str">
        <f>INDEX('ei names mapping'!$B$38:$R$67,MATCH('lci-kick scooter - LFP'!$B$3,'ei names mapping'!$A$4:$A$33,0),MATCH('lci-kick scooter - LFP'!$G212,'ei names mapping'!$B$3:$R$3,0))</f>
        <v>CH</v>
      </c>
      <c r="D212" t="str">
        <f>INDEX('ei names mapping'!$B$104:$R$133,MATCH('lci-kick scooter - LFP'!$B$3,'ei names mapping'!$A$4:$A$33,0),MATCH('lci-kick scooter - LFP'!$G212,'ei names mapping'!$B$3:$R$3,0))</f>
        <v>kilowatt hour</v>
      </c>
      <c r="F212" t="s">
        <v>89</v>
      </c>
      <c r="G212" t="s">
        <v>28</v>
      </c>
      <c r="H212" t="str">
        <f>INDEX('ei names mapping'!$B$71:$R$100,MATCH('lci-kick scooter - LFP'!$B$3,'ei names mapping'!$A$4:$A$33,0),MATCH('lci-kick scooter - LFP'!$G212,'ei names mapping'!$B$3:$R$3,0))</f>
        <v>electricity, low voltage</v>
      </c>
    </row>
    <row r="213" spans="1:8" x14ac:dyDescent="0.2">
      <c r="A213" t="str">
        <f>INDEX('ei names mapping'!$B$4:$R$33,MATCH(B183,'ei names mapping'!$A$4:$A$33,0),MATCH(G213,'ei names mapping'!$B$3:$R$3,0))</f>
        <v>road construction</v>
      </c>
      <c r="B213" s="7">
        <f>INDEX('vehicles specifications'!$B$3:$CW$166,MATCH(B186,'vehicles specifications'!$A$3:$A$166,0),MATCH(G213,'vehicles specifications'!$B$2:$CW$2,0))*INDEX('ei names mapping'!$B$137:$BL$300,MATCH(B186,'ei names mapping'!$A$137:$A$300,0),MATCH(G213,'ei names mapping'!$B$136:$BL$136,0))</f>
        <v>4.6718999999999998E-5</v>
      </c>
      <c r="C213" t="str">
        <f>INDEX('ei names mapping'!$B$38:$R$67,MATCH(B183,'ei names mapping'!$A$4:$A$33,0),MATCH(G213,'ei names mapping'!$B$3:$R$3,0))</f>
        <v>CH</v>
      </c>
      <c r="D213" t="str">
        <f>INDEX('ei names mapping'!$B$104:$R$133,MATCH(B183,'ei names mapping'!$A$104:$A$133,0),MATCH(G213,'ei names mapping'!$B$3:$R$3,0))</f>
        <v>meter-year</v>
      </c>
      <c r="F213" t="s">
        <v>89</v>
      </c>
      <c r="G213" t="s">
        <v>105</v>
      </c>
      <c r="H213" t="str">
        <f>INDEX('ei names mapping'!$B$71:$R$100,MATCH(B183,'ei names mapping'!$A$4:$A$33,0),MATCH(G213,'ei names mapping'!$B$3:$R$3,0))</f>
        <v>road</v>
      </c>
    </row>
    <row r="214" spans="1:8" x14ac:dyDescent="0.2">
      <c r="A214" t="str">
        <f>INDEX('ei names mapping'!$B$4:$BL$33,MATCH('lci-kick scooter - LFP'!$B$3,'ei names mapping'!$A$4:$A$33,0),MATCH('lci-kick scooter - LFP'!$G214,'ei names mapping'!$B$3:$BL$3,0))</f>
        <v>treatment of road wear emissions, passenger car</v>
      </c>
      <c r="B214" s="7">
        <f>INDEX('vehicles specifications'!$B$3:$CW$166,MATCH(B186,'vehicles specifications'!$A$3:$A$166,0),MATCH(G214,'vehicles specifications'!$B$2:$CW$2,0))*INDEX('ei names mapping'!$B$137:$BL$300,MATCH(B186,'ei names mapping'!$A$137:$A$300,0),MATCH(G214,'ei names mapping'!$B$136:$BL$136,0))</f>
        <v>-3.7841235581851242E-6</v>
      </c>
      <c r="C214" t="str">
        <f>INDEX('ei names mapping'!$B$38:$BL$67,MATCH('lci-kick scooter - LFP'!$B$3,'ei names mapping'!$A$4:$A$33,0),MATCH('lci-kick scooter - LFP'!$G214,'ei names mapping'!$B$3:$BL$3,0))</f>
        <v>RER</v>
      </c>
      <c r="D214" t="str">
        <f>INDEX('ei names mapping'!$B$104:$BL$133,MATCH('lci-kick scooter - LFP'!$B$3,'ei names mapping'!$A$4:$A$33,0),MATCH('lci-kick scooter - LFP'!$G214,'ei names mapping'!$B$3:$BL$3,0))</f>
        <v>kilogram</v>
      </c>
      <c r="F214" t="s">
        <v>89</v>
      </c>
      <c r="G214" t="s">
        <v>29</v>
      </c>
      <c r="H214" t="str">
        <f>INDEX('ei names mapping'!$B$71:$BL$100,MATCH('lci-kick scooter - LFP'!$B$3,'ei names mapping'!$A$4:$A$33,0),MATCH('lci-kick scooter - LFP'!$G214,'ei names mapping'!$B$3:$BL$3,0))</f>
        <v>road wear emissions, passenger car</v>
      </c>
    </row>
    <row r="215" spans="1:8" x14ac:dyDescent="0.2">
      <c r="A215" t="str">
        <f>INDEX('ei names mapping'!$B$4:$BL$33,MATCH('lci-kick scooter - LFP'!$B$3,'ei names mapping'!$A$4:$A$33,0),MATCH('lci-kick scooter - LFP'!$G215,'ei names mapping'!$B$3:$BL$3,0))</f>
        <v>treatment of tyre wear emissions, passenger car</v>
      </c>
      <c r="B215" s="7">
        <f>INDEX('vehicles specifications'!$B$3:$CW$166,MATCH(B186,'vehicles specifications'!$A$3:$A$166,0),MATCH(G215,'vehicles specifications'!$B$2:$CW$2,0))*INDEX('ei names mapping'!$B$137:$BL$300,MATCH(B186,'ei names mapping'!$A$137:$A$300,0),MATCH(G215,'ei names mapping'!$B$136:$BL$136,0))</f>
        <v>-3.6839818188838036E-6</v>
      </c>
      <c r="C215" t="str">
        <f>INDEX('ei names mapping'!$B$38:$BL$67,MATCH('lci-kick scooter - LFP'!$B$3,'ei names mapping'!$A$4:$A$33,0),MATCH('lci-kick scooter - LFP'!$G215,'ei names mapping'!$B$3:$BL$3,0))</f>
        <v>RER</v>
      </c>
      <c r="D215" t="str">
        <f>INDEX('ei names mapping'!$B$104:$BL$133,MATCH('lci-kick scooter - LFP'!$B$3,'ei names mapping'!$A$4:$A$33,0),MATCH('lci-kick scooter - LFP'!$G215,'ei names mapping'!$B$3:$BL$3,0))</f>
        <v>kilogram</v>
      </c>
      <c r="F215" t="s">
        <v>89</v>
      </c>
      <c r="G215" t="s">
        <v>30</v>
      </c>
      <c r="H215" t="str">
        <f>INDEX('ei names mapping'!$B$71:$BL$100,MATCH('lci-kick scooter - LFP'!$B$3,'ei names mapping'!$A$4:$A$33,0),MATCH('lci-kick scooter - LFP'!$G215,'ei names mapping'!$B$3:$BL$3,0))</f>
        <v>tyre wear emissions, passenger car</v>
      </c>
    </row>
    <row r="216" spans="1:8" x14ac:dyDescent="0.2">
      <c r="A216" t="str">
        <f>INDEX('ei names mapping'!$B$4:$BL$33,MATCH('lci-kick scooter - LFP'!$B$3,'ei names mapping'!$A$4:$A$33,0),MATCH('lci-kick scooter - LFP'!$G216,'ei names mapping'!$B$3:$BL$3,0))</f>
        <v>treatment of brake wear emissions, passenger car</v>
      </c>
      <c r="B216" s="7">
        <f>INDEX('vehicles specifications'!$B$3:$CW$166,MATCH(B186,'vehicles specifications'!$A$3:$A$166,0),MATCH(G216,'vehicles specifications'!$B$2:$CW$2,0))*INDEX('ei names mapping'!$B$137:$BL$300,MATCH(B186,'ei names mapping'!$A$137:$A$300,0),MATCH(G216,'ei names mapping'!$B$136:$BL$136,0))</f>
        <v>-3.452136406679805E-6</v>
      </c>
      <c r="C216" t="str">
        <f>INDEX('ei names mapping'!$B$38:$BL$67,MATCH('lci-kick scooter - LFP'!$B$3,'ei names mapping'!$A$4:$A$33,0),MATCH('lci-kick scooter - LFP'!$G216,'ei names mapping'!$B$3:$BL$3,0))</f>
        <v>RER</v>
      </c>
      <c r="D216" t="str">
        <f>INDEX('ei names mapping'!$B$104:$BL$133,MATCH('lci-kick scooter - LFP'!$B$3,'ei names mapping'!$A$4:$A$33,0),MATCH('lci-kick scooter - LFP'!$G216,'ei names mapping'!$B$3:$BL$3,0))</f>
        <v>kilogram</v>
      </c>
      <c r="F216" t="s">
        <v>89</v>
      </c>
      <c r="G216" t="s">
        <v>31</v>
      </c>
      <c r="H216" t="str">
        <f>INDEX('ei names mapping'!$B$71:$BL$100,MATCH('lci-kick scooter - LFP'!$B$3,'ei names mapping'!$A$4:$A$33,0),MATCH('lci-kick scooter - LFP'!$G216,'ei names mapping'!$B$3:$BL$3,0))</f>
        <v>brake wear emissions, passenger car</v>
      </c>
    </row>
    <row r="218" spans="1:8" ht="16" x14ac:dyDescent="0.2">
      <c r="A218" s="10" t="s">
        <v>71</v>
      </c>
      <c r="B218" s="8" t="str">
        <f>"transport, "&amp;B220&amp;", "&amp;B235&amp;" battery, "&amp;B222</f>
        <v>transport, Kick Scooter, electric, &lt;1kW, LFP battery, 2030</v>
      </c>
    </row>
    <row r="219" spans="1:8" x14ac:dyDescent="0.2">
      <c r="A219" t="s">
        <v>72</v>
      </c>
      <c r="B219" t="s">
        <v>37</v>
      </c>
    </row>
    <row r="220" spans="1:8" x14ac:dyDescent="0.2">
      <c r="A220" t="s">
        <v>86</v>
      </c>
      <c r="B220" t="s">
        <v>618</v>
      </c>
    </row>
    <row r="221" spans="1:8" x14ac:dyDescent="0.2">
      <c r="A221" t="s">
        <v>87</v>
      </c>
    </row>
    <row r="222" spans="1:8" x14ac:dyDescent="0.2">
      <c r="A222" t="s">
        <v>88</v>
      </c>
      <c r="B222">
        <v>2030</v>
      </c>
    </row>
    <row r="223" spans="1:8" x14ac:dyDescent="0.2">
      <c r="A223" t="s">
        <v>126</v>
      </c>
      <c r="B223" t="str">
        <f>B220&amp;" - "&amp;B222&amp;" - "&amp;B235&amp;" - "&amp;B219</f>
        <v>Kick Scooter, electric, &lt;1kW - 2030 - LFP - CH</v>
      </c>
    </row>
    <row r="224" spans="1:8" x14ac:dyDescent="0.2">
      <c r="A224" t="s">
        <v>73</v>
      </c>
      <c r="B224" t="str">
        <f>"transport, "&amp;B220</f>
        <v>transport, Kick Scooter, electric, &lt;1kW</v>
      </c>
    </row>
    <row r="225" spans="1:2" x14ac:dyDescent="0.2">
      <c r="A225" t="s">
        <v>74</v>
      </c>
      <c r="B225" t="s">
        <v>75</v>
      </c>
    </row>
    <row r="226" spans="1:2" x14ac:dyDescent="0.2">
      <c r="A226" t="s">
        <v>76</v>
      </c>
      <c r="B226" t="s">
        <v>166</v>
      </c>
    </row>
    <row r="227" spans="1:2" x14ac:dyDescent="0.2">
      <c r="A227" t="s">
        <v>78</v>
      </c>
      <c r="B227" t="s">
        <v>1143</v>
      </c>
    </row>
    <row r="228" spans="1:2" x14ac:dyDescent="0.2">
      <c r="A228" t="s">
        <v>127</v>
      </c>
      <c r="B228">
        <f>INDEX('vehicles specifications'!$B$3:$CW$166,MATCH('lci-kick scooter - LFP'!B223,'vehicles specifications'!$A$3:$A$166,0),MATCH("Lifetime [km]",'vehicles specifications'!$B$2:$CW$2,0))</f>
        <v>1785</v>
      </c>
    </row>
    <row r="229" spans="1:2" x14ac:dyDescent="0.2">
      <c r="A229" t="s">
        <v>128</v>
      </c>
      <c r="B229">
        <f>INDEX('vehicles specifications'!$B$3:$CW$166,MATCH('lci-kick scooter - LFP'!B223,'vehicles specifications'!$A$3:$A$166,0),MATCH("Passengers [unit]",'vehicles specifications'!$B$2:$CW$2,0))</f>
        <v>1</v>
      </c>
    </row>
    <row r="230" spans="1:2" x14ac:dyDescent="0.2">
      <c r="A230" t="s">
        <v>129</v>
      </c>
      <c r="B230">
        <f>INDEX('vehicles specifications'!$B$3:$CW$166,MATCH('lci-kick scooter - LFP'!B223,'vehicles specifications'!$A$3:$A$166,0),MATCH("Servicing [unit]",'vehicles specifications'!$B$2:$CW$2,0))</f>
        <v>0</v>
      </c>
    </row>
    <row r="231" spans="1:2" x14ac:dyDescent="0.2">
      <c r="A231" t="s">
        <v>130</v>
      </c>
      <c r="B231">
        <f>INDEX('vehicles specifications'!$B$3:$CW$166,MATCH('lci-kick scooter - LFP'!B223,'vehicles specifications'!$A$3:$A$166,0),MATCH("Energy battery replacement [unit]",'vehicles specifications'!$B$2:$CW$2,0))</f>
        <v>0</v>
      </c>
    </row>
    <row r="232" spans="1:2" x14ac:dyDescent="0.2">
      <c r="A232" t="s">
        <v>131</v>
      </c>
      <c r="B232">
        <f>INDEX('vehicles specifications'!$B$3:$CW$166,MATCH('lci-kick scooter - LFP'!B223,'vehicles specifications'!$A$3:$A$166,0),MATCH("Annual kilometers [km]",'vehicles specifications'!$B$2:$CW$2,0))</f>
        <v>890</v>
      </c>
    </row>
    <row r="233" spans="1:2" x14ac:dyDescent="0.2">
      <c r="A233" t="s">
        <v>132</v>
      </c>
      <c r="B233">
        <f>INDEX('vehicles specifications'!$B$3:$CW$166,MATCH('lci-kick scooter - LFP'!B223,'vehicles specifications'!$A$3:$A$166,0),MATCH("Curb mass [kg]",'vehicles specifications'!$B$2:$CW$2,0))</f>
        <v>11.69</v>
      </c>
    </row>
    <row r="234" spans="1:2" x14ac:dyDescent="0.2">
      <c r="A234" t="s">
        <v>133</v>
      </c>
      <c r="B234">
        <f>INDEX('vehicles specifications'!$B$3:$CW$166,MATCH('lci-kick scooter - LFP'!B223,'vehicles specifications'!$A$3:$A$166,0),MATCH("Power [kW]",'vehicles specifications'!$B$2:$CW$2,0))</f>
        <v>0.25</v>
      </c>
    </row>
    <row r="235" spans="1:2" x14ac:dyDescent="0.2">
      <c r="A235" t="s">
        <v>652</v>
      </c>
      <c r="B235" t="s">
        <v>44</v>
      </c>
    </row>
    <row r="236" spans="1:2" x14ac:dyDescent="0.2">
      <c r="A236" t="s">
        <v>134</v>
      </c>
      <c r="B236">
        <f>INDEX('vehicles specifications'!$B$3:$CW$166,MATCH('lci-kick scooter - LFP'!B223,'vehicles specifications'!$A$3:$A$166,0),MATCH("Energy battery mass [kg]",'vehicles specifications'!$B$2:$CW$2,0))</f>
        <v>2</v>
      </c>
    </row>
    <row r="237" spans="1:2" x14ac:dyDescent="0.2">
      <c r="A237" t="s">
        <v>135</v>
      </c>
      <c r="B237">
        <f>INDEX('vehicles specifications'!$B$3:$CW$166,MATCH('lci-kick scooter - LFP'!B223,'vehicles specifications'!$A$3:$A$166,0),MATCH("Electric energy stored [kWh]",'vehicles specifications'!$B$2:$CW$2,0))</f>
        <v>0.3</v>
      </c>
    </row>
    <row r="238" spans="1:2" x14ac:dyDescent="0.2">
      <c r="A238" t="s">
        <v>588</v>
      </c>
      <c r="B238">
        <f>INDEX('vehicles specifications'!$B$3:$CW$166,MATCH('lci-kick scooter - LFP'!B223,'vehicles specifications'!$A$3:$A$166,0),MATCH("Electric energy available [kWh]",'vehicles specifications'!$B$2:$CW$2,0))</f>
        <v>0.24</v>
      </c>
    </row>
    <row r="239" spans="1:2" x14ac:dyDescent="0.2">
      <c r="A239" t="s">
        <v>138</v>
      </c>
      <c r="B239">
        <f>INDEX('vehicles specifications'!$B$3:$CW$166,MATCH('lci-kick scooter - LFP'!B223,'vehicles specifications'!$A$3:$A$166,0),MATCH("Oxydation energy stored [kWh]",'vehicles specifications'!$B$2:$CW$2,0))</f>
        <v>0</v>
      </c>
    </row>
    <row r="240" spans="1:2" x14ac:dyDescent="0.2">
      <c r="A240" t="s">
        <v>139</v>
      </c>
      <c r="B240">
        <f>INDEX('vehicles specifications'!$B$3:$CW$166,MATCH('lci-kick scooter - LFP'!B223,'vehicles specifications'!$A$3:$A$166,0),MATCH("Fuel mass [kg]",'vehicles specifications'!$B$2:$CW$2,0))</f>
        <v>0</v>
      </c>
    </row>
    <row r="241" spans="1:8" x14ac:dyDescent="0.2">
      <c r="A241" t="s">
        <v>136</v>
      </c>
      <c r="B241">
        <f>INDEX('vehicles specifications'!$B$3:$CW$166,MATCH('lci-kick scooter - LFP'!B223,'vehicles specifications'!$A$3:$A$166,0),MATCH("Range [km]",'vehicles specifications'!$B$2:$CW$2,0))</f>
        <v>10.031775700934579</v>
      </c>
    </row>
    <row r="242" spans="1:8" x14ac:dyDescent="0.2">
      <c r="A242" t="s">
        <v>137</v>
      </c>
      <c r="B242" t="str">
        <f>INDEX('vehicles specifications'!$B$3:$CW$166,MATCH('lci-kick scooter - LFP'!B223,'vehicles specifications'!$A$3:$A$166,0),MATCH("Emission standard",'vehicles specifications'!$B$2:$CW$2,0))</f>
        <v>None</v>
      </c>
    </row>
    <row r="243" spans="1:8" x14ac:dyDescent="0.2">
      <c r="A243" t="s">
        <v>1174</v>
      </c>
      <c r="B243" s="6">
        <f>INDEX('vehicles specifications'!$B$3:$CW$166,MATCH('lci-kick scooter - LFP'!B223,'vehicles specifications'!$A$3:$A$166,0),MATCH("Lightweighting rate [%]",'vehicles specifications'!$B$2:$CW$2,0))</f>
        <v>0.03</v>
      </c>
    </row>
    <row r="244" spans="1:8" x14ac:dyDescent="0.2">
      <c r="A244" t="s">
        <v>83</v>
      </c>
      <c r="B244" t="str">
        <f>"Power: "&amp;B234&amp;" kW. Lifetime: "&amp;B228&amp;" km. Annual kilometers: "&amp;B232&amp;" km. Number of passengers: "&amp;B229&amp;". Curb mass: "&amp;ROUND(B233,1)&amp;" kg. Lightweighting of glider: "&amp;ROUND(B243*100,0)&amp;"%. Emission standard: "&amp;B242&amp;". Service visits throughout lifetime: "&amp;ROUND(B230,1)&amp;". Range: "&amp;ROUND(B241,0)&amp;" km. Battery capacity: "&amp;ROUND(B237,1)&amp;" kWh. Available battery capacity: "&amp;B238&amp;" kWh. Battery mass: "&amp;ROUND(B236,1)&amp; " kg. Battery replacement throughout lifetime: "&amp;ROUND(B231,1)&amp;". Fuel tank capacity: "&amp;ROUND(B239,1)&amp;" kWh. Fuel mass: "&amp;ROUND(B240,1)&amp;" kg. Documentation: "&amp;Readmefirst!$B$2&amp;", "&amp;Readmefirst!$B$3&amp;". "&amp;'lci-kick scooter - LFP'!B182</f>
        <v>Power: 0.25 kW. Lifetime: 1785 km. Annual kilometers: 890 km. Number of passengers: 1. Curb mass: 11.7 kg. Lightweighting of glider: 3%. Emission standard: None. Service visits throughout lifetime: 0. Range: 10 km. Battery capacity: 0.3 kWh. Available battery capacity: 0.24 kWh. Battery mass: 2 kg. Battery replacement throughout lifetime: 0. Fuel tank capacity: 0 kWh. Fuel mass: 0 kg. Documentation: Life-cycle inventories for on-road vehicles, Sacchi R. (PSI), Bauer C. (PSI), 2021. CH</v>
      </c>
    </row>
    <row r="245" spans="1:8" ht="16" x14ac:dyDescent="0.2">
      <c r="A245" s="10" t="s">
        <v>79</v>
      </c>
    </row>
    <row r="246" spans="1:8" x14ac:dyDescent="0.2">
      <c r="A246" t="s">
        <v>80</v>
      </c>
      <c r="B246" t="s">
        <v>81</v>
      </c>
      <c r="C246" t="s">
        <v>72</v>
      </c>
      <c r="D246" t="s">
        <v>76</v>
      </c>
      <c r="E246" t="s">
        <v>82</v>
      </c>
      <c r="F246" t="s">
        <v>74</v>
      </c>
      <c r="G246" t="s">
        <v>83</v>
      </c>
      <c r="H246" t="s">
        <v>73</v>
      </c>
    </row>
    <row r="247" spans="1:8" x14ac:dyDescent="0.2">
      <c r="A247" t="str">
        <f>B218</f>
        <v>transport, Kick Scooter, electric, &lt;1kW, LFP battery, 2030</v>
      </c>
      <c r="B247">
        <v>1</v>
      </c>
      <c r="C247" t="str">
        <f>B219</f>
        <v>CH</v>
      </c>
      <c r="D247" t="s">
        <v>166</v>
      </c>
      <c r="F247" t="s">
        <v>84</v>
      </c>
      <c r="G247" t="s">
        <v>85</v>
      </c>
      <c r="H247" t="str">
        <f>B224</f>
        <v>transport, Kick Scooter, electric, &lt;1kW</v>
      </c>
    </row>
    <row r="248" spans="1:8" x14ac:dyDescent="0.2">
      <c r="A248" t="str">
        <f>RIGHT(A247,LEN(A247)-11)</f>
        <v>Kick Scooter, electric, &lt;1kW, LFP battery, 2030</v>
      </c>
      <c r="B248" s="7">
        <f>1/B228</f>
        <v>5.602240896358543E-4</v>
      </c>
      <c r="C248" t="str">
        <f>B219</f>
        <v>CH</v>
      </c>
      <c r="D248" t="s">
        <v>76</v>
      </c>
      <c r="F248" t="s">
        <v>89</v>
      </c>
      <c r="H248" t="str">
        <f>RIGHT(H247,LEN(H247)-11)</f>
        <v>Kick Scooter, electric, &lt;1kW</v>
      </c>
    </row>
    <row r="249" spans="1:8" x14ac:dyDescent="0.2">
      <c r="A249" t="str">
        <f>INDEX('ei names mapping'!$B$4:$R$33,MATCH('lci-kick scooter - LFP'!$B$3,'ei names mapping'!$A$4:$A$33,0),MATCH('lci-kick scooter - LFP'!$G249,'ei names mapping'!$B$3:$R$3,0))</f>
        <v>market for electricity, low voltage</v>
      </c>
      <c r="B249" s="7">
        <f>INDEX('vehicles specifications'!$B$3:$CW$166,MATCH(B223,'vehicles specifications'!$A$3:$A$166,0),MATCH(G249,'vehicles specifications'!$B$2:$CW$2,0))*INDEX('ei names mapping'!$B$137:$BL$300,MATCH(B223,'ei names mapping'!$A$137:$A$300,0),MATCH(G249,'ei names mapping'!$B$136:$BL$136,0))</f>
        <v>2.6316377864728905E-2</v>
      </c>
      <c r="C249" t="str">
        <f>INDEX('ei names mapping'!$B$38:$R$67,MATCH('lci-kick scooter - LFP'!$B$3,'ei names mapping'!$A$4:$A$33,0),MATCH('lci-kick scooter - LFP'!$G249,'ei names mapping'!$B$3:$R$3,0))</f>
        <v>CH</v>
      </c>
      <c r="D249" t="str">
        <f>INDEX('ei names mapping'!$B$104:$R$133,MATCH('lci-kick scooter - LFP'!$B$3,'ei names mapping'!$A$4:$A$33,0),MATCH('lci-kick scooter - LFP'!$G249,'ei names mapping'!$B$3:$R$3,0))</f>
        <v>kilowatt hour</v>
      </c>
      <c r="F249" t="s">
        <v>89</v>
      </c>
      <c r="G249" t="s">
        <v>28</v>
      </c>
      <c r="H249" t="str">
        <f>INDEX('ei names mapping'!$B$71:$R$100,MATCH('lci-kick scooter - LFP'!$B$3,'ei names mapping'!$A$4:$A$33,0),MATCH('lci-kick scooter - LFP'!$G249,'ei names mapping'!$B$3:$R$3,0))</f>
        <v>electricity, low voltage</v>
      </c>
    </row>
    <row r="250" spans="1:8" x14ac:dyDescent="0.2">
      <c r="A250" t="str">
        <f>INDEX('ei names mapping'!$B$4:$R$33,MATCH(B220,'ei names mapping'!$A$4:$A$33,0),MATCH(G250,'ei names mapping'!$B$3:$R$3,0))</f>
        <v>road construction</v>
      </c>
      <c r="B250" s="7">
        <f>INDEX('vehicles specifications'!$B$3:$CW$166,MATCH(B223,'vehicles specifications'!$A$3:$A$166,0),MATCH(G250,'vehicles specifications'!$B$2:$CW$2,0))*INDEX('ei names mapping'!$B$137:$BL$300,MATCH(B223,'ei names mapping'!$A$137:$A$300,0),MATCH(G250,'ei names mapping'!$B$136:$BL$136,0))</f>
        <v>4.6552530000000001E-5</v>
      </c>
      <c r="C250" t="str">
        <f>INDEX('ei names mapping'!$B$38:$R$67,MATCH(B220,'ei names mapping'!$A$4:$A$33,0),MATCH(G250,'ei names mapping'!$B$3:$R$3,0))</f>
        <v>CH</v>
      </c>
      <c r="D250" t="str">
        <f>INDEX('ei names mapping'!$B$104:$R$133,MATCH(B220,'ei names mapping'!$A$104:$A$133,0),MATCH(G250,'ei names mapping'!$B$3:$R$3,0))</f>
        <v>meter-year</v>
      </c>
      <c r="F250" t="s">
        <v>89</v>
      </c>
      <c r="G250" t="s">
        <v>105</v>
      </c>
      <c r="H250" t="str">
        <f>INDEX('ei names mapping'!$B$71:$R$100,MATCH(B220,'ei names mapping'!$A$4:$A$33,0),MATCH(G250,'ei names mapping'!$B$3:$R$3,0))</f>
        <v>road</v>
      </c>
    </row>
    <row r="251" spans="1:8" x14ac:dyDescent="0.2">
      <c r="A251" t="str">
        <f>INDEX('ei names mapping'!$B$4:$BL$33,MATCH('lci-kick scooter - LFP'!$B$3,'ei names mapping'!$A$4:$A$33,0),MATCH('lci-kick scooter - LFP'!$G251,'ei names mapping'!$B$3:$BL$3,0))</f>
        <v>treatment of road wear emissions, passenger car</v>
      </c>
      <c r="B251" s="7">
        <f>INDEX('vehicles specifications'!$B$3:$CW$166,MATCH(B223,'vehicles specifications'!$A$3:$A$166,0),MATCH(G251,'vehicles specifications'!$B$2:$CW$2,0))*INDEX('ei names mapping'!$B$137:$BL$300,MATCH(B223,'ei names mapping'!$A$137:$A$300,0),MATCH(G251,'ei names mapping'!$B$136:$BL$136,0))</f>
        <v>-3.7735918629230822E-6</v>
      </c>
      <c r="C251" t="str">
        <f>INDEX('ei names mapping'!$B$38:$BL$67,MATCH('lci-kick scooter - LFP'!$B$3,'ei names mapping'!$A$4:$A$33,0),MATCH('lci-kick scooter - LFP'!$G251,'ei names mapping'!$B$3:$BL$3,0))</f>
        <v>RER</v>
      </c>
      <c r="D251" t="str">
        <f>INDEX('ei names mapping'!$B$104:$BL$133,MATCH('lci-kick scooter - LFP'!$B$3,'ei names mapping'!$A$4:$A$33,0),MATCH('lci-kick scooter - LFP'!$G251,'ei names mapping'!$B$3:$BL$3,0))</f>
        <v>kilogram</v>
      </c>
      <c r="F251" t="s">
        <v>89</v>
      </c>
      <c r="G251" t="s">
        <v>29</v>
      </c>
      <c r="H251" t="str">
        <f>INDEX('ei names mapping'!$B$71:$BL$100,MATCH('lci-kick scooter - LFP'!$B$3,'ei names mapping'!$A$4:$A$33,0),MATCH('lci-kick scooter - LFP'!$G251,'ei names mapping'!$B$3:$BL$3,0))</f>
        <v>road wear emissions, passenger car</v>
      </c>
    </row>
    <row r="252" spans="1:8" x14ac:dyDescent="0.2">
      <c r="A252" t="str">
        <f>INDEX('ei names mapping'!$B$4:$BL$33,MATCH('lci-kick scooter - LFP'!$B$3,'ei names mapping'!$A$4:$A$33,0),MATCH('lci-kick scooter - LFP'!$G252,'ei names mapping'!$B$3:$BL$3,0))</f>
        <v>treatment of tyre wear emissions, passenger car</v>
      </c>
      <c r="B252" s="7">
        <f>INDEX('vehicles specifications'!$B$3:$CW$166,MATCH(B223,'vehicles specifications'!$A$3:$A$166,0),MATCH(G252,'vehicles specifications'!$B$2:$CW$2,0))*INDEX('ei names mapping'!$B$137:$BL$300,MATCH(B223,'ei names mapping'!$A$137:$A$300,0),MATCH(G252,'ei names mapping'!$B$136:$BL$136,0))</f>
        <v>-3.6699907130296717E-6</v>
      </c>
      <c r="C252" t="str">
        <f>INDEX('ei names mapping'!$B$38:$BL$67,MATCH('lci-kick scooter - LFP'!$B$3,'ei names mapping'!$A$4:$A$33,0),MATCH('lci-kick scooter - LFP'!$G252,'ei names mapping'!$B$3:$BL$3,0))</f>
        <v>RER</v>
      </c>
      <c r="D252" t="str">
        <f>INDEX('ei names mapping'!$B$104:$BL$133,MATCH('lci-kick scooter - LFP'!$B$3,'ei names mapping'!$A$4:$A$33,0),MATCH('lci-kick scooter - LFP'!$G252,'ei names mapping'!$B$3:$BL$3,0))</f>
        <v>kilogram</v>
      </c>
      <c r="F252" t="s">
        <v>89</v>
      </c>
      <c r="G252" t="s">
        <v>30</v>
      </c>
      <c r="H252" t="str">
        <f>INDEX('ei names mapping'!$B$71:$BL$100,MATCH('lci-kick scooter - LFP'!$B$3,'ei names mapping'!$A$4:$A$33,0),MATCH('lci-kick scooter - LFP'!$G252,'ei names mapping'!$B$3:$BL$3,0))</f>
        <v>tyre wear emissions, passenger car</v>
      </c>
    </row>
    <row r="253" spans="1:8" x14ac:dyDescent="0.2">
      <c r="A253" t="str">
        <f>INDEX('ei names mapping'!$B$4:$BL$33,MATCH('lci-kick scooter - LFP'!$B$3,'ei names mapping'!$A$4:$A$33,0),MATCH('lci-kick scooter - LFP'!$G253,'ei names mapping'!$B$3:$BL$3,0))</f>
        <v>treatment of brake wear emissions, passenger car</v>
      </c>
      <c r="B253" s="7">
        <f>INDEX('vehicles specifications'!$B$3:$CW$166,MATCH(B223,'vehicles specifications'!$A$3:$A$166,0),MATCH(G253,'vehicles specifications'!$B$2:$CW$2,0))*INDEX('ei names mapping'!$B$137:$BL$300,MATCH(B223,'ei names mapping'!$A$137:$A$300,0),MATCH(G253,'ei names mapping'!$B$136:$BL$136,0))</f>
        <v>-3.4408227960791771E-6</v>
      </c>
      <c r="C253" t="str">
        <f>INDEX('ei names mapping'!$B$38:$BL$67,MATCH('lci-kick scooter - LFP'!$B$3,'ei names mapping'!$A$4:$A$33,0),MATCH('lci-kick scooter - LFP'!$G253,'ei names mapping'!$B$3:$BL$3,0))</f>
        <v>RER</v>
      </c>
      <c r="D253" t="str">
        <f>INDEX('ei names mapping'!$B$104:$BL$133,MATCH('lci-kick scooter - LFP'!$B$3,'ei names mapping'!$A$4:$A$33,0),MATCH('lci-kick scooter - LFP'!$G253,'ei names mapping'!$B$3:$BL$3,0))</f>
        <v>kilogram</v>
      </c>
      <c r="F253" t="s">
        <v>89</v>
      </c>
      <c r="G253" t="s">
        <v>31</v>
      </c>
      <c r="H253" t="str">
        <f>INDEX('ei names mapping'!$B$71:$BL$100,MATCH('lci-kick scooter - LFP'!$B$3,'ei names mapping'!$A$4:$A$33,0),MATCH('lci-kick scooter - LFP'!$G253,'ei names mapping'!$B$3:$BL$3,0))</f>
        <v>brake wear emissions, passenger car</v>
      </c>
    </row>
    <row r="255" spans="1:8" ht="16" x14ac:dyDescent="0.2">
      <c r="A255" s="10" t="s">
        <v>71</v>
      </c>
      <c r="B255" s="8" t="str">
        <f>"transport, "&amp;B257&amp;", "&amp;B272&amp;" battery, "&amp;B259</f>
        <v>transport, Kick Scooter, electric, &lt;1kW, LFP battery, 2040</v>
      </c>
    </row>
    <row r="256" spans="1:8" x14ac:dyDescent="0.2">
      <c r="A256" t="s">
        <v>72</v>
      </c>
      <c r="B256" t="s">
        <v>37</v>
      </c>
    </row>
    <row r="257" spans="1:2" x14ac:dyDescent="0.2">
      <c r="A257" t="s">
        <v>86</v>
      </c>
      <c r="B257" t="s">
        <v>618</v>
      </c>
    </row>
    <row r="258" spans="1:2" x14ac:dyDescent="0.2">
      <c r="A258" t="s">
        <v>87</v>
      </c>
    </row>
    <row r="259" spans="1:2" x14ac:dyDescent="0.2">
      <c r="A259" t="s">
        <v>88</v>
      </c>
      <c r="B259">
        <v>2040</v>
      </c>
    </row>
    <row r="260" spans="1:2" x14ac:dyDescent="0.2">
      <c r="A260" t="s">
        <v>126</v>
      </c>
      <c r="B260" t="str">
        <f>B257&amp;" - "&amp;B259&amp;" - "&amp;B272&amp;" - "&amp;B256</f>
        <v>Kick Scooter, electric, &lt;1kW - 2040 - LFP - CH</v>
      </c>
    </row>
    <row r="261" spans="1:2" x14ac:dyDescent="0.2">
      <c r="A261" t="s">
        <v>73</v>
      </c>
      <c r="B261" t="str">
        <f>"transport, "&amp;B257</f>
        <v>transport, Kick Scooter, electric, &lt;1kW</v>
      </c>
    </row>
    <row r="262" spans="1:2" x14ac:dyDescent="0.2">
      <c r="A262" t="s">
        <v>74</v>
      </c>
      <c r="B262" t="s">
        <v>75</v>
      </c>
    </row>
    <row r="263" spans="1:2" x14ac:dyDescent="0.2">
      <c r="A263" t="s">
        <v>76</v>
      </c>
      <c r="B263" t="s">
        <v>166</v>
      </c>
    </row>
    <row r="264" spans="1:2" x14ac:dyDescent="0.2">
      <c r="A264" t="s">
        <v>78</v>
      </c>
      <c r="B264" t="s">
        <v>1143</v>
      </c>
    </row>
    <row r="265" spans="1:2" x14ac:dyDescent="0.2">
      <c r="A265" t="s">
        <v>127</v>
      </c>
      <c r="B265">
        <f>INDEX('vehicles specifications'!$B$3:$CW$166,MATCH('lci-kick scooter - LFP'!B260,'vehicles specifications'!$A$3:$A$166,0),MATCH("Lifetime [km]",'vehicles specifications'!$B$2:$CW$2,0))</f>
        <v>1785</v>
      </c>
    </row>
    <row r="266" spans="1:2" x14ac:dyDescent="0.2">
      <c r="A266" t="s">
        <v>128</v>
      </c>
      <c r="B266">
        <f>INDEX('vehicles specifications'!$B$3:$CW$166,MATCH('lci-kick scooter - LFP'!B260,'vehicles specifications'!$A$3:$A$166,0),MATCH("Passengers [unit]",'vehicles specifications'!$B$2:$CW$2,0))</f>
        <v>1</v>
      </c>
    </row>
    <row r="267" spans="1:2" x14ac:dyDescent="0.2">
      <c r="A267" t="s">
        <v>129</v>
      </c>
      <c r="B267">
        <f>INDEX('vehicles specifications'!$B$3:$CW$166,MATCH('lci-kick scooter - LFP'!B260,'vehicles specifications'!$A$3:$A$166,0),MATCH("Servicing [unit]",'vehicles specifications'!$B$2:$CW$2,0))</f>
        <v>0</v>
      </c>
    </row>
    <row r="268" spans="1:2" x14ac:dyDescent="0.2">
      <c r="A268" t="s">
        <v>130</v>
      </c>
      <c r="B268">
        <f>INDEX('vehicles specifications'!$B$3:$CW$166,MATCH('lci-kick scooter - LFP'!B260,'vehicles specifications'!$A$3:$A$166,0),MATCH("Energy battery replacement [unit]",'vehicles specifications'!$B$2:$CW$2,0))</f>
        <v>0</v>
      </c>
    </row>
    <row r="269" spans="1:2" x14ac:dyDescent="0.2">
      <c r="A269" t="s">
        <v>131</v>
      </c>
      <c r="B269">
        <f>INDEX('vehicles specifications'!$B$3:$CW$166,MATCH('lci-kick scooter - LFP'!B260,'vehicles specifications'!$A$3:$A$166,0),MATCH("Annual kilometers [km]",'vehicles specifications'!$B$2:$CW$2,0))</f>
        <v>890</v>
      </c>
    </row>
    <row r="270" spans="1:2" x14ac:dyDescent="0.2">
      <c r="A270" t="s">
        <v>132</v>
      </c>
      <c r="B270">
        <f>INDEX('vehicles specifications'!$B$3:$CW$166,MATCH('lci-kick scooter - LFP'!B260,'vehicles specifications'!$A$3:$A$166,0),MATCH("Curb mass [kg]",'vehicles specifications'!$B$2:$CW$2,0))</f>
        <v>12.116666666666667</v>
      </c>
    </row>
    <row r="271" spans="1:2" x14ac:dyDescent="0.2">
      <c r="A271" t="s">
        <v>133</v>
      </c>
      <c r="B271">
        <f>INDEX('vehicles specifications'!$B$3:$CW$166,MATCH('lci-kick scooter - LFP'!B260,'vehicles specifications'!$A$3:$A$166,0),MATCH("Power [kW]",'vehicles specifications'!$B$2:$CW$2,0))</f>
        <v>0.25</v>
      </c>
    </row>
    <row r="272" spans="1:2" x14ac:dyDescent="0.2">
      <c r="A272" t="s">
        <v>652</v>
      </c>
      <c r="B272" t="s">
        <v>44</v>
      </c>
    </row>
    <row r="273" spans="1:8" x14ac:dyDescent="0.2">
      <c r="A273" t="s">
        <v>134</v>
      </c>
      <c r="B273">
        <f>INDEX('vehicles specifications'!$B$3:$CW$166,MATCH('lci-kick scooter - LFP'!B260,'vehicles specifications'!$A$3:$A$166,0),MATCH("Energy battery mass [kg]",'vehicles specifications'!$B$2:$CW$2,0))</f>
        <v>2.666666666666667</v>
      </c>
    </row>
    <row r="274" spans="1:8" x14ac:dyDescent="0.2">
      <c r="A274" t="s">
        <v>135</v>
      </c>
      <c r="B274">
        <f>INDEX('vehicles specifications'!$B$3:$CW$166,MATCH('lci-kick scooter - LFP'!B260,'vehicles specifications'!$A$3:$A$166,0),MATCH("Electric energy stored [kWh]",'vehicles specifications'!$B$2:$CW$2,0))</f>
        <v>0.4</v>
      </c>
    </row>
    <row r="275" spans="1:8" x14ac:dyDescent="0.2">
      <c r="A275" t="s">
        <v>588</v>
      </c>
      <c r="B275">
        <f>INDEX('vehicles specifications'!$B$3:$CW$166,MATCH('lci-kick scooter - LFP'!B260,'vehicles specifications'!$A$3:$A$166,0),MATCH("Electric energy available [kWh]",'vehicles specifications'!$B$2:$CW$2,0))</f>
        <v>0.32000000000000006</v>
      </c>
    </row>
    <row r="276" spans="1:8" x14ac:dyDescent="0.2">
      <c r="A276" t="s">
        <v>138</v>
      </c>
      <c r="B276">
        <f>INDEX('vehicles specifications'!$B$3:$CW$166,MATCH('lci-kick scooter - LFP'!B260,'vehicles specifications'!$A$3:$A$166,0),MATCH("Oxydation energy stored [kWh]",'vehicles specifications'!$B$2:$CW$2,0))</f>
        <v>0</v>
      </c>
    </row>
    <row r="277" spans="1:8" x14ac:dyDescent="0.2">
      <c r="A277" t="s">
        <v>139</v>
      </c>
      <c r="B277">
        <f>INDEX('vehicles specifications'!$B$3:$CW$166,MATCH('lci-kick scooter - LFP'!B260,'vehicles specifications'!$A$3:$A$166,0),MATCH("Fuel mass [kg]",'vehicles specifications'!$B$2:$CW$2,0))</f>
        <v>0</v>
      </c>
    </row>
    <row r="278" spans="1:8" x14ac:dyDescent="0.2">
      <c r="A278" t="s">
        <v>136</v>
      </c>
      <c r="B278">
        <f>INDEX('vehicles specifications'!$B$3:$CW$166,MATCH('lci-kick scooter - LFP'!B260,'vehicles specifications'!$A$3:$A$166,0),MATCH("Range [km]",'vehicles specifications'!$B$2:$CW$2,0))</f>
        <v>13.375700934579442</v>
      </c>
    </row>
    <row r="279" spans="1:8" x14ac:dyDescent="0.2">
      <c r="A279" t="s">
        <v>137</v>
      </c>
      <c r="B279" t="str">
        <f>INDEX('vehicles specifications'!$B$3:$CW$166,MATCH('lci-kick scooter - LFP'!B260,'vehicles specifications'!$A$3:$A$166,0),MATCH("Emission standard",'vehicles specifications'!$B$2:$CW$2,0))</f>
        <v>None</v>
      </c>
    </row>
    <row r="280" spans="1:8" x14ac:dyDescent="0.2">
      <c r="A280" t="s">
        <v>1174</v>
      </c>
      <c r="B280" s="6">
        <f>INDEX('vehicles specifications'!$B$3:$CW$166,MATCH('lci-kick scooter - LFP'!B260,'vehicles specifications'!$A$3:$A$166,0),MATCH("Lightweighting rate [%]",'vehicles specifications'!$B$2:$CW$2,0))</f>
        <v>0.05</v>
      </c>
    </row>
    <row r="281" spans="1:8" x14ac:dyDescent="0.2">
      <c r="A281" t="s">
        <v>83</v>
      </c>
      <c r="B281" t="str">
        <f>"Power: "&amp;B271&amp;" kW. Lifetime: "&amp;B265&amp;" km. Annual kilometers: "&amp;B269&amp;" km. Number of passengers: "&amp;B266&amp;". Curb mass: "&amp;ROUND(B270,1)&amp;" kg. Lightweighting of glider: "&amp;ROUND(B280*100,0)&amp;"%. Emission standard: "&amp;B279&amp;". Service visits throughout lifetime: "&amp;ROUND(B267,1)&amp;". Range: "&amp;ROUND(B278,0)&amp;" km. Battery capacity: "&amp;ROUND(B274,1)&amp;" kWh. Available battery capacity: "&amp;B275&amp;" kWh. Battery mass: "&amp;ROUND(B273,1)&amp; " kg. Battery replacement throughout lifetime: "&amp;ROUND(B268,1)&amp;". Fuel tank capacity: "&amp;ROUND(B276,1)&amp;" kWh. Fuel mass: "&amp;ROUND(B277,1)&amp;" kg. Documentation: "&amp;Readmefirst!$B$2&amp;", "&amp;Readmefirst!$B$3&amp;". "&amp;'lci-kick scooter - LFP'!B219</f>
        <v>Power: 0.25 kW. Lifetime: 1785 km. Annual kilometers: 890 km. Number of passengers: 1. Curb mass: 12.1 kg. Lightweighting of glider: 5%. Emission standard: None. Service visits throughout lifetime: 0. Range: 13 km. Battery capacity: 0.4 kWh. Available battery capacity: 0.32 kWh. Battery mass: 2.7 kg. Battery replacement throughout lifetime: 0. Fuel tank capacity: 0 kWh. Fuel mass: 0 kg. Documentation: Life-cycle inventories for on-road vehicles, Sacchi R. (PSI), Bauer C. (PSI), 2021. CH</v>
      </c>
    </row>
    <row r="282" spans="1:8" ht="16" x14ac:dyDescent="0.2">
      <c r="A282" s="10" t="s">
        <v>79</v>
      </c>
    </row>
    <row r="283" spans="1:8" x14ac:dyDescent="0.2">
      <c r="A283" t="s">
        <v>80</v>
      </c>
      <c r="B283" t="s">
        <v>81</v>
      </c>
      <c r="C283" t="s">
        <v>72</v>
      </c>
      <c r="D283" t="s">
        <v>76</v>
      </c>
      <c r="E283" t="s">
        <v>82</v>
      </c>
      <c r="F283" t="s">
        <v>74</v>
      </c>
      <c r="G283" t="s">
        <v>83</v>
      </c>
      <c r="H283" t="s">
        <v>73</v>
      </c>
    </row>
    <row r="284" spans="1:8" x14ac:dyDescent="0.2">
      <c r="A284" t="str">
        <f>B255</f>
        <v>transport, Kick Scooter, electric, &lt;1kW, LFP battery, 2040</v>
      </c>
      <c r="B284">
        <v>1</v>
      </c>
      <c r="C284" t="str">
        <f>B256</f>
        <v>CH</v>
      </c>
      <c r="D284" t="s">
        <v>166</v>
      </c>
      <c r="F284" t="s">
        <v>84</v>
      </c>
      <c r="G284" t="s">
        <v>85</v>
      </c>
      <c r="H284" t="str">
        <f>B261</f>
        <v>transport, Kick Scooter, electric, &lt;1kW</v>
      </c>
    </row>
    <row r="285" spans="1:8" x14ac:dyDescent="0.2">
      <c r="A285" t="str">
        <f>RIGHT(A284,LEN(A284)-11)</f>
        <v>Kick Scooter, electric, &lt;1kW, LFP battery, 2040</v>
      </c>
      <c r="B285" s="7">
        <f>1/B265</f>
        <v>5.602240896358543E-4</v>
      </c>
      <c r="C285" t="str">
        <f>B256</f>
        <v>CH</v>
      </c>
      <c r="D285" t="s">
        <v>76</v>
      </c>
      <c r="F285" t="s">
        <v>89</v>
      </c>
      <c r="H285" t="str">
        <f>RIGHT(H284,LEN(H284)-11)</f>
        <v>Kick Scooter, electric, &lt;1kW</v>
      </c>
    </row>
    <row r="286" spans="1:8" x14ac:dyDescent="0.2">
      <c r="A286" t="str">
        <f>INDEX('ei names mapping'!$B$4:$R$33,MATCH('lci-kick scooter - LFP'!$B$3,'ei names mapping'!$A$4:$A$33,0),MATCH('lci-kick scooter - LFP'!$G286,'ei names mapping'!$B$3:$R$3,0))</f>
        <v>market for electricity, low voltage</v>
      </c>
      <c r="B286" s="7">
        <f>INDEX('vehicles specifications'!$B$3:$CW$166,MATCH(B260,'vehicles specifications'!$A$3:$A$166,0),MATCH(G286,'vehicles specifications'!$B$2:$CW$2,0))*INDEX('ei names mapping'!$B$137:$BL$300,MATCH(B260,'ei names mapping'!$A$137:$A$300,0),MATCH(G286,'ei names mapping'!$B$136:$BL$136,0))</f>
        <v>2.6316377864728905E-2</v>
      </c>
      <c r="C286" t="str">
        <f>INDEX('ei names mapping'!$B$38:$R$67,MATCH('lci-kick scooter - LFP'!$B$3,'ei names mapping'!$A$4:$A$33,0),MATCH('lci-kick scooter - LFP'!$G286,'ei names mapping'!$B$3:$R$3,0))</f>
        <v>CH</v>
      </c>
      <c r="D286" t="str">
        <f>INDEX('ei names mapping'!$B$104:$R$133,MATCH('lci-kick scooter - LFP'!$B$3,'ei names mapping'!$A$4:$A$33,0),MATCH('lci-kick scooter - LFP'!$G286,'ei names mapping'!$B$3:$R$3,0))</f>
        <v>kilowatt hour</v>
      </c>
      <c r="F286" t="s">
        <v>89</v>
      </c>
      <c r="G286" t="s">
        <v>28</v>
      </c>
      <c r="H286" t="str">
        <f>INDEX('ei names mapping'!$B$71:$R$100,MATCH('lci-kick scooter - LFP'!$B$3,'ei names mapping'!$A$4:$A$33,0),MATCH('lci-kick scooter - LFP'!$G286,'ei names mapping'!$B$3:$R$3,0))</f>
        <v>electricity, low voltage</v>
      </c>
    </row>
    <row r="287" spans="1:8" x14ac:dyDescent="0.2">
      <c r="A287" t="str">
        <f>INDEX('ei names mapping'!$B$4:$R$33,MATCH(B257,'ei names mapping'!$A$4:$A$33,0),MATCH(G287,'ei names mapping'!$B$3:$R$3,0))</f>
        <v>road construction</v>
      </c>
      <c r="B287" s="7">
        <f>INDEX('vehicles specifications'!$B$3:$CW$166,MATCH(B260,'vehicles specifications'!$A$3:$A$166,0),MATCH(G287,'vehicles specifications'!$B$2:$CW$2,0))*INDEX('ei names mapping'!$B$137:$BL$300,MATCH(B260,'ei names mapping'!$A$137:$A$300,0),MATCH(G287,'ei names mapping'!$B$136:$BL$136,0))</f>
        <v>4.6781650000000003E-5</v>
      </c>
      <c r="C287" t="str">
        <f>INDEX('ei names mapping'!$B$38:$R$67,MATCH(B257,'ei names mapping'!$A$4:$A$33,0),MATCH(G287,'ei names mapping'!$B$3:$R$3,0))</f>
        <v>CH</v>
      </c>
      <c r="D287" t="str">
        <f>INDEX('ei names mapping'!$B$104:$R$133,MATCH(B257,'ei names mapping'!$A$104:$A$133,0),MATCH(G287,'ei names mapping'!$B$3:$R$3,0))</f>
        <v>meter-year</v>
      </c>
      <c r="F287" t="s">
        <v>89</v>
      </c>
      <c r="G287" t="s">
        <v>105</v>
      </c>
      <c r="H287" t="str">
        <f>INDEX('ei names mapping'!$B$71:$R$100,MATCH(B257,'ei names mapping'!$A$4:$A$33,0),MATCH(G287,'ei names mapping'!$B$3:$R$3,0))</f>
        <v>road</v>
      </c>
    </row>
    <row r="288" spans="1:8" x14ac:dyDescent="0.2">
      <c r="A288" t="str">
        <f>INDEX('ei names mapping'!$B$4:$BL$33,MATCH('lci-kick scooter - LFP'!$B$3,'ei names mapping'!$A$4:$A$33,0),MATCH('lci-kick scooter - LFP'!$G288,'ei names mapping'!$B$3:$BL$3,0))</f>
        <v>treatment of road wear emissions, passenger car</v>
      </c>
      <c r="B288" s="7">
        <f>INDEX('vehicles specifications'!$B$3:$CW$166,MATCH(B260,'vehicles specifications'!$A$3:$A$166,0),MATCH(G288,'vehicles specifications'!$B$2:$CW$2,0))*INDEX('ei names mapping'!$B$137:$BL$300,MATCH(B260,'ei names mapping'!$A$137:$A$300,0),MATCH(G288,'ei names mapping'!$B$136:$BL$136,0))</f>
        <v>-3.7880851500377056E-6</v>
      </c>
      <c r="C288" t="str">
        <f>INDEX('ei names mapping'!$B$38:$BL$67,MATCH('lci-kick scooter - LFP'!$B$3,'ei names mapping'!$A$4:$A$33,0),MATCH('lci-kick scooter - LFP'!$G288,'ei names mapping'!$B$3:$BL$3,0))</f>
        <v>RER</v>
      </c>
      <c r="D288" t="str">
        <f>INDEX('ei names mapping'!$B$104:$BL$133,MATCH('lci-kick scooter - LFP'!$B$3,'ei names mapping'!$A$4:$A$33,0),MATCH('lci-kick scooter - LFP'!$G288,'ei names mapping'!$B$3:$BL$3,0))</f>
        <v>kilogram</v>
      </c>
      <c r="F288" t="s">
        <v>89</v>
      </c>
      <c r="G288" t="s">
        <v>29</v>
      </c>
      <c r="H288" t="str">
        <f>INDEX('ei names mapping'!$B$71:$BL$100,MATCH('lci-kick scooter - LFP'!$B$3,'ei names mapping'!$A$4:$A$33,0),MATCH('lci-kick scooter - LFP'!$G288,'ei names mapping'!$B$3:$BL$3,0))</f>
        <v>road wear emissions, passenger car</v>
      </c>
    </row>
    <row r="289" spans="1:8" x14ac:dyDescent="0.2">
      <c r="A289" t="str">
        <f>INDEX('ei names mapping'!$B$4:$BL$33,MATCH('lci-kick scooter - LFP'!$B$3,'ei names mapping'!$A$4:$A$33,0),MATCH('lci-kick scooter - LFP'!$G289,'ei names mapping'!$B$3:$BL$3,0))</f>
        <v>treatment of tyre wear emissions, passenger car</v>
      </c>
      <c r="B289" s="7">
        <f>INDEX('vehicles specifications'!$B$3:$CW$166,MATCH(B260,'vehicles specifications'!$A$3:$A$166,0),MATCH(G289,'vehicles specifications'!$B$2:$CW$2,0))*INDEX('ei names mapping'!$B$137:$BL$300,MATCH(B260,'ei names mapping'!$A$137:$A$300,0),MATCH(G289,'ei names mapping'!$B$136:$BL$136,0))</f>
        <v>-3.68920867559289E-6</v>
      </c>
      <c r="C289" t="str">
        <f>INDEX('ei names mapping'!$B$38:$BL$67,MATCH('lci-kick scooter - LFP'!$B$3,'ei names mapping'!$A$4:$A$33,0),MATCH('lci-kick scooter - LFP'!$G289,'ei names mapping'!$B$3:$BL$3,0))</f>
        <v>RER</v>
      </c>
      <c r="D289" t="str">
        <f>INDEX('ei names mapping'!$B$104:$BL$133,MATCH('lci-kick scooter - LFP'!$B$3,'ei names mapping'!$A$4:$A$33,0),MATCH('lci-kick scooter - LFP'!$G289,'ei names mapping'!$B$3:$BL$3,0))</f>
        <v>kilogram</v>
      </c>
      <c r="F289" t="s">
        <v>89</v>
      </c>
      <c r="G289" t="s">
        <v>30</v>
      </c>
      <c r="H289" t="str">
        <f>INDEX('ei names mapping'!$B$71:$BL$100,MATCH('lci-kick scooter - LFP'!$B$3,'ei names mapping'!$A$4:$A$33,0),MATCH('lci-kick scooter - LFP'!$G289,'ei names mapping'!$B$3:$BL$3,0))</f>
        <v>tyre wear emissions, passenger car</v>
      </c>
    </row>
    <row r="290" spans="1:8" x14ac:dyDescent="0.2">
      <c r="A290" t="str">
        <f>INDEX('ei names mapping'!$B$4:$BL$33,MATCH('lci-kick scooter - LFP'!$B$3,'ei names mapping'!$A$4:$A$33,0),MATCH('lci-kick scooter - LFP'!$G290,'ei names mapping'!$B$3:$BL$3,0))</f>
        <v>treatment of brake wear emissions, passenger car</v>
      </c>
      <c r="B290" s="7">
        <f>INDEX('vehicles specifications'!$B$3:$CW$166,MATCH(B260,'vehicles specifications'!$A$3:$A$166,0),MATCH(G290,'vehicles specifications'!$B$2:$CW$2,0))*INDEX('ei names mapping'!$B$137:$BL$300,MATCH(B260,'ei names mapping'!$A$137:$A$300,0),MATCH(G290,'ei names mapping'!$B$136:$BL$136,0))</f>
        <v>-3.4563739306729263E-6</v>
      </c>
      <c r="C290" t="str">
        <f>INDEX('ei names mapping'!$B$38:$BL$67,MATCH('lci-kick scooter - LFP'!$B$3,'ei names mapping'!$A$4:$A$33,0),MATCH('lci-kick scooter - LFP'!$G290,'ei names mapping'!$B$3:$BL$3,0))</f>
        <v>RER</v>
      </c>
      <c r="D290" t="str">
        <f>INDEX('ei names mapping'!$B$104:$BL$133,MATCH('lci-kick scooter - LFP'!$B$3,'ei names mapping'!$A$4:$A$33,0),MATCH('lci-kick scooter - LFP'!$G290,'ei names mapping'!$B$3:$BL$3,0))</f>
        <v>kilogram</v>
      </c>
      <c r="F290" t="s">
        <v>89</v>
      </c>
      <c r="G290" t="s">
        <v>31</v>
      </c>
      <c r="H290" t="str">
        <f>INDEX('ei names mapping'!$B$71:$BL$100,MATCH('lci-kick scooter - LFP'!$B$3,'ei names mapping'!$A$4:$A$33,0),MATCH('lci-kick scooter - LFP'!$G290,'ei names mapping'!$B$3:$BL$3,0))</f>
        <v>brake wear emissions, passenger car</v>
      </c>
    </row>
    <row r="292" spans="1:8" ht="16" x14ac:dyDescent="0.2">
      <c r="A292" s="10" t="s">
        <v>71</v>
      </c>
      <c r="B292" s="8" t="str">
        <f>"transport, "&amp;B294&amp;", "&amp;B309&amp;" battery, "&amp;B296</f>
        <v>transport, Kick Scooter, electric, &lt;1kW, LFP battery, 2050</v>
      </c>
    </row>
    <row r="293" spans="1:8" x14ac:dyDescent="0.2">
      <c r="A293" t="s">
        <v>72</v>
      </c>
      <c r="B293" t="s">
        <v>37</v>
      </c>
    </row>
    <row r="294" spans="1:8" x14ac:dyDescent="0.2">
      <c r="A294" t="s">
        <v>86</v>
      </c>
      <c r="B294" t="s">
        <v>618</v>
      </c>
    </row>
    <row r="295" spans="1:8" x14ac:dyDescent="0.2">
      <c r="A295" t="s">
        <v>87</v>
      </c>
    </row>
    <row r="296" spans="1:8" x14ac:dyDescent="0.2">
      <c r="A296" t="s">
        <v>88</v>
      </c>
      <c r="B296">
        <v>2050</v>
      </c>
    </row>
    <row r="297" spans="1:8" x14ac:dyDescent="0.2">
      <c r="A297" t="s">
        <v>126</v>
      </c>
      <c r="B297" t="str">
        <f>B294&amp;" - "&amp;B296&amp;" - "&amp;B309&amp;" - "&amp;B293</f>
        <v>Kick Scooter, electric, &lt;1kW - 2050 - LFP - CH</v>
      </c>
    </row>
    <row r="298" spans="1:8" x14ac:dyDescent="0.2">
      <c r="A298" t="s">
        <v>73</v>
      </c>
      <c r="B298" t="str">
        <f>"transport, "&amp;B294</f>
        <v>transport, Kick Scooter, electric, &lt;1kW</v>
      </c>
    </row>
    <row r="299" spans="1:8" x14ac:dyDescent="0.2">
      <c r="A299" t="s">
        <v>74</v>
      </c>
      <c r="B299" t="s">
        <v>75</v>
      </c>
    </row>
    <row r="300" spans="1:8" x14ac:dyDescent="0.2">
      <c r="A300" t="s">
        <v>76</v>
      </c>
      <c r="B300" t="s">
        <v>166</v>
      </c>
    </row>
    <row r="301" spans="1:8" x14ac:dyDescent="0.2">
      <c r="A301" t="s">
        <v>78</v>
      </c>
      <c r="B301" t="s">
        <v>1143</v>
      </c>
    </row>
    <row r="302" spans="1:8" x14ac:dyDescent="0.2">
      <c r="A302" t="s">
        <v>127</v>
      </c>
      <c r="B302">
        <f>INDEX('vehicles specifications'!$B$3:$CW$166,MATCH('lci-kick scooter - LFP'!B297,'vehicles specifications'!$A$3:$A$166,0),MATCH("Lifetime [km]",'vehicles specifications'!$B$2:$CW$2,0))</f>
        <v>1785</v>
      </c>
    </row>
    <row r="303" spans="1:8" x14ac:dyDescent="0.2">
      <c r="A303" t="s">
        <v>128</v>
      </c>
      <c r="B303">
        <f>INDEX('vehicles specifications'!$B$3:$CW$166,MATCH('lci-kick scooter - LFP'!B297,'vehicles specifications'!$A$3:$A$166,0),MATCH("Passengers [unit]",'vehicles specifications'!$B$2:$CW$2,0))</f>
        <v>1</v>
      </c>
    </row>
    <row r="304" spans="1:8" x14ac:dyDescent="0.2">
      <c r="A304" t="s">
        <v>129</v>
      </c>
      <c r="B304">
        <f>INDEX('vehicles specifications'!$B$3:$CW$166,MATCH('lci-kick scooter - LFP'!B297,'vehicles specifications'!$A$3:$A$166,0),MATCH("Servicing [unit]",'vehicles specifications'!$B$2:$CW$2,0))</f>
        <v>0</v>
      </c>
    </row>
    <row r="305" spans="1:8" x14ac:dyDescent="0.2">
      <c r="A305" t="s">
        <v>130</v>
      </c>
      <c r="B305">
        <f>INDEX('vehicles specifications'!$B$3:$CW$166,MATCH('lci-kick scooter - LFP'!B297,'vehicles specifications'!$A$3:$A$166,0),MATCH("Energy battery replacement [unit]",'vehicles specifications'!$B$2:$CW$2,0))</f>
        <v>0</v>
      </c>
    </row>
    <row r="306" spans="1:8" x14ac:dyDescent="0.2">
      <c r="A306" t="s">
        <v>131</v>
      </c>
      <c r="B306">
        <f>INDEX('vehicles specifications'!$B$3:$CW$166,MATCH('lci-kick scooter - LFP'!B297,'vehicles specifications'!$A$3:$A$166,0),MATCH("Annual kilometers [km]",'vehicles specifications'!$B$2:$CW$2,0))</f>
        <v>890</v>
      </c>
    </row>
    <row r="307" spans="1:8" x14ac:dyDescent="0.2">
      <c r="A307" t="s">
        <v>132</v>
      </c>
      <c r="B307">
        <f>INDEX('vehicles specifications'!$B$3:$CW$166,MATCH('lci-kick scooter - LFP'!B297,'vehicles specifications'!$A$3:$A$166,0),MATCH("Curb mass [kg]",'vehicles specifications'!$B$2:$CW$2,0))</f>
        <v>12.21</v>
      </c>
    </row>
    <row r="308" spans="1:8" x14ac:dyDescent="0.2">
      <c r="A308" t="s">
        <v>133</v>
      </c>
      <c r="B308">
        <f>INDEX('vehicles specifications'!$B$3:$CW$166,MATCH('lci-kick scooter - LFP'!B297,'vehicles specifications'!$A$3:$A$166,0),MATCH("Power [kW]",'vehicles specifications'!$B$2:$CW$2,0))</f>
        <v>0.25</v>
      </c>
    </row>
    <row r="309" spans="1:8" x14ac:dyDescent="0.2">
      <c r="A309" t="s">
        <v>652</v>
      </c>
      <c r="B309" t="s">
        <v>44</v>
      </c>
    </row>
    <row r="310" spans="1:8" x14ac:dyDescent="0.2">
      <c r="A310" t="s">
        <v>134</v>
      </c>
      <c r="B310">
        <f>INDEX('vehicles specifications'!$B$3:$CW$166,MATCH('lci-kick scooter - LFP'!B297,'vehicles specifications'!$A$3:$A$166,0),MATCH("Energy battery mass [kg]",'vehicles specifications'!$B$2:$CW$2,0))</f>
        <v>3</v>
      </c>
    </row>
    <row r="311" spans="1:8" x14ac:dyDescent="0.2">
      <c r="A311" t="s">
        <v>135</v>
      </c>
      <c r="B311">
        <f>INDEX('vehicles specifications'!$B$3:$CW$166,MATCH('lci-kick scooter - LFP'!B297,'vehicles specifications'!$A$3:$A$166,0),MATCH("Electric energy stored [kWh]",'vehicles specifications'!$B$2:$CW$2,0))</f>
        <v>0.5</v>
      </c>
    </row>
    <row r="312" spans="1:8" x14ac:dyDescent="0.2">
      <c r="A312" t="s">
        <v>588</v>
      </c>
      <c r="B312">
        <f>INDEX('vehicles specifications'!$B$3:$CW$166,MATCH('lci-kick scooter - LFP'!B297,'vehicles specifications'!$A$3:$A$166,0),MATCH("Electric energy available [kWh]",'vehicles specifications'!$B$2:$CW$2,0))</f>
        <v>0.4</v>
      </c>
    </row>
    <row r="313" spans="1:8" x14ac:dyDescent="0.2">
      <c r="A313" t="s">
        <v>138</v>
      </c>
      <c r="B313">
        <f>INDEX('vehicles specifications'!$B$3:$CW$166,MATCH('lci-kick scooter - LFP'!B297,'vehicles specifications'!$A$3:$A$166,0),MATCH("Oxydation energy stored [kWh]",'vehicles specifications'!$B$2:$CW$2,0))</f>
        <v>0</v>
      </c>
    </row>
    <row r="314" spans="1:8" x14ac:dyDescent="0.2">
      <c r="A314" t="s">
        <v>139</v>
      </c>
      <c r="B314">
        <f>INDEX('vehicles specifications'!$B$3:$CW$166,MATCH('lci-kick scooter - LFP'!B297,'vehicles specifications'!$A$3:$A$166,0),MATCH("Fuel mass [kg]",'vehicles specifications'!$B$2:$CW$2,0))</f>
        <v>0</v>
      </c>
    </row>
    <row r="315" spans="1:8" x14ac:dyDescent="0.2">
      <c r="A315" t="s">
        <v>136</v>
      </c>
      <c r="B315">
        <f>INDEX('vehicles specifications'!$B$3:$CW$166,MATCH('lci-kick scooter - LFP'!B297,'vehicles specifications'!$A$3:$A$166,0),MATCH("Range [km]",'vehicles specifications'!$B$2:$CW$2,0))</f>
        <v>16.719626168224298</v>
      </c>
    </row>
    <row r="316" spans="1:8" x14ac:dyDescent="0.2">
      <c r="A316" t="s">
        <v>137</v>
      </c>
      <c r="B316" t="str">
        <f>INDEX('vehicles specifications'!$B$3:$CW$166,MATCH('lci-kick scooter - LFP'!B297,'vehicles specifications'!$A$3:$A$166,0),MATCH("Emission standard",'vehicles specifications'!$B$2:$CW$2,0))</f>
        <v>None</v>
      </c>
    </row>
    <row r="317" spans="1:8" x14ac:dyDescent="0.2">
      <c r="A317" t="s">
        <v>1174</v>
      </c>
      <c r="B317" s="6">
        <f>INDEX('vehicles specifications'!$B$3:$CW$166,MATCH('lci-kick scooter - LFP'!B297,'vehicles specifications'!$A$3:$A$166,0),MATCH("Lightweighting rate [%]",'vehicles specifications'!$B$2:$CW$2,0))</f>
        <v>7.0000000000000007E-2</v>
      </c>
    </row>
    <row r="318" spans="1:8" x14ac:dyDescent="0.2">
      <c r="A318" t="s">
        <v>83</v>
      </c>
      <c r="B318" t="str">
        <f>"Power: "&amp;B308&amp;" kW. Lifetime: "&amp;B302&amp;" km. Annual kilometers: "&amp;B306&amp;" km. Number of passengers: "&amp;B303&amp;". Curb mass: "&amp;ROUND(B307,1)&amp;" kg. Lightweighting of glider: "&amp;ROUND(B317*100,0)&amp;"%. Emission standard: "&amp;B316&amp;". Service visits throughout lifetime: "&amp;ROUND(B304,1)&amp;". Range: "&amp;ROUND(B315,0)&amp;" km. Battery capacity: "&amp;ROUND(B311,1)&amp;" kWh. Available battery capacity: "&amp;B312&amp;" kWh. Battery mass: "&amp;ROUND(B310,1)&amp; " kg. Battery replacement throughout lifetime: "&amp;ROUND(B305,1)&amp;". Fuel tank capacity: "&amp;ROUND(B313,1)&amp;" kWh. Fuel mass: "&amp;ROUND(B314,1)&amp;" kg. Documentation: "&amp;Readmefirst!$B$2&amp;", "&amp;Readmefirst!$B$3&amp;". "&amp;'lci-kick scooter - LFP'!B256</f>
        <v>Power: 0.25 kW. Lifetime: 1785 km. Annual kilometers: 890 km. Number of passengers: 1. Curb mass: 12.2 kg. Lightweighting of glider: 7%. Emission standard: None. Service visits throughout lifetime: 0. Range: 17 km. Battery capacity: 0.5 kWh. Available battery capacity: 0.4 kWh. Battery mass: 3 kg. Battery replacement throughout lifetime: 0. Fuel tank capacity: 0 kWh. Fuel mass: 0 kg. Documentation: Life-cycle inventories for on-road vehicles, Sacchi R. (PSI), Bauer C. (PSI), 2021. CH</v>
      </c>
    </row>
    <row r="319" spans="1:8" ht="16" x14ac:dyDescent="0.2">
      <c r="A319" s="10" t="s">
        <v>79</v>
      </c>
    </row>
    <row r="320" spans="1:8" x14ac:dyDescent="0.2">
      <c r="A320" t="s">
        <v>80</v>
      </c>
      <c r="B320" t="s">
        <v>81</v>
      </c>
      <c r="C320" t="s">
        <v>72</v>
      </c>
      <c r="D320" t="s">
        <v>76</v>
      </c>
      <c r="E320" t="s">
        <v>82</v>
      </c>
      <c r="F320" t="s">
        <v>74</v>
      </c>
      <c r="G320" t="s">
        <v>83</v>
      </c>
      <c r="H320" t="s">
        <v>73</v>
      </c>
    </row>
    <row r="321" spans="1:8" x14ac:dyDescent="0.2">
      <c r="A321" t="str">
        <f>B292</f>
        <v>transport, Kick Scooter, electric, &lt;1kW, LFP battery, 2050</v>
      </c>
      <c r="B321">
        <v>1</v>
      </c>
      <c r="C321" t="str">
        <f>B293</f>
        <v>CH</v>
      </c>
      <c r="D321" t="s">
        <v>166</v>
      </c>
      <c r="F321" t="s">
        <v>84</v>
      </c>
      <c r="G321" t="s">
        <v>85</v>
      </c>
      <c r="H321" t="str">
        <f>B298</f>
        <v>transport, Kick Scooter, electric, &lt;1kW</v>
      </c>
    </row>
    <row r="322" spans="1:8" x14ac:dyDescent="0.2">
      <c r="A322" t="str">
        <f>RIGHT(A321,LEN(A321)-11)</f>
        <v>Kick Scooter, electric, &lt;1kW, LFP battery, 2050</v>
      </c>
      <c r="B322" s="7">
        <f>1/B302</f>
        <v>5.602240896358543E-4</v>
      </c>
      <c r="C322" t="str">
        <f>B293</f>
        <v>CH</v>
      </c>
      <c r="D322" t="s">
        <v>76</v>
      </c>
      <c r="F322" t="s">
        <v>89</v>
      </c>
      <c r="H322" t="str">
        <f>RIGHT(H321,LEN(H321)-11)</f>
        <v>Kick Scooter, electric, &lt;1kW</v>
      </c>
    </row>
    <row r="323" spans="1:8" x14ac:dyDescent="0.2">
      <c r="A323" t="str">
        <f>INDEX('ei names mapping'!$B$4:$R$33,MATCH('lci-kick scooter - LFP'!$B$3,'ei names mapping'!$A$4:$A$33,0),MATCH('lci-kick scooter - LFP'!$G323,'ei names mapping'!$B$3:$R$3,0))</f>
        <v>market for electricity, low voltage</v>
      </c>
      <c r="B323" s="7">
        <f>INDEX('vehicles specifications'!$B$3:$CW$166,MATCH(B297,'vehicles specifications'!$A$3:$A$166,0),MATCH(G323,'vehicles specifications'!$B$2:$CW$2,0))*INDEX('ei names mapping'!$B$137:$BL$300,MATCH(B297,'ei names mapping'!$A$137:$A$300,0),MATCH(G323,'ei names mapping'!$B$136:$BL$136,0))</f>
        <v>2.6316377864728905E-2</v>
      </c>
      <c r="C323" t="str">
        <f>INDEX('ei names mapping'!$B$38:$R$67,MATCH('lci-kick scooter - LFP'!$B$3,'ei names mapping'!$A$4:$A$33,0),MATCH('lci-kick scooter - LFP'!$G323,'ei names mapping'!$B$3:$R$3,0))</f>
        <v>CH</v>
      </c>
      <c r="D323" t="str">
        <f>INDEX('ei names mapping'!$B$104:$R$133,MATCH('lci-kick scooter - LFP'!$B$3,'ei names mapping'!$A$4:$A$33,0),MATCH('lci-kick scooter - LFP'!$G323,'ei names mapping'!$B$3:$R$3,0))</f>
        <v>kilowatt hour</v>
      </c>
      <c r="F323" t="s">
        <v>89</v>
      </c>
      <c r="G323" t="s">
        <v>28</v>
      </c>
      <c r="H323" t="str">
        <f>INDEX('ei names mapping'!$B$71:$R$100,MATCH('lci-kick scooter - LFP'!$B$3,'ei names mapping'!$A$4:$A$33,0),MATCH('lci-kick scooter - LFP'!$G323,'ei names mapping'!$B$3:$R$3,0))</f>
        <v>electricity, low voltage</v>
      </c>
    </row>
    <row r="324" spans="1:8" x14ac:dyDescent="0.2">
      <c r="A324" t="str">
        <f>INDEX('ei names mapping'!$B$4:$R$33,MATCH(B294,'ei names mapping'!$A$4:$A$33,0),MATCH(G324,'ei names mapping'!$B$3:$R$3,0))</f>
        <v>road construction</v>
      </c>
      <c r="B324" s="7">
        <f>INDEX('vehicles specifications'!$B$3:$CW$166,MATCH(B297,'vehicles specifications'!$A$3:$A$166,0),MATCH(G324,'vehicles specifications'!$B$2:$CW$2,0))*INDEX('ei names mapping'!$B$137:$BL$300,MATCH(B297,'ei names mapping'!$A$137:$A$300,0),MATCH(G324,'ei names mapping'!$B$136:$BL$136,0))</f>
        <v>4.6831770000000006E-5</v>
      </c>
      <c r="C324" t="str">
        <f>INDEX('ei names mapping'!$B$38:$R$67,MATCH(B294,'ei names mapping'!$A$4:$A$33,0),MATCH(G324,'ei names mapping'!$B$3:$R$3,0))</f>
        <v>CH</v>
      </c>
      <c r="D324" t="str">
        <f>INDEX('ei names mapping'!$B$104:$R$133,MATCH(B294,'ei names mapping'!$A$104:$A$133,0),MATCH(G324,'ei names mapping'!$B$3:$R$3,0))</f>
        <v>meter-year</v>
      </c>
      <c r="F324" t="s">
        <v>89</v>
      </c>
      <c r="G324" t="s">
        <v>105</v>
      </c>
      <c r="H324" t="str">
        <f>INDEX('ei names mapping'!$B$71:$R$100,MATCH(B294,'ei names mapping'!$A$4:$A$33,0),MATCH(G324,'ei names mapping'!$B$3:$R$3,0))</f>
        <v>road</v>
      </c>
    </row>
    <row r="325" spans="1:8" x14ac:dyDescent="0.2">
      <c r="A325" t="str">
        <f>INDEX('ei names mapping'!$B$4:$BL$33,MATCH('lci-kick scooter - LFP'!$B$3,'ei names mapping'!$A$4:$A$33,0),MATCH('lci-kick scooter - LFP'!$G325,'ei names mapping'!$B$3:$BL$3,0))</f>
        <v>treatment of road wear emissions, passenger car</v>
      </c>
      <c r="B325" s="7">
        <f>INDEX('vehicles specifications'!$B$3:$CW$166,MATCH(B297,'vehicles specifications'!$A$3:$A$166,0),MATCH(G325,'vehicles specifications'!$B$2:$CW$2,0))*INDEX('ei names mapping'!$B$137:$BL$300,MATCH(B297,'ei names mapping'!$A$137:$A$300,0),MATCH(G325,'ei names mapping'!$B$136:$BL$136,0))</f>
        <v>-3.7912536578981403E-6</v>
      </c>
      <c r="C325" t="str">
        <f>INDEX('ei names mapping'!$B$38:$BL$67,MATCH('lci-kick scooter - LFP'!$B$3,'ei names mapping'!$A$4:$A$33,0),MATCH('lci-kick scooter - LFP'!$G325,'ei names mapping'!$B$3:$BL$3,0))</f>
        <v>RER</v>
      </c>
      <c r="D325" t="str">
        <f>INDEX('ei names mapping'!$B$104:$BL$133,MATCH('lci-kick scooter - LFP'!$B$3,'ei names mapping'!$A$4:$A$33,0),MATCH('lci-kick scooter - LFP'!$G325,'ei names mapping'!$B$3:$BL$3,0))</f>
        <v>kilogram</v>
      </c>
      <c r="F325" t="s">
        <v>89</v>
      </c>
      <c r="G325" t="s">
        <v>29</v>
      </c>
      <c r="H325" t="str">
        <f>INDEX('ei names mapping'!$B$71:$BL$100,MATCH('lci-kick scooter - LFP'!$B$3,'ei names mapping'!$A$4:$A$33,0),MATCH('lci-kick scooter - LFP'!$G325,'ei names mapping'!$B$3:$BL$3,0))</f>
        <v>road wear emissions, passenger car</v>
      </c>
    </row>
    <row r="326" spans="1:8" x14ac:dyDescent="0.2">
      <c r="A326" t="str">
        <f>INDEX('ei names mapping'!$B$4:$BL$33,MATCH('lci-kick scooter - LFP'!$B$3,'ei names mapping'!$A$4:$A$33,0),MATCH('lci-kick scooter - LFP'!$G326,'ei names mapping'!$B$3:$BL$3,0))</f>
        <v>treatment of tyre wear emissions, passenger car</v>
      </c>
      <c r="B326" s="7">
        <f>INDEX('vehicles specifications'!$B$3:$CW$166,MATCH(B297,'vehicles specifications'!$A$3:$A$166,0),MATCH(G326,'vehicles specifications'!$B$2:$CW$2,0))*INDEX('ei names mapping'!$B$137:$BL$300,MATCH(B297,'ei names mapping'!$A$137:$A$300,0),MATCH(G326,'ei names mapping'!$B$136:$BL$136,0))</f>
        <v>-3.6933752801706036E-6</v>
      </c>
      <c r="C326" t="str">
        <f>INDEX('ei names mapping'!$B$38:$BL$67,MATCH('lci-kick scooter - LFP'!$B$3,'ei names mapping'!$A$4:$A$33,0),MATCH('lci-kick scooter - LFP'!$G326,'ei names mapping'!$B$3:$BL$3,0))</f>
        <v>RER</v>
      </c>
      <c r="D326" t="str">
        <f>INDEX('ei names mapping'!$B$104:$BL$133,MATCH('lci-kick scooter - LFP'!$B$3,'ei names mapping'!$A$4:$A$33,0),MATCH('lci-kick scooter - LFP'!$G326,'ei names mapping'!$B$3:$BL$3,0))</f>
        <v>kilogram</v>
      </c>
      <c r="F326" t="s">
        <v>89</v>
      </c>
      <c r="G326" t="s">
        <v>30</v>
      </c>
      <c r="H326" t="str">
        <f>INDEX('ei names mapping'!$B$71:$BL$100,MATCH('lci-kick scooter - LFP'!$B$3,'ei names mapping'!$A$4:$A$33,0),MATCH('lci-kick scooter - LFP'!$G326,'ei names mapping'!$B$3:$BL$3,0))</f>
        <v>tyre wear emissions, passenger car</v>
      </c>
    </row>
    <row r="327" spans="1:8" x14ac:dyDescent="0.2">
      <c r="A327" t="str">
        <f>INDEX('ei names mapping'!$B$4:$BL$33,MATCH('lci-kick scooter - LFP'!$B$3,'ei names mapping'!$A$4:$A$33,0),MATCH('lci-kick scooter - LFP'!$G327,'ei names mapping'!$B$3:$BL$3,0))</f>
        <v>treatment of brake wear emissions, passenger car</v>
      </c>
      <c r="B327" s="7">
        <f>INDEX('vehicles specifications'!$B$3:$CW$166,MATCH(B297,'vehicles specifications'!$A$3:$A$166,0),MATCH(G327,'vehicles specifications'!$B$2:$CW$2,0))*INDEX('ei names mapping'!$B$137:$BL$300,MATCH(B297,'ei names mapping'!$A$137:$A$300,0),MATCH(G327,'ei names mapping'!$B$136:$BL$136,0))</f>
        <v>-3.4597561127784601E-6</v>
      </c>
      <c r="C327" t="str">
        <f>INDEX('ei names mapping'!$B$38:$BL$67,MATCH('lci-kick scooter - LFP'!$B$3,'ei names mapping'!$A$4:$A$33,0),MATCH('lci-kick scooter - LFP'!$G327,'ei names mapping'!$B$3:$BL$3,0))</f>
        <v>RER</v>
      </c>
      <c r="D327" t="str">
        <f>INDEX('ei names mapping'!$B$104:$BL$133,MATCH('lci-kick scooter - LFP'!$B$3,'ei names mapping'!$A$4:$A$33,0),MATCH('lci-kick scooter - LFP'!$G327,'ei names mapping'!$B$3:$BL$3,0))</f>
        <v>kilogram</v>
      </c>
      <c r="F327" t="s">
        <v>89</v>
      </c>
      <c r="G327" t="s">
        <v>31</v>
      </c>
      <c r="H327" t="str">
        <f>INDEX('ei names mapping'!$B$71:$BL$100,MATCH('lci-kick scooter - LFP'!$B$3,'ei names mapping'!$A$4:$A$33,0),MATCH('lci-kick scooter - LFP'!$G327,'ei names mapping'!$B$3:$BL$3,0))</f>
        <v>brake wear emissions, passenger car</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27"/>
  <sheetViews>
    <sheetView topLeftCell="A277" workbookViewId="0">
      <selection activeCell="A302" sqref="A302"/>
    </sheetView>
  </sheetViews>
  <sheetFormatPr baseColWidth="10" defaultColWidth="8.6640625" defaultRowHeight="15" x14ac:dyDescent="0.2"/>
  <cols>
    <col min="1" max="1" width="42.33203125" bestFit="1" customWidth="1"/>
    <col min="6" max="6" width="12.33203125" bestFit="1" customWidth="1"/>
    <col min="7" max="7" width="28.6640625" bestFit="1" customWidth="1"/>
    <col min="8" max="8" width="20" bestFit="1" customWidth="1"/>
  </cols>
  <sheetData>
    <row r="1" spans="1:2" ht="16" x14ac:dyDescent="0.2">
      <c r="A1" s="10" t="s">
        <v>71</v>
      </c>
      <c r="B1" s="8" t="str">
        <f>B3&amp;", "&amp;B18&amp;" battery, "&amp;B5</f>
        <v>Kick Scooter, electric, &lt;1kW, NCA battery, 2020</v>
      </c>
    </row>
    <row r="2" spans="1:2" x14ac:dyDescent="0.2">
      <c r="A2" t="s">
        <v>72</v>
      </c>
      <c r="B2" t="s">
        <v>37</v>
      </c>
    </row>
    <row r="3" spans="1:2" x14ac:dyDescent="0.2">
      <c r="A3" t="s">
        <v>86</v>
      </c>
      <c r="B3" t="s">
        <v>618</v>
      </c>
    </row>
    <row r="4" spans="1:2" x14ac:dyDescent="0.2">
      <c r="A4" t="s">
        <v>87</v>
      </c>
    </row>
    <row r="5" spans="1:2" x14ac:dyDescent="0.2">
      <c r="A5" t="s">
        <v>88</v>
      </c>
      <c r="B5">
        <v>2020</v>
      </c>
    </row>
    <row r="6" spans="1:2" x14ac:dyDescent="0.2">
      <c r="A6" t="s">
        <v>126</v>
      </c>
      <c r="B6" t="str">
        <f>B3&amp;" - "&amp;B5&amp;" - "&amp;B18&amp;" - "&amp;B2</f>
        <v>Kick Scooter, electric, &lt;1kW - 2020 - NCA - CH</v>
      </c>
    </row>
    <row r="7" spans="1:2" x14ac:dyDescent="0.2">
      <c r="A7" t="s">
        <v>73</v>
      </c>
      <c r="B7" t="str">
        <f>B3</f>
        <v>Kick Scooter, electric, &lt;1kW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specifications'!$B$3:$CW$166,MATCH('lci-kick scooter - NCA'!B6,'vehicles specifications'!$A$3:$A$166,0),MATCH("Lifetime [km]",'vehicles specifications'!$B$2:$CW$2,0))</f>
        <v>1785</v>
      </c>
    </row>
    <row r="12" spans="1:2" x14ac:dyDescent="0.2">
      <c r="A12" t="s">
        <v>128</v>
      </c>
      <c r="B12">
        <f>INDEX('vehicles specifications'!$B$3:$CW$166,MATCH('lci-kick scooter - NCA'!B6,'vehicles specifications'!$A$3:$A$166,0),MATCH("Passengers [unit]",'vehicles specifications'!$B$2:$CW$2,0))</f>
        <v>1</v>
      </c>
    </row>
    <row r="13" spans="1:2" x14ac:dyDescent="0.2">
      <c r="A13" t="s">
        <v>129</v>
      </c>
      <c r="B13">
        <f>INDEX('vehicles specifications'!$B$3:$CW$166,MATCH('lci-kick scooter - NCA'!B6,'vehicles specifications'!$A$3:$A$166,0),MATCH("Servicing [unit]",'vehicles specifications'!$B$2:$CW$2,0))</f>
        <v>0</v>
      </c>
    </row>
    <row r="14" spans="1:2" x14ac:dyDescent="0.2">
      <c r="A14" t="s">
        <v>130</v>
      </c>
      <c r="B14">
        <f>INDEX('vehicles specifications'!$B$3:$CW$166,MATCH('lci-kick scooter - NCA'!B6,'vehicles specifications'!$A$3:$A$166,0),MATCH("Energy battery replacement [unit]",'vehicles specifications'!$B$2:$CW$2,0))</f>
        <v>0</v>
      </c>
    </row>
    <row r="15" spans="1:2" x14ac:dyDescent="0.2">
      <c r="A15" t="s">
        <v>131</v>
      </c>
      <c r="B15">
        <f>INDEX('vehicles specifications'!$B$3:$CW$166,MATCH('lci-kick scooter - NCA'!B6,'vehicles specifications'!$A$3:$A$166,0),MATCH("Annual kilometers [km]",'vehicles specifications'!$B$2:$CW$2,0))</f>
        <v>890</v>
      </c>
    </row>
    <row r="16" spans="1:2" x14ac:dyDescent="0.2">
      <c r="A16" t="s">
        <v>132</v>
      </c>
      <c r="B16">
        <f>INDEX('vehicles specifications'!$B$3:$CW$166,MATCH('lci-kick scooter - NCA'!B6,'vehicles specifications'!$A$3:$A$166,0),MATCH("Curb mass [kg]",'vehicles specifications'!$B$2:$CW$2,0))</f>
        <v>11.413043478260869</v>
      </c>
    </row>
    <row r="17" spans="1:8" x14ac:dyDescent="0.2">
      <c r="A17" t="s">
        <v>133</v>
      </c>
      <c r="B17">
        <f>INDEX('vehicles specifications'!$B$3:$CW$166,MATCH('lci-kick scooter - NCA'!B6,'vehicles specifications'!$A$3:$A$166,0),MATCH("Power [kW]",'vehicles specifications'!$B$2:$CW$2,0))</f>
        <v>0.25</v>
      </c>
    </row>
    <row r="18" spans="1:8" x14ac:dyDescent="0.2">
      <c r="A18" t="s">
        <v>652</v>
      </c>
      <c r="B18" s="20" t="s">
        <v>45</v>
      </c>
    </row>
    <row r="19" spans="1:8" x14ac:dyDescent="0.2">
      <c r="A19" t="s">
        <v>134</v>
      </c>
      <c r="B19">
        <f>INDEX('vehicles specifications'!$B$3:$CW$166,MATCH('lci-kick scooter - NCA'!B6,'vehicles specifications'!$A$3:$A$166,0),MATCH("Energy battery mass [kg]",'vehicles specifications'!$B$2:$CW$2,0))</f>
        <v>1.4130434782608694</v>
      </c>
    </row>
    <row r="20" spans="1:8" x14ac:dyDescent="0.2">
      <c r="A20" t="s">
        <v>135</v>
      </c>
      <c r="B20">
        <f>INDEX('vehicles specifications'!$B$3:$CW$166,MATCH('lci-kick scooter - NCA'!B6,'vehicles specifications'!$A$3:$A$166,0),MATCH("Electric energy stored [kWh]",'vehicles specifications'!$B$2:$CW$2,0))</f>
        <v>0.25</v>
      </c>
    </row>
    <row r="21" spans="1:8" x14ac:dyDescent="0.2">
      <c r="A21" t="s">
        <v>588</v>
      </c>
      <c r="B21">
        <f>INDEX('vehicles specifications'!$B$3:$CW$166,MATCH('lci-kick scooter - NCA'!B6,'vehicles specifications'!$A$3:$A$166,0),MATCH("Electric energy available [kWh]",'vehicles specifications'!$B$2:$CW$2,0))</f>
        <v>0.2</v>
      </c>
    </row>
    <row r="22" spans="1:8" x14ac:dyDescent="0.2">
      <c r="A22" t="s">
        <v>138</v>
      </c>
      <c r="B22">
        <f>INDEX('vehicles specifications'!$B$3:$CW$166,MATCH('lci-kick scooter - NCA'!B6,'vehicles specifications'!$A$3:$A$166,0),MATCH("Oxydation energy stored [kWh]",'vehicles specifications'!$B$2:$CW$2,0))</f>
        <v>0</v>
      </c>
    </row>
    <row r="23" spans="1:8" x14ac:dyDescent="0.2">
      <c r="A23" t="s">
        <v>139</v>
      </c>
      <c r="B23">
        <f>INDEX('vehicles specifications'!$B$3:$CW$166,MATCH('lci-kick scooter - NCA'!B6,'vehicles specifications'!$A$3:$A$166,0),MATCH("Fuel mass [kg]",'vehicles specifications'!$B$2:$CW$2,0))</f>
        <v>0</v>
      </c>
    </row>
    <row r="24" spans="1:8" x14ac:dyDescent="0.2">
      <c r="A24" t="s">
        <v>136</v>
      </c>
      <c r="B24">
        <f>INDEX('vehicles specifications'!$B$3:$CW$166,MATCH('lci-kick scooter - NCA'!B6,'vehicles specifications'!$A$3:$A$166,0),MATCH("Range [km]",'vehicles specifications'!$B$2:$CW$2,0))</f>
        <v>8.3598130841121492</v>
      </c>
    </row>
    <row r="25" spans="1:8" x14ac:dyDescent="0.2">
      <c r="A25" t="s">
        <v>137</v>
      </c>
      <c r="B25" t="str">
        <f>INDEX('vehicles specifications'!$B$3:$CW$166,MATCH('lci-kick scooter - NCA'!B6,'vehicles specifications'!$A$3:$A$166,0),MATCH("Emission standard",'vehicles specifications'!$B$2:$CW$2,0))</f>
        <v>None</v>
      </c>
    </row>
    <row r="26" spans="1:8" x14ac:dyDescent="0.2">
      <c r="A26" t="s">
        <v>1174</v>
      </c>
      <c r="B26" s="6">
        <f>INDEX('vehicles specifications'!$B$3:$CW$166,MATCH('lci-kick scooter - NCA'!B6,'vehicles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NCA'!B10</f>
        <v>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Kick Scooter, electric, &lt;1kW, NCA battery, 2020</v>
      </c>
      <c r="B33">
        <v>1</v>
      </c>
      <c r="C33" t="str">
        <f>B2</f>
        <v>CH</v>
      </c>
      <c r="D33" t="str">
        <f>B9</f>
        <v>unit</v>
      </c>
      <c r="F33" t="s">
        <v>84</v>
      </c>
      <c r="G33" t="s">
        <v>85</v>
      </c>
      <c r="H33" t="str">
        <f>B7</f>
        <v>Kick Scooter, electric, &lt;1kW</v>
      </c>
    </row>
    <row r="34" spans="1:8" x14ac:dyDescent="0.2">
      <c r="A34" t="str">
        <f>INDEX('ei names mapping'!$B$4:$R$33,MATCH('lci-kick scooter - NCA'!$B$3,'ei names mapping'!$A$4:$A$33,0),MATCH('lci-kick scooter - NCA'!$G34,'ei names mapping'!$B$3:$R$3,0))</f>
        <v>bicycle production</v>
      </c>
      <c r="B34" s="4">
        <f>INDEX('vehicles specifications'!$B$3:$CW$166,MATCH(B6,'vehicles specifications'!$A$3:$A$166,0),MATCH(G34,'vehicles specifications'!$B$2:$CW$2,0))*INDEX('ei names mapping'!$B$137:$BL$300,MATCH(B6,'ei names mapping'!$A$137:$A$300,0),MATCH(G34,'ei names mapping'!$B$136:$BL$136,0))</f>
        <v>0.41176470588235292</v>
      </c>
      <c r="C34" t="str">
        <f>INDEX('ei names mapping'!$B$38:$R$67,MATCH('lci-kick scooter - NCA'!$B$3,'ei names mapping'!$A$4:$A$33,0),MATCH('lci-kick scooter - NCA'!$G34,'ei names mapping'!$B$3:$R$3,0))</f>
        <v>RER</v>
      </c>
      <c r="D34" t="str">
        <f>INDEX('ei names mapping'!$B$104:$R$133,MATCH('lci-kick scooter - NCA'!$B$3,'ei names mapping'!$A$4:$A$33,0),MATCH('lci-kick scooter - NCA'!$G34,'ei names mapping'!$B$3:$R$3,0))</f>
        <v>unit</v>
      </c>
      <c r="F34" t="s">
        <v>89</v>
      </c>
      <c r="G34" t="s">
        <v>15</v>
      </c>
      <c r="H34" t="str">
        <f>INDEX('ei names mapping'!$B$71:$R$100,MATCH('lci-kick scooter - NCA'!$B$3,'ei names mapping'!$A$4:$A$33,0),MATCH('lci-kick scooter - NCA'!$G34,'ei names mapping'!$B$3:$R$3,0))</f>
        <v>bicycle</v>
      </c>
    </row>
    <row r="35" spans="1:8" x14ac:dyDescent="0.2">
      <c r="A35" t="str">
        <f>INDEX('ei names mapping'!$B$4:$R$33,MATCH('lci-kick scooter - NCA'!$B$3,'ei names mapping'!$A$4:$A$33,0),MATCH('lci-kick scooter - NCA'!$G35,'ei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3</v>
      </c>
      <c r="C35" t="str">
        <f>INDEX('ei names mapping'!$B$38:$R$67,MATCH('lci-kick scooter - NCA'!$B$3,'ei names mapping'!$A$4:$A$33,0),MATCH('lci-kick scooter - NCA'!$G35,'ei names mapping'!$B$3:$R$3,0))</f>
        <v>GLO</v>
      </c>
      <c r="D35" t="str">
        <f>INDEX('ei names mapping'!$B$104:$R$133,MATCH('lci-kick scooter - NCA'!$B$3,'ei names mapping'!$A$4:$A$33,0),MATCH('lci-kick scooter - NCA'!$G35,'ei names mapping'!$B$3:$R$3,0))</f>
        <v>kilogram</v>
      </c>
      <c r="F35" t="s">
        <v>89</v>
      </c>
      <c r="G35" t="s">
        <v>501</v>
      </c>
      <c r="H35" t="str">
        <f>INDEX('ei names mapping'!$B$71:$R$100,MATCH('lci-kick scooter - NCA'!$B$3,'ei names mapping'!$A$4:$A$33,0),MATCH('lci-kick scooter - NCA'!$G35,'ei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mapping'!$A$4:$A$33,0),MATCH(G36,'ei names mapping'!$B$3:$R$3,0))</f>
        <v>kilogram</v>
      </c>
      <c r="F36" t="s">
        <v>89</v>
      </c>
      <c r="G36" t="s">
        <v>14</v>
      </c>
      <c r="H36" t="str">
        <f>INDEX('ei names mapping'!$B$71:$R$100,MATCH(B3,'ei names mapping'!$A$4:$A$33,0),MATCH(G36,'ei names mapping'!$B$3:$R$3,0))</f>
        <v>Glider lightweighting</v>
      </c>
    </row>
    <row r="37" spans="1:8" x14ac:dyDescent="0.2">
      <c r="A37" t="s">
        <v>760</v>
      </c>
      <c r="B37" s="4">
        <f>INDEX('vehicles specifications'!$B$3:$CW$166,MATCH(B6,'vehicles specifications'!$A$3:$A$166,0),MATCH(G37,'vehicles specifications'!$B$2:$CW$2,0))*INDEX('ei names mapping'!$B$137:$BL$300,MATCH(B6,'ei names mapping'!$A$137:$A$300,0),MATCH(G37,'ei names mapping'!$B$136:$BL$136,0))</f>
        <v>1.0869565217391304</v>
      </c>
      <c r="C37" t="str">
        <f>INDEX('ei names mapping'!$B$38:$R$67,MATCH('lci-kick scooter - NCA'!$B$3,'ei names mapping'!$A$4:$A$33,0),MATCH('lci-kick scooter - NCA'!$G37,'ei names mapping'!$B$3:$R$3,0))</f>
        <v>GLO</v>
      </c>
      <c r="D37" t="str">
        <f>INDEX('ei names mapping'!$B$104:$R$133,MATCH('lci-kick scooter - NCA'!$B$3,'ei names mapping'!$A$4:$A$33,0),MATCH('lci-kick scooter - NCA'!$G37,'ei names mapping'!$B$3:$R$3,0))</f>
        <v>kilogram</v>
      </c>
      <c r="F37" t="s">
        <v>89</v>
      </c>
      <c r="G37" t="s">
        <v>19</v>
      </c>
      <c r="H37" t="str">
        <f>INDEX('ei names mapping'!$B$71:$R$100,MATCH('lci-kick scooter - NCA'!$B$3,'ei names mapping'!$A$4:$A$33,0),MATCH('lci-kick scooter - NCA'!$G37,'ei names mapping'!$B$3:$R$3,0))</f>
        <v>Battery cell</v>
      </c>
    </row>
    <row r="38" spans="1:8" x14ac:dyDescent="0.2">
      <c r="A38" t="str">
        <f>INDEX('ei names mapping'!$B$4:$R$33,MATCH('lci-kick scooter - NCA'!$B$3,'ei names mapping'!$A$4:$A$33,0),MATCH('lci-kick scooter - NCA'!$G38,'ei names mapping'!$B$3:$R$3,0))</f>
        <v>Battery BoP</v>
      </c>
      <c r="B38" s="4">
        <f>INDEX('vehicles specifications'!$B$3:$CW$166,MATCH(B6,'vehicles specifications'!$A$3:$A$166,0),MATCH(G38,'vehicles specifications'!$B$2:$CW$2,0))*INDEX('ei names mapping'!$B$137:$BL$300,MATCH(B6,'ei names mapping'!$A$137:$A$300,0),MATCH(G38,'ei names mapping'!$B$136:$BL$136,0))</f>
        <v>0.32608695652173908</v>
      </c>
      <c r="C38" t="str">
        <f>INDEX('ei names mapping'!$B$38:$R$67,MATCH('lci-kick scooter - NCA'!$B$3,'ei names mapping'!$A$4:$A$33,0),MATCH('lci-kick scooter - NCA'!$G38,'ei names mapping'!$B$3:$R$3,0))</f>
        <v>GLO</v>
      </c>
      <c r="D38" t="str">
        <f>INDEX('ei names mapping'!$B$104:$R$133,MATCH('lci-kick scooter - NCA'!$B$3,'ei names mapping'!$A$4:$A$33,0),MATCH('lci-kick scooter - NCA'!$G38,'ei names mapping'!$B$3:$R$3,0))</f>
        <v>kilogram</v>
      </c>
      <c r="F38" t="s">
        <v>89</v>
      </c>
      <c r="G38" t="s">
        <v>20</v>
      </c>
      <c r="H38" t="str">
        <f>INDEX('ei names mapping'!$B$71:$R$100,MATCH('lci-kick scooter - NCA'!$B$3,'ei names mapping'!$A$4:$A$33,0),MATCH('lci-kick scooter - NCA'!$G38,'ei names mapping'!$B$3:$R$3,0))</f>
        <v>Battery BoP</v>
      </c>
    </row>
    <row r="39" spans="1:8" x14ac:dyDescent="0.2">
      <c r="A39" t="str">
        <f>INDEX('ei names mapping'!$B$4:$R$33,MATCH('lci-kick scooter - NCA'!$B$3,'ei names mapping'!$A$4:$A$33,0),MATCH('lci-kick scooter - NCA'!$G39,'ei names mapping'!$B$3:$R$3,0))</f>
        <v>charging station, 100W</v>
      </c>
      <c r="B39" s="4">
        <f>INDEX('vehicles specifications'!$B$3:$CW$166,MATCH(B6,'vehicles specifications'!$A$3:$A$166,0),MATCH(G39,'vehicles specifications'!$B$2:$CW$2,0))*INDEX('ei names mapping'!$B$137:$BL$300,MATCH(B6,'ei names mapping'!$A$137:$A$300,0),MATCH(G39,'ei names mapping'!$B$136:$BL$136,0))</f>
        <v>1</v>
      </c>
      <c r="C39" t="str">
        <f>INDEX('ei names mapping'!$B$38:$R$67,MATCH('lci-kick scooter - NCA'!$B$3,'ei names mapping'!$A$4:$A$33,0),MATCH('lci-kick scooter - NCA'!$G39,'ei names mapping'!$B$3:$R$3,0))</f>
        <v>GLO</v>
      </c>
      <c r="D39" t="str">
        <f>INDEX('ei names mapping'!$B$104:$R$133,MATCH('lci-kick scooter - NCA'!$B$3,'ei names mapping'!$A$4:$A$33,0),MATCH('lci-kick scooter - NCA'!$G39,'ei names mapping'!$B$3:$R$3,0))</f>
        <v>unit</v>
      </c>
      <c r="F39" t="s">
        <v>89</v>
      </c>
      <c r="G39" t="s">
        <v>52</v>
      </c>
      <c r="H39" t="str">
        <f>INDEX('ei names mapping'!$B$71:$R$100,MATCH('lci-kick scooter - NCA'!$B$3,'ei names mapping'!$A$4:$A$33,0),MATCH('lci-kick scooter - NCA'!$G39,'ei names mapping'!$B$3:$R$3,0))</f>
        <v>charging station, 100W</v>
      </c>
    </row>
    <row r="40" spans="1:8" x14ac:dyDescent="0.2">
      <c r="A40" t="str">
        <f>INDEX('ei names mapping'!$B$4:$R$33,MATCH('lci-kick scooter - NCA'!$B$3,'ei names mapping'!$A$4:$A$33,0),MATCH('lci-kick scooter - NCA'!$G40,'ei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-0.125</v>
      </c>
      <c r="C40" t="str">
        <f>INDEX('ei names mapping'!$B$38:$R$67,MATCH('lci-kick scooter - NCA'!$B$3,'ei names mapping'!$A$4:$A$33,0),MATCH('lci-kick scooter - NCA'!$G40,'ei names mapping'!$B$3:$R$3,0))</f>
        <v>CH</v>
      </c>
      <c r="D40" t="str">
        <f>INDEX('ei names mapping'!$B$104:$R$133,MATCH('lci-kick scooter - NCA'!$B$3,'ei names mapping'!$A$4:$A$33,0),MATCH('lci-kick scooter - NCA'!$G40,'ei names mapping'!$B$3:$R$3,0))</f>
        <v>unit</v>
      </c>
      <c r="F40" t="s">
        <v>89</v>
      </c>
      <c r="G40" t="s">
        <v>145</v>
      </c>
      <c r="H40" t="str">
        <f>INDEX('ei names mapping'!$B$71:$R$100,MATCH('lci-kick scooter - NCA'!$B$3,'ei names mapping'!$A$4:$A$33,0),MATCH('lci-kick scooter - NCA'!$G40,'ei names mapping'!$B$3:$R$3,0))</f>
        <v>used electric bicycle</v>
      </c>
    </row>
    <row r="41" spans="1:8" x14ac:dyDescent="0.2">
      <c r="A41" t="str">
        <f>INDEX('ei names mapping'!$B$4:$R$33,MATCH('lci-kick scooter - NCA'!$B$3,'ei names mapping'!$A$4:$A$33,0),MATCH('lci-kick scooter - NCA'!$G41,'ei names mapping'!$B$3:$R$3,0))</f>
        <v>treatment of used bicycle</v>
      </c>
      <c r="B41" s="4">
        <f>INDEX('vehicles specifications'!$B$3:$CW$166,MATCH(B6,'vehicles specifications'!$A$3:$A$166,0),MATCH(G41,'vehicles specifications'!$B$2:$CW$2,0))*INDEX('ei names mapping'!$B$137:$BL$300,MATCH(B6,'ei names mapping'!$A$137:$A$300,0),MATCH(G41,'ei names mapping'!$B$136:$BL$136,0))</f>
        <v>-0.41176470588235292</v>
      </c>
      <c r="C41" t="str">
        <f>INDEX('ei names mapping'!$B$38:$R$67,MATCH('lci-kick scooter - NCA'!$B$3,'ei names mapping'!$A$4:$A$33,0),MATCH('lci-kick scooter - NCA'!$G41,'ei names mapping'!$B$3:$R$3,0))</f>
        <v>CH</v>
      </c>
      <c r="D41" t="str">
        <f>INDEX('ei names mapping'!$B$104:$R$133,MATCH('lci-kick scooter - NCA'!$B$3,'ei names mapping'!$A$4:$A$33,0),MATCH('lci-kick scooter - NCA'!$G41,'ei names mapping'!$B$3:$R$3,0))</f>
        <v>unit</v>
      </c>
      <c r="F41" t="s">
        <v>89</v>
      </c>
      <c r="G41" t="s">
        <v>144</v>
      </c>
      <c r="H41" t="str">
        <f>INDEX('ei names mapping'!$B$71:$R$100,MATCH('lci-kick scooter - NCA'!$B$3,'ei names mapping'!$A$4:$A$33,0),MATCH('lci-kick scooter - NCA'!$G41,'ei names mapping'!$B$3:$R$3,0))</f>
        <v>used bicycle</v>
      </c>
    </row>
    <row r="42" spans="1:8" x14ac:dyDescent="0.2">
      <c r="A42" t="str">
        <f>INDEX('ei names mapping'!$B$4:$R$33,MATCH('lci-kick scooter - NCA'!$B$3,'ei names mapping'!$A$4:$A$33,0),MATCH('lci-kick scooter - NCA'!$G42,'ei names mapping'!$B$3:$R$3,0))</f>
        <v>market for used Li-ion battery</v>
      </c>
      <c r="B42" s="4">
        <f>INDEX('vehicles specifications'!$B$3:$CW$166,MATCH(B6,'vehicles specifications'!$A$3:$A$166,0),MATCH(G42,'vehicles specifications'!$B$2:$CW$2,0))*INDEX('ei names mapping'!$B$137:$BL$300,MATCH(B6,'ei names mapping'!$A$137:$A$300,0),MATCH(G42,'ei names mapping'!$B$136:$BL$136,0))</f>
        <v>-1.4130434782608694</v>
      </c>
      <c r="C42" t="str">
        <f>INDEX('ei names mapping'!$B$38:$R$67,MATCH('lci-kick scooter - NCA'!$B$3,'ei names mapping'!$A$4:$A$33,0),MATCH('lci-kick scooter - NCA'!$G42,'ei names mapping'!$B$3:$R$3,0))</f>
        <v>GLO</v>
      </c>
      <c r="D42" t="str">
        <f>INDEX('ei names mapping'!$B$104:$R$133,MATCH('lci-kick scooter - NCA'!$B$3,'ei names mapping'!$A$4:$A$33,0),MATCH('lci-kick scooter - NCA'!$G42,'ei names mapping'!$B$3:$R$3,0))</f>
        <v>kilogram</v>
      </c>
      <c r="F42" t="s">
        <v>89</v>
      </c>
      <c r="G42" t="s">
        <v>146</v>
      </c>
      <c r="H42" t="str">
        <f>INDEX('ei names mapping'!$B$71:$R$100,MATCH('lci-kick scooter - NCA'!$B$3,'ei names mapping'!$A$4:$A$33,0),MATCH('lci-kick scooter - NCA'!$G42,'ei names mapping'!$B$3:$R$3,0))</f>
        <v>used Li-ion battery</v>
      </c>
    </row>
    <row r="43" spans="1:8" x14ac:dyDescent="0.2">
      <c r="A43" s="13" t="s">
        <v>840</v>
      </c>
      <c r="B43">
        <f>(B16/1000)*B29</f>
        <v>11.413043478260869</v>
      </c>
      <c r="C43" t="s">
        <v>92</v>
      </c>
      <c r="D43" t="s">
        <v>233</v>
      </c>
      <c r="F43" t="s">
        <v>89</v>
      </c>
      <c r="H43" s="13" t="s">
        <v>841</v>
      </c>
    </row>
    <row r="44" spans="1:8" x14ac:dyDescent="0.2">
      <c r="A44" s="13" t="s">
        <v>441</v>
      </c>
      <c r="B44" s="2">
        <f>(B16/1000)*B28</f>
        <v>181.46739130434781</v>
      </c>
      <c r="C44" t="s">
        <v>95</v>
      </c>
      <c r="D44" t="s">
        <v>233</v>
      </c>
      <c r="F44" t="s">
        <v>89</v>
      </c>
      <c r="H44" s="13" t="s">
        <v>441</v>
      </c>
    </row>
    <row r="46" spans="1:8" ht="16" x14ac:dyDescent="0.2">
      <c r="A46" s="10" t="s">
        <v>71</v>
      </c>
      <c r="B46" s="8" t="str">
        <f>B48&amp;", "&amp;B63&amp;" battery, "&amp;B50</f>
        <v>Kick Scooter, electric, &lt;1kW, NCA battery, 2030</v>
      </c>
    </row>
    <row r="47" spans="1:8" x14ac:dyDescent="0.2">
      <c r="A47" t="s">
        <v>72</v>
      </c>
      <c r="B47" t="s">
        <v>37</v>
      </c>
    </row>
    <row r="48" spans="1:8" x14ac:dyDescent="0.2">
      <c r="A48" t="s">
        <v>86</v>
      </c>
      <c r="B48" t="s">
        <v>618</v>
      </c>
    </row>
    <row r="49" spans="1:2" x14ac:dyDescent="0.2">
      <c r="A49" t="s">
        <v>87</v>
      </c>
    </row>
    <row r="50" spans="1:2" x14ac:dyDescent="0.2">
      <c r="A50" t="s">
        <v>88</v>
      </c>
      <c r="B50">
        <v>2030</v>
      </c>
    </row>
    <row r="51" spans="1:2" x14ac:dyDescent="0.2">
      <c r="A51" t="s">
        <v>126</v>
      </c>
      <c r="B51" t="str">
        <f>B48&amp;" - "&amp;B50&amp;" - "&amp;B63&amp;" - "&amp;B47</f>
        <v>Kick Scooter, electric, &lt;1kW - 2030 - NCA - CH</v>
      </c>
    </row>
    <row r="52" spans="1:2" x14ac:dyDescent="0.2">
      <c r="A52" t="s">
        <v>73</v>
      </c>
      <c r="B52" t="str">
        <f>B48</f>
        <v>Kick Scooter, electric, &lt;1kW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specifications'!$B$3:$CW$166,MATCH('lci-kick scooter - NCA'!B51,'vehicles specifications'!$A$3:$A$166,0),MATCH("Lifetime [km]",'vehicles specifications'!$B$2:$CW$2,0))</f>
        <v>1785</v>
      </c>
    </row>
    <row r="57" spans="1:2" x14ac:dyDescent="0.2">
      <c r="A57" t="s">
        <v>128</v>
      </c>
      <c r="B57">
        <f>INDEX('vehicles specifications'!$B$3:$CW$166,MATCH('lci-kick scooter - NCA'!B51,'vehicles specifications'!$A$3:$A$166,0),MATCH("Passengers [unit]",'vehicles specifications'!$B$2:$CW$2,0))</f>
        <v>1</v>
      </c>
    </row>
    <row r="58" spans="1:2" x14ac:dyDescent="0.2">
      <c r="A58" t="s">
        <v>129</v>
      </c>
      <c r="B58">
        <f>INDEX('vehicles specifications'!$B$3:$CW$166,MATCH('lci-kick scooter - NCA'!B51,'vehicles specifications'!$A$3:$A$166,0),MATCH("Servicing [unit]",'vehicles specifications'!$B$2:$CW$2,0))</f>
        <v>0</v>
      </c>
    </row>
    <row r="59" spans="1:2" x14ac:dyDescent="0.2">
      <c r="A59" t="s">
        <v>130</v>
      </c>
      <c r="B59">
        <f>INDEX('vehicles specifications'!$B$3:$CW$166,MATCH('lci-kick scooter - NCA'!B51,'vehicles specifications'!$A$3:$A$166,0),MATCH("Energy battery replacement [unit]",'vehicles specifications'!$B$2:$CW$2,0))</f>
        <v>0</v>
      </c>
    </row>
    <row r="60" spans="1:2" x14ac:dyDescent="0.2">
      <c r="A60" t="s">
        <v>131</v>
      </c>
      <c r="B60">
        <f>INDEX('vehicles specifications'!$B$3:$CW$166,MATCH('lci-kick scooter - NCA'!B51,'vehicles specifications'!$A$3:$A$166,0),MATCH("Annual kilometers [km]",'vehicles specifications'!$B$2:$CW$2,0))</f>
        <v>890</v>
      </c>
    </row>
    <row r="61" spans="1:2" x14ac:dyDescent="0.2">
      <c r="A61" t="s">
        <v>132</v>
      </c>
      <c r="B61">
        <f>INDEX('vehicles specifications'!$B$3:$CW$166,MATCH('lci-kick scooter - NCA'!B51,'vehicles specifications'!$A$3:$A$166,0),MATCH("Curb mass [kg]",'vehicles specifications'!$B$2:$CW$2,0))</f>
        <v>10.99</v>
      </c>
    </row>
    <row r="62" spans="1:2" x14ac:dyDescent="0.2">
      <c r="A62" t="s">
        <v>133</v>
      </c>
      <c r="B62">
        <f>INDEX('vehicles specifications'!$B$3:$CW$166,MATCH('lci-kick scooter - NCA'!B51,'vehicles specifications'!$A$3:$A$166,0),MATCH("Power [kW]",'vehicles specifications'!$B$2:$CW$2,0))</f>
        <v>0.25</v>
      </c>
    </row>
    <row r="63" spans="1:2" x14ac:dyDescent="0.2">
      <c r="A63" t="s">
        <v>652</v>
      </c>
      <c r="B63" s="20" t="s">
        <v>45</v>
      </c>
    </row>
    <row r="64" spans="1:2" x14ac:dyDescent="0.2">
      <c r="A64" t="s">
        <v>134</v>
      </c>
      <c r="B64">
        <f>INDEX('vehicles specifications'!$B$3:$CW$166,MATCH('lci-kick scooter - NCA'!B51,'vehicles specifications'!$A$3:$A$166,0),MATCH("Energy battery mass [kg]",'vehicles specifications'!$B$2:$CW$2,0))</f>
        <v>1.3</v>
      </c>
    </row>
    <row r="65" spans="1:8" x14ac:dyDescent="0.2">
      <c r="A65" t="s">
        <v>135</v>
      </c>
      <c r="B65">
        <f>INDEX('vehicles specifications'!$B$3:$CW$166,MATCH('lci-kick scooter - NCA'!B51,'vehicles specifications'!$A$3:$A$166,0),MATCH("Electric energy stored [kWh]",'vehicles specifications'!$B$2:$CW$2,0))</f>
        <v>0.3</v>
      </c>
    </row>
    <row r="66" spans="1:8" x14ac:dyDescent="0.2">
      <c r="A66" t="s">
        <v>588</v>
      </c>
      <c r="B66">
        <f>INDEX('vehicles specifications'!$B$3:$CW$166,MATCH('lci-kick scooter - NCA'!B51,'vehicles specifications'!$A$3:$A$166,0),MATCH("Electric energy available [kWh]",'vehicles specifications'!$B$2:$CW$2,0))</f>
        <v>0.24</v>
      </c>
    </row>
    <row r="67" spans="1:8" x14ac:dyDescent="0.2">
      <c r="A67" t="s">
        <v>138</v>
      </c>
      <c r="B67">
        <f>INDEX('vehicles specifications'!$B$3:$CW$166,MATCH('lci-kick scooter - NCA'!B51,'vehicles specifications'!$A$3:$A$166,0),MATCH("Oxydation energy stored [kWh]",'vehicles specifications'!$B$2:$CW$2,0))</f>
        <v>0</v>
      </c>
    </row>
    <row r="68" spans="1:8" x14ac:dyDescent="0.2">
      <c r="A68" t="s">
        <v>139</v>
      </c>
      <c r="B68">
        <f>INDEX('vehicles specifications'!$B$3:$CW$166,MATCH('lci-kick scooter - NCA'!B51,'vehicles specifications'!$A$3:$A$166,0),MATCH("Fuel mass [kg]",'vehicles specifications'!$B$2:$CW$2,0))</f>
        <v>0</v>
      </c>
    </row>
    <row r="69" spans="1:8" x14ac:dyDescent="0.2">
      <c r="A69" t="s">
        <v>136</v>
      </c>
      <c r="B69">
        <f>INDEX('vehicles specifications'!$B$3:$CW$166,MATCH('lci-kick scooter - NCA'!B51,'vehicles specifications'!$A$3:$A$166,0),MATCH("Range [km]",'vehicles specifications'!$B$2:$CW$2,0))</f>
        <v>10.031775700934579</v>
      </c>
    </row>
    <row r="70" spans="1:8" x14ac:dyDescent="0.2">
      <c r="A70" t="s">
        <v>137</v>
      </c>
      <c r="B70" t="str">
        <f>INDEX('vehicles specifications'!$B$3:$CW$166,MATCH('lci-kick scooter - NCA'!B51,'vehicles specifications'!$A$3:$A$166,0),MATCH("Emission standard",'vehicles specifications'!$B$2:$CW$2,0))</f>
        <v>None</v>
      </c>
    </row>
    <row r="71" spans="1:8" x14ac:dyDescent="0.2">
      <c r="A71" t="s">
        <v>1174</v>
      </c>
      <c r="B71" s="6">
        <f>INDEX('vehicles specifications'!$B$3:$CW$166,MATCH('lci-kick scooter - NCA'!B51,'vehicles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NCA'!B55</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Kick Scooter, electric, &lt;1kW, NCA battery, 2030</v>
      </c>
      <c r="B78">
        <v>1</v>
      </c>
      <c r="C78" t="str">
        <f>B47</f>
        <v>CH</v>
      </c>
      <c r="D78" t="str">
        <f>B54</f>
        <v>unit</v>
      </c>
      <c r="F78" t="s">
        <v>84</v>
      </c>
      <c r="G78" t="s">
        <v>85</v>
      </c>
      <c r="H78" t="str">
        <f>B52</f>
        <v>Kick Scooter, electric, &lt;1kW</v>
      </c>
    </row>
    <row r="79" spans="1:8" x14ac:dyDescent="0.2">
      <c r="A79" t="str">
        <f>INDEX('ei names mapping'!$B$4:$R$33,MATCH('lci-kick scooter - NCA'!$B$3,'ei names mapping'!$A$4:$A$33,0),MATCH('lci-kick scooter - NCA'!$G79,'ei names mapping'!$B$3:$R$3,0))</f>
        <v>bicycle production</v>
      </c>
      <c r="B79" s="4">
        <f>INDEX('vehicles specifications'!$B$3:$CW$166,MATCH(B51,'vehicles specifications'!$A$3:$A$166,0),MATCH(G79,'vehicles specifications'!$B$2:$CW$2,0))*INDEX('ei names mapping'!$B$137:$BL$300,MATCH(B51,'ei names mapping'!$A$137:$A$300,0),MATCH(G79,'ei names mapping'!$B$136:$BL$136,0))</f>
        <v>0.41176470588235292</v>
      </c>
      <c r="C79" t="str">
        <f>INDEX('ei names mapping'!$B$38:$R$67,MATCH('lci-kick scooter - NCA'!$B$3,'ei names mapping'!$A$4:$A$33,0),MATCH('lci-kick scooter - NCA'!$G79,'ei names mapping'!$B$3:$R$3,0))</f>
        <v>RER</v>
      </c>
      <c r="D79" t="str">
        <f>INDEX('ei names mapping'!$B$104:$R$133,MATCH('lci-kick scooter - NCA'!$B$3,'ei names mapping'!$A$4:$A$33,0),MATCH('lci-kick scooter - NCA'!$G79,'ei names mapping'!$B$3:$R$3,0))</f>
        <v>unit</v>
      </c>
      <c r="F79" t="s">
        <v>89</v>
      </c>
      <c r="G79" t="s">
        <v>15</v>
      </c>
      <c r="H79" t="str">
        <f>INDEX('ei names mapping'!$B$71:$R$100,MATCH('lci-kick scooter - NCA'!$B$3,'ei names mapping'!$A$4:$A$33,0),MATCH('lci-kick scooter - NCA'!$G79,'ei names mapping'!$B$3:$R$3,0))</f>
        <v>bicycle</v>
      </c>
    </row>
    <row r="80" spans="1:8" x14ac:dyDescent="0.2">
      <c r="A80" t="str">
        <f>INDEX('ei names mapping'!$B$4:$R$33,MATCH('lci-kick scooter - NCA'!$B$3,'ei names mapping'!$A$4:$A$33,0),MATCH('lci-kick scooter - NCA'!$G80,'ei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2.9</v>
      </c>
      <c r="C80" t="str">
        <f>INDEX('ei names mapping'!$B$38:$R$67,MATCH('lci-kick scooter - NCA'!$B$3,'ei names mapping'!$A$4:$A$33,0),MATCH('lci-kick scooter - NCA'!$G80,'ei names mapping'!$B$3:$R$3,0))</f>
        <v>GLO</v>
      </c>
      <c r="D80" t="str">
        <f>INDEX('ei names mapping'!$B$104:$R$133,MATCH('lci-kick scooter - NCA'!$B$3,'ei names mapping'!$A$4:$A$33,0),MATCH('lci-kick scooter - NCA'!$G80,'ei names mapping'!$B$3:$R$3,0))</f>
        <v>kilogram</v>
      </c>
      <c r="F80" t="s">
        <v>89</v>
      </c>
      <c r="G80" t="s">
        <v>501</v>
      </c>
      <c r="H80" t="str">
        <f>INDEX('ei names mapping'!$B$71:$R$100,MATCH('lci-kick scooter - NCA'!$B$3,'ei names mapping'!$A$4:$A$33,0),MATCH('lci-kick scooter - NCA'!$G80,'ei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0.21</v>
      </c>
      <c r="C81" t="str">
        <f>INDEX('ei names mapping'!$B$38:$R$67,MATCH(B48,'ei names mapping'!$A$4:$A$33,0),MATCH(G81,'ei names mapping'!$B$3:$R$3,0))</f>
        <v>GLO</v>
      </c>
      <c r="D81" t="str">
        <f>INDEX('ei names mapping'!$B$104:$R$133,MATCH(B48,'ei names mapping'!$A$4:$A$33,0),MATCH(G81,'ei names mapping'!$B$3:$R$3,0))</f>
        <v>kilogram</v>
      </c>
      <c r="F81" t="s">
        <v>89</v>
      </c>
      <c r="G81" t="s">
        <v>14</v>
      </c>
      <c r="H81" t="str">
        <f>INDEX('ei names mapping'!$B$71:$R$100,MATCH(B48,'ei names mapping'!$A$4:$A$33,0),MATCH(G81,'ei names mapping'!$B$3:$R$3,0))</f>
        <v>Glider lightweighting</v>
      </c>
    </row>
    <row r="82" spans="1:8" x14ac:dyDescent="0.2">
      <c r="A82" t="s">
        <v>760</v>
      </c>
      <c r="B82" s="4">
        <f>INDEX('vehicles specifications'!$B$3:$CW$166,MATCH(B51,'vehicles specifications'!$A$3:$A$166,0),MATCH(G82,'vehicles specifications'!$B$2:$CW$2,0))*INDEX('ei names mapping'!$B$137:$BL$300,MATCH(B51,'ei names mapping'!$A$137:$A$300,0),MATCH(G82,'ei names mapping'!$B$136:$BL$136,0))</f>
        <v>1</v>
      </c>
      <c r="C82" t="str">
        <f>INDEX('ei names mapping'!$B$38:$R$67,MATCH('lci-kick scooter - NCA'!$B$3,'ei names mapping'!$A$4:$A$33,0),MATCH('lci-kick scooter - NCA'!$G82,'ei names mapping'!$B$3:$R$3,0))</f>
        <v>GLO</v>
      </c>
      <c r="D82" t="str">
        <f>INDEX('ei names mapping'!$B$104:$R$133,MATCH('lci-kick scooter - NCA'!$B$3,'ei names mapping'!$A$4:$A$33,0),MATCH('lci-kick scooter - NCA'!$G82,'ei names mapping'!$B$3:$R$3,0))</f>
        <v>kilogram</v>
      </c>
      <c r="F82" t="s">
        <v>89</v>
      </c>
      <c r="G82" t="s">
        <v>19</v>
      </c>
      <c r="H82" t="str">
        <f>INDEX('ei names mapping'!$B$71:$R$100,MATCH('lci-kick scooter - NCA'!$B$3,'ei names mapping'!$A$4:$A$33,0),MATCH('lci-kick scooter - NCA'!$G82,'ei names mapping'!$B$3:$R$3,0))</f>
        <v>Battery cell</v>
      </c>
    </row>
    <row r="83" spans="1:8" x14ac:dyDescent="0.2">
      <c r="A83" t="str">
        <f>INDEX('ei names mapping'!$B$4:$R$33,MATCH('lci-kick scooter - NCA'!$B$3,'ei names mapping'!$A$4:$A$33,0),MATCH('lci-kick scooter - NCA'!$G83,'ei names mapping'!$B$3:$R$3,0))</f>
        <v>Battery BoP</v>
      </c>
      <c r="B83" s="4">
        <f>INDEX('vehicles specifications'!$B$3:$CW$166,MATCH(B51,'vehicles specifications'!$A$3:$A$166,0),MATCH(G83,'vehicles specifications'!$B$2:$CW$2,0))*INDEX('ei names mapping'!$B$137:$BL$300,MATCH(B51,'ei names mapping'!$A$137:$A$300,0),MATCH(G83,'ei names mapping'!$B$136:$BL$136,0))</f>
        <v>0.3</v>
      </c>
      <c r="C83" t="str">
        <f>INDEX('ei names mapping'!$B$38:$R$67,MATCH('lci-kick scooter - NCA'!$B$3,'ei names mapping'!$A$4:$A$33,0),MATCH('lci-kick scooter - NCA'!$G83,'ei names mapping'!$B$3:$R$3,0))</f>
        <v>GLO</v>
      </c>
      <c r="D83" t="str">
        <f>INDEX('ei names mapping'!$B$104:$R$133,MATCH('lci-kick scooter - NCA'!$B$3,'ei names mapping'!$A$4:$A$33,0),MATCH('lci-kick scooter - NCA'!$G83,'ei names mapping'!$B$3:$R$3,0))</f>
        <v>kilogram</v>
      </c>
      <c r="F83" t="s">
        <v>89</v>
      </c>
      <c r="G83" t="s">
        <v>20</v>
      </c>
      <c r="H83" t="str">
        <f>INDEX('ei names mapping'!$B$71:$R$100,MATCH('lci-kick scooter - NCA'!$B$3,'ei names mapping'!$A$4:$A$33,0),MATCH('lci-kick scooter - NCA'!$G83,'ei names mapping'!$B$3:$R$3,0))</f>
        <v>Battery BoP</v>
      </c>
    </row>
    <row r="84" spans="1:8" x14ac:dyDescent="0.2">
      <c r="A84" t="str">
        <f>INDEX('ei names mapping'!$B$4:$R$33,MATCH('lci-kick scooter - NCA'!$B$3,'ei names mapping'!$A$4:$A$33,0),MATCH('lci-kick scooter - NCA'!$G84,'ei names mapping'!$B$3:$R$3,0))</f>
        <v>charging station, 100W</v>
      </c>
      <c r="B84" s="4">
        <f>INDEX('vehicles specifications'!$B$3:$CW$166,MATCH(B51,'vehicles specifications'!$A$3:$A$166,0),MATCH(G84,'vehicles specifications'!$B$2:$CW$2,0))*INDEX('ei names mapping'!$B$137:$BL$300,MATCH(B51,'ei names mapping'!$A$137:$A$300,0),MATCH(G84,'ei names mapping'!$B$136:$BL$136,0))</f>
        <v>1</v>
      </c>
      <c r="C84" t="str">
        <f>INDEX('ei names mapping'!$B$38:$R$67,MATCH('lci-kick scooter - NCA'!$B$3,'ei names mapping'!$A$4:$A$33,0),MATCH('lci-kick scooter - NCA'!$G84,'ei names mapping'!$B$3:$R$3,0))</f>
        <v>GLO</v>
      </c>
      <c r="D84" t="str">
        <f>INDEX('ei names mapping'!$B$104:$R$133,MATCH('lci-kick scooter - NCA'!$B$3,'ei names mapping'!$A$4:$A$33,0),MATCH('lci-kick scooter - NCA'!$G84,'ei names mapping'!$B$3:$R$3,0))</f>
        <v>unit</v>
      </c>
      <c r="F84" t="s">
        <v>89</v>
      </c>
      <c r="G84" t="s">
        <v>52</v>
      </c>
      <c r="H84" t="str">
        <f>INDEX('ei names mapping'!$B$71:$R$100,MATCH('lci-kick scooter - NCA'!$B$3,'ei names mapping'!$A$4:$A$33,0),MATCH('lci-kick scooter - NCA'!$G84,'ei names mapping'!$B$3:$R$3,0))</f>
        <v>charging station, 100W</v>
      </c>
    </row>
    <row r="85" spans="1:8" x14ac:dyDescent="0.2">
      <c r="A85" t="str">
        <f>INDEX('ei names mapping'!$B$4:$R$33,MATCH('lci-kick scooter - NCA'!$B$3,'ei names mapping'!$A$4:$A$33,0),MATCH('lci-kick scooter - NCA'!$G85,'ei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-0.12083333333333332</v>
      </c>
      <c r="C85" t="str">
        <f>INDEX('ei names mapping'!$B$38:$R$67,MATCH('lci-kick scooter - NCA'!$B$3,'ei names mapping'!$A$4:$A$33,0),MATCH('lci-kick scooter - NCA'!$G85,'ei names mapping'!$B$3:$R$3,0))</f>
        <v>CH</v>
      </c>
      <c r="D85" t="str">
        <f>INDEX('ei names mapping'!$B$104:$R$133,MATCH('lci-kick scooter - NCA'!$B$3,'ei names mapping'!$A$4:$A$33,0),MATCH('lci-kick scooter - NCA'!$G85,'ei names mapping'!$B$3:$R$3,0))</f>
        <v>unit</v>
      </c>
      <c r="F85" t="s">
        <v>89</v>
      </c>
      <c r="G85" t="s">
        <v>145</v>
      </c>
      <c r="H85" t="str">
        <f>INDEX('ei names mapping'!$B$71:$R$100,MATCH('lci-kick scooter - NCA'!$B$3,'ei names mapping'!$A$4:$A$33,0),MATCH('lci-kick scooter - NCA'!$G85,'ei names mapping'!$B$3:$R$3,0))</f>
        <v>used electric bicycle</v>
      </c>
    </row>
    <row r="86" spans="1:8" x14ac:dyDescent="0.2">
      <c r="A86" t="str">
        <f>INDEX('ei names mapping'!$B$4:$R$33,MATCH('lci-kick scooter - NCA'!$B$3,'ei names mapping'!$A$4:$A$33,0),MATCH('lci-kick scooter - NCA'!$G86,'ei names mapping'!$B$3:$R$3,0))</f>
        <v>treatment of used bicycle</v>
      </c>
      <c r="B86" s="4">
        <f>INDEX('vehicles specifications'!$B$3:$CW$166,MATCH(B51,'vehicles specifications'!$A$3:$A$166,0),MATCH(G86,'vehicles specifications'!$B$2:$CW$2,0))*INDEX('ei names mapping'!$B$137:$BL$300,MATCH(B51,'ei names mapping'!$A$137:$A$300,0),MATCH(G86,'ei names mapping'!$B$136:$BL$136,0))</f>
        <v>-0.39941176470588236</v>
      </c>
      <c r="C86" t="str">
        <f>INDEX('ei names mapping'!$B$38:$R$67,MATCH('lci-kick scooter - NCA'!$B$3,'ei names mapping'!$A$4:$A$33,0),MATCH('lci-kick scooter - NCA'!$G86,'ei names mapping'!$B$3:$R$3,0))</f>
        <v>CH</v>
      </c>
      <c r="D86" t="str">
        <f>INDEX('ei names mapping'!$B$104:$R$133,MATCH('lci-kick scooter - NCA'!$B$3,'ei names mapping'!$A$4:$A$33,0),MATCH('lci-kick scooter - NCA'!$G86,'ei names mapping'!$B$3:$R$3,0))</f>
        <v>unit</v>
      </c>
      <c r="F86" t="s">
        <v>89</v>
      </c>
      <c r="G86" t="s">
        <v>144</v>
      </c>
      <c r="H86" t="str">
        <f>INDEX('ei names mapping'!$B$71:$R$100,MATCH('lci-kick scooter - NCA'!$B$3,'ei names mapping'!$A$4:$A$33,0),MATCH('lci-kick scooter - NCA'!$G86,'ei names mapping'!$B$3:$R$3,0))</f>
        <v>used bicycle</v>
      </c>
    </row>
    <row r="87" spans="1:8" x14ac:dyDescent="0.2">
      <c r="A87" t="str">
        <f>INDEX('ei names mapping'!$B$4:$R$33,MATCH('lci-kick scooter - NCA'!$B$3,'ei names mapping'!$A$4:$A$33,0),MATCH('lci-kick scooter - NCA'!$G87,'ei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-1.3</v>
      </c>
      <c r="C87" t="str">
        <f>INDEX('ei names mapping'!$B$38:$R$67,MATCH('lci-kick scooter - NCA'!$B$3,'ei names mapping'!$A$4:$A$33,0),MATCH('lci-kick scooter - NCA'!$G87,'ei names mapping'!$B$3:$R$3,0))</f>
        <v>GLO</v>
      </c>
      <c r="D87" t="str">
        <f>INDEX('ei names mapping'!$B$104:$R$133,MATCH('lci-kick scooter - NCA'!$B$3,'ei names mapping'!$A$4:$A$33,0),MATCH('lci-kick scooter - NCA'!$G87,'ei names mapping'!$B$3:$R$3,0))</f>
        <v>kilogram</v>
      </c>
      <c r="F87" t="s">
        <v>89</v>
      </c>
      <c r="G87" t="s">
        <v>146</v>
      </c>
      <c r="H87" t="str">
        <f>INDEX('ei names mapping'!$B$71:$R$100,MATCH('lci-kick scooter - NCA'!$B$3,'ei names mapping'!$A$4:$A$33,0),MATCH('lci-kick scooter - NCA'!$G87,'ei names mapping'!$B$3:$R$3,0))</f>
        <v>used Li-ion battery</v>
      </c>
    </row>
    <row r="88" spans="1:8" x14ac:dyDescent="0.2">
      <c r="A88" s="13" t="s">
        <v>840</v>
      </c>
      <c r="B88">
        <f>(B61/1000)*B74</f>
        <v>10.99</v>
      </c>
      <c r="C88" t="s">
        <v>92</v>
      </c>
      <c r="D88" t="s">
        <v>233</v>
      </c>
      <c r="F88" t="s">
        <v>89</v>
      </c>
      <c r="H88" s="13" t="s">
        <v>841</v>
      </c>
    </row>
    <row r="89" spans="1:8" x14ac:dyDescent="0.2">
      <c r="A89" s="13" t="s">
        <v>441</v>
      </c>
      <c r="B89" s="2">
        <f>(B61/1000)*B73</f>
        <v>174.74099999999999</v>
      </c>
      <c r="C89" t="s">
        <v>95</v>
      </c>
      <c r="D89" t="s">
        <v>233</v>
      </c>
      <c r="F89" t="s">
        <v>89</v>
      </c>
      <c r="H89" s="13" t="s">
        <v>441</v>
      </c>
    </row>
    <row r="91" spans="1:8" ht="16" x14ac:dyDescent="0.2">
      <c r="A91" s="10" t="s">
        <v>71</v>
      </c>
      <c r="B91" s="8" t="str">
        <f>B93&amp;", "&amp;B108&amp;" battery, "&amp;B95</f>
        <v>Kick Scooter, electric, &lt;1kW, NCA battery, 2040</v>
      </c>
    </row>
    <row r="92" spans="1:8" x14ac:dyDescent="0.2">
      <c r="A92" t="s">
        <v>72</v>
      </c>
      <c r="B92" t="s">
        <v>37</v>
      </c>
    </row>
    <row r="93" spans="1:8" x14ac:dyDescent="0.2">
      <c r="A93" t="s">
        <v>86</v>
      </c>
      <c r="B93" t="s">
        <v>618</v>
      </c>
    </row>
    <row r="94" spans="1:8" x14ac:dyDescent="0.2">
      <c r="A94" t="s">
        <v>87</v>
      </c>
    </row>
    <row r="95" spans="1:8" x14ac:dyDescent="0.2">
      <c r="A95" t="s">
        <v>88</v>
      </c>
      <c r="B95">
        <v>2040</v>
      </c>
    </row>
    <row r="96" spans="1:8" x14ac:dyDescent="0.2">
      <c r="A96" t="s">
        <v>126</v>
      </c>
      <c r="B96" t="str">
        <f>B93&amp;" - "&amp;B95&amp;" - "&amp;B108&amp;" - "&amp;B92</f>
        <v>Kick Scooter, electric, &lt;1kW - 2040 - NCA - CH</v>
      </c>
    </row>
    <row r="97" spans="1:2" x14ac:dyDescent="0.2">
      <c r="A97" t="s">
        <v>73</v>
      </c>
      <c r="B97" t="str">
        <f>B93</f>
        <v>Kick Scooter, electric, &lt;1kW</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specifications'!$B$3:$CW$166,MATCH('lci-kick scooter - NCA'!B96,'vehicles specifications'!$A$3:$A$166,0),MATCH("Lifetime [km]",'vehicles specifications'!$B$2:$CW$2,0))</f>
        <v>1785</v>
      </c>
    </row>
    <row r="102" spans="1:2" x14ac:dyDescent="0.2">
      <c r="A102" t="s">
        <v>128</v>
      </c>
      <c r="B102">
        <f>INDEX('vehicles specifications'!$B$3:$CW$166,MATCH('lci-kick scooter - NCA'!B96,'vehicles specifications'!$A$3:$A$166,0),MATCH("Passengers [unit]",'vehicles specifications'!$B$2:$CW$2,0))</f>
        <v>1</v>
      </c>
    </row>
    <row r="103" spans="1:2" x14ac:dyDescent="0.2">
      <c r="A103" t="s">
        <v>129</v>
      </c>
      <c r="B103">
        <f>INDEX('vehicles specifications'!$B$3:$CW$166,MATCH('lci-kick scooter - NCA'!B96,'vehicles specifications'!$A$3:$A$166,0),MATCH("Servicing [unit]",'vehicles specifications'!$B$2:$CW$2,0))</f>
        <v>0</v>
      </c>
    </row>
    <row r="104" spans="1:2" x14ac:dyDescent="0.2">
      <c r="A104" t="s">
        <v>130</v>
      </c>
      <c r="B104">
        <f>INDEX('vehicles specifications'!$B$3:$CW$166,MATCH('lci-kick scooter - NCA'!B96,'vehicles specifications'!$A$3:$A$166,0),MATCH("Energy battery replacement [unit]",'vehicles specifications'!$B$2:$CW$2,0))</f>
        <v>0</v>
      </c>
    </row>
    <row r="105" spans="1:2" x14ac:dyDescent="0.2">
      <c r="A105" t="s">
        <v>131</v>
      </c>
      <c r="B105">
        <f>INDEX('vehicles specifications'!$B$3:$CW$166,MATCH('lci-kick scooter - NCA'!B96,'vehicles specifications'!$A$3:$A$166,0),MATCH("Annual kilometers [km]",'vehicles specifications'!$B$2:$CW$2,0))</f>
        <v>890</v>
      </c>
    </row>
    <row r="106" spans="1:2" x14ac:dyDescent="0.2">
      <c r="A106" t="s">
        <v>132</v>
      </c>
      <c r="B106">
        <f>INDEX('vehicles specifications'!$B$3:$CW$166,MATCH('lci-kick scooter - NCA'!B96,'vehicles specifications'!$A$3:$A$166,0),MATCH("Curb mass [kg]",'vehicles specifications'!$B$2:$CW$2,0))</f>
        <v>10.75</v>
      </c>
    </row>
    <row r="107" spans="1:2" x14ac:dyDescent="0.2">
      <c r="A107" t="s">
        <v>133</v>
      </c>
      <c r="B107">
        <f>INDEX('vehicles specifications'!$B$3:$CW$166,MATCH('lci-kick scooter - NCA'!B96,'vehicles specifications'!$A$3:$A$166,0),MATCH("Power [kW]",'vehicles specifications'!$B$2:$CW$2,0))</f>
        <v>0.25</v>
      </c>
    </row>
    <row r="108" spans="1:2" x14ac:dyDescent="0.2">
      <c r="A108" t="s">
        <v>652</v>
      </c>
      <c r="B108" s="20" t="s">
        <v>45</v>
      </c>
    </row>
    <row r="109" spans="1:2" x14ac:dyDescent="0.2">
      <c r="A109" t="s">
        <v>134</v>
      </c>
      <c r="B109">
        <f>INDEX('vehicles specifications'!$B$3:$CW$166,MATCH('lci-kick scooter - NCA'!B96,'vehicles specifications'!$A$3:$A$166,0),MATCH("Energy battery mass [kg]",'vehicles specifications'!$B$2:$CW$2,0))</f>
        <v>1.3</v>
      </c>
    </row>
    <row r="110" spans="1:2" x14ac:dyDescent="0.2">
      <c r="A110" t="s">
        <v>135</v>
      </c>
      <c r="B110">
        <f>INDEX('vehicles specifications'!$B$3:$CW$166,MATCH('lci-kick scooter - NCA'!B96,'vehicles specifications'!$A$3:$A$166,0),MATCH("Electric energy stored [kWh]",'vehicles specifications'!$B$2:$CW$2,0))</f>
        <v>0.4</v>
      </c>
    </row>
    <row r="111" spans="1:2" x14ac:dyDescent="0.2">
      <c r="A111" t="s">
        <v>588</v>
      </c>
      <c r="B111">
        <f>INDEX('vehicles specifications'!$B$3:$CW$166,MATCH('lci-kick scooter - NCA'!B96,'vehicles specifications'!$A$3:$A$166,0),MATCH("Electric energy available [kWh]",'vehicles specifications'!$B$2:$CW$2,0))</f>
        <v>0.32000000000000006</v>
      </c>
    </row>
    <row r="112" spans="1:2" x14ac:dyDescent="0.2">
      <c r="A112" t="s">
        <v>138</v>
      </c>
      <c r="B112">
        <f>INDEX('vehicles specifications'!$B$3:$CW$166,MATCH('lci-kick scooter - NCA'!B96,'vehicles specifications'!$A$3:$A$166,0),MATCH("Oxydation energy stored [kWh]",'vehicles specifications'!$B$2:$CW$2,0))</f>
        <v>0</v>
      </c>
    </row>
    <row r="113" spans="1:8" x14ac:dyDescent="0.2">
      <c r="A113" t="s">
        <v>139</v>
      </c>
      <c r="B113">
        <f>INDEX('vehicles specifications'!$B$3:$CW$166,MATCH('lci-kick scooter - NCA'!B96,'vehicles specifications'!$A$3:$A$166,0),MATCH("Fuel mass [kg]",'vehicles specifications'!$B$2:$CW$2,0))</f>
        <v>0</v>
      </c>
    </row>
    <row r="114" spans="1:8" x14ac:dyDescent="0.2">
      <c r="A114" t="s">
        <v>136</v>
      </c>
      <c r="B114">
        <f>INDEX('vehicles specifications'!$B$3:$CW$166,MATCH('lci-kick scooter - NCA'!B96,'vehicles specifications'!$A$3:$A$166,0),MATCH("Range [km]",'vehicles specifications'!$B$2:$CW$2,0))</f>
        <v>13.375700934579442</v>
      </c>
    </row>
    <row r="115" spans="1:8" x14ac:dyDescent="0.2">
      <c r="A115" t="s">
        <v>137</v>
      </c>
      <c r="B115" t="str">
        <f>INDEX('vehicles specifications'!$B$3:$CW$166,MATCH('lci-kick scooter - NCA'!B96,'vehicles specifications'!$A$3:$A$166,0),MATCH("Emission standard",'vehicles specifications'!$B$2:$CW$2,0))</f>
        <v>None</v>
      </c>
    </row>
    <row r="116" spans="1:8" x14ac:dyDescent="0.2">
      <c r="A116" t="s">
        <v>1174</v>
      </c>
      <c r="B116" s="6">
        <f>INDEX('vehicles specifications'!$B$3:$CW$166,MATCH('lci-kick scooter - NCA'!B96,'vehicles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NCA'!B100</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Kick Scooter, electric, &lt;1kW, NCA battery, 2040</v>
      </c>
      <c r="B123">
        <v>1</v>
      </c>
      <c r="C123" t="str">
        <f>B92</f>
        <v>CH</v>
      </c>
      <c r="D123" t="str">
        <f>B99</f>
        <v>unit</v>
      </c>
      <c r="F123" t="s">
        <v>84</v>
      </c>
      <c r="G123" t="s">
        <v>85</v>
      </c>
      <c r="H123" t="str">
        <f>B97</f>
        <v>Kick Scooter, electric, &lt;1kW</v>
      </c>
    </row>
    <row r="124" spans="1:8" x14ac:dyDescent="0.2">
      <c r="A124" t="str">
        <f>INDEX('ei names mapping'!$B$4:$R$33,MATCH('lci-kick scooter - NCA'!$B$3,'ei names mapping'!$A$4:$A$33,0),MATCH('lci-kick scooter - NCA'!$G124,'ei names mapping'!$B$3:$R$3,0))</f>
        <v>bicycle production</v>
      </c>
      <c r="B124" s="4">
        <f>INDEX('vehicles specifications'!$B$3:$CW$166,MATCH(B96,'vehicles specifications'!$A$3:$A$166,0),MATCH(G124,'vehicles specifications'!$B$2:$CW$2,0))*INDEX('ei names mapping'!$B$137:$BL$300,MATCH(B96,'ei names mapping'!$A$137:$A$300,0),MATCH(G124,'ei names mapping'!$B$136:$BL$136,0))</f>
        <v>0.41176470588235292</v>
      </c>
      <c r="C124" t="str">
        <f>INDEX('ei names mapping'!$B$38:$R$67,MATCH('lci-kick scooter - NCA'!$B$3,'ei names mapping'!$A$4:$A$33,0),MATCH('lci-kick scooter - NCA'!$G124,'ei names mapping'!$B$3:$R$3,0))</f>
        <v>RER</v>
      </c>
      <c r="D124" t="str">
        <f>INDEX('ei names mapping'!$B$104:$R$133,MATCH('lci-kick scooter - NCA'!$B$3,'ei names mapping'!$A$4:$A$33,0),MATCH('lci-kick scooter - NCA'!$G124,'ei names mapping'!$B$3:$R$3,0))</f>
        <v>unit</v>
      </c>
      <c r="F124" t="s">
        <v>89</v>
      </c>
      <c r="G124" t="s">
        <v>15</v>
      </c>
      <c r="H124" t="str">
        <f>INDEX('ei names mapping'!$B$71:$R$100,MATCH('lci-kick scooter - NCA'!$B$3,'ei names mapping'!$A$4:$A$33,0),MATCH('lci-kick scooter - NCA'!$G124,'ei names mapping'!$B$3:$R$3,0))</f>
        <v>bicycle</v>
      </c>
    </row>
    <row r="125" spans="1:8" x14ac:dyDescent="0.2">
      <c r="A125" t="str">
        <f>INDEX('ei names mapping'!$B$4:$R$33,MATCH('lci-kick scooter - NCA'!$B$3,'ei names mapping'!$A$4:$A$33,0),MATCH('lci-kick scooter - NCA'!$G125,'ei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2.8</v>
      </c>
      <c r="C125" t="str">
        <f>INDEX('ei names mapping'!$B$38:$R$67,MATCH('lci-kick scooter - NCA'!$B$3,'ei names mapping'!$A$4:$A$33,0),MATCH('lci-kick scooter - NCA'!$G125,'ei names mapping'!$B$3:$R$3,0))</f>
        <v>GLO</v>
      </c>
      <c r="D125" t="str">
        <f>INDEX('ei names mapping'!$B$104:$R$133,MATCH('lci-kick scooter - NCA'!$B$3,'ei names mapping'!$A$4:$A$33,0),MATCH('lci-kick scooter - NCA'!$G125,'ei names mapping'!$B$3:$R$3,0))</f>
        <v>kilogram</v>
      </c>
      <c r="F125" t="s">
        <v>89</v>
      </c>
      <c r="G125" t="s">
        <v>501</v>
      </c>
      <c r="H125" t="str">
        <f>INDEX('ei names mapping'!$B$71:$R$100,MATCH('lci-kick scooter - NCA'!$B$3,'ei names mapping'!$A$4:$A$33,0),MATCH('lci-kick scooter - NCA'!$G125,'ei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0.35000000000000003</v>
      </c>
      <c r="C126" t="str">
        <f>INDEX('ei names mapping'!$B$38:$R$67,MATCH(B93,'ei names mapping'!$A$4:$A$33,0),MATCH(G126,'ei names mapping'!$B$3:$R$3,0))</f>
        <v>GLO</v>
      </c>
      <c r="D126" t="str">
        <f>INDEX('ei names mapping'!$B$104:$R$133,MATCH(B93,'ei names mapping'!$A$4:$A$33,0),MATCH(G126,'ei names mapping'!$B$3:$R$3,0))</f>
        <v>kilogram</v>
      </c>
      <c r="F126" t="s">
        <v>89</v>
      </c>
      <c r="G126" t="s">
        <v>14</v>
      </c>
      <c r="H126" t="str">
        <f>INDEX('ei names mapping'!$B$71:$R$100,MATCH(B93,'ei names mapping'!$A$4:$A$33,0),MATCH(G126,'ei names mapping'!$B$3:$R$3,0))</f>
        <v>Glider lightweighting</v>
      </c>
    </row>
    <row r="127" spans="1:8" x14ac:dyDescent="0.2">
      <c r="A127" t="s">
        <v>760</v>
      </c>
      <c r="B127" s="4">
        <f>INDEX('vehicles specifications'!$B$3:$CW$166,MATCH(B96,'vehicles specifications'!$A$3:$A$166,0),MATCH(G127,'vehicles specifications'!$B$2:$CW$2,0))*INDEX('ei names mapping'!$B$137:$BL$300,MATCH(B96,'ei names mapping'!$A$137:$A$300,0),MATCH(G127,'ei names mapping'!$B$136:$BL$136,0))</f>
        <v>1</v>
      </c>
      <c r="C127" t="str">
        <f>INDEX('ei names mapping'!$B$38:$R$67,MATCH('lci-kick scooter - NCA'!$B$3,'ei names mapping'!$A$4:$A$33,0),MATCH('lci-kick scooter - NCA'!$G127,'ei names mapping'!$B$3:$R$3,0))</f>
        <v>GLO</v>
      </c>
      <c r="D127" t="str">
        <f>INDEX('ei names mapping'!$B$104:$R$133,MATCH('lci-kick scooter - NCA'!$B$3,'ei names mapping'!$A$4:$A$33,0),MATCH('lci-kick scooter - NCA'!$G127,'ei names mapping'!$B$3:$R$3,0))</f>
        <v>kilogram</v>
      </c>
      <c r="F127" t="s">
        <v>89</v>
      </c>
      <c r="G127" t="s">
        <v>19</v>
      </c>
      <c r="H127" t="str">
        <f>INDEX('ei names mapping'!$B$71:$R$100,MATCH('lci-kick scooter - NCA'!$B$3,'ei names mapping'!$A$4:$A$33,0),MATCH('lci-kick scooter - NCA'!$G127,'ei names mapping'!$B$3:$R$3,0))</f>
        <v>Battery cell</v>
      </c>
    </row>
    <row r="128" spans="1:8" x14ac:dyDescent="0.2">
      <c r="A128" t="str">
        <f>INDEX('ei names mapping'!$B$4:$R$33,MATCH('lci-kick scooter - NCA'!$B$3,'ei names mapping'!$A$4:$A$33,0),MATCH('lci-kick scooter - NCA'!$G128,'ei names mapping'!$B$3:$R$3,0))</f>
        <v>Battery BoP</v>
      </c>
      <c r="B128" s="4">
        <f>INDEX('vehicles specifications'!$B$3:$CW$166,MATCH(B96,'vehicles specifications'!$A$3:$A$166,0),MATCH(G128,'vehicles specifications'!$B$2:$CW$2,0))*INDEX('ei names mapping'!$B$137:$BL$300,MATCH(B96,'ei names mapping'!$A$137:$A$300,0),MATCH(G128,'ei names mapping'!$B$136:$BL$136,0))</f>
        <v>0.3</v>
      </c>
      <c r="C128" t="str">
        <f>INDEX('ei names mapping'!$B$38:$R$67,MATCH('lci-kick scooter - NCA'!$B$3,'ei names mapping'!$A$4:$A$33,0),MATCH('lci-kick scooter - NCA'!$G128,'ei names mapping'!$B$3:$R$3,0))</f>
        <v>GLO</v>
      </c>
      <c r="D128" t="str">
        <f>INDEX('ei names mapping'!$B$104:$R$133,MATCH('lci-kick scooter - NCA'!$B$3,'ei names mapping'!$A$4:$A$33,0),MATCH('lci-kick scooter - NCA'!$G128,'ei names mapping'!$B$3:$R$3,0))</f>
        <v>kilogram</v>
      </c>
      <c r="F128" t="s">
        <v>89</v>
      </c>
      <c r="G128" t="s">
        <v>20</v>
      </c>
      <c r="H128" t="str">
        <f>INDEX('ei names mapping'!$B$71:$R$100,MATCH('lci-kick scooter - NCA'!$B$3,'ei names mapping'!$A$4:$A$33,0),MATCH('lci-kick scooter - NCA'!$G128,'ei names mapping'!$B$3:$R$3,0))</f>
        <v>Battery BoP</v>
      </c>
    </row>
    <row r="129" spans="1:8" x14ac:dyDescent="0.2">
      <c r="A129" t="str">
        <f>INDEX('ei names mapping'!$B$4:$R$33,MATCH('lci-kick scooter - NCA'!$B$3,'ei names mapping'!$A$4:$A$33,0),MATCH('lci-kick scooter - NCA'!$G129,'ei names mapping'!$B$3:$R$3,0))</f>
        <v>charging station, 100W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mapping'!$B$38:$R$67,MATCH('lci-kick scooter - NCA'!$B$3,'ei names mapping'!$A$4:$A$33,0),MATCH('lci-kick scooter - NCA'!$G129,'ei names mapping'!$B$3:$R$3,0))</f>
        <v>GLO</v>
      </c>
      <c r="D129" t="str">
        <f>INDEX('ei names mapping'!$B$104:$R$133,MATCH('lci-kick scooter - NCA'!$B$3,'ei names mapping'!$A$4:$A$33,0),MATCH('lci-kick scooter - NCA'!$G129,'ei names mapping'!$B$3:$R$3,0))</f>
        <v>unit</v>
      </c>
      <c r="F129" t="s">
        <v>89</v>
      </c>
      <c r="G129" t="s">
        <v>52</v>
      </c>
      <c r="H129" t="str">
        <f>INDEX('ei names mapping'!$B$71:$R$100,MATCH('lci-kick scooter - NCA'!$B$3,'ei names mapping'!$A$4:$A$33,0),MATCH('lci-kick scooter - NCA'!$G129,'ei names mapping'!$B$3:$R$3,0))</f>
        <v>charging station, 100W</v>
      </c>
    </row>
    <row r="130" spans="1:8" x14ac:dyDescent="0.2">
      <c r="A130" t="str">
        <f>INDEX('ei names mapping'!$B$4:$R$33,MATCH('lci-kick scooter - NCA'!$B$3,'ei names mapping'!$A$4:$A$33,0),MATCH('lci-kick scooter - NCA'!$G130,'ei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-0.11666666666666665</v>
      </c>
      <c r="C130" t="str">
        <f>INDEX('ei names mapping'!$B$38:$R$67,MATCH('lci-kick scooter - NCA'!$B$3,'ei names mapping'!$A$4:$A$33,0),MATCH('lci-kick scooter - NCA'!$G130,'ei names mapping'!$B$3:$R$3,0))</f>
        <v>CH</v>
      </c>
      <c r="D130" t="str">
        <f>INDEX('ei names mapping'!$B$104:$R$133,MATCH('lci-kick scooter - NCA'!$B$3,'ei names mapping'!$A$4:$A$33,0),MATCH('lci-kick scooter - NCA'!$G130,'ei names mapping'!$B$3:$R$3,0))</f>
        <v>unit</v>
      </c>
      <c r="F130" t="s">
        <v>89</v>
      </c>
      <c r="G130" t="s">
        <v>145</v>
      </c>
      <c r="H130" t="str">
        <f>INDEX('ei names mapping'!$B$71:$R$100,MATCH('lci-kick scooter - NCA'!$B$3,'ei names mapping'!$A$4:$A$33,0),MATCH('lci-kick scooter - NCA'!$G130,'ei names mapping'!$B$3:$R$3,0))</f>
        <v>used electric bicycle</v>
      </c>
    </row>
    <row r="131" spans="1:8" x14ac:dyDescent="0.2">
      <c r="A131" t="str">
        <f>INDEX('ei names mapping'!$B$4:$R$33,MATCH('lci-kick scooter - NCA'!$B$3,'ei names mapping'!$A$4:$A$33,0),MATCH('lci-kick scooter - NCA'!$G131,'ei names mapping'!$B$3:$R$3,0))</f>
        <v>treatment of used bicycle</v>
      </c>
      <c r="B131" s="4">
        <f>INDEX('vehicles specifications'!$B$3:$CW$166,MATCH(B96,'vehicles specifications'!$A$3:$A$166,0),MATCH(G131,'vehicles specifications'!$B$2:$CW$2,0))*INDEX('ei names mapping'!$B$137:$BL$300,MATCH(B96,'ei names mapping'!$A$137:$A$300,0),MATCH(G131,'ei names mapping'!$B$136:$BL$136,0))</f>
        <v>-0.39117647058823524</v>
      </c>
      <c r="C131" t="str">
        <f>INDEX('ei names mapping'!$B$38:$R$67,MATCH('lci-kick scooter - NCA'!$B$3,'ei names mapping'!$A$4:$A$33,0),MATCH('lci-kick scooter - NCA'!$G131,'ei names mapping'!$B$3:$R$3,0))</f>
        <v>CH</v>
      </c>
      <c r="D131" t="str">
        <f>INDEX('ei names mapping'!$B$104:$R$133,MATCH('lci-kick scooter - NCA'!$B$3,'ei names mapping'!$A$4:$A$33,0),MATCH('lci-kick scooter - NCA'!$G131,'ei names mapping'!$B$3:$R$3,0))</f>
        <v>unit</v>
      </c>
      <c r="F131" t="s">
        <v>89</v>
      </c>
      <c r="G131" t="s">
        <v>144</v>
      </c>
      <c r="H131" t="str">
        <f>INDEX('ei names mapping'!$B$71:$R$100,MATCH('lci-kick scooter - NCA'!$B$3,'ei names mapping'!$A$4:$A$33,0),MATCH('lci-kick scooter - NCA'!$G131,'ei names mapping'!$B$3:$R$3,0))</f>
        <v>used bicycle</v>
      </c>
    </row>
    <row r="132" spans="1:8" x14ac:dyDescent="0.2">
      <c r="A132" t="str">
        <f>INDEX('ei names mapping'!$B$4:$R$33,MATCH('lci-kick scooter - NCA'!$B$3,'ei names mapping'!$A$4:$A$33,0),MATCH('lci-kick scooter - NCA'!$G132,'ei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-1.3</v>
      </c>
      <c r="C132" t="str">
        <f>INDEX('ei names mapping'!$B$38:$R$67,MATCH('lci-kick scooter - NCA'!$B$3,'ei names mapping'!$A$4:$A$33,0),MATCH('lci-kick scooter - NCA'!$G132,'ei names mapping'!$B$3:$R$3,0))</f>
        <v>GLO</v>
      </c>
      <c r="D132" t="str">
        <f>INDEX('ei names mapping'!$B$104:$R$133,MATCH('lci-kick scooter - NCA'!$B$3,'ei names mapping'!$A$4:$A$33,0),MATCH('lci-kick scooter - NCA'!$G132,'ei names mapping'!$B$3:$R$3,0))</f>
        <v>kilogram</v>
      </c>
      <c r="F132" t="s">
        <v>89</v>
      </c>
      <c r="G132" t="s">
        <v>146</v>
      </c>
      <c r="H132" t="str">
        <f>INDEX('ei names mapping'!$B$71:$R$100,MATCH('lci-kick scooter - NCA'!$B$3,'ei names mapping'!$A$4:$A$33,0),MATCH('lci-kick scooter - NCA'!$G132,'ei names mapping'!$B$3:$R$3,0))</f>
        <v>used Li-ion battery</v>
      </c>
    </row>
    <row r="133" spans="1:8" x14ac:dyDescent="0.2">
      <c r="A133" s="13" t="s">
        <v>840</v>
      </c>
      <c r="B133">
        <f>(B106/1000)*B119</f>
        <v>10.75</v>
      </c>
      <c r="C133" t="s">
        <v>92</v>
      </c>
      <c r="D133" t="s">
        <v>233</v>
      </c>
      <c r="F133" t="s">
        <v>89</v>
      </c>
      <c r="H133" s="13" t="s">
        <v>841</v>
      </c>
    </row>
    <row r="134" spans="1:8" x14ac:dyDescent="0.2">
      <c r="A134" s="13" t="s">
        <v>441</v>
      </c>
      <c r="B134" s="2">
        <f>(B106/1000)*B118</f>
        <v>170.92499999999998</v>
      </c>
      <c r="C134" t="s">
        <v>95</v>
      </c>
      <c r="D134" t="s">
        <v>233</v>
      </c>
      <c r="F134" t="s">
        <v>89</v>
      </c>
      <c r="H134" s="13" t="s">
        <v>441</v>
      </c>
    </row>
    <row r="135" spans="1:8" x14ac:dyDescent="0.2">
      <c r="B135" s="6"/>
    </row>
    <row r="136" spans="1:8" ht="16" x14ac:dyDescent="0.2">
      <c r="A136" s="10" t="s">
        <v>71</v>
      </c>
      <c r="B136" s="8" t="str">
        <f>B138&amp;", "&amp;B153&amp;" battery, "&amp;B140</f>
        <v>Kick Scooter, electric, &lt;1kW, NCA battery, 2050</v>
      </c>
    </row>
    <row r="137" spans="1:8" x14ac:dyDescent="0.2">
      <c r="A137" t="s">
        <v>72</v>
      </c>
      <c r="B137" t="s">
        <v>37</v>
      </c>
    </row>
    <row r="138" spans="1:8" x14ac:dyDescent="0.2">
      <c r="A138" t="s">
        <v>86</v>
      </c>
      <c r="B138" t="s">
        <v>618</v>
      </c>
    </row>
    <row r="139" spans="1:8" x14ac:dyDescent="0.2">
      <c r="A139" t="s">
        <v>87</v>
      </c>
    </row>
    <row r="140" spans="1:8" x14ac:dyDescent="0.2">
      <c r="A140" t="s">
        <v>88</v>
      </c>
      <c r="B140">
        <v>2050</v>
      </c>
    </row>
    <row r="141" spans="1:8" x14ac:dyDescent="0.2">
      <c r="A141" t="s">
        <v>126</v>
      </c>
      <c r="B141" t="str">
        <f>B138&amp;" - "&amp;B140&amp;" - "&amp;B153&amp;" - "&amp;B137</f>
        <v>Kick Scooter, electric, &lt;1kW - 2050 - NCA - CH</v>
      </c>
    </row>
    <row r="142" spans="1:8" x14ac:dyDescent="0.2">
      <c r="A142" t="s">
        <v>73</v>
      </c>
      <c r="B142" t="str">
        <f>B138</f>
        <v>Kick Scooter, electric, &lt;1kW</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specifications'!$B$3:$CW$166,MATCH('lci-kick scooter - NCA'!B141,'vehicles specifications'!$A$3:$A$166,0),MATCH("Lifetime [km]",'vehicles specifications'!$B$2:$CW$2,0))</f>
        <v>1785</v>
      </c>
    </row>
    <row r="147" spans="1:2" x14ac:dyDescent="0.2">
      <c r="A147" t="s">
        <v>128</v>
      </c>
      <c r="B147">
        <f>INDEX('vehicles specifications'!$B$3:$CW$166,MATCH('lci-kick scooter - NCA'!B141,'vehicles specifications'!$A$3:$A$166,0),MATCH("Passengers [unit]",'vehicles specifications'!$B$2:$CW$2,0))</f>
        <v>1</v>
      </c>
    </row>
    <row r="148" spans="1:2" x14ac:dyDescent="0.2">
      <c r="A148" t="s">
        <v>129</v>
      </c>
      <c r="B148">
        <f>INDEX('vehicles specifications'!$B$3:$CW$166,MATCH('lci-kick scooter - NCA'!B141,'vehicles specifications'!$A$3:$A$166,0),MATCH("Servicing [unit]",'vehicles specifications'!$B$2:$CW$2,0))</f>
        <v>0</v>
      </c>
    </row>
    <row r="149" spans="1:2" x14ac:dyDescent="0.2">
      <c r="A149" t="s">
        <v>130</v>
      </c>
      <c r="B149">
        <f>INDEX('vehicles specifications'!$B$3:$CW$166,MATCH('lci-kick scooter - NCA'!B141,'vehicles specifications'!$A$3:$A$166,0),MATCH("Energy battery replacement [unit]",'vehicles specifications'!$B$2:$CW$2,0))</f>
        <v>0</v>
      </c>
    </row>
    <row r="150" spans="1:2" x14ac:dyDescent="0.2">
      <c r="A150" t="s">
        <v>131</v>
      </c>
      <c r="B150">
        <f>INDEX('vehicles specifications'!$B$3:$CW$166,MATCH('lci-kick scooter - NCA'!B141,'vehicles specifications'!$A$3:$A$166,0),MATCH("Annual kilometers [km]",'vehicles specifications'!$B$2:$CW$2,0))</f>
        <v>890</v>
      </c>
    </row>
    <row r="151" spans="1:2" x14ac:dyDescent="0.2">
      <c r="A151" t="s">
        <v>132</v>
      </c>
      <c r="B151">
        <f>INDEX('vehicles specifications'!$B$3:$CW$166,MATCH('lci-kick scooter - NCA'!B141,'vehicles specifications'!$A$3:$A$166,0),MATCH("Curb mass [kg]",'vehicles specifications'!$B$2:$CW$2,0))</f>
        <v>10.510000000000002</v>
      </c>
    </row>
    <row r="152" spans="1:2" x14ac:dyDescent="0.2">
      <c r="A152" t="s">
        <v>133</v>
      </c>
      <c r="B152">
        <f>INDEX('vehicles specifications'!$B$3:$CW$166,MATCH('lci-kick scooter - NCA'!B141,'vehicles specifications'!$A$3:$A$166,0),MATCH("Power [kW]",'vehicles specifications'!$B$2:$CW$2,0))</f>
        <v>0.25</v>
      </c>
    </row>
    <row r="153" spans="1:2" x14ac:dyDescent="0.2">
      <c r="A153" t="s">
        <v>652</v>
      </c>
      <c r="B153" s="20" t="s">
        <v>45</v>
      </c>
    </row>
    <row r="154" spans="1:2" x14ac:dyDescent="0.2">
      <c r="A154" t="s">
        <v>134</v>
      </c>
      <c r="B154">
        <f>INDEX('vehicles specifications'!$B$3:$CW$166,MATCH('lci-kick scooter - NCA'!B141,'vehicles specifications'!$A$3:$A$166,0),MATCH("Energy battery mass [kg]",'vehicles specifications'!$B$2:$CW$2,0))</f>
        <v>1.3</v>
      </c>
    </row>
    <row r="155" spans="1:2" x14ac:dyDescent="0.2">
      <c r="A155" t="s">
        <v>135</v>
      </c>
      <c r="B155">
        <f>INDEX('vehicles specifications'!$B$3:$CW$166,MATCH('lci-kick scooter - NCA'!B141,'vehicles specifications'!$A$3:$A$166,0),MATCH("Electric energy stored [kWh]",'vehicles specifications'!$B$2:$CW$2,0))</f>
        <v>0.5</v>
      </c>
    </row>
    <row r="156" spans="1:2" x14ac:dyDescent="0.2">
      <c r="A156" t="s">
        <v>588</v>
      </c>
      <c r="B156">
        <f>INDEX('vehicles specifications'!$B$3:$CW$166,MATCH('lci-kick scooter - NCA'!B141,'vehicles specifications'!$A$3:$A$166,0),MATCH("Electric energy available [kWh]",'vehicles specifications'!$B$2:$CW$2,0))</f>
        <v>0.4</v>
      </c>
    </row>
    <row r="157" spans="1:2" x14ac:dyDescent="0.2">
      <c r="A157" t="s">
        <v>138</v>
      </c>
      <c r="B157">
        <f>INDEX('vehicles specifications'!$B$3:$CW$166,MATCH('lci-kick scooter - NCA'!B141,'vehicles specifications'!$A$3:$A$166,0),MATCH("Oxydation energy stored [kWh]",'vehicles specifications'!$B$2:$CW$2,0))</f>
        <v>0</v>
      </c>
    </row>
    <row r="158" spans="1:2" x14ac:dyDescent="0.2">
      <c r="A158" t="s">
        <v>139</v>
      </c>
      <c r="B158">
        <f>INDEX('vehicles specifications'!$B$3:$CW$166,MATCH('lci-kick scooter - NCA'!B141,'vehicles specifications'!$A$3:$A$166,0),MATCH("Fuel mass [kg]",'vehicles specifications'!$B$2:$CW$2,0))</f>
        <v>0</v>
      </c>
    </row>
    <row r="159" spans="1:2" x14ac:dyDescent="0.2">
      <c r="A159" t="s">
        <v>136</v>
      </c>
      <c r="B159">
        <f>INDEX('vehicles specifications'!$B$3:$CW$166,MATCH('lci-kick scooter - NCA'!B141,'vehicles specifications'!$A$3:$A$166,0),MATCH("Range [km]",'vehicles specifications'!$B$2:$CW$2,0))</f>
        <v>16.719626168224298</v>
      </c>
    </row>
    <row r="160" spans="1:2" x14ac:dyDescent="0.2">
      <c r="A160" t="s">
        <v>137</v>
      </c>
      <c r="B160" t="str">
        <f>INDEX('vehicles specifications'!$B$3:$CW$166,MATCH('lci-kick scooter - NCA'!B141,'vehicles specifications'!$A$3:$A$166,0),MATCH("Emission standard",'vehicles specifications'!$B$2:$CW$2,0))</f>
        <v>None</v>
      </c>
    </row>
    <row r="161" spans="1:8" x14ac:dyDescent="0.2">
      <c r="A161" t="s">
        <v>1174</v>
      </c>
      <c r="B161" s="6">
        <f>INDEX('vehicles specifications'!$B$3:$CW$166,MATCH('lci-kick scooter - NCA'!B141,'vehicles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NCA'!B145</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Kick Scooter, electric, &lt;1kW, NCA battery, 2050</v>
      </c>
      <c r="B168">
        <v>1</v>
      </c>
      <c r="C168" t="str">
        <f>B137</f>
        <v>CH</v>
      </c>
      <c r="D168" t="str">
        <f>B144</f>
        <v>unit</v>
      </c>
      <c r="F168" t="s">
        <v>84</v>
      </c>
      <c r="G168" t="s">
        <v>85</v>
      </c>
      <c r="H168" t="str">
        <f>B142</f>
        <v>Kick Scooter, electric, &lt;1kW</v>
      </c>
    </row>
    <row r="169" spans="1:8" x14ac:dyDescent="0.2">
      <c r="A169" t="str">
        <f>INDEX('ei names mapping'!$B$4:$R$33,MATCH('lci-kick scooter - NCA'!$B$3,'ei names mapping'!$A$4:$A$33,0),MATCH('lci-kick scooter - NCA'!$G169,'ei names mapping'!$B$3:$R$3,0))</f>
        <v>bicycle production</v>
      </c>
      <c r="B169" s="4">
        <f>INDEX('vehicles specifications'!$B$3:$CW$166,MATCH(B141,'vehicles specifications'!$A$3:$A$166,0),MATCH(G169,'vehicles specifications'!$B$2:$CW$2,0))*INDEX('ei names mapping'!$B$137:$BL$300,MATCH(B141,'ei names mapping'!$A$137:$A$300,0),MATCH(G169,'ei names mapping'!$B$136:$BL$136,0))</f>
        <v>0.41176470588235292</v>
      </c>
      <c r="C169" t="str">
        <f>INDEX('ei names mapping'!$B$38:$R$67,MATCH('lci-kick scooter - NCA'!$B$3,'ei names mapping'!$A$4:$A$33,0),MATCH('lci-kick scooter - NCA'!$G169,'ei names mapping'!$B$3:$R$3,0))</f>
        <v>RER</v>
      </c>
      <c r="D169" t="str">
        <f>INDEX('ei names mapping'!$B$104:$R$133,MATCH('lci-kick scooter - NCA'!$B$3,'ei names mapping'!$A$4:$A$33,0),MATCH('lci-kick scooter - NCA'!$G169,'ei names mapping'!$B$3:$R$3,0))</f>
        <v>unit</v>
      </c>
      <c r="F169" t="s">
        <v>89</v>
      </c>
      <c r="G169" t="s">
        <v>15</v>
      </c>
      <c r="H169" t="str">
        <f>INDEX('ei names mapping'!$B$71:$R$100,MATCH('lci-kick scooter - NCA'!$B$3,'ei names mapping'!$A$4:$A$33,0),MATCH('lci-kick scooter - NCA'!$G169,'ei names mapping'!$B$3:$R$3,0))</f>
        <v>bicycle</v>
      </c>
    </row>
    <row r="170" spans="1:8" x14ac:dyDescent="0.2">
      <c r="A170" t="str">
        <f>INDEX('ei names mapping'!$B$4:$R$33,MATCH('lci-kick scooter - NCA'!$B$3,'ei names mapping'!$A$4:$A$33,0),MATCH('lci-kick scooter - NCA'!$G170,'ei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2.7</v>
      </c>
      <c r="C170" t="str">
        <f>INDEX('ei names mapping'!$B$38:$R$67,MATCH('lci-kick scooter - NCA'!$B$3,'ei names mapping'!$A$4:$A$33,0),MATCH('lci-kick scooter - NCA'!$G170,'ei names mapping'!$B$3:$R$3,0))</f>
        <v>GLO</v>
      </c>
      <c r="D170" t="str">
        <f>INDEX('ei names mapping'!$B$104:$R$133,MATCH('lci-kick scooter - NCA'!$B$3,'ei names mapping'!$A$4:$A$33,0),MATCH('lci-kick scooter - NCA'!$G170,'ei names mapping'!$B$3:$R$3,0))</f>
        <v>kilogram</v>
      </c>
      <c r="F170" t="s">
        <v>89</v>
      </c>
      <c r="G170" t="s">
        <v>501</v>
      </c>
      <c r="H170" t="str">
        <f>INDEX('ei names mapping'!$B$71:$R$100,MATCH('lci-kick scooter - NCA'!$B$3,'ei names mapping'!$A$4:$A$33,0),MATCH('lci-kick scooter - NCA'!$G170,'ei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0.49000000000000005</v>
      </c>
      <c r="C171" t="str">
        <f>INDEX('ei names mapping'!$B$38:$R$67,MATCH(B138,'ei names mapping'!$A$4:$A$33,0),MATCH(G171,'ei names mapping'!$B$3:$R$3,0))</f>
        <v>GLO</v>
      </c>
      <c r="D171" t="str">
        <f>INDEX('ei names mapping'!$B$104:$R$133,MATCH(B138,'ei names mapping'!$A$4:$A$33,0),MATCH(G171,'ei names mapping'!$B$3:$R$3,0))</f>
        <v>kilogram</v>
      </c>
      <c r="F171" t="s">
        <v>89</v>
      </c>
      <c r="G171" t="s">
        <v>14</v>
      </c>
      <c r="H171" t="str">
        <f>INDEX('ei names mapping'!$B$71:$R$100,MATCH(B138,'ei names mapping'!$A$4:$A$33,0),MATCH(G171,'ei names mapping'!$B$3:$R$3,0))</f>
        <v>Glider lightweighting</v>
      </c>
    </row>
    <row r="172" spans="1:8" x14ac:dyDescent="0.2">
      <c r="A172" t="s">
        <v>760</v>
      </c>
      <c r="B172" s="4">
        <f>INDEX('vehicles specifications'!$B$3:$CW$166,MATCH(B141,'vehicles specifications'!$A$3:$A$166,0),MATCH(G172,'vehicles specifications'!$B$2:$CW$2,0))*INDEX('ei names mapping'!$B$137:$BL$300,MATCH(B141,'ei names mapping'!$A$137:$A$300,0),MATCH(G172,'ei names mapping'!$B$136:$BL$136,0))</f>
        <v>1</v>
      </c>
      <c r="C172" t="str">
        <f>INDEX('ei names mapping'!$B$38:$R$67,MATCH('lci-kick scooter - NCA'!$B$3,'ei names mapping'!$A$4:$A$33,0),MATCH('lci-kick scooter - NCA'!$G172,'ei names mapping'!$B$3:$R$3,0))</f>
        <v>GLO</v>
      </c>
      <c r="D172" t="str">
        <f>INDEX('ei names mapping'!$B$104:$R$133,MATCH('lci-kick scooter - NCA'!$B$3,'ei names mapping'!$A$4:$A$33,0),MATCH('lci-kick scooter - NCA'!$G172,'ei names mapping'!$B$3:$R$3,0))</f>
        <v>kilogram</v>
      </c>
      <c r="F172" t="s">
        <v>89</v>
      </c>
      <c r="G172" t="s">
        <v>19</v>
      </c>
      <c r="H172" t="str">
        <f>INDEX('ei names mapping'!$B$71:$R$100,MATCH('lci-kick scooter - NCA'!$B$3,'ei names mapping'!$A$4:$A$33,0),MATCH('lci-kick scooter - NCA'!$G172,'ei names mapping'!$B$3:$R$3,0))</f>
        <v>Battery cell</v>
      </c>
    </row>
    <row r="173" spans="1:8" x14ac:dyDescent="0.2">
      <c r="A173" t="str">
        <f>INDEX('ei names mapping'!$B$4:$R$33,MATCH('lci-kick scooter - NCA'!$B$3,'ei names mapping'!$A$4:$A$33,0),MATCH('lci-kick scooter - NCA'!$G173,'ei names mapping'!$B$3:$R$3,0))</f>
        <v>Battery BoP</v>
      </c>
      <c r="B173" s="4">
        <f>INDEX('vehicles specifications'!$B$3:$CW$166,MATCH(B141,'vehicles specifications'!$A$3:$A$166,0),MATCH(G173,'vehicles specifications'!$B$2:$CW$2,0))*INDEX('ei names mapping'!$B$137:$BL$300,MATCH(B141,'ei names mapping'!$A$137:$A$300,0),MATCH(G173,'ei names mapping'!$B$136:$BL$136,0))</f>
        <v>0.3</v>
      </c>
      <c r="C173" t="str">
        <f>INDEX('ei names mapping'!$B$38:$R$67,MATCH('lci-kick scooter - NCA'!$B$3,'ei names mapping'!$A$4:$A$33,0),MATCH('lci-kick scooter - NCA'!$G173,'ei names mapping'!$B$3:$R$3,0))</f>
        <v>GLO</v>
      </c>
      <c r="D173" t="str">
        <f>INDEX('ei names mapping'!$B$104:$R$133,MATCH('lci-kick scooter - NCA'!$B$3,'ei names mapping'!$A$4:$A$33,0),MATCH('lci-kick scooter - NCA'!$G173,'ei names mapping'!$B$3:$R$3,0))</f>
        <v>kilogram</v>
      </c>
      <c r="F173" t="s">
        <v>89</v>
      </c>
      <c r="G173" t="s">
        <v>20</v>
      </c>
      <c r="H173" t="str">
        <f>INDEX('ei names mapping'!$B$71:$R$100,MATCH('lci-kick scooter - NCA'!$B$3,'ei names mapping'!$A$4:$A$33,0),MATCH('lci-kick scooter - NCA'!$G173,'ei names mapping'!$B$3:$R$3,0))</f>
        <v>Battery BoP</v>
      </c>
    </row>
    <row r="174" spans="1:8" x14ac:dyDescent="0.2">
      <c r="A174" t="str">
        <f>INDEX('ei names mapping'!$B$4:$R$33,MATCH('lci-kick scooter - NCA'!$B$3,'ei names mapping'!$A$4:$A$33,0),MATCH('lci-kick scooter - NCA'!$G174,'ei names mapping'!$B$3:$R$3,0))</f>
        <v>charging station, 100W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mapping'!$B$38:$R$67,MATCH('lci-kick scooter - NCA'!$B$3,'ei names mapping'!$A$4:$A$33,0),MATCH('lci-kick scooter - NCA'!$G174,'ei names mapping'!$B$3:$R$3,0))</f>
        <v>GLO</v>
      </c>
      <c r="D174" t="str">
        <f>INDEX('ei names mapping'!$B$104:$R$133,MATCH('lci-kick scooter - NCA'!$B$3,'ei names mapping'!$A$4:$A$33,0),MATCH('lci-kick scooter - NCA'!$G174,'ei names mapping'!$B$3:$R$3,0))</f>
        <v>unit</v>
      </c>
      <c r="F174" t="s">
        <v>89</v>
      </c>
      <c r="G174" t="s">
        <v>52</v>
      </c>
      <c r="H174" t="str">
        <f>INDEX('ei names mapping'!$B$71:$R$100,MATCH('lci-kick scooter - NCA'!$B$3,'ei names mapping'!$A$4:$A$33,0),MATCH('lci-kick scooter - NCA'!$G174,'ei names mapping'!$B$3:$R$3,0))</f>
        <v>charging station, 100W</v>
      </c>
    </row>
    <row r="175" spans="1:8" x14ac:dyDescent="0.2">
      <c r="A175" t="str">
        <f>INDEX('ei names mapping'!$B$4:$R$33,MATCH('lci-kick scooter - NCA'!$B$3,'ei names mapping'!$A$4:$A$33,0),MATCH('lci-kick scooter - NCA'!$G175,'ei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-0.1125</v>
      </c>
      <c r="C175" t="str">
        <f>INDEX('ei names mapping'!$B$38:$R$67,MATCH('lci-kick scooter - NCA'!$B$3,'ei names mapping'!$A$4:$A$33,0),MATCH('lci-kick scooter - NCA'!$G175,'ei names mapping'!$B$3:$R$3,0))</f>
        <v>CH</v>
      </c>
      <c r="D175" t="str">
        <f>INDEX('ei names mapping'!$B$104:$R$133,MATCH('lci-kick scooter - NCA'!$B$3,'ei names mapping'!$A$4:$A$33,0),MATCH('lci-kick scooter - NCA'!$G175,'ei names mapping'!$B$3:$R$3,0))</f>
        <v>unit</v>
      </c>
      <c r="F175" t="s">
        <v>89</v>
      </c>
      <c r="G175" t="s">
        <v>145</v>
      </c>
      <c r="H175" t="str">
        <f>INDEX('ei names mapping'!$B$71:$R$100,MATCH('lci-kick scooter - NCA'!$B$3,'ei names mapping'!$A$4:$A$33,0),MATCH('lci-kick scooter - NCA'!$G175,'ei names mapping'!$B$3:$R$3,0))</f>
        <v>used electric bicycle</v>
      </c>
    </row>
    <row r="176" spans="1:8" x14ac:dyDescent="0.2">
      <c r="A176" t="str">
        <f>INDEX('ei names mapping'!$B$4:$R$33,MATCH('lci-kick scooter - NCA'!$B$3,'ei names mapping'!$A$4:$A$33,0),MATCH('lci-kick scooter - NCA'!$G176,'ei names mapping'!$B$3:$R$3,0))</f>
        <v>treatment of used bicycle</v>
      </c>
      <c r="B176" s="4">
        <f>INDEX('vehicles specifications'!$B$3:$CW$166,MATCH(B141,'vehicles specifications'!$A$3:$A$166,0),MATCH(G176,'vehicles specifications'!$B$2:$CW$2,0))*INDEX('ei names mapping'!$B$137:$BL$300,MATCH(B141,'ei names mapping'!$A$137:$A$300,0),MATCH(G176,'ei names mapping'!$B$136:$BL$136,0))</f>
        <v>-0.38294117647058823</v>
      </c>
      <c r="C176" t="str">
        <f>INDEX('ei names mapping'!$B$38:$R$67,MATCH('lci-kick scooter - NCA'!$B$3,'ei names mapping'!$A$4:$A$33,0),MATCH('lci-kick scooter - NCA'!$G176,'ei names mapping'!$B$3:$R$3,0))</f>
        <v>CH</v>
      </c>
      <c r="D176" t="str">
        <f>INDEX('ei names mapping'!$B$104:$R$133,MATCH('lci-kick scooter - NCA'!$B$3,'ei names mapping'!$A$4:$A$33,0),MATCH('lci-kick scooter - NCA'!$G176,'ei names mapping'!$B$3:$R$3,0))</f>
        <v>unit</v>
      </c>
      <c r="F176" t="s">
        <v>89</v>
      </c>
      <c r="G176" t="s">
        <v>144</v>
      </c>
      <c r="H176" t="str">
        <f>INDEX('ei names mapping'!$B$71:$R$100,MATCH('lci-kick scooter - NCA'!$B$3,'ei names mapping'!$A$4:$A$33,0),MATCH('lci-kick scooter - NCA'!$G176,'ei names mapping'!$B$3:$R$3,0))</f>
        <v>used bicycle</v>
      </c>
    </row>
    <row r="177" spans="1:8" x14ac:dyDescent="0.2">
      <c r="A177" t="str">
        <f>INDEX('ei names mapping'!$B$4:$R$33,MATCH('lci-kick scooter - NCA'!$B$3,'ei names mapping'!$A$4:$A$33,0),MATCH('lci-kick scooter - NCA'!$G177,'ei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-1.3</v>
      </c>
      <c r="C177" t="str">
        <f>INDEX('ei names mapping'!$B$38:$R$67,MATCH('lci-kick scooter - NCA'!$B$3,'ei names mapping'!$A$4:$A$33,0),MATCH('lci-kick scooter - NCA'!$G177,'ei names mapping'!$B$3:$R$3,0))</f>
        <v>GLO</v>
      </c>
      <c r="D177" t="str">
        <f>INDEX('ei names mapping'!$B$104:$R$133,MATCH('lci-kick scooter - NCA'!$B$3,'ei names mapping'!$A$4:$A$33,0),MATCH('lci-kick scooter - NCA'!$G177,'ei names mapping'!$B$3:$R$3,0))</f>
        <v>kilogram</v>
      </c>
      <c r="F177" t="s">
        <v>89</v>
      </c>
      <c r="G177" t="s">
        <v>146</v>
      </c>
      <c r="H177" t="str">
        <f>INDEX('ei names mapping'!$B$71:$R$100,MATCH('lci-kick scooter - NCA'!$B$3,'ei names mapping'!$A$4:$A$33,0),MATCH('lci-kick scooter - NCA'!$G177,'ei names mapping'!$B$3:$R$3,0))</f>
        <v>used Li-ion battery</v>
      </c>
    </row>
    <row r="178" spans="1:8" x14ac:dyDescent="0.2">
      <c r="A178" s="13" t="s">
        <v>840</v>
      </c>
      <c r="B178">
        <f>(B151/1000)*B164</f>
        <v>10.510000000000002</v>
      </c>
      <c r="C178" t="s">
        <v>92</v>
      </c>
      <c r="D178" t="s">
        <v>233</v>
      </c>
      <c r="F178" t="s">
        <v>89</v>
      </c>
      <c r="H178" s="13" t="s">
        <v>841</v>
      </c>
    </row>
    <row r="179" spans="1:8" x14ac:dyDescent="0.2">
      <c r="A179" s="13" t="s">
        <v>441</v>
      </c>
      <c r="B179" s="2">
        <f>(B151/1000)*B163</f>
        <v>167.10900000000004</v>
      </c>
      <c r="C179" t="s">
        <v>95</v>
      </c>
      <c r="D179" t="s">
        <v>233</v>
      </c>
      <c r="F179" t="s">
        <v>89</v>
      </c>
      <c r="H179" s="13" t="s">
        <v>441</v>
      </c>
    </row>
    <row r="181" spans="1:8" ht="16" x14ac:dyDescent="0.2">
      <c r="A181" s="10" t="s">
        <v>71</v>
      </c>
      <c r="B181" s="8" t="str">
        <f>"transport, "&amp;B183&amp;", "&amp;B198&amp;" battery, "&amp;B185</f>
        <v>transport, Kick Scooter, electric, &lt;1kW, NCA battery, 2020</v>
      </c>
    </row>
    <row r="182" spans="1:8" x14ac:dyDescent="0.2">
      <c r="A182" t="s">
        <v>72</v>
      </c>
      <c r="B182" t="s">
        <v>37</v>
      </c>
    </row>
    <row r="183" spans="1:8" x14ac:dyDescent="0.2">
      <c r="A183" t="s">
        <v>86</v>
      </c>
      <c r="B183" t="s">
        <v>618</v>
      </c>
    </row>
    <row r="184" spans="1:8" x14ac:dyDescent="0.2">
      <c r="A184" t="s">
        <v>87</v>
      </c>
    </row>
    <row r="185" spans="1:8" x14ac:dyDescent="0.2">
      <c r="A185" t="s">
        <v>88</v>
      </c>
      <c r="B185">
        <v>2020</v>
      </c>
    </row>
    <row r="186" spans="1:8" x14ac:dyDescent="0.2">
      <c r="A186" t="s">
        <v>126</v>
      </c>
      <c r="B186" t="str">
        <f>B183&amp;" - "&amp;B185&amp;" - "&amp;B198&amp;" - "&amp;B182</f>
        <v>Kick Scooter, electric, &lt;1kW - 2020 - NCA - CH</v>
      </c>
    </row>
    <row r="187" spans="1:8" x14ac:dyDescent="0.2">
      <c r="A187" t="s">
        <v>73</v>
      </c>
      <c r="B187" t="str">
        <f>"transport, "&amp;B183</f>
        <v>transport, Kick Scooter, electric, &lt;1kW</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specifications'!$B$3:$CW$166,MATCH('lci-kick scooter - NCA'!B186,'vehicles specifications'!$A$3:$A$166,0),MATCH("Lifetime [km]",'vehicles specifications'!$B$2:$CW$2,0))</f>
        <v>1785</v>
      </c>
    </row>
    <row r="192" spans="1:8" x14ac:dyDescent="0.2">
      <c r="A192" t="s">
        <v>128</v>
      </c>
      <c r="B192">
        <f>INDEX('vehicles specifications'!$B$3:$CW$166,MATCH('lci-kick scooter - NCA'!B186,'vehicles specifications'!$A$3:$A$166,0),MATCH("Passengers [unit]",'vehicles specifications'!$B$2:$CW$2,0))</f>
        <v>1</v>
      </c>
    </row>
    <row r="193" spans="1:2" x14ac:dyDescent="0.2">
      <c r="A193" t="s">
        <v>129</v>
      </c>
      <c r="B193">
        <f>INDEX('vehicles specifications'!$B$3:$CW$166,MATCH('lci-kick scooter - NCA'!B186,'vehicles specifications'!$A$3:$A$166,0),MATCH("Servicing [unit]",'vehicles specifications'!$B$2:$CW$2,0))</f>
        <v>0</v>
      </c>
    </row>
    <row r="194" spans="1:2" x14ac:dyDescent="0.2">
      <c r="A194" t="s">
        <v>130</v>
      </c>
      <c r="B194">
        <f>INDEX('vehicles specifications'!$B$3:$CW$166,MATCH('lci-kick scooter - NCA'!B186,'vehicles specifications'!$A$3:$A$166,0),MATCH("Energy battery replacement [unit]",'vehicles specifications'!$B$2:$CW$2,0))</f>
        <v>0</v>
      </c>
    </row>
    <row r="195" spans="1:2" x14ac:dyDescent="0.2">
      <c r="A195" t="s">
        <v>131</v>
      </c>
      <c r="B195">
        <f>INDEX('vehicles specifications'!$B$3:$CW$166,MATCH('lci-kick scooter - NCA'!B186,'vehicles specifications'!$A$3:$A$166,0),MATCH("Annual kilometers [km]",'vehicles specifications'!$B$2:$CW$2,0))</f>
        <v>890</v>
      </c>
    </row>
    <row r="196" spans="1:2" x14ac:dyDescent="0.2">
      <c r="A196" t="s">
        <v>132</v>
      </c>
      <c r="B196">
        <f>INDEX('vehicles specifications'!$B$3:$CW$166,MATCH('lci-kick scooter - NCA'!B186,'vehicles specifications'!$A$3:$A$166,0),MATCH("Curb mass [kg]",'vehicles specifications'!$B$2:$CW$2,0))</f>
        <v>11.413043478260869</v>
      </c>
    </row>
    <row r="197" spans="1:2" x14ac:dyDescent="0.2">
      <c r="A197" t="s">
        <v>133</v>
      </c>
      <c r="B197">
        <f>INDEX('vehicles specifications'!$B$3:$CW$166,MATCH('lci-kick scooter - NCA'!B186,'vehicles specifications'!$A$3:$A$166,0),MATCH("Power [kW]",'vehicles specifications'!$B$2:$CW$2,0))</f>
        <v>0.25</v>
      </c>
    </row>
    <row r="198" spans="1:2" x14ac:dyDescent="0.2">
      <c r="A198" t="s">
        <v>652</v>
      </c>
      <c r="B198" s="20" t="s">
        <v>45</v>
      </c>
    </row>
    <row r="199" spans="1:2" x14ac:dyDescent="0.2">
      <c r="A199" t="s">
        <v>134</v>
      </c>
      <c r="B199">
        <f>INDEX('vehicles specifications'!$B$3:$CW$166,MATCH('lci-kick scooter - NCA'!B186,'vehicles specifications'!$A$3:$A$166,0),MATCH("Energy battery mass [kg]",'vehicles specifications'!$B$2:$CW$2,0))</f>
        <v>1.4130434782608694</v>
      </c>
    </row>
    <row r="200" spans="1:2" x14ac:dyDescent="0.2">
      <c r="A200" t="s">
        <v>135</v>
      </c>
      <c r="B200">
        <f>INDEX('vehicles specifications'!$B$3:$CW$166,MATCH('lci-kick scooter - NCA'!B186,'vehicles specifications'!$A$3:$A$166,0),MATCH("Electric energy stored [kWh]",'vehicles specifications'!$B$2:$CW$2,0))</f>
        <v>0.25</v>
      </c>
    </row>
    <row r="201" spans="1:2" x14ac:dyDescent="0.2">
      <c r="A201" t="s">
        <v>588</v>
      </c>
      <c r="B201">
        <f>INDEX('vehicles specifications'!$B$3:$CW$166,MATCH('lci-kick scooter - NCA'!B186,'vehicles specifications'!$A$3:$A$166,0),MATCH("Electric energy available [kWh]",'vehicles specifications'!$B$2:$CW$2,0))</f>
        <v>0.2</v>
      </c>
    </row>
    <row r="202" spans="1:2" x14ac:dyDescent="0.2">
      <c r="A202" t="s">
        <v>138</v>
      </c>
      <c r="B202">
        <f>INDEX('vehicles specifications'!$B$3:$CW$166,MATCH('lci-kick scooter - NCA'!B186,'vehicles specifications'!$A$3:$A$166,0),MATCH("Oxydation energy stored [kWh]",'vehicles specifications'!$B$2:$CW$2,0))</f>
        <v>0</v>
      </c>
    </row>
    <row r="203" spans="1:2" x14ac:dyDescent="0.2">
      <c r="A203" t="s">
        <v>139</v>
      </c>
      <c r="B203">
        <f>INDEX('vehicles specifications'!$B$3:$CW$166,MATCH('lci-kick scooter - NCA'!B186,'vehicles specifications'!$A$3:$A$166,0),MATCH("Fuel mass [kg]",'vehicles specifications'!$B$2:$CW$2,0))</f>
        <v>0</v>
      </c>
    </row>
    <row r="204" spans="1:2" x14ac:dyDescent="0.2">
      <c r="A204" t="s">
        <v>136</v>
      </c>
      <c r="B204">
        <f>INDEX('vehicles specifications'!$B$3:$CW$166,MATCH('lci-kick scooter - NCA'!B186,'vehicles specifications'!$A$3:$A$166,0),MATCH("Range [km]",'vehicles specifications'!$B$2:$CW$2,0))</f>
        <v>8.3598130841121492</v>
      </c>
    </row>
    <row r="205" spans="1:2" x14ac:dyDescent="0.2">
      <c r="A205" t="s">
        <v>137</v>
      </c>
      <c r="B205" t="str">
        <f>INDEX('vehicles specifications'!$B$3:$CW$166,MATCH('lci-kick scooter - NCA'!B186,'vehicles specifications'!$A$3:$A$166,0),MATCH("Emission standard",'vehicles specifications'!$B$2:$CW$2,0))</f>
        <v>None</v>
      </c>
    </row>
    <row r="206" spans="1:2" x14ac:dyDescent="0.2">
      <c r="A206" t="s">
        <v>1174</v>
      </c>
      <c r="B206" s="6">
        <f>INDEX('vehicles specifications'!$B$3:$CW$166,MATCH('lci-kick scooter - NCA'!B186,'vehicles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"&amp;'lci-kick scooter - NCA'!B143</f>
        <v>Power: 0.25 kW. Lifetime: 1785 km. Annual kilometers: 890 km. Number of passengers: 1. Curb mass: 11.4 kg. Lightweighting of glider: 0%. Emission standard: None. Service visits throughout lifetime: 0. Range: 8 km. Battery capacity: 0.3 kWh. Available battery capacity: 0.2 kWh. Battery mass: 1.4 kg. Battery replacement throughout lifetime: 0. Fuel tank capacity: 0 kWh. Fuel mass: 0 kg. Documentation: Life-cycle inventories for on-road vehicles, Sacchi R. (PSI), Bauer C. (PSI), 2021. process</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Kick Scooter, electric, &lt;1kW, NCA battery, 2020</v>
      </c>
      <c r="B210">
        <v>1</v>
      </c>
      <c r="C210" t="str">
        <f>B182</f>
        <v>CH</v>
      </c>
      <c r="D210" t="s">
        <v>166</v>
      </c>
      <c r="F210" t="s">
        <v>84</v>
      </c>
      <c r="G210" t="s">
        <v>85</v>
      </c>
      <c r="H210" t="str">
        <f>B187</f>
        <v>transport, Kick Scooter, electric, &lt;1kW</v>
      </c>
    </row>
    <row r="211" spans="1:8" x14ac:dyDescent="0.2">
      <c r="A211" t="str">
        <f>RIGHT(A210,LEN(A210)-11)</f>
        <v>Kick Scooter, electric, &lt;1kW, NCA battery, 2020</v>
      </c>
      <c r="B211" s="7">
        <f>1/B191</f>
        <v>5.602240896358543E-4</v>
      </c>
      <c r="C211" t="str">
        <f>B182</f>
        <v>CH</v>
      </c>
      <c r="D211" t="s">
        <v>76</v>
      </c>
      <c r="F211" t="s">
        <v>89</v>
      </c>
      <c r="H211" t="str">
        <f>RIGHT(H210,LEN(H210)-11)</f>
        <v>Kick Scooter, electric, &lt;1kW</v>
      </c>
    </row>
    <row r="212" spans="1:8" x14ac:dyDescent="0.2">
      <c r="A212" t="str">
        <f>INDEX('ei names mapping'!$B$4:$R$33,MATCH('lci-kick scooter - NCA'!$B$3,'ei names mapping'!$A$4:$A$33,0),MATCH('lci-kick scooter - NCA'!$G212,'ei names mapping'!$B$3:$R$3,0))</f>
        <v>market for electricity, low voltage</v>
      </c>
      <c r="B212" s="7">
        <f>INDEX('vehicles specifications'!$B$3:$CW$166,MATCH(B186,'vehicles specifications'!$A$3:$A$166,0),MATCH(G212,'vehicles specifications'!$B$2:$CW$2,0))*INDEX('ei names mapping'!$B$137:$BL$300,MATCH(B186,'ei names mapping'!$A$137:$A$300,0),MATCH(G212,'ei names mapping'!$B$136:$BL$136,0))</f>
        <v>2.6316377864728905E-2</v>
      </c>
      <c r="C212" t="str">
        <f>INDEX('ei names mapping'!$B$38:$R$67,MATCH('lci-kick scooter - NCA'!$B$3,'ei names mapping'!$A$4:$A$33,0),MATCH('lci-kick scooter - NCA'!$G212,'ei names mapping'!$B$3:$R$3,0))</f>
        <v>CH</v>
      </c>
      <c r="D212" t="str">
        <f>INDEX('ei names mapping'!$B$104:$R$133,MATCH('lci-kick scooter - NCA'!$B$3,'ei names mapping'!$A$4:$A$33,0),MATCH('lci-kick scooter - NCA'!$G212,'ei names mapping'!$B$3:$R$3,0))</f>
        <v>kilowatt hour</v>
      </c>
      <c r="F212" t="s">
        <v>89</v>
      </c>
      <c r="G212" t="s">
        <v>28</v>
      </c>
      <c r="H212" t="str">
        <f>INDEX('ei names mapping'!$B$71:$R$100,MATCH('lci-kick scooter - NCA'!$B$3,'ei names mapping'!$A$4:$A$33,0),MATCH('lci-kick scooter - NCA'!$G212,'ei names mapping'!$B$3:$R$3,0))</f>
        <v>electricity, low voltage</v>
      </c>
    </row>
    <row r="213" spans="1:8" x14ac:dyDescent="0.2">
      <c r="A213" t="str">
        <f>INDEX('ei names mapping'!$B$4:$R$33,MATCH(B183,'ei names mapping'!$A$4:$A$33,0),MATCH(G213,'ei names mapping'!$B$3:$R$3,0))</f>
        <v>road construction</v>
      </c>
      <c r="B213" s="7">
        <f>INDEX('vehicles specifications'!$B$3:$CW$166,MATCH(B186,'vehicles specifications'!$A$3:$A$166,0),MATCH(G213,'vehicles specifications'!$B$2:$CW$2,0))*INDEX('ei names mapping'!$B$137:$BL$300,MATCH(B186,'ei names mapping'!$A$137:$A$300,0),MATCH(G213,'ei names mapping'!$B$136:$BL$136,0))</f>
        <v>4.6403804347826093E-5</v>
      </c>
      <c r="C213" t="str">
        <f>INDEX('ei names mapping'!$B$38:$R$67,MATCH(B183,'ei names mapping'!$A$4:$A$33,0),MATCH(G213,'ei names mapping'!$B$3:$R$3,0))</f>
        <v>CH</v>
      </c>
      <c r="D213" t="str">
        <f>INDEX('ei names mapping'!$B$104:$R$133,MATCH(B183,'ei names mapping'!$A$104:$A$133,0),MATCH(G213,'ei names mapping'!$B$3:$R$3,0))</f>
        <v>meter-year</v>
      </c>
      <c r="F213" t="s">
        <v>89</v>
      </c>
      <c r="G213" t="s">
        <v>105</v>
      </c>
      <c r="H213" t="str">
        <f>INDEX('ei names mapping'!$B$71:$R$100,MATCH(B183,'ei names mapping'!$A$4:$A$33,0),MATCH(G213,'ei names mapping'!$B$3:$R$3,0))</f>
        <v>road</v>
      </c>
    </row>
    <row r="214" spans="1:8" x14ac:dyDescent="0.2">
      <c r="A214" t="str">
        <f>INDEX('ei names mapping'!$B$4:$BL$33,MATCH('lci-kick scooter - NCA'!$B$3,'ei names mapping'!$A$4:$A$33,0),MATCH('lci-kick scooter - NCA'!$G214,'ei names mapping'!$B$3:$BL$3,0))</f>
        <v>treatment of road wear emissions, passenger car</v>
      </c>
      <c r="B214" s="7">
        <f>INDEX('vehicles specifications'!$B$3:$CW$166,MATCH(B186,'vehicles specifications'!$A$3:$A$166,0),MATCH(G214,'vehicles specifications'!$B$2:$CW$2,0))*INDEX('ei names mapping'!$B$137:$BL$300,MATCH(B186,'ei names mapping'!$A$137:$A$300,0),MATCH(G214,'ei names mapping'!$B$136:$BL$136,0))</f>
        <v>-3.7641763726055982E-6</v>
      </c>
      <c r="C214" t="str">
        <f>INDEX('ei names mapping'!$B$38:$BL$67,MATCH('lci-kick scooter - NCA'!$B$3,'ei names mapping'!$A$4:$A$33,0),MATCH('lci-kick scooter - NCA'!$G214,'ei names mapping'!$B$3:$BL$3,0))</f>
        <v>RER</v>
      </c>
      <c r="D214" t="str">
        <f>INDEX('ei names mapping'!$B$104:$BL$133,MATCH('lci-kick scooter - NCA'!$B$3,'ei names mapping'!$A$4:$A$33,0),MATCH('lci-kick scooter - NCA'!$G214,'ei names mapping'!$B$3:$BL$3,0))</f>
        <v>kilogram</v>
      </c>
      <c r="F214" t="s">
        <v>89</v>
      </c>
      <c r="G214" t="s">
        <v>29</v>
      </c>
      <c r="H214" t="str">
        <f>INDEX('ei names mapping'!$B$71:$BL$100,MATCH('lci-kick scooter - NCA'!$B$3,'ei names mapping'!$A$4:$A$33,0),MATCH('lci-kick scooter - NCA'!$G214,'ei names mapping'!$B$3:$BL$3,0))</f>
        <v>road wear emissions, passenger car</v>
      </c>
    </row>
    <row r="215" spans="1:8" x14ac:dyDescent="0.2">
      <c r="A215" t="str">
        <f>INDEX('ei names mapping'!$B$4:$BL$33,MATCH('lci-kick scooter - NCA'!$B$3,'ei names mapping'!$A$4:$A$33,0),MATCH('lci-kick scooter - NCA'!$G215,'ei names mapping'!$B$3:$BL$3,0))</f>
        <v>treatment of tyre wear emissions, passenger car</v>
      </c>
      <c r="B215" s="7">
        <f>INDEX('vehicles specifications'!$B$3:$CW$166,MATCH(B186,'vehicles specifications'!$A$3:$A$166,0),MATCH(G215,'vehicles specifications'!$B$2:$CW$2,0))*INDEX('ei names mapping'!$B$137:$BL$300,MATCH(B186,'ei names mapping'!$A$137:$A$300,0),MATCH(G215,'ei names mapping'!$B$136:$BL$136,0))</f>
        <v>-3.6573610586125064E-6</v>
      </c>
      <c r="C215" t="str">
        <f>INDEX('ei names mapping'!$B$38:$BL$67,MATCH('lci-kick scooter - NCA'!$B$3,'ei names mapping'!$A$4:$A$33,0),MATCH('lci-kick scooter - NCA'!$G215,'ei names mapping'!$B$3:$BL$3,0))</f>
        <v>RER</v>
      </c>
      <c r="D215" t="str">
        <f>INDEX('ei names mapping'!$B$104:$BL$133,MATCH('lci-kick scooter - NCA'!$B$3,'ei names mapping'!$A$4:$A$33,0),MATCH('lci-kick scooter - NCA'!$G215,'ei names mapping'!$B$3:$BL$3,0))</f>
        <v>kilogram</v>
      </c>
      <c r="F215" t="s">
        <v>89</v>
      </c>
      <c r="G215" t="s">
        <v>30</v>
      </c>
      <c r="H215" t="str">
        <f>INDEX('ei names mapping'!$B$71:$BL$100,MATCH('lci-kick scooter - NCA'!$B$3,'ei names mapping'!$A$4:$A$33,0),MATCH('lci-kick scooter - NCA'!$G215,'ei names mapping'!$B$3:$BL$3,0))</f>
        <v>tyre wear emissions, passenger car</v>
      </c>
    </row>
    <row r="216" spans="1:8" x14ac:dyDescent="0.2">
      <c r="A216" t="str">
        <f>INDEX('ei names mapping'!$B$4:$BL$33,MATCH('lci-kick scooter - NCA'!$B$3,'ei names mapping'!$A$4:$A$33,0),MATCH('lci-kick scooter - NCA'!$G216,'ei names mapping'!$B$3:$BL$3,0))</f>
        <v>treatment of brake wear emissions, passenger car</v>
      </c>
      <c r="B216" s="7">
        <f>INDEX('vehicles specifications'!$B$3:$CW$166,MATCH(B186,'vehicles specifications'!$A$3:$A$166,0),MATCH(G216,'vehicles specifications'!$B$2:$CW$2,0))*INDEX('ei names mapping'!$B$137:$BL$300,MATCH(B186,'ei names mapping'!$A$137:$A$300,0),MATCH(G216,'ei names mapping'!$B$136:$BL$136,0))</f>
        <v>-3.4306471120280207E-6</v>
      </c>
      <c r="C216" t="str">
        <f>INDEX('ei names mapping'!$B$38:$BL$67,MATCH('lci-kick scooter - NCA'!$B$3,'ei names mapping'!$A$4:$A$33,0),MATCH('lci-kick scooter - NCA'!$G216,'ei names mapping'!$B$3:$BL$3,0))</f>
        <v>RER</v>
      </c>
      <c r="D216" t="str">
        <f>INDEX('ei names mapping'!$B$104:$BL$133,MATCH('lci-kick scooter - NCA'!$B$3,'ei names mapping'!$A$4:$A$33,0),MATCH('lci-kick scooter - NCA'!$G216,'ei names mapping'!$B$3:$BL$3,0))</f>
        <v>kilogram</v>
      </c>
      <c r="F216" t="s">
        <v>89</v>
      </c>
      <c r="G216" t="s">
        <v>31</v>
      </c>
      <c r="H216" t="str">
        <f>INDEX('ei names mapping'!$B$71:$BL$100,MATCH('lci-kick scooter - NCA'!$B$3,'ei names mapping'!$A$4:$A$33,0),MATCH('lci-kick scooter - NCA'!$G216,'ei names mapping'!$B$3:$BL$3,0))</f>
        <v>brake wear emissions, passenger car</v>
      </c>
    </row>
    <row r="218" spans="1:8" ht="16" x14ac:dyDescent="0.2">
      <c r="A218" s="10" t="s">
        <v>71</v>
      </c>
      <c r="B218" s="8" t="str">
        <f>"transport, "&amp;B220&amp;", "&amp;B235&amp;" battery, "&amp;B222</f>
        <v>transport, Kick Scooter, electric, &lt;1kW, NCA battery, 2030</v>
      </c>
    </row>
    <row r="219" spans="1:8" x14ac:dyDescent="0.2">
      <c r="A219" t="s">
        <v>72</v>
      </c>
      <c r="B219" t="s">
        <v>37</v>
      </c>
    </row>
    <row r="220" spans="1:8" x14ac:dyDescent="0.2">
      <c r="A220" t="s">
        <v>86</v>
      </c>
      <c r="B220" t="s">
        <v>618</v>
      </c>
    </row>
    <row r="221" spans="1:8" x14ac:dyDescent="0.2">
      <c r="A221" t="s">
        <v>87</v>
      </c>
    </row>
    <row r="222" spans="1:8" x14ac:dyDescent="0.2">
      <c r="A222" t="s">
        <v>88</v>
      </c>
      <c r="B222">
        <v>2030</v>
      </c>
    </row>
    <row r="223" spans="1:8" x14ac:dyDescent="0.2">
      <c r="A223" t="s">
        <v>126</v>
      </c>
      <c r="B223" t="str">
        <f>B220&amp;" - "&amp;B222&amp;" - "&amp;B235&amp;" - "&amp;B219</f>
        <v>Kick Scooter, electric, &lt;1kW - 2030 - NCA - CH</v>
      </c>
    </row>
    <row r="224" spans="1:8" x14ac:dyDescent="0.2">
      <c r="A224" t="s">
        <v>73</v>
      </c>
      <c r="B224" t="str">
        <f>"transport, "&amp;B220</f>
        <v>transport, Kick Scooter, electric, &lt;1kW</v>
      </c>
    </row>
    <row r="225" spans="1:2" x14ac:dyDescent="0.2">
      <c r="A225" t="s">
        <v>74</v>
      </c>
      <c r="B225" t="s">
        <v>75</v>
      </c>
    </row>
    <row r="226" spans="1:2" x14ac:dyDescent="0.2">
      <c r="A226" t="s">
        <v>76</v>
      </c>
      <c r="B226" t="s">
        <v>166</v>
      </c>
    </row>
    <row r="227" spans="1:2" x14ac:dyDescent="0.2">
      <c r="A227" t="s">
        <v>78</v>
      </c>
      <c r="B227" t="s">
        <v>1143</v>
      </c>
    </row>
    <row r="228" spans="1:2" x14ac:dyDescent="0.2">
      <c r="A228" t="s">
        <v>127</v>
      </c>
      <c r="B228">
        <f>INDEX('vehicles specifications'!$B$3:$CW$166,MATCH('lci-kick scooter - NCA'!B223,'vehicles specifications'!$A$3:$A$166,0),MATCH("Lifetime [km]",'vehicles specifications'!$B$2:$CW$2,0))</f>
        <v>1785</v>
      </c>
    </row>
    <row r="229" spans="1:2" x14ac:dyDescent="0.2">
      <c r="A229" t="s">
        <v>128</v>
      </c>
      <c r="B229">
        <f>INDEX('vehicles specifications'!$B$3:$CW$166,MATCH('lci-kick scooter - NCA'!B223,'vehicles specifications'!$A$3:$A$166,0),MATCH("Passengers [unit]",'vehicles specifications'!$B$2:$CW$2,0))</f>
        <v>1</v>
      </c>
    </row>
    <row r="230" spans="1:2" x14ac:dyDescent="0.2">
      <c r="A230" t="s">
        <v>129</v>
      </c>
      <c r="B230">
        <f>INDEX('vehicles specifications'!$B$3:$CW$166,MATCH('lci-kick scooter - NCA'!B223,'vehicles specifications'!$A$3:$A$166,0),MATCH("Servicing [unit]",'vehicles specifications'!$B$2:$CW$2,0))</f>
        <v>0</v>
      </c>
    </row>
    <row r="231" spans="1:2" x14ac:dyDescent="0.2">
      <c r="A231" t="s">
        <v>130</v>
      </c>
      <c r="B231">
        <f>INDEX('vehicles specifications'!$B$3:$CW$166,MATCH('lci-kick scooter - NCA'!B223,'vehicles specifications'!$A$3:$A$166,0),MATCH("Energy battery replacement [unit]",'vehicles specifications'!$B$2:$CW$2,0))</f>
        <v>0</v>
      </c>
    </row>
    <row r="232" spans="1:2" x14ac:dyDescent="0.2">
      <c r="A232" t="s">
        <v>131</v>
      </c>
      <c r="B232">
        <f>INDEX('vehicles specifications'!$B$3:$CW$166,MATCH('lci-kick scooter - NCA'!B223,'vehicles specifications'!$A$3:$A$166,0),MATCH("Annual kilometers [km]",'vehicles specifications'!$B$2:$CW$2,0))</f>
        <v>890</v>
      </c>
    </row>
    <row r="233" spans="1:2" x14ac:dyDescent="0.2">
      <c r="A233" t="s">
        <v>132</v>
      </c>
      <c r="B233">
        <f>INDEX('vehicles specifications'!$B$3:$CW$166,MATCH('lci-kick scooter - NCA'!B223,'vehicles specifications'!$A$3:$A$166,0),MATCH("Curb mass [kg]",'vehicles specifications'!$B$2:$CW$2,0))</f>
        <v>10.99</v>
      </c>
    </row>
    <row r="234" spans="1:2" x14ac:dyDescent="0.2">
      <c r="A234" t="s">
        <v>133</v>
      </c>
      <c r="B234">
        <f>INDEX('vehicles specifications'!$B$3:$CW$166,MATCH('lci-kick scooter - NCA'!B223,'vehicles specifications'!$A$3:$A$166,0),MATCH("Power [kW]",'vehicles specifications'!$B$2:$CW$2,0))</f>
        <v>0.25</v>
      </c>
    </row>
    <row r="235" spans="1:2" x14ac:dyDescent="0.2">
      <c r="A235" t="s">
        <v>652</v>
      </c>
      <c r="B235" s="20" t="s">
        <v>45</v>
      </c>
    </row>
    <row r="236" spans="1:2" x14ac:dyDescent="0.2">
      <c r="A236" t="s">
        <v>134</v>
      </c>
      <c r="B236">
        <f>INDEX('vehicles specifications'!$B$3:$CW$166,MATCH('lci-kick scooter - NCA'!B223,'vehicles specifications'!$A$3:$A$166,0),MATCH("Energy battery mass [kg]",'vehicles specifications'!$B$2:$CW$2,0))</f>
        <v>1.3</v>
      </c>
    </row>
    <row r="237" spans="1:2" x14ac:dyDescent="0.2">
      <c r="A237" t="s">
        <v>135</v>
      </c>
      <c r="B237">
        <f>INDEX('vehicles specifications'!$B$3:$CW$166,MATCH('lci-kick scooter - NCA'!B223,'vehicles specifications'!$A$3:$A$166,0),MATCH("Electric energy stored [kWh]",'vehicles specifications'!$B$2:$CW$2,0))</f>
        <v>0.3</v>
      </c>
    </row>
    <row r="238" spans="1:2" x14ac:dyDescent="0.2">
      <c r="A238" t="s">
        <v>588</v>
      </c>
      <c r="B238">
        <f>INDEX('vehicles specifications'!$B$3:$CW$166,MATCH('lci-kick scooter - NCA'!B223,'vehicles specifications'!$A$3:$A$166,0),MATCH("Electric energy available [kWh]",'vehicles specifications'!$B$2:$CW$2,0))</f>
        <v>0.24</v>
      </c>
    </row>
    <row r="239" spans="1:2" x14ac:dyDescent="0.2">
      <c r="A239" t="s">
        <v>138</v>
      </c>
      <c r="B239">
        <f>INDEX('vehicles specifications'!$B$3:$CW$166,MATCH('lci-kick scooter - NCA'!B223,'vehicles specifications'!$A$3:$A$166,0),MATCH("Oxydation energy stored [kWh]",'vehicles specifications'!$B$2:$CW$2,0))</f>
        <v>0</v>
      </c>
    </row>
    <row r="240" spans="1:2" x14ac:dyDescent="0.2">
      <c r="A240" t="s">
        <v>139</v>
      </c>
      <c r="B240">
        <f>INDEX('vehicles specifications'!$B$3:$CW$166,MATCH('lci-kick scooter - NCA'!B223,'vehicles specifications'!$A$3:$A$166,0),MATCH("Fuel mass [kg]",'vehicles specifications'!$B$2:$CW$2,0))</f>
        <v>0</v>
      </c>
    </row>
    <row r="241" spans="1:8" x14ac:dyDescent="0.2">
      <c r="A241" t="s">
        <v>136</v>
      </c>
      <c r="B241">
        <f>INDEX('vehicles specifications'!$B$3:$CW$166,MATCH('lci-kick scooter - NCA'!B223,'vehicles specifications'!$A$3:$A$166,0),MATCH("Range [km]",'vehicles specifications'!$B$2:$CW$2,0))</f>
        <v>10.031775700934579</v>
      </c>
    </row>
    <row r="242" spans="1:8" x14ac:dyDescent="0.2">
      <c r="A242" t="s">
        <v>137</v>
      </c>
      <c r="B242" t="str">
        <f>INDEX('vehicles specifications'!$B$3:$CW$166,MATCH('lci-kick scooter - NCA'!B223,'vehicles specifications'!$A$3:$A$166,0),MATCH("Emission standard",'vehicles specifications'!$B$2:$CW$2,0))</f>
        <v>None</v>
      </c>
    </row>
    <row r="243" spans="1:8" x14ac:dyDescent="0.2">
      <c r="A243" t="s">
        <v>1174</v>
      </c>
      <c r="B243" s="6">
        <f>INDEX('vehicles specifications'!$B$3:$CW$166,MATCH('lci-kick scooter - NCA'!B223,'vehicles specifications'!$A$3:$A$166,0),MATCH("Lightweighting rate [%]",'vehicles specifications'!$B$2:$CW$2,0))</f>
        <v>0.03</v>
      </c>
    </row>
    <row r="244" spans="1:8" x14ac:dyDescent="0.2">
      <c r="A244" t="s">
        <v>83</v>
      </c>
      <c r="B244" t="str">
        <f>"Power: "&amp;B234&amp;" kW. Lifetime: "&amp;B228&amp;" km. Annual kilometers: "&amp;B232&amp;" km. Number of passengers: "&amp;B229&amp;". Curb mass: "&amp;ROUND(B233,1)&amp;" kg. Lightweighting of glider: "&amp;ROUND(B243*100,0)&amp;"%. Emission standard: "&amp;B242&amp;". Service visits throughout lifetime: "&amp;ROUND(B230,1)&amp;". Range: "&amp;ROUND(B241,0)&amp;" km. Battery capacity: "&amp;ROUND(B237,1)&amp;" kWh. Available battery capacity: "&amp;B238&amp;" kWh. Battery mass: "&amp;ROUND(B236,1)&amp; " kg. Battery replacement throughout lifetime: "&amp;ROUND(B231,1)&amp;". Fuel tank capacity: "&amp;ROUND(B239,1)&amp;" kWh. Fuel mass: "&amp;ROUND(B240,1)&amp;" kg. Documentation: "&amp;Readmefirst!$B$2&amp;", "&amp;Readmefirst!$B$3&amp;". "&amp;'lci-kick scooter - NCA'!B182</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Documentation: Life-cycle inventories for on-road vehicles, Sacchi R. (PSI), Bauer C. (PSI), 2021. CH</v>
      </c>
    </row>
    <row r="245" spans="1:8" ht="16" x14ac:dyDescent="0.2">
      <c r="A245" s="10" t="s">
        <v>79</v>
      </c>
    </row>
    <row r="246" spans="1:8" x14ac:dyDescent="0.2">
      <c r="A246" t="s">
        <v>80</v>
      </c>
      <c r="B246" t="s">
        <v>81</v>
      </c>
      <c r="C246" t="s">
        <v>72</v>
      </c>
      <c r="D246" t="s">
        <v>76</v>
      </c>
      <c r="E246" t="s">
        <v>82</v>
      </c>
      <c r="F246" t="s">
        <v>74</v>
      </c>
      <c r="G246" t="s">
        <v>83</v>
      </c>
      <c r="H246" t="s">
        <v>73</v>
      </c>
    </row>
    <row r="247" spans="1:8" x14ac:dyDescent="0.2">
      <c r="A247" t="str">
        <f>B218</f>
        <v>transport, Kick Scooter, electric, &lt;1kW, NCA battery, 2030</v>
      </c>
      <c r="B247">
        <v>1</v>
      </c>
      <c r="C247" t="str">
        <f>B219</f>
        <v>CH</v>
      </c>
      <c r="D247" t="s">
        <v>166</v>
      </c>
      <c r="F247" t="s">
        <v>84</v>
      </c>
      <c r="G247" t="s">
        <v>85</v>
      </c>
      <c r="H247" t="str">
        <f>B224</f>
        <v>transport, Kick Scooter, electric, &lt;1kW</v>
      </c>
    </row>
    <row r="248" spans="1:8" x14ac:dyDescent="0.2">
      <c r="A248" t="str">
        <f>RIGHT(A247,LEN(A247)-11)</f>
        <v>Kick Scooter, electric, &lt;1kW, NCA battery, 2030</v>
      </c>
      <c r="B248" s="7">
        <f>1/B228</f>
        <v>5.602240896358543E-4</v>
      </c>
      <c r="C248" t="str">
        <f>B219</f>
        <v>CH</v>
      </c>
      <c r="D248" t="s">
        <v>76</v>
      </c>
      <c r="F248" t="s">
        <v>89</v>
      </c>
      <c r="H248" t="str">
        <f>RIGHT(H247,LEN(H247)-11)</f>
        <v>Kick Scooter, electric, &lt;1kW</v>
      </c>
    </row>
    <row r="249" spans="1:8" x14ac:dyDescent="0.2">
      <c r="A249" t="str">
        <f>INDEX('ei names mapping'!$B$4:$R$33,MATCH('lci-kick scooter - NCA'!$B$3,'ei names mapping'!$A$4:$A$33,0),MATCH('lci-kick scooter - NCA'!$G249,'ei names mapping'!$B$3:$R$3,0))</f>
        <v>market for electricity, low voltage</v>
      </c>
      <c r="B249" s="7">
        <f>INDEX('vehicles specifications'!$B$3:$CW$166,MATCH(B223,'vehicles specifications'!$A$3:$A$166,0),MATCH(G249,'vehicles specifications'!$B$2:$CW$2,0))*INDEX('ei names mapping'!$B$137:$BL$300,MATCH(B223,'ei names mapping'!$A$137:$A$300,0),MATCH(G249,'ei names mapping'!$B$136:$BL$136,0))</f>
        <v>2.6316377864728905E-2</v>
      </c>
      <c r="C249" t="str">
        <f>INDEX('ei names mapping'!$B$38:$R$67,MATCH('lci-kick scooter - NCA'!$B$3,'ei names mapping'!$A$4:$A$33,0),MATCH('lci-kick scooter - NCA'!$G249,'ei names mapping'!$B$3:$R$3,0))</f>
        <v>CH</v>
      </c>
      <c r="D249" t="str">
        <f>INDEX('ei names mapping'!$B$104:$R$133,MATCH('lci-kick scooter - NCA'!$B$3,'ei names mapping'!$A$4:$A$33,0),MATCH('lci-kick scooter - NCA'!$G249,'ei names mapping'!$B$3:$R$3,0))</f>
        <v>kilowatt hour</v>
      </c>
      <c r="F249" t="s">
        <v>89</v>
      </c>
      <c r="G249" t="s">
        <v>28</v>
      </c>
      <c r="H249" t="str">
        <f>INDEX('ei names mapping'!$B$71:$R$100,MATCH('lci-kick scooter - NCA'!$B$3,'ei names mapping'!$A$4:$A$33,0),MATCH('lci-kick scooter - NCA'!$G249,'ei names mapping'!$B$3:$R$3,0))</f>
        <v>electricity, low voltage</v>
      </c>
    </row>
    <row r="250" spans="1:8" x14ac:dyDescent="0.2">
      <c r="A250" t="str">
        <f>INDEX('ei names mapping'!$B$4:$R$33,MATCH(B220,'ei names mapping'!$A$4:$A$33,0),MATCH(G250,'ei names mapping'!$B$3:$R$3,0))</f>
        <v>road construction</v>
      </c>
      <c r="B250" s="7">
        <f>INDEX('vehicles specifications'!$B$3:$CW$166,MATCH(B223,'vehicles specifications'!$A$3:$A$166,0),MATCH(G250,'vehicles specifications'!$B$2:$CW$2,0))*INDEX('ei names mapping'!$B$137:$BL$300,MATCH(B223,'ei names mapping'!$A$137:$A$300,0),MATCH(G250,'ei names mapping'!$B$136:$BL$136,0))</f>
        <v>4.6176629999999996E-5</v>
      </c>
      <c r="C250" t="str">
        <f>INDEX('ei names mapping'!$B$38:$R$67,MATCH(B220,'ei names mapping'!$A$4:$A$33,0),MATCH(G250,'ei names mapping'!$B$3:$R$3,0))</f>
        <v>CH</v>
      </c>
      <c r="D250" t="str">
        <f>INDEX('ei names mapping'!$B$104:$R$133,MATCH(B220,'ei names mapping'!$A$104:$A$133,0),MATCH(G250,'ei names mapping'!$B$3:$R$3,0))</f>
        <v>meter-year</v>
      </c>
      <c r="F250" t="s">
        <v>89</v>
      </c>
      <c r="G250" t="s">
        <v>105</v>
      </c>
      <c r="H250" t="str">
        <f>INDEX('ei names mapping'!$B$71:$R$100,MATCH(B220,'ei names mapping'!$A$4:$A$33,0),MATCH(G250,'ei names mapping'!$B$3:$R$3,0))</f>
        <v>road</v>
      </c>
    </row>
    <row r="251" spans="1:8" x14ac:dyDescent="0.2">
      <c r="A251" t="str">
        <f>INDEX('ei names mapping'!$B$4:$BL$33,MATCH('lci-kick scooter - NCA'!$B$3,'ei names mapping'!$A$4:$A$33,0),MATCH('lci-kick scooter - NCA'!$G251,'ei names mapping'!$B$3:$BL$3,0))</f>
        <v>treatment of road wear emissions, passenger car</v>
      </c>
      <c r="B251" s="7">
        <f>INDEX('vehicles specifications'!$B$3:$CW$166,MATCH(B223,'vehicles specifications'!$A$3:$A$166,0),MATCH(G251,'vehicles specifications'!$B$2:$CW$2,0))*INDEX('ei names mapping'!$B$137:$BL$300,MATCH(B223,'ei names mapping'!$A$137:$A$300,0),MATCH(G251,'ei names mapping'!$B$136:$BL$136,0))</f>
        <v>-3.7497827751187205E-6</v>
      </c>
      <c r="C251" t="str">
        <f>INDEX('ei names mapping'!$B$38:$BL$67,MATCH('lci-kick scooter - NCA'!$B$3,'ei names mapping'!$A$4:$A$33,0),MATCH('lci-kick scooter - NCA'!$G251,'ei names mapping'!$B$3:$BL$3,0))</f>
        <v>RER</v>
      </c>
      <c r="D251" t="str">
        <f>INDEX('ei names mapping'!$B$104:$BL$133,MATCH('lci-kick scooter - NCA'!$B$3,'ei names mapping'!$A$4:$A$33,0),MATCH('lci-kick scooter - NCA'!$G251,'ei names mapping'!$B$3:$BL$3,0))</f>
        <v>kilogram</v>
      </c>
      <c r="F251" t="s">
        <v>89</v>
      </c>
      <c r="G251" t="s">
        <v>29</v>
      </c>
      <c r="H251" t="str">
        <f>INDEX('ei names mapping'!$B$71:$BL$100,MATCH('lci-kick scooter - NCA'!$B$3,'ei names mapping'!$A$4:$A$33,0),MATCH('lci-kick scooter - NCA'!$G251,'ei names mapping'!$B$3:$BL$3,0))</f>
        <v>road wear emissions, passenger car</v>
      </c>
    </row>
    <row r="252" spans="1:8" x14ac:dyDescent="0.2">
      <c r="A252" t="str">
        <f>INDEX('ei names mapping'!$B$4:$BL$33,MATCH('lci-kick scooter - NCA'!$B$3,'ei names mapping'!$A$4:$A$33,0),MATCH('lci-kick scooter - NCA'!$G252,'ei names mapping'!$B$3:$BL$3,0))</f>
        <v>treatment of tyre wear emissions, passenger car</v>
      </c>
      <c r="B252" s="7">
        <f>INDEX('vehicles specifications'!$B$3:$CW$166,MATCH(B223,'vehicles specifications'!$A$3:$A$166,0),MATCH(G252,'vehicles specifications'!$B$2:$CW$2,0))*INDEX('ei names mapping'!$B$137:$BL$300,MATCH(B223,'ei names mapping'!$A$137:$A$300,0),MATCH(G252,'ei names mapping'!$B$136:$BL$136,0))</f>
        <v>-3.6378224682804953E-6</v>
      </c>
      <c r="C252" t="str">
        <f>INDEX('ei names mapping'!$B$38:$BL$67,MATCH('lci-kick scooter - NCA'!$B$3,'ei names mapping'!$A$4:$A$33,0),MATCH('lci-kick scooter - NCA'!$G252,'ei names mapping'!$B$3:$BL$3,0))</f>
        <v>RER</v>
      </c>
      <c r="D252" t="str">
        <f>INDEX('ei names mapping'!$B$104:$BL$133,MATCH('lci-kick scooter - NCA'!$B$3,'ei names mapping'!$A$4:$A$33,0),MATCH('lci-kick scooter - NCA'!$G252,'ei names mapping'!$B$3:$BL$3,0))</f>
        <v>kilogram</v>
      </c>
      <c r="F252" t="s">
        <v>89</v>
      </c>
      <c r="G252" t="s">
        <v>30</v>
      </c>
      <c r="H252" t="str">
        <f>INDEX('ei names mapping'!$B$71:$BL$100,MATCH('lci-kick scooter - NCA'!$B$3,'ei names mapping'!$A$4:$A$33,0),MATCH('lci-kick scooter - NCA'!$G252,'ei names mapping'!$B$3:$BL$3,0))</f>
        <v>tyre wear emissions, passenger car</v>
      </c>
    </row>
    <row r="253" spans="1:8" x14ac:dyDescent="0.2">
      <c r="A253" t="str">
        <f>INDEX('ei names mapping'!$B$4:$BL$33,MATCH('lci-kick scooter - NCA'!$B$3,'ei names mapping'!$A$4:$A$33,0),MATCH('lci-kick scooter - NCA'!$G253,'ei names mapping'!$B$3:$BL$3,0))</f>
        <v>treatment of brake wear emissions, passenger car</v>
      </c>
      <c r="B253" s="7">
        <f>INDEX('vehicles specifications'!$B$3:$CW$166,MATCH(B223,'vehicles specifications'!$A$3:$A$166,0),MATCH(G253,'vehicles specifications'!$B$2:$CW$2,0))*INDEX('ei names mapping'!$B$137:$BL$300,MATCH(B223,'ei names mapping'!$A$137:$A$300,0),MATCH(G253,'ei names mapping'!$B$136:$BL$136,0))</f>
        <v>-3.4149752509675722E-6</v>
      </c>
      <c r="C253" t="str">
        <f>INDEX('ei names mapping'!$B$38:$BL$67,MATCH('lci-kick scooter - NCA'!$B$3,'ei names mapping'!$A$4:$A$33,0),MATCH('lci-kick scooter - NCA'!$G253,'ei names mapping'!$B$3:$BL$3,0))</f>
        <v>RER</v>
      </c>
      <c r="D253" t="str">
        <f>INDEX('ei names mapping'!$B$104:$BL$133,MATCH('lci-kick scooter - NCA'!$B$3,'ei names mapping'!$A$4:$A$33,0),MATCH('lci-kick scooter - NCA'!$G253,'ei names mapping'!$B$3:$BL$3,0))</f>
        <v>kilogram</v>
      </c>
      <c r="F253" t="s">
        <v>89</v>
      </c>
      <c r="G253" t="s">
        <v>31</v>
      </c>
      <c r="H253" t="str">
        <f>INDEX('ei names mapping'!$B$71:$BL$100,MATCH('lci-kick scooter - NCA'!$B$3,'ei names mapping'!$A$4:$A$33,0),MATCH('lci-kick scooter - NCA'!$G253,'ei names mapping'!$B$3:$BL$3,0))</f>
        <v>brake wear emissions, passenger car</v>
      </c>
    </row>
    <row r="255" spans="1:8" ht="16" x14ac:dyDescent="0.2">
      <c r="A255" s="10" t="s">
        <v>71</v>
      </c>
      <c r="B255" s="8" t="str">
        <f>"transport, "&amp;B257&amp;", "&amp;B272&amp;" battery, "&amp;B259</f>
        <v>transport, Kick Scooter, electric, &lt;1kW, NCA battery, 2040</v>
      </c>
    </row>
    <row r="256" spans="1:8" x14ac:dyDescent="0.2">
      <c r="A256" t="s">
        <v>72</v>
      </c>
      <c r="B256" t="s">
        <v>37</v>
      </c>
    </row>
    <row r="257" spans="1:2" x14ac:dyDescent="0.2">
      <c r="A257" t="s">
        <v>86</v>
      </c>
      <c r="B257" t="s">
        <v>618</v>
      </c>
    </row>
    <row r="258" spans="1:2" x14ac:dyDescent="0.2">
      <c r="A258" t="s">
        <v>87</v>
      </c>
    </row>
    <row r="259" spans="1:2" x14ac:dyDescent="0.2">
      <c r="A259" t="s">
        <v>88</v>
      </c>
      <c r="B259">
        <v>2040</v>
      </c>
    </row>
    <row r="260" spans="1:2" x14ac:dyDescent="0.2">
      <c r="A260" t="s">
        <v>126</v>
      </c>
      <c r="B260" t="str">
        <f>B257&amp;" - "&amp;B259&amp;" - "&amp;B272&amp;" - "&amp;B256</f>
        <v>Kick Scooter, electric, &lt;1kW - 2040 - NCA - CH</v>
      </c>
    </row>
    <row r="261" spans="1:2" x14ac:dyDescent="0.2">
      <c r="A261" t="s">
        <v>73</v>
      </c>
      <c r="B261" t="str">
        <f>"transport, "&amp;B257</f>
        <v>transport, Kick Scooter, electric, &lt;1kW</v>
      </c>
    </row>
    <row r="262" spans="1:2" x14ac:dyDescent="0.2">
      <c r="A262" t="s">
        <v>74</v>
      </c>
      <c r="B262" t="s">
        <v>75</v>
      </c>
    </row>
    <row r="263" spans="1:2" x14ac:dyDescent="0.2">
      <c r="A263" t="s">
        <v>76</v>
      </c>
      <c r="B263" t="s">
        <v>166</v>
      </c>
    </row>
    <row r="264" spans="1:2" x14ac:dyDescent="0.2">
      <c r="A264" t="s">
        <v>78</v>
      </c>
      <c r="B264" t="s">
        <v>1143</v>
      </c>
    </row>
    <row r="265" spans="1:2" x14ac:dyDescent="0.2">
      <c r="A265" t="s">
        <v>127</v>
      </c>
      <c r="B265">
        <f>INDEX('vehicles specifications'!$B$3:$CW$166,MATCH('lci-kick scooter - NCA'!B260,'vehicles specifications'!$A$3:$A$166,0),MATCH("Lifetime [km]",'vehicles specifications'!$B$2:$CW$2,0))</f>
        <v>1785</v>
      </c>
    </row>
    <row r="266" spans="1:2" x14ac:dyDescent="0.2">
      <c r="A266" t="s">
        <v>128</v>
      </c>
      <c r="B266">
        <f>INDEX('vehicles specifications'!$B$3:$CW$166,MATCH('lci-kick scooter - NCA'!B260,'vehicles specifications'!$A$3:$A$166,0),MATCH("Passengers [unit]",'vehicles specifications'!$B$2:$CW$2,0))</f>
        <v>1</v>
      </c>
    </row>
    <row r="267" spans="1:2" x14ac:dyDescent="0.2">
      <c r="A267" t="s">
        <v>129</v>
      </c>
      <c r="B267">
        <f>INDEX('vehicles specifications'!$B$3:$CW$166,MATCH('lci-kick scooter - NCA'!B260,'vehicles specifications'!$A$3:$A$166,0),MATCH("Servicing [unit]",'vehicles specifications'!$B$2:$CW$2,0))</f>
        <v>0</v>
      </c>
    </row>
    <row r="268" spans="1:2" x14ac:dyDescent="0.2">
      <c r="A268" t="s">
        <v>130</v>
      </c>
      <c r="B268">
        <f>INDEX('vehicles specifications'!$B$3:$CW$166,MATCH('lci-kick scooter - NCA'!B260,'vehicles specifications'!$A$3:$A$166,0),MATCH("Energy battery replacement [unit]",'vehicles specifications'!$B$2:$CW$2,0))</f>
        <v>0</v>
      </c>
    </row>
    <row r="269" spans="1:2" x14ac:dyDescent="0.2">
      <c r="A269" t="s">
        <v>131</v>
      </c>
      <c r="B269">
        <f>INDEX('vehicles specifications'!$B$3:$CW$166,MATCH('lci-kick scooter - NCA'!B260,'vehicles specifications'!$A$3:$A$166,0),MATCH("Annual kilometers [km]",'vehicles specifications'!$B$2:$CW$2,0))</f>
        <v>890</v>
      </c>
    </row>
    <row r="270" spans="1:2" x14ac:dyDescent="0.2">
      <c r="A270" t="s">
        <v>132</v>
      </c>
      <c r="B270">
        <f>INDEX('vehicles specifications'!$B$3:$CW$166,MATCH('lci-kick scooter - NCA'!B260,'vehicles specifications'!$A$3:$A$166,0),MATCH("Curb mass [kg]",'vehicles specifications'!$B$2:$CW$2,0))</f>
        <v>10.75</v>
      </c>
    </row>
    <row r="271" spans="1:2" x14ac:dyDescent="0.2">
      <c r="A271" t="s">
        <v>133</v>
      </c>
      <c r="B271">
        <f>INDEX('vehicles specifications'!$B$3:$CW$166,MATCH('lci-kick scooter - NCA'!B260,'vehicles specifications'!$A$3:$A$166,0),MATCH("Power [kW]",'vehicles specifications'!$B$2:$CW$2,0))</f>
        <v>0.25</v>
      </c>
    </row>
    <row r="272" spans="1:2" x14ac:dyDescent="0.2">
      <c r="A272" t="s">
        <v>652</v>
      </c>
      <c r="B272" s="20" t="s">
        <v>45</v>
      </c>
    </row>
    <row r="273" spans="1:8" x14ac:dyDescent="0.2">
      <c r="A273" t="s">
        <v>134</v>
      </c>
      <c r="B273">
        <f>INDEX('vehicles specifications'!$B$3:$CW$166,MATCH('lci-kick scooter - NCA'!B260,'vehicles specifications'!$A$3:$A$166,0),MATCH("Energy battery mass [kg]",'vehicles specifications'!$B$2:$CW$2,0))</f>
        <v>1.3</v>
      </c>
    </row>
    <row r="274" spans="1:8" x14ac:dyDescent="0.2">
      <c r="A274" t="s">
        <v>135</v>
      </c>
      <c r="B274">
        <f>INDEX('vehicles specifications'!$B$3:$CW$166,MATCH('lci-kick scooter - NCA'!B260,'vehicles specifications'!$A$3:$A$166,0),MATCH("Electric energy stored [kWh]",'vehicles specifications'!$B$2:$CW$2,0))</f>
        <v>0.4</v>
      </c>
    </row>
    <row r="275" spans="1:8" x14ac:dyDescent="0.2">
      <c r="A275" t="s">
        <v>588</v>
      </c>
      <c r="B275">
        <f>INDEX('vehicles specifications'!$B$3:$CW$166,MATCH('lci-kick scooter - NCA'!B260,'vehicles specifications'!$A$3:$A$166,0),MATCH("Electric energy available [kWh]",'vehicles specifications'!$B$2:$CW$2,0))</f>
        <v>0.32000000000000006</v>
      </c>
    </row>
    <row r="276" spans="1:8" x14ac:dyDescent="0.2">
      <c r="A276" t="s">
        <v>138</v>
      </c>
      <c r="B276">
        <f>INDEX('vehicles specifications'!$B$3:$CW$166,MATCH('lci-kick scooter - NCA'!B260,'vehicles specifications'!$A$3:$A$166,0),MATCH("Oxydation energy stored [kWh]",'vehicles specifications'!$B$2:$CW$2,0))</f>
        <v>0</v>
      </c>
    </row>
    <row r="277" spans="1:8" x14ac:dyDescent="0.2">
      <c r="A277" t="s">
        <v>139</v>
      </c>
      <c r="B277">
        <f>INDEX('vehicles specifications'!$B$3:$CW$166,MATCH('lci-kick scooter - NCA'!B260,'vehicles specifications'!$A$3:$A$166,0),MATCH("Fuel mass [kg]",'vehicles specifications'!$B$2:$CW$2,0))</f>
        <v>0</v>
      </c>
    </row>
    <row r="278" spans="1:8" x14ac:dyDescent="0.2">
      <c r="A278" t="s">
        <v>136</v>
      </c>
      <c r="B278">
        <f>INDEX('vehicles specifications'!$B$3:$CW$166,MATCH('lci-kick scooter - NCA'!B260,'vehicles specifications'!$A$3:$A$166,0),MATCH("Range [km]",'vehicles specifications'!$B$2:$CW$2,0))</f>
        <v>13.375700934579442</v>
      </c>
    </row>
    <row r="279" spans="1:8" x14ac:dyDescent="0.2">
      <c r="A279" t="s">
        <v>137</v>
      </c>
      <c r="B279" t="str">
        <f>INDEX('vehicles specifications'!$B$3:$CW$166,MATCH('lci-kick scooter - NCA'!B260,'vehicles specifications'!$A$3:$A$166,0),MATCH("Emission standard",'vehicles specifications'!$B$2:$CW$2,0))</f>
        <v>None</v>
      </c>
    </row>
    <row r="280" spans="1:8" x14ac:dyDescent="0.2">
      <c r="A280" t="s">
        <v>1174</v>
      </c>
      <c r="B280" s="6">
        <f>INDEX('vehicles specifications'!$B$3:$CW$166,MATCH('lci-kick scooter - NCA'!B260,'vehicles specifications'!$A$3:$A$166,0),MATCH("Lightweighting rate [%]",'vehicles specifications'!$B$2:$CW$2,0))</f>
        <v>0.05</v>
      </c>
    </row>
    <row r="281" spans="1:8" x14ac:dyDescent="0.2">
      <c r="A281" t="s">
        <v>83</v>
      </c>
      <c r="B281" t="str">
        <f>"Power: "&amp;B271&amp;" kW. Lifetime: "&amp;B265&amp;" km. Annual kilometers: "&amp;B269&amp;" km. Number of passengers: "&amp;B266&amp;". Curb mass: "&amp;ROUND(B270,1)&amp;" kg. Lightweighting of glider: "&amp;ROUND(B280*100,0)&amp;"%. Emission standard: "&amp;B279&amp;". Service visits throughout lifetime: "&amp;ROUND(B267,1)&amp;". Range: "&amp;ROUND(B278,0)&amp;" km. Battery capacity: "&amp;ROUND(B274,1)&amp;" kWh. Available battery capacity: "&amp;B275&amp;" kWh. Battery mass: "&amp;ROUND(B273,1)&amp; " kg. Battery replacement throughout lifetime: "&amp;ROUND(B268,1)&amp;". Fuel tank capacity: "&amp;ROUND(B276,1)&amp;" kWh. Fuel mass: "&amp;ROUND(B277,1)&amp;" kg. Documentation: "&amp;Readmefirst!$B$2&amp;", "&amp;Readmefirst!$B$3&amp;". "&amp;'lci-kick scooter - NCA'!B219</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Documentation: Life-cycle inventories for on-road vehicles, Sacchi R. (PSI), Bauer C. (PSI), 2021. CH</v>
      </c>
    </row>
    <row r="282" spans="1:8" ht="16" x14ac:dyDescent="0.2">
      <c r="A282" s="10" t="s">
        <v>79</v>
      </c>
    </row>
    <row r="283" spans="1:8" x14ac:dyDescent="0.2">
      <c r="A283" t="s">
        <v>80</v>
      </c>
      <c r="B283" t="s">
        <v>81</v>
      </c>
      <c r="C283" t="s">
        <v>72</v>
      </c>
      <c r="D283" t="s">
        <v>76</v>
      </c>
      <c r="E283" t="s">
        <v>82</v>
      </c>
      <c r="F283" t="s">
        <v>74</v>
      </c>
      <c r="G283" t="s">
        <v>83</v>
      </c>
      <c r="H283" t="s">
        <v>73</v>
      </c>
    </row>
    <row r="284" spans="1:8" x14ac:dyDescent="0.2">
      <c r="A284" t="str">
        <f>B255</f>
        <v>transport, Kick Scooter, electric, &lt;1kW, NCA battery, 2040</v>
      </c>
      <c r="B284">
        <v>1</v>
      </c>
      <c r="C284" t="str">
        <f>B256</f>
        <v>CH</v>
      </c>
      <c r="D284" t="s">
        <v>166</v>
      </c>
      <c r="F284" t="s">
        <v>84</v>
      </c>
      <c r="G284" t="s">
        <v>85</v>
      </c>
      <c r="H284" t="str">
        <f>B261</f>
        <v>transport, Kick Scooter, electric, &lt;1kW</v>
      </c>
    </row>
    <row r="285" spans="1:8" x14ac:dyDescent="0.2">
      <c r="A285" t="str">
        <f>RIGHT(A284,LEN(A284)-11)</f>
        <v>Kick Scooter, electric, &lt;1kW, NCA battery, 2040</v>
      </c>
      <c r="B285" s="7">
        <f>1/B265</f>
        <v>5.602240896358543E-4</v>
      </c>
      <c r="C285" t="str">
        <f>B256</f>
        <v>CH</v>
      </c>
      <c r="D285" t="s">
        <v>76</v>
      </c>
      <c r="F285" t="s">
        <v>89</v>
      </c>
      <c r="H285" t="str">
        <f>RIGHT(H284,LEN(H284)-11)</f>
        <v>Kick Scooter, electric, &lt;1kW</v>
      </c>
    </row>
    <row r="286" spans="1:8" x14ac:dyDescent="0.2">
      <c r="A286" t="str">
        <f>INDEX('ei names mapping'!$B$4:$R$33,MATCH('lci-kick scooter - NCA'!$B$3,'ei names mapping'!$A$4:$A$33,0),MATCH('lci-kick scooter - NCA'!$G286,'ei names mapping'!$B$3:$R$3,0))</f>
        <v>market for electricity, low voltage</v>
      </c>
      <c r="B286" s="7">
        <f>INDEX('vehicles specifications'!$B$3:$CW$166,MATCH(B260,'vehicles specifications'!$A$3:$A$166,0),MATCH(G286,'vehicles specifications'!$B$2:$CW$2,0))*INDEX('ei names mapping'!$B$137:$BL$300,MATCH(B260,'ei names mapping'!$A$137:$A$300,0),MATCH(G286,'ei names mapping'!$B$136:$BL$136,0))</f>
        <v>2.6316377864728905E-2</v>
      </c>
      <c r="C286" t="str">
        <f>INDEX('ei names mapping'!$B$38:$R$67,MATCH('lci-kick scooter - NCA'!$B$3,'ei names mapping'!$A$4:$A$33,0),MATCH('lci-kick scooter - NCA'!$G286,'ei names mapping'!$B$3:$R$3,0))</f>
        <v>CH</v>
      </c>
      <c r="D286" t="str">
        <f>INDEX('ei names mapping'!$B$104:$R$133,MATCH('lci-kick scooter - NCA'!$B$3,'ei names mapping'!$A$4:$A$33,0),MATCH('lci-kick scooter - NCA'!$G286,'ei names mapping'!$B$3:$R$3,0))</f>
        <v>kilowatt hour</v>
      </c>
      <c r="F286" t="s">
        <v>89</v>
      </c>
      <c r="G286" t="s">
        <v>28</v>
      </c>
      <c r="H286" t="str">
        <f>INDEX('ei names mapping'!$B$71:$R$100,MATCH('lci-kick scooter - NCA'!$B$3,'ei names mapping'!$A$4:$A$33,0),MATCH('lci-kick scooter - NCA'!$G286,'ei names mapping'!$B$3:$R$3,0))</f>
        <v>electricity, low voltage</v>
      </c>
    </row>
    <row r="287" spans="1:8" x14ac:dyDescent="0.2">
      <c r="A287" t="str">
        <f>INDEX('ei names mapping'!$B$4:$R$33,MATCH(B257,'ei names mapping'!$A$4:$A$33,0),MATCH(G287,'ei names mapping'!$B$3:$R$3,0))</f>
        <v>road construction</v>
      </c>
      <c r="B287" s="7">
        <f>INDEX('vehicles specifications'!$B$3:$CW$166,MATCH(B260,'vehicles specifications'!$A$3:$A$166,0),MATCH(G287,'vehicles specifications'!$B$2:$CW$2,0))*INDEX('ei names mapping'!$B$137:$BL$300,MATCH(B260,'ei names mapping'!$A$137:$A$300,0),MATCH(G287,'ei names mapping'!$B$136:$BL$136,0))</f>
        <v>4.604775E-5</v>
      </c>
      <c r="C287" t="str">
        <f>INDEX('ei names mapping'!$B$38:$R$67,MATCH(B257,'ei names mapping'!$A$4:$A$33,0),MATCH(G287,'ei names mapping'!$B$3:$R$3,0))</f>
        <v>CH</v>
      </c>
      <c r="D287" t="str">
        <f>INDEX('ei names mapping'!$B$104:$R$133,MATCH(B257,'ei names mapping'!$A$104:$A$133,0),MATCH(G287,'ei names mapping'!$B$3:$R$3,0))</f>
        <v>meter-year</v>
      </c>
      <c r="F287" t="s">
        <v>89</v>
      </c>
      <c r="G287" t="s">
        <v>105</v>
      </c>
      <c r="H287" t="str">
        <f>INDEX('ei names mapping'!$B$71:$R$100,MATCH(B257,'ei names mapping'!$A$4:$A$33,0),MATCH(G287,'ei names mapping'!$B$3:$R$3,0))</f>
        <v>road</v>
      </c>
    </row>
    <row r="288" spans="1:8" x14ac:dyDescent="0.2">
      <c r="A288" t="str">
        <f>INDEX('ei names mapping'!$B$4:$BL$33,MATCH('lci-kick scooter - NCA'!$B$3,'ei names mapping'!$A$4:$A$33,0),MATCH('lci-kick scooter - NCA'!$G288,'ei names mapping'!$B$3:$BL$3,0))</f>
        <v>treatment of road wear emissions, passenger car</v>
      </c>
      <c r="B288" s="7">
        <f>INDEX('vehicles specifications'!$B$3:$CW$166,MATCH(B260,'vehicles specifications'!$A$3:$A$166,0),MATCH(G288,'vehicles specifications'!$B$2:$CW$2,0))*INDEX('ei names mapping'!$B$137:$BL$300,MATCH(B260,'ei names mapping'!$A$137:$A$300,0),MATCH(G288,'ei names mapping'!$B$136:$BL$136,0))</f>
        <v>-3.7416107208265778E-6</v>
      </c>
      <c r="C288" t="str">
        <f>INDEX('ei names mapping'!$B$38:$BL$67,MATCH('lci-kick scooter - NCA'!$B$3,'ei names mapping'!$A$4:$A$33,0),MATCH('lci-kick scooter - NCA'!$G288,'ei names mapping'!$B$3:$BL$3,0))</f>
        <v>RER</v>
      </c>
      <c r="D288" t="str">
        <f>INDEX('ei names mapping'!$B$104:$BL$133,MATCH('lci-kick scooter - NCA'!$B$3,'ei names mapping'!$A$4:$A$33,0),MATCH('lci-kick scooter - NCA'!$G288,'ei names mapping'!$B$3:$BL$3,0))</f>
        <v>kilogram</v>
      </c>
      <c r="F288" t="s">
        <v>89</v>
      </c>
      <c r="G288" t="s">
        <v>29</v>
      </c>
      <c r="H288" t="str">
        <f>INDEX('ei names mapping'!$B$71:$BL$100,MATCH('lci-kick scooter - NCA'!$B$3,'ei names mapping'!$A$4:$A$33,0),MATCH('lci-kick scooter - NCA'!$G288,'ei names mapping'!$B$3:$BL$3,0))</f>
        <v>road wear emissions, passenger car</v>
      </c>
    </row>
    <row r="289" spans="1:8" x14ac:dyDescent="0.2">
      <c r="A289" t="str">
        <f>INDEX('ei names mapping'!$B$4:$BL$33,MATCH('lci-kick scooter - NCA'!$B$3,'ei names mapping'!$A$4:$A$33,0),MATCH('lci-kick scooter - NCA'!$G289,'ei names mapping'!$B$3:$BL$3,0))</f>
        <v>treatment of tyre wear emissions, passenger car</v>
      </c>
      <c r="B289" s="7">
        <f>INDEX('vehicles specifications'!$B$3:$CW$166,MATCH(B260,'vehicles specifications'!$A$3:$A$166,0),MATCH(G289,'vehicles specifications'!$B$2:$CW$2,0))*INDEX('ei names mapping'!$B$137:$BL$300,MATCH(B260,'ei names mapping'!$A$137:$A$300,0),MATCH(G289,'ei names mapping'!$B$136:$BL$136,0))</f>
        <v>-3.6265994283366797E-6</v>
      </c>
      <c r="C289" t="str">
        <f>INDEX('ei names mapping'!$B$38:$BL$67,MATCH('lci-kick scooter - NCA'!$B$3,'ei names mapping'!$A$4:$A$33,0),MATCH('lci-kick scooter - NCA'!$G289,'ei names mapping'!$B$3:$BL$3,0))</f>
        <v>RER</v>
      </c>
      <c r="D289" t="str">
        <f>INDEX('ei names mapping'!$B$104:$BL$133,MATCH('lci-kick scooter - NCA'!$B$3,'ei names mapping'!$A$4:$A$33,0),MATCH('lci-kick scooter - NCA'!$G289,'ei names mapping'!$B$3:$BL$3,0))</f>
        <v>kilogram</v>
      </c>
      <c r="F289" t="s">
        <v>89</v>
      </c>
      <c r="G289" t="s">
        <v>30</v>
      </c>
      <c r="H289" t="str">
        <f>INDEX('ei names mapping'!$B$71:$BL$100,MATCH('lci-kick scooter - NCA'!$B$3,'ei names mapping'!$A$4:$A$33,0),MATCH('lci-kick scooter - NCA'!$G289,'ei names mapping'!$B$3:$BL$3,0))</f>
        <v>tyre wear emissions, passenger car</v>
      </c>
    </row>
    <row r="290" spans="1:8" x14ac:dyDescent="0.2">
      <c r="A290" t="str">
        <f>INDEX('ei names mapping'!$B$4:$BL$33,MATCH('lci-kick scooter - NCA'!$B$3,'ei names mapping'!$A$4:$A$33,0),MATCH('lci-kick scooter - NCA'!$G290,'ei names mapping'!$B$3:$BL$3,0))</f>
        <v>treatment of brake wear emissions, passenger car</v>
      </c>
      <c r="B290" s="7">
        <f>INDEX('vehicles specifications'!$B$3:$CW$166,MATCH(B260,'vehicles specifications'!$A$3:$A$166,0),MATCH(G290,'vehicles specifications'!$B$2:$CW$2,0))*INDEX('ei names mapping'!$B$137:$BL$300,MATCH(B260,'ei names mapping'!$A$137:$A$300,0),MATCH(G290,'ei names mapping'!$B$136:$BL$136,0))</f>
        <v>-3.4060125107571902E-6</v>
      </c>
      <c r="C290" t="str">
        <f>INDEX('ei names mapping'!$B$38:$BL$67,MATCH('lci-kick scooter - NCA'!$B$3,'ei names mapping'!$A$4:$A$33,0),MATCH('lci-kick scooter - NCA'!$G290,'ei names mapping'!$B$3:$BL$3,0))</f>
        <v>RER</v>
      </c>
      <c r="D290" t="str">
        <f>INDEX('ei names mapping'!$B$104:$BL$133,MATCH('lci-kick scooter - NCA'!$B$3,'ei names mapping'!$A$4:$A$33,0),MATCH('lci-kick scooter - NCA'!$G290,'ei names mapping'!$B$3:$BL$3,0))</f>
        <v>kilogram</v>
      </c>
      <c r="F290" t="s">
        <v>89</v>
      </c>
      <c r="G290" t="s">
        <v>31</v>
      </c>
      <c r="H290" t="str">
        <f>INDEX('ei names mapping'!$B$71:$BL$100,MATCH('lci-kick scooter - NCA'!$B$3,'ei names mapping'!$A$4:$A$33,0),MATCH('lci-kick scooter - NCA'!$G290,'ei names mapping'!$B$3:$BL$3,0))</f>
        <v>brake wear emissions, passenger car</v>
      </c>
    </row>
    <row r="292" spans="1:8" ht="16" x14ac:dyDescent="0.2">
      <c r="A292" s="10" t="s">
        <v>71</v>
      </c>
      <c r="B292" s="8" t="str">
        <f>"transport, "&amp;B294&amp;", "&amp;B309&amp;" battery, "&amp;B296</f>
        <v>transport, Kick Scooter, electric, &lt;1kW, NCA battery, 2050</v>
      </c>
    </row>
    <row r="293" spans="1:8" x14ac:dyDescent="0.2">
      <c r="A293" t="s">
        <v>72</v>
      </c>
      <c r="B293" t="s">
        <v>37</v>
      </c>
    </row>
    <row r="294" spans="1:8" x14ac:dyDescent="0.2">
      <c r="A294" t="s">
        <v>86</v>
      </c>
      <c r="B294" t="s">
        <v>618</v>
      </c>
    </row>
    <row r="295" spans="1:8" x14ac:dyDescent="0.2">
      <c r="A295" t="s">
        <v>87</v>
      </c>
    </row>
    <row r="296" spans="1:8" x14ac:dyDescent="0.2">
      <c r="A296" t="s">
        <v>88</v>
      </c>
      <c r="B296">
        <v>2050</v>
      </c>
    </row>
    <row r="297" spans="1:8" x14ac:dyDescent="0.2">
      <c r="A297" t="s">
        <v>126</v>
      </c>
      <c r="B297" t="str">
        <f>B294&amp;" - "&amp;B296&amp;" - "&amp;B309&amp;" - "&amp;B293</f>
        <v>Kick Scooter, electric, &lt;1kW - 2050 - NCA - CH</v>
      </c>
    </row>
    <row r="298" spans="1:8" x14ac:dyDescent="0.2">
      <c r="A298" t="s">
        <v>73</v>
      </c>
      <c r="B298" t="str">
        <f>"transport, "&amp;B294</f>
        <v>transport, Kick Scooter, electric, &lt;1kW</v>
      </c>
    </row>
    <row r="299" spans="1:8" x14ac:dyDescent="0.2">
      <c r="A299" t="s">
        <v>74</v>
      </c>
      <c r="B299" t="s">
        <v>75</v>
      </c>
    </row>
    <row r="300" spans="1:8" x14ac:dyDescent="0.2">
      <c r="A300" t="s">
        <v>76</v>
      </c>
      <c r="B300" t="s">
        <v>166</v>
      </c>
    </row>
    <row r="301" spans="1:8" x14ac:dyDescent="0.2">
      <c r="A301" t="s">
        <v>78</v>
      </c>
      <c r="B301" t="s">
        <v>1143</v>
      </c>
    </row>
    <row r="302" spans="1:8" x14ac:dyDescent="0.2">
      <c r="A302" t="s">
        <v>127</v>
      </c>
      <c r="B302">
        <f>INDEX('vehicles specifications'!$B$3:$CW$166,MATCH('lci-kick scooter - NCA'!B297,'vehicles specifications'!$A$3:$A$166,0),MATCH("Lifetime [km]",'vehicles specifications'!$B$2:$CW$2,0))</f>
        <v>1785</v>
      </c>
    </row>
    <row r="303" spans="1:8" x14ac:dyDescent="0.2">
      <c r="A303" t="s">
        <v>128</v>
      </c>
      <c r="B303">
        <f>INDEX('vehicles specifications'!$B$3:$CW$166,MATCH('lci-kick scooter - NCA'!B297,'vehicles specifications'!$A$3:$A$166,0),MATCH("Passengers [unit]",'vehicles specifications'!$B$2:$CW$2,0))</f>
        <v>1</v>
      </c>
    </row>
    <row r="304" spans="1:8" x14ac:dyDescent="0.2">
      <c r="A304" t="s">
        <v>129</v>
      </c>
      <c r="B304">
        <f>INDEX('vehicles specifications'!$B$3:$CW$166,MATCH('lci-kick scooter - NCA'!B297,'vehicles specifications'!$A$3:$A$166,0),MATCH("Servicing [unit]",'vehicles specifications'!$B$2:$CW$2,0))</f>
        <v>0</v>
      </c>
    </row>
    <row r="305" spans="1:8" x14ac:dyDescent="0.2">
      <c r="A305" t="s">
        <v>130</v>
      </c>
      <c r="B305">
        <f>INDEX('vehicles specifications'!$B$3:$CW$166,MATCH('lci-kick scooter - NCA'!B297,'vehicles specifications'!$A$3:$A$166,0),MATCH("Energy battery replacement [unit]",'vehicles specifications'!$B$2:$CW$2,0))</f>
        <v>0</v>
      </c>
    </row>
    <row r="306" spans="1:8" x14ac:dyDescent="0.2">
      <c r="A306" t="s">
        <v>131</v>
      </c>
      <c r="B306">
        <f>INDEX('vehicles specifications'!$B$3:$CW$166,MATCH('lci-kick scooter - NCA'!B297,'vehicles specifications'!$A$3:$A$166,0),MATCH("Annual kilometers [km]",'vehicles specifications'!$B$2:$CW$2,0))</f>
        <v>890</v>
      </c>
    </row>
    <row r="307" spans="1:8" x14ac:dyDescent="0.2">
      <c r="A307" t="s">
        <v>132</v>
      </c>
      <c r="B307">
        <f>INDEX('vehicles specifications'!$B$3:$CW$166,MATCH('lci-kick scooter - NCA'!B297,'vehicles specifications'!$A$3:$A$166,0),MATCH("Curb mass [kg]",'vehicles specifications'!$B$2:$CW$2,0))</f>
        <v>10.510000000000002</v>
      </c>
    </row>
    <row r="308" spans="1:8" x14ac:dyDescent="0.2">
      <c r="A308" t="s">
        <v>133</v>
      </c>
      <c r="B308">
        <f>INDEX('vehicles specifications'!$B$3:$CW$166,MATCH('lci-kick scooter - NCA'!B297,'vehicles specifications'!$A$3:$A$166,0),MATCH("Power [kW]",'vehicles specifications'!$B$2:$CW$2,0))</f>
        <v>0.25</v>
      </c>
    </row>
    <row r="309" spans="1:8" x14ac:dyDescent="0.2">
      <c r="A309" t="s">
        <v>652</v>
      </c>
      <c r="B309" s="20" t="s">
        <v>45</v>
      </c>
    </row>
    <row r="310" spans="1:8" x14ac:dyDescent="0.2">
      <c r="A310" t="s">
        <v>134</v>
      </c>
      <c r="B310">
        <f>INDEX('vehicles specifications'!$B$3:$CW$166,MATCH('lci-kick scooter - NCA'!B297,'vehicles specifications'!$A$3:$A$166,0),MATCH("Energy battery mass [kg]",'vehicles specifications'!$B$2:$CW$2,0))</f>
        <v>1.3</v>
      </c>
    </row>
    <row r="311" spans="1:8" x14ac:dyDescent="0.2">
      <c r="A311" t="s">
        <v>135</v>
      </c>
      <c r="B311">
        <f>INDEX('vehicles specifications'!$B$3:$CW$166,MATCH('lci-kick scooter - NCA'!B297,'vehicles specifications'!$A$3:$A$166,0),MATCH("Electric energy stored [kWh]",'vehicles specifications'!$B$2:$CW$2,0))</f>
        <v>0.5</v>
      </c>
    </row>
    <row r="312" spans="1:8" x14ac:dyDescent="0.2">
      <c r="A312" t="s">
        <v>588</v>
      </c>
      <c r="B312">
        <f>INDEX('vehicles specifications'!$B$3:$CW$166,MATCH('lci-kick scooter - NCA'!B297,'vehicles specifications'!$A$3:$A$166,0),MATCH("Electric energy available [kWh]",'vehicles specifications'!$B$2:$CW$2,0))</f>
        <v>0.4</v>
      </c>
    </row>
    <row r="313" spans="1:8" x14ac:dyDescent="0.2">
      <c r="A313" t="s">
        <v>138</v>
      </c>
      <c r="B313">
        <f>INDEX('vehicles specifications'!$B$3:$CW$166,MATCH('lci-kick scooter - NCA'!B297,'vehicles specifications'!$A$3:$A$166,0),MATCH("Oxydation energy stored [kWh]",'vehicles specifications'!$B$2:$CW$2,0))</f>
        <v>0</v>
      </c>
    </row>
    <row r="314" spans="1:8" x14ac:dyDescent="0.2">
      <c r="A314" t="s">
        <v>139</v>
      </c>
      <c r="B314">
        <f>INDEX('vehicles specifications'!$B$3:$CW$166,MATCH('lci-kick scooter - NCA'!B297,'vehicles specifications'!$A$3:$A$166,0),MATCH("Fuel mass [kg]",'vehicles specifications'!$B$2:$CW$2,0))</f>
        <v>0</v>
      </c>
    </row>
    <row r="315" spans="1:8" x14ac:dyDescent="0.2">
      <c r="A315" t="s">
        <v>136</v>
      </c>
      <c r="B315">
        <f>INDEX('vehicles specifications'!$B$3:$CW$166,MATCH('lci-kick scooter - NCA'!B297,'vehicles specifications'!$A$3:$A$166,0),MATCH("Range [km]",'vehicles specifications'!$B$2:$CW$2,0))</f>
        <v>16.719626168224298</v>
      </c>
    </row>
    <row r="316" spans="1:8" x14ac:dyDescent="0.2">
      <c r="A316" t="s">
        <v>137</v>
      </c>
      <c r="B316" t="str">
        <f>INDEX('vehicles specifications'!$B$3:$CW$166,MATCH('lci-kick scooter - NCA'!B297,'vehicles specifications'!$A$3:$A$166,0),MATCH("Emission standard",'vehicles specifications'!$B$2:$CW$2,0))</f>
        <v>None</v>
      </c>
    </row>
    <row r="317" spans="1:8" x14ac:dyDescent="0.2">
      <c r="A317" t="s">
        <v>1174</v>
      </c>
      <c r="B317" s="6">
        <f>INDEX('vehicles specifications'!$B$3:$CW$166,MATCH('lci-kick scooter - NCA'!B297,'vehicles specifications'!$A$3:$A$166,0),MATCH("Lightweighting rate [%]",'vehicles specifications'!$B$2:$CW$2,0))</f>
        <v>7.0000000000000007E-2</v>
      </c>
    </row>
    <row r="318" spans="1:8" x14ac:dyDescent="0.2">
      <c r="A318" t="s">
        <v>83</v>
      </c>
      <c r="B318" t="str">
        <f>"Power: "&amp;B308&amp;" kW. Lifetime: "&amp;B302&amp;" km. Annual kilometers: "&amp;B306&amp;" km. Number of passengers: "&amp;B303&amp;". Curb mass: "&amp;ROUND(B307,1)&amp;" kg. Lightweighting of glider: "&amp;ROUND(B317*100,0)&amp;"%. Emission standard: "&amp;B316&amp;". Service visits throughout lifetime: "&amp;ROUND(B304,1)&amp;". Range: "&amp;ROUND(B315,0)&amp;" km. Battery capacity: "&amp;ROUND(B311,1)&amp;" kWh. Available battery capacity: "&amp;B312&amp;" kWh. Battery mass: "&amp;ROUND(B310,1)&amp; " kg. Battery replacement throughout lifetime: "&amp;ROUND(B305,1)&amp;". Fuel tank capacity: "&amp;ROUND(B313,1)&amp;" kWh. Fuel mass: "&amp;ROUND(B314,1)&amp;" kg. Documentation: "&amp;Readmefirst!$B$2&amp;", "&amp;Readmefirst!$B$3&amp;". "&amp;'lci-kick scooter - NCA'!B256</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Documentation: Life-cycle inventories for on-road vehicles, Sacchi R. (PSI), Bauer C. (PSI), 2021. CH</v>
      </c>
    </row>
    <row r="319" spans="1:8" ht="16" x14ac:dyDescent="0.2">
      <c r="A319" s="10" t="s">
        <v>79</v>
      </c>
    </row>
    <row r="320" spans="1:8" x14ac:dyDescent="0.2">
      <c r="A320" t="s">
        <v>80</v>
      </c>
      <c r="B320" t="s">
        <v>81</v>
      </c>
      <c r="C320" t="s">
        <v>72</v>
      </c>
      <c r="D320" t="s">
        <v>76</v>
      </c>
      <c r="E320" t="s">
        <v>82</v>
      </c>
      <c r="F320" t="s">
        <v>74</v>
      </c>
      <c r="G320" t="s">
        <v>83</v>
      </c>
      <c r="H320" t="s">
        <v>73</v>
      </c>
    </row>
    <row r="321" spans="1:8" x14ac:dyDescent="0.2">
      <c r="A321" t="str">
        <f>B292</f>
        <v>transport, Kick Scooter, electric, &lt;1kW, NCA battery, 2050</v>
      </c>
      <c r="B321">
        <v>1</v>
      </c>
      <c r="C321" t="str">
        <f>B293</f>
        <v>CH</v>
      </c>
      <c r="D321" t="s">
        <v>166</v>
      </c>
      <c r="F321" t="s">
        <v>84</v>
      </c>
      <c r="G321" t="s">
        <v>85</v>
      </c>
      <c r="H321" t="str">
        <f>B298</f>
        <v>transport, Kick Scooter, electric, &lt;1kW</v>
      </c>
    </row>
    <row r="322" spans="1:8" x14ac:dyDescent="0.2">
      <c r="A322" t="str">
        <f>RIGHT(A321,LEN(A321)-11)</f>
        <v>Kick Scooter, electric, &lt;1kW, NCA battery, 2050</v>
      </c>
      <c r="B322" s="7">
        <f>1/B302</f>
        <v>5.602240896358543E-4</v>
      </c>
      <c r="C322" t="str">
        <f>B293</f>
        <v>CH</v>
      </c>
      <c r="D322" t="s">
        <v>76</v>
      </c>
      <c r="F322" t="s">
        <v>89</v>
      </c>
      <c r="H322" t="str">
        <f>RIGHT(H321,LEN(H321)-11)</f>
        <v>Kick Scooter, electric, &lt;1kW</v>
      </c>
    </row>
    <row r="323" spans="1:8" x14ac:dyDescent="0.2">
      <c r="A323" t="str">
        <f>INDEX('ei names mapping'!$B$4:$R$33,MATCH('lci-kick scooter - NCA'!$B$3,'ei names mapping'!$A$4:$A$33,0),MATCH('lci-kick scooter - NCA'!$G323,'ei names mapping'!$B$3:$R$3,0))</f>
        <v>market for electricity, low voltage</v>
      </c>
      <c r="B323" s="7">
        <f>INDEX('vehicles specifications'!$B$3:$CW$166,MATCH(B297,'vehicles specifications'!$A$3:$A$166,0),MATCH(G323,'vehicles specifications'!$B$2:$CW$2,0))*INDEX('ei names mapping'!$B$137:$BL$300,MATCH(B297,'ei names mapping'!$A$137:$A$300,0),MATCH(G323,'ei names mapping'!$B$136:$BL$136,0))</f>
        <v>2.6316377864728905E-2</v>
      </c>
      <c r="C323" t="str">
        <f>INDEX('ei names mapping'!$B$38:$R$67,MATCH('lci-kick scooter - NCA'!$B$3,'ei names mapping'!$A$4:$A$33,0),MATCH('lci-kick scooter - NCA'!$G323,'ei names mapping'!$B$3:$R$3,0))</f>
        <v>CH</v>
      </c>
      <c r="D323" t="str">
        <f>INDEX('ei names mapping'!$B$104:$R$133,MATCH('lci-kick scooter - NCA'!$B$3,'ei names mapping'!$A$4:$A$33,0),MATCH('lci-kick scooter - NCA'!$G323,'ei names mapping'!$B$3:$R$3,0))</f>
        <v>kilowatt hour</v>
      </c>
      <c r="F323" t="s">
        <v>89</v>
      </c>
      <c r="G323" t="s">
        <v>28</v>
      </c>
      <c r="H323" t="str">
        <f>INDEX('ei names mapping'!$B$71:$R$100,MATCH('lci-kick scooter - NCA'!$B$3,'ei names mapping'!$A$4:$A$33,0),MATCH('lci-kick scooter - NCA'!$G323,'ei names mapping'!$B$3:$R$3,0))</f>
        <v>electricity, low voltage</v>
      </c>
    </row>
    <row r="324" spans="1:8" x14ac:dyDescent="0.2">
      <c r="A324" t="str">
        <f>INDEX('ei names mapping'!$B$4:$R$33,MATCH(B294,'ei names mapping'!$A$4:$A$33,0),MATCH(G324,'ei names mapping'!$B$3:$R$3,0))</f>
        <v>road construction</v>
      </c>
      <c r="B324" s="7">
        <f>INDEX('vehicles specifications'!$B$3:$CW$166,MATCH(B297,'vehicles specifications'!$A$3:$A$166,0),MATCH(G324,'vehicles specifications'!$B$2:$CW$2,0))*INDEX('ei names mapping'!$B$137:$BL$300,MATCH(B297,'ei names mapping'!$A$137:$A$300,0),MATCH(G324,'ei names mapping'!$B$136:$BL$136,0))</f>
        <v>4.5918870000000003E-5</v>
      </c>
      <c r="C324" t="str">
        <f>INDEX('ei names mapping'!$B$38:$R$67,MATCH(B294,'ei names mapping'!$A$4:$A$33,0),MATCH(G324,'ei names mapping'!$B$3:$R$3,0))</f>
        <v>CH</v>
      </c>
      <c r="D324" t="str">
        <f>INDEX('ei names mapping'!$B$104:$R$133,MATCH(B294,'ei names mapping'!$A$104:$A$133,0),MATCH(G324,'ei names mapping'!$B$3:$R$3,0))</f>
        <v>meter-year</v>
      </c>
      <c r="F324" t="s">
        <v>89</v>
      </c>
      <c r="G324" t="s">
        <v>105</v>
      </c>
      <c r="H324" t="str">
        <f>INDEX('ei names mapping'!$B$71:$R$100,MATCH(B294,'ei names mapping'!$A$4:$A$33,0),MATCH(G324,'ei names mapping'!$B$3:$R$3,0))</f>
        <v>road</v>
      </c>
    </row>
    <row r="325" spans="1:8" x14ac:dyDescent="0.2">
      <c r="A325" t="str">
        <f>INDEX('ei names mapping'!$B$4:$BL$33,MATCH('lci-kick scooter - NCA'!$B$3,'ei names mapping'!$A$4:$A$33,0),MATCH('lci-kick scooter - NCA'!$G325,'ei names mapping'!$B$3:$BL$3,0))</f>
        <v>treatment of road wear emissions, passenger car</v>
      </c>
      <c r="B325" s="7">
        <f>INDEX('vehicles specifications'!$B$3:$CW$166,MATCH(B297,'vehicles specifications'!$A$3:$A$166,0),MATCH(G325,'vehicles specifications'!$B$2:$CW$2,0))*INDEX('ei names mapping'!$B$137:$BL$300,MATCH(B297,'ei names mapping'!$A$137:$A$300,0),MATCH(G325,'ei names mapping'!$B$136:$BL$136,0))</f>
        <v>-3.733434075561425E-6</v>
      </c>
      <c r="C325" t="str">
        <f>INDEX('ei names mapping'!$B$38:$BL$67,MATCH('lci-kick scooter - NCA'!$B$3,'ei names mapping'!$A$4:$A$33,0),MATCH('lci-kick scooter - NCA'!$G325,'ei names mapping'!$B$3:$BL$3,0))</f>
        <v>RER</v>
      </c>
      <c r="D325" t="str">
        <f>INDEX('ei names mapping'!$B$104:$BL$133,MATCH('lci-kick scooter - NCA'!$B$3,'ei names mapping'!$A$4:$A$33,0),MATCH('lci-kick scooter - NCA'!$G325,'ei names mapping'!$B$3:$BL$3,0))</f>
        <v>kilogram</v>
      </c>
      <c r="F325" t="s">
        <v>89</v>
      </c>
      <c r="G325" t="s">
        <v>29</v>
      </c>
      <c r="H325" t="str">
        <f>INDEX('ei names mapping'!$B$71:$BL$100,MATCH('lci-kick scooter - NCA'!$B$3,'ei names mapping'!$A$4:$A$33,0),MATCH('lci-kick scooter - NCA'!$G325,'ei names mapping'!$B$3:$BL$3,0))</f>
        <v>road wear emissions, passenger car</v>
      </c>
    </row>
    <row r="326" spans="1:8" x14ac:dyDescent="0.2">
      <c r="A326" t="str">
        <f>INDEX('ei names mapping'!$B$4:$BL$33,MATCH('lci-kick scooter - NCA'!$B$3,'ei names mapping'!$A$4:$A$33,0),MATCH('lci-kick scooter - NCA'!$G326,'ei names mapping'!$B$3:$BL$3,0))</f>
        <v>treatment of tyre wear emissions, passenger car</v>
      </c>
      <c r="B326" s="7">
        <f>INDEX('vehicles specifications'!$B$3:$CW$166,MATCH(B297,'vehicles specifications'!$A$3:$A$166,0),MATCH(G326,'vehicles specifications'!$B$2:$CW$2,0))*INDEX('ei names mapping'!$B$137:$BL$300,MATCH(B297,'ei names mapping'!$A$137:$A$300,0),MATCH(G326,'ei names mapping'!$B$136:$BL$136,0))</f>
        <v>-3.6152719516232798E-6</v>
      </c>
      <c r="C326" t="str">
        <f>INDEX('ei names mapping'!$B$38:$BL$67,MATCH('lci-kick scooter - NCA'!$B$3,'ei names mapping'!$A$4:$A$33,0),MATCH('lci-kick scooter - NCA'!$G326,'ei names mapping'!$B$3:$BL$3,0))</f>
        <v>RER</v>
      </c>
      <c r="D326" t="str">
        <f>INDEX('ei names mapping'!$B$104:$BL$133,MATCH('lci-kick scooter - NCA'!$B$3,'ei names mapping'!$A$4:$A$33,0),MATCH('lci-kick scooter - NCA'!$G326,'ei names mapping'!$B$3:$BL$3,0))</f>
        <v>kilogram</v>
      </c>
      <c r="F326" t="s">
        <v>89</v>
      </c>
      <c r="G326" t="s">
        <v>30</v>
      </c>
      <c r="H326" t="str">
        <f>INDEX('ei names mapping'!$B$71:$BL$100,MATCH('lci-kick scooter - NCA'!$B$3,'ei names mapping'!$A$4:$A$33,0),MATCH('lci-kick scooter - NCA'!$G326,'ei names mapping'!$B$3:$BL$3,0))</f>
        <v>tyre wear emissions, passenger car</v>
      </c>
    </row>
    <row r="327" spans="1:8" x14ac:dyDescent="0.2">
      <c r="A327" t="str">
        <f>INDEX('ei names mapping'!$B$4:$BL$33,MATCH('lci-kick scooter - NCA'!$B$3,'ei names mapping'!$A$4:$A$33,0),MATCH('lci-kick scooter - NCA'!$G327,'ei names mapping'!$B$3:$BL$3,0))</f>
        <v>treatment of brake wear emissions, passenger car</v>
      </c>
      <c r="B327" s="7">
        <f>INDEX('vehicles specifications'!$B$3:$CW$166,MATCH(B297,'vehicles specifications'!$A$3:$A$166,0),MATCH(G327,'vehicles specifications'!$B$2:$CW$2,0))*INDEX('ei names mapping'!$B$137:$BL$300,MATCH(B297,'ei names mapping'!$A$137:$A$300,0),MATCH(G327,'ei names mapping'!$B$136:$BL$136,0))</f>
        <v>-3.3969958388919805E-6</v>
      </c>
      <c r="C327" t="str">
        <f>INDEX('ei names mapping'!$B$38:$BL$67,MATCH('lci-kick scooter - NCA'!$B$3,'ei names mapping'!$A$4:$A$33,0),MATCH('lci-kick scooter - NCA'!$G327,'ei names mapping'!$B$3:$BL$3,0))</f>
        <v>RER</v>
      </c>
      <c r="D327" t="str">
        <f>INDEX('ei names mapping'!$B$104:$BL$133,MATCH('lci-kick scooter - NCA'!$B$3,'ei names mapping'!$A$4:$A$33,0),MATCH('lci-kick scooter - NCA'!$G327,'ei names mapping'!$B$3:$BL$3,0))</f>
        <v>kilogram</v>
      </c>
      <c r="F327" t="s">
        <v>89</v>
      </c>
      <c r="G327" t="s">
        <v>31</v>
      </c>
      <c r="H327" t="str">
        <f>INDEX('ei names mapping'!$B$71:$BL$100,MATCH('lci-kick scooter - NCA'!$B$3,'ei names mapping'!$A$4:$A$33,0),MATCH('lci-kick scooter - NCA'!$G327,'ei names mapping'!$B$3:$BL$3,0))</f>
        <v>brake wear emissions, passenger car</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39"/>
  <sheetViews>
    <sheetView topLeftCell="A323" workbookViewId="0">
      <selection activeCell="A350" sqref="A350"/>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tr">
        <f>B3&amp;", "&amp;B18&amp;" battery, "&amp;B5</f>
        <v>Motorbike, electric, &lt;4kW, NMC battery, 2020</v>
      </c>
    </row>
    <row r="2" spans="1:2" x14ac:dyDescent="0.2">
      <c r="A2" t="s">
        <v>72</v>
      </c>
      <c r="B2" t="s">
        <v>37</v>
      </c>
    </row>
    <row r="3" spans="1:2" x14ac:dyDescent="0.2">
      <c r="A3" t="s">
        <v>86</v>
      </c>
      <c r="B3" t="s">
        <v>492</v>
      </c>
    </row>
    <row r="4" spans="1:2" x14ac:dyDescent="0.2">
      <c r="A4" t="s">
        <v>87</v>
      </c>
    </row>
    <row r="5" spans="1:2" x14ac:dyDescent="0.2">
      <c r="A5" t="s">
        <v>88</v>
      </c>
      <c r="B5">
        <v>2020</v>
      </c>
    </row>
    <row r="6" spans="1:2" x14ac:dyDescent="0.2">
      <c r="A6" t="s">
        <v>126</v>
      </c>
      <c r="B6" t="str">
        <f>B3&amp;" - "&amp;B5&amp;" - "&amp;B18&amp;" - "&amp;B2</f>
        <v>Motorbike, electric, &lt;4kW - 2020 - NMC - CH</v>
      </c>
    </row>
    <row r="7" spans="1:2" x14ac:dyDescent="0.2">
      <c r="A7" t="s">
        <v>73</v>
      </c>
      <c r="B7" t="str">
        <f>B3</f>
        <v>Motorbike,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76.7</v>
      </c>
    </row>
    <row r="17" spans="1:8" x14ac:dyDescent="0.2">
      <c r="A17" t="s">
        <v>133</v>
      </c>
      <c r="B17">
        <f>INDEX('vehicles specifications'!$B$3:$CW$166,MATCH(B6,'vehicles specifications'!$A$3:$A$166,0),MATCH("Power [kW]",'vehicles specifications'!$B$2:$CW$2,0))</f>
        <v>2.5</v>
      </c>
    </row>
    <row r="18" spans="1:8" x14ac:dyDescent="0.2">
      <c r="A18" t="s">
        <v>652</v>
      </c>
      <c r="B18" s="20" t="s">
        <v>43</v>
      </c>
    </row>
    <row r="19" spans="1:8" x14ac:dyDescent="0.2">
      <c r="A19" t="s">
        <v>134</v>
      </c>
      <c r="B19">
        <f>INDEX('vehicles specifications'!$B$3:$CW$166,MATCH(B6,'vehicles specifications'!$A$3:$A$166,0),MATCH("Energy battery mass [kg]",'vehicles specifications'!$B$2:$CW$2,0))</f>
        <v>11.7</v>
      </c>
    </row>
    <row r="20" spans="1:8" x14ac:dyDescent="0.2">
      <c r="A20" t="s">
        <v>135</v>
      </c>
      <c r="B20">
        <f>INDEX('vehicles specifications'!$B$3:$CW$166,MATCH(B6,'vehicles specifications'!$A$3:$A$166,0),MATCH("Electric energy stored [kWh]",'vehicles specifications'!$B$2:$CW$2,0))</f>
        <v>1.8</v>
      </c>
    </row>
    <row r="21" spans="1:8" x14ac:dyDescent="0.2">
      <c r="A21" t="s">
        <v>588</v>
      </c>
      <c r="B21">
        <f>INDEX('vehicles specifications'!$B$3:$CW$166,MATCH(B6,'vehicles specifications'!$A$3:$A$166,0),MATCH("Electric energy available [kWh]",'vehicles specifications'!$B$2:$CW$2,0))</f>
        <v>1.4400000000000002</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42.842975206611577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&lt;4kW, NMC battery, 2020</v>
      </c>
      <c r="B33">
        <v>1</v>
      </c>
      <c r="C33" t="str">
        <f>B2</f>
        <v>CH</v>
      </c>
      <c r="D33" t="str">
        <f>B9</f>
        <v>unit</v>
      </c>
      <c r="F33" t="s">
        <v>84</v>
      </c>
      <c r="G33" t="s">
        <v>85</v>
      </c>
      <c r="H33" t="str">
        <f>B3</f>
        <v>Motorbike, electric, &lt;4kW</v>
      </c>
    </row>
    <row r="34" spans="1:8" x14ac:dyDescent="0.2">
      <c r="A34" t="str">
        <f>INDEX('ei names mapping'!$B$4:$R$33,MATCH(B3,'ei names mapping'!$A$4:$A$33,0),MATCH(G34,'ei names mapping'!$B$3:$R$3,0))</f>
        <v>market for glider, for electric scooter</v>
      </c>
      <c r="B34" s="11">
        <f>INDEX('vehicles specifications'!$B$3:$CW$166,MATCH(B6,'vehicles specifications'!$A$3:$A$166,0),MATCH(G34,'vehicles specifications'!$B$2:$CW$2,0))*INDEX('ei names mapping'!$B$137:$BL$300,MATCH(B6,'ei names mapping'!$A$137:$A$300,0),MATCH(G34,'ei names mapping'!$B$136:$BL$136,0))</f>
        <v>53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Glider lightweighting</v>
      </c>
      <c r="B35" s="11">
        <f>INDEX('vehicles specifications'!$B$3:$CW$166,MATCH(B6,'vehicles specifications'!$A$3:$A$166,0),MATCH(G35,'vehicles specifications'!$B$2:$CW$2,0))*INDEX('ei names mapping'!$B$137:$BL$300,MATCH(B6,'ei names mapping'!$A$137:$A$300,0),MATCH(G35,'ei names mapping'!$B$136:$BL$136,0))</f>
        <v>0</v>
      </c>
      <c r="C35" t="str">
        <f>INDEX('ei names mapping'!$B$38:$R$67,MATCH(B3,'ei names mapping'!$A$4:$A$33,0),MATCH(G35,'ei names mapping'!$B$3:$R$3,0))</f>
        <v>GLO</v>
      </c>
      <c r="D35" t="str">
        <f>INDEX('ei names mapping'!$B$104:$R$133,MATCH(B3,'ei names mapping'!$A$104:$A$133,0),MATCH(G35,'ei names mapping'!$B$3:$R$3,0))</f>
        <v>kilogram</v>
      </c>
      <c r="F35" t="s">
        <v>89</v>
      </c>
      <c r="G35" t="s">
        <v>14</v>
      </c>
      <c r="H35" t="str">
        <f>INDEX('ei names mapping'!$B$71:$R$100,MATCH(B3,'ei names mapping'!$A$4:$A$33,0),MATCH(G35,'ei names mapping'!$B$3:$R$3,0))</f>
        <v>Glider lightweighting</v>
      </c>
    </row>
    <row r="36" spans="1:8" x14ac:dyDescent="0.2">
      <c r="A36" t="str">
        <f>INDEX('ei names mapping'!$B$4:$R$33,MATCH(B3,'ei names mapping'!$A$4:$A$33,0),MATCH(G36,'ei names mapping'!$B$3:$R$3,0))</f>
        <v>market for glider, for electric scooter</v>
      </c>
      <c r="B36" s="11">
        <f>INDEX('vehicles specifications'!$B$3:$CW$166,MATCH(B6,'vehicles specifications'!$A$3:$A$166,0),MATCH(G36,'vehicles specifications'!$B$2:$CW$2,0))*INDEX('ei names mapping'!$B$137:$BL$300,MATCH(B6,'ei names mapping'!$A$137:$A$300,0),MATCH(G36,'ei names mapping'!$B$136:$BL$136,0))</f>
        <v>4.5</v>
      </c>
      <c r="C36" t="str">
        <f>INDEX('ei names mapping'!$B$38:$R$67,MATCH(B3,'ei names mapping'!$A$4:$A$33,0),MATCH(G36,'ei names mapping'!$B$3:$R$3,0))</f>
        <v>GLO</v>
      </c>
      <c r="D36" t="str">
        <f>INDEX('ei names mapping'!$B$104:$R$133,MATCH(B3,'ei names mapping'!$A$104:$A$133,0),MATCH(G36,'ei names mapping'!$B$3:$R$3,0))</f>
        <v>kilogram</v>
      </c>
      <c r="F36" t="s">
        <v>89</v>
      </c>
      <c r="G36" t="s">
        <v>16</v>
      </c>
      <c r="H36" t="str">
        <f>INDEX('ei names mapping'!$B$71:$R$100,MATCH(B3,'ei names mapping'!$A$4:$A$33,0),MATCH(G36,'ei names mapping'!$B$3:$R$3,0))</f>
        <v>glider, for electric scooter</v>
      </c>
    </row>
    <row r="37" spans="1:8" x14ac:dyDescent="0.2">
      <c r="A37" t="str">
        <f>INDEX('ei names mapping'!$B$4:$R$33,MATCH(B3,'ei names mapping'!$A$4:$A$33,0),MATCH(G37,'ei names mapping'!$B$3:$R$3,0))</f>
        <v>market for electric powertrain, for electric scooter</v>
      </c>
      <c r="B37" s="11">
        <f>INDEX('vehicles specifications'!$B$3:$CW$166,MATCH(B6,'vehicles specifications'!$A$3:$A$166,0),MATCH(G37,'vehicles specifications'!$B$2:$CW$2,0))*INDEX('ei names mapping'!$B$137:$BL$300,MATCH(B6,'ei names mapping'!$A$137:$A$300,0),MATCH(G37,'ei names mapping'!$B$136:$BL$136,0))</f>
        <v>7.5</v>
      </c>
      <c r="C37" t="str">
        <f>INDEX('ei names mapping'!$B$38:$R$67,MATCH(B3,'ei names mapping'!$A$4:$A$33,0),MATCH(G37,'ei names mapping'!$B$3:$R$3,0))</f>
        <v>GLO</v>
      </c>
      <c r="D37" t="str">
        <f>INDEX('ei names mapping'!$B$104:$R$133,MATCH(B3,'ei names mapping'!$A$104:$A$133,0),MATCH(G37,'ei names mapping'!$B$3:$R$3,0))</f>
        <v>kilogram</v>
      </c>
      <c r="F37" t="s">
        <v>89</v>
      </c>
      <c r="G37" t="s">
        <v>501</v>
      </c>
      <c r="H37" t="str">
        <f>INDEX('ei names mapping'!$B$71:$R$100,MATCH(B3,'ei names mapping'!$A$4:$A$33,0),MATCH(G37,'ei names mapping'!$B$3:$R$3,0))</f>
        <v>powertrain, for electric scooter</v>
      </c>
    </row>
    <row r="38" spans="1:8" x14ac:dyDescent="0.2">
      <c r="A38" t="str">
        <f>INDEX('ei names mapping'!$B$4:$R$33,MATCH(B3,'ei names mapping'!$A$4:$A$33,0),MATCH(G38,'ei names mapping'!$B$3:$R$3,0))</f>
        <v>Battery cell, NMC-622</v>
      </c>
      <c r="B38" s="11">
        <f>INDEX('vehicles specifications'!$B$3:$CW$166,MATCH(B6,'vehicles specifications'!$A$3:$A$166,0),MATCH(G38,'vehicles specifications'!$B$2:$CW$2,0))*INDEX('ei names mapping'!$B$137:$BL$300,MATCH(B6,'ei names mapping'!$A$137:$A$300,0),MATCH(G38,'ei names mapping'!$B$136:$BL$136,0))</f>
        <v>18</v>
      </c>
      <c r="C38" t="str">
        <f>INDEX('ei names mapping'!$B$38:$R$67,MATCH(B3,'ei names mapping'!$A$4:$A$33,0),MATCH(G38,'ei names mapping'!$B$3:$R$3,0))</f>
        <v>GLO</v>
      </c>
      <c r="D38" t="str">
        <f>INDEX('ei names mapping'!$B$104:$R$133,MATCH(B3,'ei names mapping'!$A$104:$A$133,0),MATCH(G38,'ei names mapping'!$B$3:$R$3,0))</f>
        <v>kilogram</v>
      </c>
      <c r="F38" t="s">
        <v>89</v>
      </c>
      <c r="G38" t="s">
        <v>19</v>
      </c>
      <c r="H38" t="str">
        <f>INDEX('ei names mapping'!$B$71:$R$100,MATCH(B3,'ei names mapping'!$A$4:$A$33,0),MATCH(G38,'ei names mapping'!$B$3:$R$3,0))</f>
        <v>Battery cell</v>
      </c>
    </row>
    <row r="39" spans="1:8" x14ac:dyDescent="0.2">
      <c r="A39" t="str">
        <f>INDEX('ei names mapping'!$B$4:$R$33,MATCH(B3,'ei names mapping'!$A$4:$A$33,0),MATCH(G39,'ei names mapping'!$B$3:$R$3,0))</f>
        <v>Battery BoP</v>
      </c>
      <c r="B39" s="11">
        <f>INDEX('vehicles specifications'!$B$3:$CW$166,MATCH(B6,'vehicles specifications'!$A$3:$A$166,0),MATCH(G39,'vehicles specifications'!$B$2:$CW$2,0))*INDEX('ei names mapping'!$B$137:$BL$300,MATCH(B6,'ei names mapping'!$A$137:$A$300,0),MATCH(G39,'ei names mapping'!$B$136:$BL$136,0))</f>
        <v>5.3999999999999995</v>
      </c>
      <c r="C39" t="str">
        <f>INDEX('ei names mapping'!$B$38:$R$67,MATCH(B3,'ei names mapping'!$A$4:$A$33,0),MATCH(G39,'ei names mapping'!$B$3:$R$3,0))</f>
        <v>GLO</v>
      </c>
      <c r="D39" t="str">
        <f>INDEX('ei names mapping'!$B$104:$R$133,MATCH(B3,'ei names mapping'!$A$104:$A$133,0),MATCH(G39,'ei names mapping'!$B$3:$R$3,0))</f>
        <v>kilogram</v>
      </c>
      <c r="F39" t="s">
        <v>89</v>
      </c>
      <c r="G39" t="s">
        <v>20</v>
      </c>
      <c r="H39" t="str">
        <f>INDEX('ei names mapping'!$B$71:$R$100,MATCH(B3,'ei names mapping'!$A$4:$A$33,0),MATCH(G39,'ei names mapping'!$B$3:$R$3,0))</f>
        <v>Battery BoP</v>
      </c>
    </row>
    <row r="40" spans="1:8" x14ac:dyDescent="0.2">
      <c r="A40" t="str">
        <f>INDEX('ei names mapping'!$B$4:$R$33,MATCH(B3,'ei names mapping'!$A$4:$A$33,0),MATCH(G40,'ei names mapping'!$B$3:$R$3,0))</f>
        <v>charging station, 3kW</v>
      </c>
      <c r="B40" s="11">
        <f>INDEX('vehicles specifications'!$B$3:$CW$166,MATCH(B6,'vehicles specifications'!$A$3:$A$166,0),MATCH(G40,'vehicles specifications'!$B$2:$CW$2,0))*INDEX('ei names mapping'!$B$137:$BL$300,MATCH(B6,'ei names mapping'!$A$137:$A$300,0),MATCH(G40,'ei names mapping'!$B$136:$BL$136,0))</f>
        <v>1</v>
      </c>
      <c r="C40" t="str">
        <f>INDEX('ei names mapping'!$B$38:$R$67,MATCH(B3,'ei names mapping'!$A$4:$A$33,0),MATCH(G40,'ei names mapping'!$B$3:$R$3,0))</f>
        <v>GLO</v>
      </c>
      <c r="D40" t="str">
        <f>INDEX('ei names mapping'!$B$104:$R$133,MATCH(B3,'ei names mapping'!$A$104:$A$133,0),MATCH(G40,'ei names mapping'!$B$3:$R$3,0))</f>
        <v>unit</v>
      </c>
      <c r="F40" t="s">
        <v>89</v>
      </c>
      <c r="G40" t="s">
        <v>52</v>
      </c>
      <c r="H40" t="str">
        <f>INDEX('ei names mapping'!$B$71:$R$100,MATCH(B3,'ei names mapping'!$A$4:$A$33,0),MATCH(G40,'ei names mapping'!$B$3:$R$3,0))</f>
        <v>charging station, 3kW</v>
      </c>
    </row>
    <row r="41" spans="1:8" x14ac:dyDescent="0.2">
      <c r="A41" t="str">
        <f>INDEX('ei names mapping'!$B$4:$R$33,MATCH(B3,'ei names mapping'!$A$4:$A$33,0),MATCH(G41,'ei names mapping'!$B$3:$R$3,0))</f>
        <v>manual dismantling of used electric scooter</v>
      </c>
      <c r="B41" s="11">
        <f>INDEX('vehicles specifications'!$B$3:$CW$166,MATCH(B6,'vehicles specifications'!$A$3:$A$166,0),MATCH(G41,'vehicles specifications'!$B$2:$CW$2,0))*INDEX('ei names mapping'!$B$137:$BL$300,MATCH(B6,'ei names mapping'!$A$137:$A$300,0),MATCH(G41,'ei names mapping'!$B$136:$BL$136,0))</f>
        <v>53</v>
      </c>
      <c r="C41" t="str">
        <f>INDEX('ei names mapping'!$B$38:$R$67,MATCH(B3,'ei names mapping'!$A$4:$A$33,0),MATCH(G41,'ei names mapping'!$B$3:$R$3,0))</f>
        <v>GLO</v>
      </c>
      <c r="D41" t="str">
        <f>INDEX('ei names mapping'!$B$104:$R$133,MATCH(B3,'ei names mapping'!$A$104:$A$133,0),MATCH(G41,'ei names mapping'!$B$3:$R$3,0))</f>
        <v>unit</v>
      </c>
      <c r="F41" t="s">
        <v>89</v>
      </c>
      <c r="G41" t="s">
        <v>144</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manual dismantling of used electric scooter</v>
      </c>
      <c r="B42" s="11">
        <f>INDEX('vehicles specifications'!$B$3:$CW$166,MATCH(B6,'vehicles specifications'!$A$3:$A$166,0),MATCH(G42,'vehicles specifications'!$B$2:$CW$2,0))*INDEX('ei names mapping'!$B$137:$BL$300,MATCH(B6,'ei names mapping'!$A$137:$A$300,0),MATCH(G42,'ei names mapping'!$B$136:$BL$136,0))</f>
        <v>12</v>
      </c>
      <c r="C42" t="str">
        <f>INDEX('ei names mapping'!$B$38:$R$67,MATCH(B3,'ei names mapping'!$A$4:$A$33,0),MATCH(G42,'ei names mapping'!$B$3:$R$3,0))</f>
        <v>GLO</v>
      </c>
      <c r="D42" t="str">
        <f>INDEX('ei names mapping'!$B$104:$R$133,MATCH(B3,'ei names mapping'!$A$104:$A$133,0),MATCH(G42,'ei names mapping'!$B$3:$R$3,0))</f>
        <v>unit</v>
      </c>
      <c r="F42" t="s">
        <v>89</v>
      </c>
      <c r="G42" t="s">
        <v>145</v>
      </c>
      <c r="H42" t="str">
        <f>INDEX('ei names mapping'!$B$71:$R$100,MATCH(B3,'ei names mapping'!$A$4:$A$33,0),MATCH(G42,'ei names mapping'!$B$3:$R$3,0))</f>
        <v>manual dismantling of electric scooter</v>
      </c>
    </row>
    <row r="43" spans="1:8" x14ac:dyDescent="0.2">
      <c r="A43" t="str">
        <f>INDEX('ei names mapping'!$B$4:$R$33,MATCH(B3,'ei names mapping'!$A$4:$A$33,0),MATCH(G43,'ei names mapping'!$B$3:$R$3,0))</f>
        <v>market for used Li-ion battery</v>
      </c>
      <c r="B43" s="11">
        <f>INDEX('vehicles specifications'!$B$3:$CW$166,MATCH(B6,'vehicles specifications'!$A$3:$A$166,0),MATCH(G43,'vehicles specifications'!$B$2:$CW$2,0))*INDEX('ei names mapping'!$B$137:$BL$300,MATCH(B6,'ei names mapping'!$A$137:$A$300,0),MATCH(G43,'ei names mapping'!$B$136:$BL$136,0))</f>
        <v>-23.4</v>
      </c>
      <c r="C43" t="str">
        <f>INDEX('ei names mapping'!$B$38:$R$67,MATCH(B3,'ei names mapping'!$A$4:$A$33,0),MATCH(G43,'ei names mapping'!$B$3:$R$3,0))</f>
        <v>GLO</v>
      </c>
      <c r="D43" t="str">
        <f>INDEX('ei names mapping'!$B$104:$R$133,MATCH(B7,'ei names mapping'!$A$104:$A$133,0),MATCH(G43,'ei names mapping'!$B$3:$R$3,0))</f>
        <v>kilogram</v>
      </c>
      <c r="F43" t="s">
        <v>89</v>
      </c>
      <c r="G43" t="s">
        <v>146</v>
      </c>
      <c r="H43" t="str">
        <f>INDEX('ei names mapping'!$B$71:$R$100,MATCH(B3,'ei names mapping'!$A$4:$A$33,0),MATCH(G43,'ei names mapping'!$B$3:$R$3,0))</f>
        <v>used Li-ion battery</v>
      </c>
    </row>
    <row r="44" spans="1:8" x14ac:dyDescent="0.2">
      <c r="A44" s="13" t="s">
        <v>840</v>
      </c>
      <c r="B44">
        <f>(B16/1000)*B29</f>
        <v>76.7</v>
      </c>
      <c r="C44" t="s">
        <v>92</v>
      </c>
      <c r="D44" t="s">
        <v>233</v>
      </c>
      <c r="F44" t="s">
        <v>89</v>
      </c>
      <c r="H44" s="13" t="s">
        <v>841</v>
      </c>
    </row>
    <row r="45" spans="1:8" x14ac:dyDescent="0.2">
      <c r="A45" s="13" t="s">
        <v>441</v>
      </c>
      <c r="B45" s="2">
        <f>(B16/1000)*B28</f>
        <v>1219.53</v>
      </c>
      <c r="C45" t="s">
        <v>95</v>
      </c>
      <c r="D45" t="s">
        <v>233</v>
      </c>
      <c r="F45" t="s">
        <v>89</v>
      </c>
      <c r="H45" s="13" t="s">
        <v>441</v>
      </c>
    </row>
    <row r="46" spans="1:8" x14ac:dyDescent="0.2">
      <c r="B46" s="11"/>
    </row>
    <row r="47" spans="1:8" ht="16" x14ac:dyDescent="0.2">
      <c r="A47" s="10" t="s">
        <v>71</v>
      </c>
      <c r="B47" s="8" t="str">
        <f>B49&amp;", "&amp;B64&amp;" battery, "&amp;B51</f>
        <v>Motorbike, electric, &lt;4kW, NMC battery, 2030</v>
      </c>
    </row>
    <row r="48" spans="1:8" x14ac:dyDescent="0.2">
      <c r="A48" t="s">
        <v>72</v>
      </c>
      <c r="B48" t="s">
        <v>37</v>
      </c>
    </row>
    <row r="49" spans="1:2" x14ac:dyDescent="0.2">
      <c r="A49" t="s">
        <v>86</v>
      </c>
      <c r="B49" t="s">
        <v>492</v>
      </c>
    </row>
    <row r="50" spans="1:2" x14ac:dyDescent="0.2">
      <c r="A50" t="s">
        <v>87</v>
      </c>
    </row>
    <row r="51" spans="1:2" x14ac:dyDescent="0.2">
      <c r="A51" t="s">
        <v>88</v>
      </c>
      <c r="B51">
        <v>2030</v>
      </c>
    </row>
    <row r="52" spans="1:2" x14ac:dyDescent="0.2">
      <c r="A52" t="s">
        <v>126</v>
      </c>
      <c r="B52" t="str">
        <f>B49&amp;" - "&amp;B51&amp;" - "&amp;B64&amp;" - "&amp;B48</f>
        <v>Motorbike, electric, &lt;4kW - 2030 - NMC - CH</v>
      </c>
    </row>
    <row r="53" spans="1:2" x14ac:dyDescent="0.2">
      <c r="A53" t="s">
        <v>73</v>
      </c>
      <c r="B53" t="str">
        <f>B49</f>
        <v>Motorbike, electric, &lt;4kW</v>
      </c>
    </row>
    <row r="54" spans="1:2" x14ac:dyDescent="0.2">
      <c r="A54" t="s">
        <v>74</v>
      </c>
      <c r="B54" t="s">
        <v>75</v>
      </c>
    </row>
    <row r="55" spans="1:2" x14ac:dyDescent="0.2">
      <c r="A55" t="s">
        <v>76</v>
      </c>
      <c r="B55" t="s">
        <v>76</v>
      </c>
    </row>
    <row r="56" spans="1:2" x14ac:dyDescent="0.2">
      <c r="A56" t="s">
        <v>78</v>
      </c>
      <c r="B56" t="s">
        <v>1143</v>
      </c>
    </row>
    <row r="57" spans="1:2" x14ac:dyDescent="0.2">
      <c r="A57" t="s">
        <v>127</v>
      </c>
      <c r="B57">
        <f>INDEX('vehicles specifications'!$B$3:$CW$166,MATCH(B52,'vehicles specifications'!$A$3:$A$166,0),MATCH("Lifetime [km]",'vehicles specifications'!$B$2:$CW$2,0))</f>
        <v>25000</v>
      </c>
    </row>
    <row r="58" spans="1:2" x14ac:dyDescent="0.2">
      <c r="A58" t="s">
        <v>128</v>
      </c>
      <c r="B58">
        <f>INDEX('vehicles specifications'!$B$3:$CW$166,MATCH(B52,'vehicles specifications'!$A$3:$A$166,0),MATCH("Passengers [unit]",'vehicles specifications'!$B$2:$CW$2,0))</f>
        <v>1.1000000000000001</v>
      </c>
    </row>
    <row r="59" spans="1:2" x14ac:dyDescent="0.2">
      <c r="A59" t="s">
        <v>129</v>
      </c>
      <c r="B59">
        <f>INDEX('vehicles specifications'!$B$3:$CW$166,MATCH(B52,'vehicles specifications'!$A$3:$A$166,0),MATCH("Servicing [unit]",'vehicles specifications'!$B$2:$CW$2,0))</f>
        <v>1</v>
      </c>
    </row>
    <row r="60" spans="1:2" x14ac:dyDescent="0.2">
      <c r="A60" t="s">
        <v>130</v>
      </c>
      <c r="B60">
        <f>INDEX('vehicles specifications'!$B$3:$CW$166,MATCH(B52,'vehicles specifications'!$A$3:$A$166,0),MATCH("Energy battery replacement [unit]",'vehicles specifications'!$B$2:$CW$2,0))</f>
        <v>0.5</v>
      </c>
    </row>
    <row r="61" spans="1:2" x14ac:dyDescent="0.2">
      <c r="A61" t="s">
        <v>131</v>
      </c>
      <c r="B61">
        <f>INDEX('vehicles specifications'!$B$3:$CW$166,MATCH(B52,'vehicles specifications'!$A$3:$A$166,0),MATCH("Annual kilometers [km]",'vehicles specifications'!$B$2:$CW$2,0))</f>
        <v>1776</v>
      </c>
    </row>
    <row r="62" spans="1:2" x14ac:dyDescent="0.2">
      <c r="A62" t="s">
        <v>132</v>
      </c>
      <c r="B62" s="2">
        <f>INDEX('vehicles specifications'!$B$3:$CW$166,MATCH(B52,'vehicles specifications'!$A$3:$A$166,0),MATCH("Curb mass [kg]",'vehicles specifications'!$B$2:$CW$2,0))</f>
        <v>77.276666666666671</v>
      </c>
    </row>
    <row r="63" spans="1:2" x14ac:dyDescent="0.2">
      <c r="A63" t="s">
        <v>133</v>
      </c>
      <c r="B63">
        <f>INDEX('vehicles specifications'!$B$3:$CW$166,MATCH(B52,'vehicles specifications'!$A$3:$A$166,0),MATCH("Power [kW]",'vehicles specifications'!$B$2:$CW$2,0))</f>
        <v>2.5</v>
      </c>
    </row>
    <row r="64" spans="1:2" x14ac:dyDescent="0.2">
      <c r="A64" t="s">
        <v>652</v>
      </c>
      <c r="B64" s="20" t="s">
        <v>43</v>
      </c>
    </row>
    <row r="65" spans="1:8" x14ac:dyDescent="0.2">
      <c r="A65" t="s">
        <v>134</v>
      </c>
      <c r="B65">
        <f>INDEX('vehicles specifications'!$B$3:$CW$166,MATCH(B52,'vehicles specifications'!$A$3:$A$166,0),MATCH("Energy battery mass [kg]",'vehicles specifications'!$B$2:$CW$2,0))</f>
        <v>13.866666666666667</v>
      </c>
    </row>
    <row r="66" spans="1:8" x14ac:dyDescent="0.2">
      <c r="A66" t="s">
        <v>135</v>
      </c>
      <c r="B66">
        <f>INDEX('vehicles specifications'!$B$3:$CW$166,MATCH(B52,'vehicles specifications'!$A$3:$A$166,0),MATCH("Electric energy stored [kWh]",'vehicles specifications'!$B$2:$CW$2,0))</f>
        <v>3.2</v>
      </c>
    </row>
    <row r="67" spans="1:8" x14ac:dyDescent="0.2">
      <c r="A67" t="s">
        <v>588</v>
      </c>
      <c r="B67">
        <f>INDEX('vehicles specifications'!$B$3:$CW$166,MATCH(B52,'vehicles specifications'!$A$3:$A$166,0),MATCH("Electric energy available [kWh]",'vehicles specifications'!$B$2:$CW$2,0))</f>
        <v>2.5600000000000005</v>
      </c>
    </row>
    <row r="68" spans="1:8" x14ac:dyDescent="0.2">
      <c r="A68" t="s">
        <v>138</v>
      </c>
      <c r="B68" s="2">
        <f>INDEX('vehicles specifications'!$B$3:$CW$166,MATCH(B52,'vehicles specifications'!$A$3:$A$166,0),MATCH("Oxydation energy stored [kWh]",'vehicles specifications'!$B$2:$CW$2,0))</f>
        <v>0</v>
      </c>
    </row>
    <row r="69" spans="1:8" x14ac:dyDescent="0.2">
      <c r="A69" t="s">
        <v>139</v>
      </c>
      <c r="B69">
        <f>INDEX('vehicles specifications'!$B$3:$CW$166,MATCH(B52,'vehicles specifications'!$A$3:$A$166,0),MATCH("Fuel mass [kg]",'vehicles specifications'!$B$2:$CW$2,0))</f>
        <v>0</v>
      </c>
    </row>
    <row r="70" spans="1:8" x14ac:dyDescent="0.2">
      <c r="A70" t="s">
        <v>136</v>
      </c>
      <c r="B70" s="2">
        <f>INDEX('vehicles specifications'!$B$3:$CW$166,MATCH(B52,'vehicles specifications'!$A$3:$A$166,0),MATCH("Range [km]",'vehicles specifications'!$B$2:$CW$2,0))</f>
        <v>76.165289256198363</v>
      </c>
    </row>
    <row r="71" spans="1:8" x14ac:dyDescent="0.2">
      <c r="A71" t="s">
        <v>137</v>
      </c>
      <c r="B71" t="str">
        <f>INDEX('vehicles specifications'!$B$3:$CW$166,MATCH(B52,'vehicles specifications'!$A$3:$A$166,0),MATCH("Emission standard",'vehicles specifications'!$B$2:$CW$2,0))</f>
        <v>None</v>
      </c>
    </row>
    <row r="72" spans="1:8" x14ac:dyDescent="0.2">
      <c r="A72" t="s">
        <v>1174</v>
      </c>
      <c r="B72" s="6">
        <f>INDEX('vehicles specifications'!$B$3:$CW$166,MATCH(B52,'vehicles specifications'!$A$3:$A$166,0),MATCH("Lightweighting rate [%]",'vehicles specifications'!$B$2:$CW$2,0))</f>
        <v>0.03</v>
      </c>
    </row>
    <row r="73" spans="1:8" x14ac:dyDescent="0.2">
      <c r="A73" t="s">
        <v>485</v>
      </c>
      <c r="B73" s="6" t="s">
        <v>486</v>
      </c>
    </row>
    <row r="74" spans="1:8" x14ac:dyDescent="0.2">
      <c r="A74" t="s">
        <v>487</v>
      </c>
      <c r="B74" s="2">
        <v>15900</v>
      </c>
    </row>
    <row r="75" spans="1:8" x14ac:dyDescent="0.2">
      <c r="A75" t="s">
        <v>488</v>
      </c>
      <c r="B75" s="2">
        <v>1000</v>
      </c>
    </row>
    <row r="76" spans="1:8" x14ac:dyDescent="0.2">
      <c r="A76" t="s">
        <v>83</v>
      </c>
      <c r="B76"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6" x14ac:dyDescent="0.2">
      <c r="A77" s="10" t="s">
        <v>79</v>
      </c>
    </row>
    <row r="78" spans="1:8" x14ac:dyDescent="0.2">
      <c r="A78" t="s">
        <v>80</v>
      </c>
      <c r="B78" t="s">
        <v>81</v>
      </c>
      <c r="C78" t="s">
        <v>72</v>
      </c>
      <c r="D78" t="s">
        <v>76</v>
      </c>
      <c r="E78" t="s">
        <v>82</v>
      </c>
      <c r="F78" t="s">
        <v>74</v>
      </c>
      <c r="G78" t="s">
        <v>83</v>
      </c>
      <c r="H78" t="s">
        <v>73</v>
      </c>
    </row>
    <row r="79" spans="1:8" x14ac:dyDescent="0.2">
      <c r="A79" t="str">
        <f>B47</f>
        <v>Motorbike, electric, &lt;4kW, NMC battery, 2030</v>
      </c>
      <c r="B79">
        <v>1</v>
      </c>
      <c r="C79" t="str">
        <f>B48</f>
        <v>CH</v>
      </c>
      <c r="D79" t="str">
        <f>B55</f>
        <v>unit</v>
      </c>
      <c r="F79" t="s">
        <v>84</v>
      </c>
      <c r="G79" t="s">
        <v>85</v>
      </c>
      <c r="H79" t="str">
        <f>B49</f>
        <v>Motorbike, electric, &lt;4kW</v>
      </c>
    </row>
    <row r="80" spans="1:8" x14ac:dyDescent="0.2">
      <c r="A80" t="str">
        <f>INDEX('ei names mapping'!$B$4:$R$33,MATCH(B49,'ei names mapping'!$A$4:$A$33,0),MATCH(G80,'ei names mapping'!$B$3:$R$3,0))</f>
        <v>market for glider, for electric scooter</v>
      </c>
      <c r="B80" s="11">
        <f>INDEX('vehicles specifications'!$B$3:$CW$166,MATCH(B52,'vehicles specifications'!$A$3:$A$166,0),MATCH(G80,'vehicles specifications'!$B$2:$CW$2,0))*INDEX('ei names mapping'!$B$137:$BL$300,MATCH(B52,'ei names mapping'!$A$137:$A$300,0),MATCH(G80,'ei names mapping'!$B$136:$BL$136,0))</f>
        <v>53</v>
      </c>
      <c r="C80" t="str">
        <f>INDEX('ei names mapping'!$B$38:$R$67,MATCH(B49,'ei names mapping'!$A$4:$A$33,0),MATCH(G80,'ei names mapping'!$B$3:$R$3,0))</f>
        <v>GLO</v>
      </c>
      <c r="D80" t="str">
        <f>INDEX('ei names mapping'!$B$104:$R$133,MATCH(B49,'ei names mapping'!$A$104:$A$133,0),MATCH(G80,'ei names mapping'!$B$3:$R$3,0))</f>
        <v>kilogram</v>
      </c>
      <c r="F80" t="s">
        <v>89</v>
      </c>
      <c r="G80" t="s">
        <v>15</v>
      </c>
      <c r="H80" t="str">
        <f>INDEX('ei names mapping'!$B$71:$R$100,MATCH(B49,'ei names mapping'!$A$4:$A$33,0),MATCH(G80,'ei names mapping'!$B$3:$R$3,0))</f>
        <v>glider, for electric scooter</v>
      </c>
    </row>
    <row r="81" spans="1:8" x14ac:dyDescent="0.2">
      <c r="A81" t="str">
        <f>INDEX('ei names mapping'!$B$4:$R$33,MATCH(B49,'ei names mapping'!$A$4:$A$33,0),MATCH(G81,'ei names mapping'!$B$3:$R$3,0))</f>
        <v>Glider lightweighting</v>
      </c>
      <c r="B81" s="11">
        <f>INDEX('vehicles specifications'!$B$3:$CW$166,MATCH(B52,'vehicles specifications'!$A$3:$A$166,0),MATCH(G81,'vehicles specifications'!$B$2:$CW$2,0))*INDEX('ei names mapping'!$B$137:$BL$300,MATCH(B52,'ei names mapping'!$A$137:$A$300,0),MATCH(G81,'ei names mapping'!$B$136:$BL$136,0))</f>
        <v>1.5899999999999999</v>
      </c>
      <c r="C81" t="str">
        <f>INDEX('ei names mapping'!$B$38:$R$67,MATCH(B49,'ei names mapping'!$A$4:$A$33,0),MATCH(G81,'ei names mapping'!$B$3:$R$3,0))</f>
        <v>GLO</v>
      </c>
      <c r="D81" t="str">
        <f>INDEX('ei names mapping'!$B$104:$R$133,MATCH(B49,'ei names mapping'!$A$104:$A$133,0),MATCH(G81,'ei names mapping'!$B$3:$R$3,0))</f>
        <v>kilogram</v>
      </c>
      <c r="F81" t="s">
        <v>89</v>
      </c>
      <c r="G81" t="s">
        <v>14</v>
      </c>
      <c r="H81" t="str">
        <f>INDEX('ei names mapping'!$B$71:$R$100,MATCH(B49,'ei names mapping'!$A$4:$A$33,0),MATCH(G81,'ei names mapping'!$B$3:$R$3,0))</f>
        <v>Glider lightweighting</v>
      </c>
    </row>
    <row r="82" spans="1:8" x14ac:dyDescent="0.2">
      <c r="A82" t="str">
        <f>INDEX('ei names mapping'!$B$4:$R$33,MATCH(B49,'ei names mapping'!$A$4:$A$33,0),MATCH(G82,'ei names mapping'!$B$3:$R$3,0))</f>
        <v>market for glider, for electric scooter</v>
      </c>
      <c r="B82" s="11">
        <f>INDEX('vehicles specifications'!$B$3:$CW$166,MATCH(B52,'vehicles specifications'!$A$3:$A$166,0),MATCH(G82,'vehicles specifications'!$B$2:$CW$2,0))*INDEX('ei names mapping'!$B$137:$BL$300,MATCH(B52,'ei names mapping'!$A$137:$A$300,0),MATCH(G82,'ei names mapping'!$B$136:$BL$136,0))</f>
        <v>4.5</v>
      </c>
      <c r="C82" t="str">
        <f>INDEX('ei names mapping'!$B$38:$R$67,MATCH(B49,'ei names mapping'!$A$4:$A$33,0),MATCH(G82,'ei names mapping'!$B$3:$R$3,0))</f>
        <v>GLO</v>
      </c>
      <c r="D82" t="str">
        <f>INDEX('ei names mapping'!$B$104:$R$133,MATCH(B49,'ei names mapping'!$A$104:$A$133,0),MATCH(G82,'ei names mapping'!$B$3:$R$3,0))</f>
        <v>kilogram</v>
      </c>
      <c r="F82" t="s">
        <v>89</v>
      </c>
      <c r="G82" t="s">
        <v>16</v>
      </c>
      <c r="H82" t="str">
        <f>INDEX('ei names mapping'!$B$71:$R$100,MATCH(B49,'ei names mapping'!$A$4:$A$33,0),MATCH(G82,'ei names mapping'!$B$3:$R$3,0))</f>
        <v>glider, for electric scooter</v>
      </c>
    </row>
    <row r="83" spans="1:8" x14ac:dyDescent="0.2">
      <c r="A83" t="str">
        <f>INDEX('ei names mapping'!$B$4:$R$33,MATCH(B49,'ei names mapping'!$A$4:$A$33,0),MATCH(G83,'ei names mapping'!$B$3:$R$3,0))</f>
        <v>market for electric powertrain, for electric scooter</v>
      </c>
      <c r="B83" s="11">
        <f>INDEX('vehicles specifications'!$B$3:$CW$166,MATCH(B52,'vehicles specifications'!$A$3:$A$166,0),MATCH(G83,'vehicles specifications'!$B$2:$CW$2,0))*INDEX('ei names mapping'!$B$137:$BL$300,MATCH(B52,'ei names mapping'!$A$137:$A$300,0),MATCH(G83,'ei names mapping'!$B$136:$BL$136,0))</f>
        <v>7.5</v>
      </c>
      <c r="C83" t="str">
        <f>INDEX('ei names mapping'!$B$38:$R$67,MATCH(B49,'ei names mapping'!$A$4:$A$33,0),MATCH(G83,'ei names mapping'!$B$3:$R$3,0))</f>
        <v>GLO</v>
      </c>
      <c r="D83" t="str">
        <f>INDEX('ei names mapping'!$B$104:$R$133,MATCH(B49,'ei names mapping'!$A$104:$A$133,0),MATCH(G83,'ei names mapping'!$B$3:$R$3,0))</f>
        <v>kilogram</v>
      </c>
      <c r="F83" t="s">
        <v>89</v>
      </c>
      <c r="G83" t="s">
        <v>501</v>
      </c>
      <c r="H83" t="str">
        <f>INDEX('ei names mapping'!$B$71:$R$100,MATCH(B49,'ei names mapping'!$A$4:$A$33,0),MATCH(G83,'ei names mapping'!$B$3:$R$3,0))</f>
        <v>powertrain, for electric scooter</v>
      </c>
    </row>
    <row r="84" spans="1:8" x14ac:dyDescent="0.2">
      <c r="A84" t="str">
        <f>INDEX('ei names mapping'!$B$4:$R$33,MATCH(B49,'ei names mapping'!$A$4:$A$33,0),MATCH(G84,'ei names mapping'!$B$3:$R$3,0))</f>
        <v>Battery cell, NMC-622</v>
      </c>
      <c r="B84" s="11">
        <f>INDEX('vehicles specifications'!$B$3:$CW$166,MATCH(B52,'vehicles specifications'!$A$3:$A$166,0),MATCH(G84,'vehicles specifications'!$B$2:$CW$2,0))*INDEX('ei names mapping'!$B$137:$BL$300,MATCH(B52,'ei names mapping'!$A$137:$A$300,0),MATCH(G84,'ei names mapping'!$B$136:$BL$136,0))</f>
        <v>13.333333333333336</v>
      </c>
      <c r="C84" t="str">
        <f>INDEX('ei names mapping'!$B$38:$R$67,MATCH(B49,'ei names mapping'!$A$4:$A$33,0),MATCH(G84,'ei names mapping'!$B$3:$R$3,0))</f>
        <v>GLO</v>
      </c>
      <c r="D84" t="str">
        <f>INDEX('ei names mapping'!$B$104:$R$133,MATCH(B49,'ei names mapping'!$A$104:$A$133,0),MATCH(G84,'ei names mapping'!$B$3:$R$3,0))</f>
        <v>kilogram</v>
      </c>
      <c r="F84" t="s">
        <v>89</v>
      </c>
      <c r="G84" t="s">
        <v>19</v>
      </c>
      <c r="H84" t="str">
        <f>INDEX('ei names mapping'!$B$71:$R$100,MATCH(B49,'ei names mapping'!$A$4:$A$33,0),MATCH(G84,'ei names mapping'!$B$3:$R$3,0))</f>
        <v>Battery cell</v>
      </c>
    </row>
    <row r="85" spans="1:8" x14ac:dyDescent="0.2">
      <c r="A85" t="str">
        <f>INDEX('ei names mapping'!$B$4:$R$33,MATCH(B49,'ei names mapping'!$A$4:$A$33,0),MATCH(G85,'ei names mapping'!$B$3:$R$3,0))</f>
        <v>Battery BoP</v>
      </c>
      <c r="B85" s="11">
        <f>INDEX('vehicles specifications'!$B$3:$CW$166,MATCH(B52,'vehicles specifications'!$A$3:$A$166,0),MATCH(G85,'vehicles specifications'!$B$2:$CW$2,0))*INDEX('ei names mapping'!$B$137:$BL$300,MATCH(B52,'ei names mapping'!$A$137:$A$300,0),MATCH(G85,'ei names mapping'!$B$136:$BL$136,0))</f>
        <v>4</v>
      </c>
      <c r="C85" t="str">
        <f>INDEX('ei names mapping'!$B$38:$R$67,MATCH(B49,'ei names mapping'!$A$4:$A$33,0),MATCH(G85,'ei names mapping'!$B$3:$R$3,0))</f>
        <v>GLO</v>
      </c>
      <c r="D85" t="str">
        <f>INDEX('ei names mapping'!$B$104:$R$133,MATCH(B49,'ei names mapping'!$A$104:$A$133,0),MATCH(G85,'ei names mapping'!$B$3:$R$3,0))</f>
        <v>kilogram</v>
      </c>
      <c r="F85" t="s">
        <v>89</v>
      </c>
      <c r="G85" t="s">
        <v>20</v>
      </c>
      <c r="H85" t="str">
        <f>INDEX('ei names mapping'!$B$71:$R$100,MATCH(B49,'ei names mapping'!$A$4:$A$33,0),MATCH(G85,'ei names mapping'!$B$3:$R$3,0))</f>
        <v>Battery BoP</v>
      </c>
    </row>
    <row r="86" spans="1:8" x14ac:dyDescent="0.2">
      <c r="A86" t="str">
        <f>INDEX('ei names mapping'!$B$4:$R$33,MATCH(B49,'ei names mapping'!$A$4:$A$33,0),MATCH(G86,'ei names mapping'!$B$3:$R$3,0))</f>
        <v>charging station, 3kW</v>
      </c>
      <c r="B86" s="11">
        <f>INDEX('vehicles specifications'!$B$3:$CW$166,MATCH(B52,'vehicles specifications'!$A$3:$A$166,0),MATCH(G86,'vehicles specifications'!$B$2:$CW$2,0))*INDEX('ei names mapping'!$B$137:$BL$300,MATCH(B52,'ei names mapping'!$A$137:$A$300,0),MATCH(G86,'ei names mapping'!$B$136:$BL$136,0))</f>
        <v>1</v>
      </c>
      <c r="C86" t="str">
        <f>INDEX('ei names mapping'!$B$38:$R$67,MATCH(B49,'ei names mapping'!$A$4:$A$33,0),MATCH(G86,'ei names mapping'!$B$3:$R$3,0))</f>
        <v>GLO</v>
      </c>
      <c r="D86" t="str">
        <f>INDEX('ei names mapping'!$B$104:$R$133,MATCH(B49,'ei names mapping'!$A$104:$A$133,0),MATCH(G86,'ei names mapping'!$B$3:$R$3,0))</f>
        <v>unit</v>
      </c>
      <c r="F86" t="s">
        <v>89</v>
      </c>
      <c r="G86" t="s">
        <v>52</v>
      </c>
      <c r="H86" t="str">
        <f>INDEX('ei names mapping'!$B$71:$R$100,MATCH(B49,'ei names mapping'!$A$4:$A$33,0),MATCH(G86,'ei names mapping'!$B$3:$R$3,0))</f>
        <v>charging station, 3kW</v>
      </c>
    </row>
    <row r="87" spans="1:8" x14ac:dyDescent="0.2">
      <c r="A87" t="str">
        <f>INDEX('ei names mapping'!$B$4:$R$33,MATCH(B49,'ei names mapping'!$A$4:$A$33,0),MATCH(G87,'ei names mapping'!$B$3:$R$3,0))</f>
        <v>manual dismantling of used electric scooter</v>
      </c>
      <c r="B87" s="11">
        <f>INDEX('vehicles specifications'!$B$3:$CW$166,MATCH(B52,'vehicles specifications'!$A$3:$A$166,0),MATCH(G87,'vehicles specifications'!$B$2:$CW$2,0))*INDEX('ei names mapping'!$B$137:$BL$300,MATCH(B52,'ei names mapping'!$A$137:$A$300,0),MATCH(G87,'ei names mapping'!$B$136:$BL$136,0))</f>
        <v>51.41</v>
      </c>
      <c r="C87" t="str">
        <f>INDEX('ei names mapping'!$B$38:$R$67,MATCH(B49,'ei names mapping'!$A$4:$A$33,0),MATCH(G87,'ei names mapping'!$B$3:$R$3,0))</f>
        <v>GLO</v>
      </c>
      <c r="D87" t="str">
        <f>INDEX('ei names mapping'!$B$104:$R$133,MATCH(B49,'ei names mapping'!$A$104:$A$133,0),MATCH(G87,'ei names mapping'!$B$3:$R$3,0))</f>
        <v>unit</v>
      </c>
      <c r="F87" t="s">
        <v>89</v>
      </c>
      <c r="G87" t="s">
        <v>144</v>
      </c>
      <c r="H87" t="str">
        <f>INDEX('ei names mapping'!$B$71:$R$100,MATCH(B49,'ei names mapping'!$A$4:$A$33,0),MATCH(G87,'ei names mapping'!$B$3:$R$3,0))</f>
        <v>manual dismantling of electric scooter</v>
      </c>
    </row>
    <row r="88" spans="1:8" x14ac:dyDescent="0.2">
      <c r="A88" t="str">
        <f>INDEX('ei names mapping'!$B$4:$R$33,MATCH(B49,'ei names mapping'!$A$4:$A$33,0),MATCH(G88,'ei names mapping'!$B$3:$R$3,0))</f>
        <v>manual dismantling of used electric scooter</v>
      </c>
      <c r="B88" s="11">
        <f>INDEX('vehicles specifications'!$B$3:$CW$166,MATCH(B52,'vehicles specifications'!$A$3:$A$166,0),MATCH(G88,'vehicles specifications'!$B$2:$CW$2,0))*INDEX('ei names mapping'!$B$137:$BL$300,MATCH(B52,'ei names mapping'!$A$137:$A$300,0),MATCH(G88,'ei names mapping'!$B$136:$BL$136,0))</f>
        <v>12</v>
      </c>
      <c r="C88" t="str">
        <f>INDEX('ei names mapping'!$B$38:$R$67,MATCH(B49,'ei names mapping'!$A$4:$A$33,0),MATCH(G88,'ei names mapping'!$B$3:$R$3,0))</f>
        <v>GLO</v>
      </c>
      <c r="D88" t="str">
        <f>INDEX('ei names mapping'!$B$104:$R$133,MATCH(B49,'ei names mapping'!$A$104:$A$133,0),MATCH(G88,'ei names mapping'!$B$3:$R$3,0))</f>
        <v>unit</v>
      </c>
      <c r="F88" t="s">
        <v>89</v>
      </c>
      <c r="G88" t="s">
        <v>145</v>
      </c>
      <c r="H88" t="str">
        <f>INDEX('ei names mapping'!$B$71:$R$100,MATCH(B49,'ei names mapping'!$A$4:$A$33,0),MATCH(G88,'ei names mapping'!$B$3:$R$3,0))</f>
        <v>manual dismantling of electric scooter</v>
      </c>
    </row>
    <row r="89" spans="1:8" x14ac:dyDescent="0.2">
      <c r="A89" t="str">
        <f>INDEX('ei names mapping'!$B$4:$R$33,MATCH(B49,'ei names mapping'!$A$4:$A$33,0),MATCH(G89,'ei names mapping'!$B$3:$R$3,0))</f>
        <v>market for used Li-ion battery</v>
      </c>
      <c r="B89" s="11">
        <f>INDEX('vehicles specifications'!$B$3:$CW$166,MATCH(B52,'vehicles specifications'!$A$3:$A$166,0),MATCH(G89,'vehicles specifications'!$B$2:$CW$2,0))*INDEX('ei names mapping'!$B$137:$BL$300,MATCH(B52,'ei names mapping'!$A$137:$A$300,0),MATCH(G89,'ei names mapping'!$B$136:$BL$136,0))</f>
        <v>-17.333333333333336</v>
      </c>
      <c r="C89" t="str">
        <f>INDEX('ei names mapping'!$B$38:$R$67,MATCH(B49,'ei names mapping'!$A$4:$A$33,0),MATCH(G89,'ei names mapping'!$B$3:$R$3,0))</f>
        <v>GLO</v>
      </c>
      <c r="D89" t="str">
        <f>INDEX('ei names mapping'!$B$104:$R$133,MATCH(B53,'ei names mapping'!$A$104:$A$133,0),MATCH(G89,'ei names mapping'!$B$3:$R$3,0))</f>
        <v>kilogram</v>
      </c>
      <c r="F89" t="s">
        <v>89</v>
      </c>
      <c r="G89" t="s">
        <v>146</v>
      </c>
      <c r="H89" t="str">
        <f>INDEX('ei names mapping'!$B$71:$R$100,MATCH(B49,'ei names mapping'!$A$4:$A$33,0),MATCH(G89,'ei names mapping'!$B$3:$R$3,0))</f>
        <v>used Li-ion battery</v>
      </c>
    </row>
    <row r="90" spans="1:8" x14ac:dyDescent="0.2">
      <c r="A90" s="13" t="s">
        <v>840</v>
      </c>
      <c r="B90">
        <f>(B62/1000)*B75</f>
        <v>77.276666666666671</v>
      </c>
      <c r="C90" t="s">
        <v>92</v>
      </c>
      <c r="D90" t="s">
        <v>233</v>
      </c>
      <c r="F90" t="s">
        <v>89</v>
      </c>
      <c r="H90" s="13" t="s">
        <v>841</v>
      </c>
    </row>
    <row r="91" spans="1:8" x14ac:dyDescent="0.2">
      <c r="A91" s="13" t="s">
        <v>441</v>
      </c>
      <c r="B91" s="2">
        <f>(B62/1000)*B74</f>
        <v>1228.6990000000001</v>
      </c>
      <c r="C91" t="s">
        <v>95</v>
      </c>
      <c r="D91" t="s">
        <v>233</v>
      </c>
      <c r="F91" t="s">
        <v>89</v>
      </c>
      <c r="H91" s="13" t="s">
        <v>441</v>
      </c>
    </row>
    <row r="93" spans="1:8" ht="16" x14ac:dyDescent="0.2">
      <c r="A93" s="10" t="s">
        <v>71</v>
      </c>
      <c r="B93" s="8" t="str">
        <f>B95&amp;", "&amp;B110&amp;" battery, "&amp;B97</f>
        <v>Motorbike, electric, &lt;4kW, NMC battery, 2040</v>
      </c>
    </row>
    <row r="94" spans="1:8" x14ac:dyDescent="0.2">
      <c r="A94" t="s">
        <v>72</v>
      </c>
      <c r="B94" t="s">
        <v>37</v>
      </c>
    </row>
    <row r="95" spans="1:8" x14ac:dyDescent="0.2">
      <c r="A95" t="s">
        <v>86</v>
      </c>
      <c r="B95" t="s">
        <v>492</v>
      </c>
    </row>
    <row r="96" spans="1:8" x14ac:dyDescent="0.2">
      <c r="A96" t="s">
        <v>87</v>
      </c>
    </row>
    <row r="97" spans="1:2" x14ac:dyDescent="0.2">
      <c r="A97" t="s">
        <v>88</v>
      </c>
      <c r="B97">
        <v>2040</v>
      </c>
    </row>
    <row r="98" spans="1:2" x14ac:dyDescent="0.2">
      <c r="A98" t="s">
        <v>126</v>
      </c>
      <c r="B98" t="str">
        <f>B95&amp;" - "&amp;B97&amp;" - "&amp;B110&amp;" - "&amp;B94</f>
        <v>Motorbike, electric, &lt;4kW - 2040 - NMC - CH</v>
      </c>
    </row>
    <row r="99" spans="1:2" x14ac:dyDescent="0.2">
      <c r="A99" t="s">
        <v>73</v>
      </c>
      <c r="B99" t="str">
        <f>B95</f>
        <v>Motorbike, electric, &lt;4kW</v>
      </c>
    </row>
    <row r="100" spans="1:2" x14ac:dyDescent="0.2">
      <c r="A100" t="s">
        <v>74</v>
      </c>
      <c r="B100" t="s">
        <v>75</v>
      </c>
    </row>
    <row r="101" spans="1:2" x14ac:dyDescent="0.2">
      <c r="A101" t="s">
        <v>76</v>
      </c>
      <c r="B101" t="s">
        <v>76</v>
      </c>
    </row>
    <row r="102" spans="1:2" x14ac:dyDescent="0.2">
      <c r="A102" t="s">
        <v>78</v>
      </c>
      <c r="B102" t="s">
        <v>1143</v>
      </c>
    </row>
    <row r="103" spans="1:2" x14ac:dyDescent="0.2">
      <c r="A103" t="s">
        <v>127</v>
      </c>
      <c r="B103">
        <f>INDEX('vehicles specifications'!$B$3:$CW$166,MATCH(B98,'vehicles specifications'!$A$3:$A$166,0),MATCH("Lifetime [km]",'vehicles specifications'!$B$2:$CW$2,0))</f>
        <v>25000</v>
      </c>
    </row>
    <row r="104" spans="1:2" x14ac:dyDescent="0.2">
      <c r="A104" t="s">
        <v>128</v>
      </c>
      <c r="B104">
        <f>INDEX('vehicles specifications'!$B$3:$CW$166,MATCH(B98,'vehicles specifications'!$A$3:$A$166,0),MATCH("Passengers [unit]",'vehicles specifications'!$B$2:$CW$2,0))</f>
        <v>1.1000000000000001</v>
      </c>
    </row>
    <row r="105" spans="1:2" x14ac:dyDescent="0.2">
      <c r="A105" t="s">
        <v>129</v>
      </c>
      <c r="B105">
        <f>INDEX('vehicles specifications'!$B$3:$CW$166,MATCH(B98,'vehicles specifications'!$A$3:$A$166,0),MATCH("Servicing [unit]",'vehicles specifications'!$B$2:$CW$2,0))</f>
        <v>1</v>
      </c>
    </row>
    <row r="106" spans="1:2" x14ac:dyDescent="0.2">
      <c r="A106" t="s">
        <v>130</v>
      </c>
      <c r="B106">
        <f>INDEX('vehicles specifications'!$B$3:$CW$166,MATCH(B98,'vehicles specifications'!$A$3:$A$166,0),MATCH("Energy battery replacement [unit]",'vehicles specifications'!$B$2:$CW$2,0))</f>
        <v>0.25</v>
      </c>
    </row>
    <row r="107" spans="1:2" x14ac:dyDescent="0.2">
      <c r="A107" t="s">
        <v>131</v>
      </c>
      <c r="B107">
        <f>INDEX('vehicles specifications'!$B$3:$CW$166,MATCH(B98,'vehicles specifications'!$A$3:$A$166,0),MATCH("Annual kilometers [km]",'vehicles specifications'!$B$2:$CW$2,0))</f>
        <v>1776</v>
      </c>
    </row>
    <row r="108" spans="1:2" x14ac:dyDescent="0.2">
      <c r="A108" t="s">
        <v>132</v>
      </c>
      <c r="B108" s="2">
        <f>INDEX('vehicles specifications'!$B$3:$CW$166,MATCH(B98,'vehicles specifications'!$A$3:$A$166,0),MATCH("Curb mass [kg]",'vehicles specifications'!$B$2:$CW$2,0))</f>
        <v>76.974999999999994</v>
      </c>
    </row>
    <row r="109" spans="1:2" x14ac:dyDescent="0.2">
      <c r="A109" t="s">
        <v>133</v>
      </c>
      <c r="B109">
        <f>INDEX('vehicles specifications'!$B$3:$CW$166,MATCH(B98,'vehicles specifications'!$A$3:$A$166,0),MATCH("Power [kW]",'vehicles specifications'!$B$2:$CW$2,0))</f>
        <v>2.5</v>
      </c>
    </row>
    <row r="110" spans="1:2" x14ac:dyDescent="0.2">
      <c r="A110" t="s">
        <v>652</v>
      </c>
      <c r="B110" s="20" t="s">
        <v>43</v>
      </c>
    </row>
    <row r="111" spans="1:2" x14ac:dyDescent="0.2">
      <c r="A111" t="s">
        <v>134</v>
      </c>
      <c r="B111">
        <f>INDEX('vehicles specifications'!$B$3:$CW$166,MATCH(B98,'vehicles specifications'!$A$3:$A$166,0),MATCH("Energy battery mass [kg]",'vehicles specifications'!$B$2:$CW$2,0))</f>
        <v>14.625</v>
      </c>
    </row>
    <row r="112" spans="1:2" x14ac:dyDescent="0.2">
      <c r="A112" t="s">
        <v>135</v>
      </c>
      <c r="B112">
        <f>INDEX('vehicles specifications'!$B$3:$CW$166,MATCH(B98,'vehicles specifications'!$A$3:$A$166,0),MATCH("Electric energy stored [kWh]",'vehicles specifications'!$B$2:$CW$2,0))</f>
        <v>4.5</v>
      </c>
    </row>
    <row r="113" spans="1:8" x14ac:dyDescent="0.2">
      <c r="A113" t="s">
        <v>588</v>
      </c>
      <c r="B113">
        <f>INDEX('vehicles specifications'!$B$3:$CW$166,MATCH(B98,'vehicles specifications'!$A$3:$A$166,0),MATCH("Electric energy available [kWh]",'vehicles specifications'!$B$2:$CW$2,0))</f>
        <v>3.6</v>
      </c>
    </row>
    <row r="114" spans="1:8" x14ac:dyDescent="0.2">
      <c r="A114" t="s">
        <v>138</v>
      </c>
      <c r="B114" s="2">
        <f>INDEX('vehicles specifications'!$B$3:$CW$166,MATCH(B98,'vehicles specifications'!$A$3:$A$166,0),MATCH("Oxydation energy stored [kWh]",'vehicles specifications'!$B$2:$CW$2,0))</f>
        <v>0</v>
      </c>
    </row>
    <row r="115" spans="1:8" x14ac:dyDescent="0.2">
      <c r="A115" t="s">
        <v>139</v>
      </c>
      <c r="B115">
        <f>INDEX('vehicles specifications'!$B$3:$CW$166,MATCH(B98,'vehicles specifications'!$A$3:$A$166,0),MATCH("Fuel mass [kg]",'vehicles specifications'!$B$2:$CW$2,0))</f>
        <v>0</v>
      </c>
    </row>
    <row r="116" spans="1:8" x14ac:dyDescent="0.2">
      <c r="A116" t="s">
        <v>136</v>
      </c>
      <c r="B116" s="2">
        <f>INDEX('vehicles specifications'!$B$3:$CW$166,MATCH(B98,'vehicles specifications'!$A$3:$A$166,0),MATCH("Range [km]",'vehicles specifications'!$B$2:$CW$2,0))</f>
        <v>107.10743801652892</v>
      </c>
    </row>
    <row r="117" spans="1:8" x14ac:dyDescent="0.2">
      <c r="A117" t="s">
        <v>137</v>
      </c>
      <c r="B117" t="str">
        <f>INDEX('vehicles specifications'!$B$3:$CW$166,MATCH(B98,'vehicles specifications'!$A$3:$A$166,0),MATCH("Emission standard",'vehicles specifications'!$B$2:$CW$2,0))</f>
        <v>None</v>
      </c>
    </row>
    <row r="118" spans="1:8" x14ac:dyDescent="0.2">
      <c r="A118" t="s">
        <v>1174</v>
      </c>
      <c r="B118" s="6">
        <f>INDEX('vehicles specifications'!$B$3:$CW$166,MATCH(B98,'vehicles specifications'!$A$3:$A$166,0),MATCH("Lightweighting rate [%]",'vehicles specifications'!$B$2:$CW$2,0))</f>
        <v>0.05</v>
      </c>
    </row>
    <row r="119" spans="1:8" x14ac:dyDescent="0.2">
      <c r="A119" t="s">
        <v>485</v>
      </c>
      <c r="B119" s="6" t="s">
        <v>486</v>
      </c>
    </row>
    <row r="120" spans="1:8" x14ac:dyDescent="0.2">
      <c r="A120" t="s">
        <v>487</v>
      </c>
      <c r="B120" s="2">
        <v>15900</v>
      </c>
    </row>
    <row r="121" spans="1:8" x14ac:dyDescent="0.2">
      <c r="A121" t="s">
        <v>488</v>
      </c>
      <c r="B121" s="2">
        <v>1000</v>
      </c>
    </row>
    <row r="122" spans="1:8" x14ac:dyDescent="0.2">
      <c r="A122" t="s">
        <v>83</v>
      </c>
      <c r="B122"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6" x14ac:dyDescent="0.2">
      <c r="A123" s="10" t="s">
        <v>79</v>
      </c>
    </row>
    <row r="124" spans="1:8" x14ac:dyDescent="0.2">
      <c r="A124" t="s">
        <v>80</v>
      </c>
      <c r="B124" t="s">
        <v>81</v>
      </c>
      <c r="C124" t="s">
        <v>72</v>
      </c>
      <c r="D124" t="s">
        <v>76</v>
      </c>
      <c r="E124" t="s">
        <v>82</v>
      </c>
      <c r="F124" t="s">
        <v>74</v>
      </c>
      <c r="G124" t="s">
        <v>83</v>
      </c>
      <c r="H124" t="s">
        <v>73</v>
      </c>
    </row>
    <row r="125" spans="1:8" x14ac:dyDescent="0.2">
      <c r="A125" t="str">
        <f>B93</f>
        <v>Motorbike, electric, &lt;4kW, NMC battery, 2040</v>
      </c>
      <c r="B125">
        <v>1</v>
      </c>
      <c r="C125" t="str">
        <f>B94</f>
        <v>CH</v>
      </c>
      <c r="D125" t="str">
        <f>B101</f>
        <v>unit</v>
      </c>
      <c r="F125" t="s">
        <v>84</v>
      </c>
      <c r="G125" t="s">
        <v>85</v>
      </c>
      <c r="H125" t="str">
        <f>B95</f>
        <v>Motorbike, electric, &lt;4kW</v>
      </c>
    </row>
    <row r="126" spans="1:8" x14ac:dyDescent="0.2">
      <c r="A126" t="str">
        <f>INDEX('ei names mapping'!$B$4:$R$33,MATCH(B95,'ei names mapping'!$A$4:$A$33,0),MATCH(G126,'ei names mapping'!$B$3:$R$3,0))</f>
        <v>market for glider, for electric scooter</v>
      </c>
      <c r="B126" s="11">
        <f>INDEX('vehicles specifications'!$B$3:$CW$166,MATCH(B98,'vehicles specifications'!$A$3:$A$166,0),MATCH(G126,'vehicles specifications'!$B$2:$CW$2,0))*INDEX('ei names mapping'!$B$137:$BL$300,MATCH(B98,'ei names mapping'!$A$137:$A$300,0),MATCH(G126,'ei names mapping'!$B$136:$BL$136,0))</f>
        <v>53</v>
      </c>
      <c r="C126" t="str">
        <f>INDEX('ei names mapping'!$B$38:$R$67,MATCH(B95,'ei names mapping'!$A$4:$A$33,0),MATCH(G126,'ei names mapping'!$B$3:$R$3,0))</f>
        <v>GLO</v>
      </c>
      <c r="D126" t="str">
        <f>INDEX('ei names mapping'!$B$104:$R$133,MATCH(B95,'ei names mapping'!$A$104:$A$133,0),MATCH(G126,'ei names mapping'!$B$3:$R$3,0))</f>
        <v>kilogram</v>
      </c>
      <c r="F126" t="s">
        <v>89</v>
      </c>
      <c r="G126" t="s">
        <v>15</v>
      </c>
      <c r="H126" t="str">
        <f>INDEX('ei names mapping'!$B$71:$R$100,MATCH(B95,'ei names mapping'!$A$4:$A$33,0),MATCH(G126,'ei names mapping'!$B$3:$R$3,0))</f>
        <v>glider, for electric scooter</v>
      </c>
    </row>
    <row r="127" spans="1:8" x14ac:dyDescent="0.2">
      <c r="A127" t="str">
        <f>INDEX('ei names mapping'!$B$4:$R$33,MATCH(B95,'ei names mapping'!$A$4:$A$33,0),MATCH(G127,'ei names mapping'!$B$3:$R$3,0))</f>
        <v>Glider lightweighting</v>
      </c>
      <c r="B127" s="11">
        <f>INDEX('vehicles specifications'!$B$3:$CW$166,MATCH(B98,'vehicles specifications'!$A$3:$A$166,0),MATCH(G127,'vehicles specifications'!$B$2:$CW$2,0))*INDEX('ei names mapping'!$B$137:$BL$300,MATCH(B98,'ei names mapping'!$A$137:$A$300,0),MATCH(G127,'ei names mapping'!$B$136:$BL$136,0))</f>
        <v>2.6500000000000004</v>
      </c>
      <c r="C127" t="str">
        <f>INDEX('ei names mapping'!$B$38:$R$67,MATCH(B95,'ei names mapping'!$A$4:$A$33,0),MATCH(G127,'ei names mapping'!$B$3:$R$3,0))</f>
        <v>GLO</v>
      </c>
      <c r="D127" t="str">
        <f>INDEX('ei names mapping'!$B$104:$R$133,MATCH(B95,'ei names mapping'!$A$104:$A$133,0),MATCH(G127,'ei names mapping'!$B$3:$R$3,0))</f>
        <v>kilogram</v>
      </c>
      <c r="F127" t="s">
        <v>89</v>
      </c>
      <c r="G127" t="s">
        <v>14</v>
      </c>
      <c r="H127" t="str">
        <f>INDEX('ei names mapping'!$B$71:$R$100,MATCH(B95,'ei names mapping'!$A$4:$A$33,0),MATCH(G127,'ei names mapping'!$B$3:$R$3,0))</f>
        <v>Glider lightweighting</v>
      </c>
    </row>
    <row r="128" spans="1:8" x14ac:dyDescent="0.2">
      <c r="A128" t="str">
        <f>INDEX('ei names mapping'!$B$4:$R$33,MATCH(B95,'ei names mapping'!$A$4:$A$33,0),MATCH(G128,'ei names mapping'!$B$3:$R$3,0))</f>
        <v>market for glider, for electric scooter</v>
      </c>
      <c r="B128" s="11">
        <f>INDEX('vehicles specifications'!$B$3:$CW$166,MATCH(B98,'vehicles specifications'!$A$3:$A$166,0),MATCH(G128,'vehicles specifications'!$B$2:$CW$2,0))*INDEX('ei names mapping'!$B$137:$BL$300,MATCH(B98,'ei names mapping'!$A$137:$A$300,0),MATCH(G128,'ei names mapping'!$B$136:$BL$136,0))</f>
        <v>4.5</v>
      </c>
      <c r="C128" t="str">
        <f>INDEX('ei names mapping'!$B$38:$R$67,MATCH(B95,'ei names mapping'!$A$4:$A$33,0),MATCH(G128,'ei names mapping'!$B$3:$R$3,0))</f>
        <v>GLO</v>
      </c>
      <c r="D128" t="str">
        <f>INDEX('ei names mapping'!$B$104:$R$133,MATCH(B95,'ei names mapping'!$A$104:$A$133,0),MATCH(G128,'ei names mapping'!$B$3:$R$3,0))</f>
        <v>kilogram</v>
      </c>
      <c r="F128" t="s">
        <v>89</v>
      </c>
      <c r="G128" t="s">
        <v>16</v>
      </c>
      <c r="H128" t="str">
        <f>INDEX('ei names mapping'!$B$71:$R$100,MATCH(B95,'ei names mapping'!$A$4:$A$33,0),MATCH(G128,'ei names mapping'!$B$3:$R$3,0))</f>
        <v>glider, for electric scooter</v>
      </c>
    </row>
    <row r="129" spans="1:8" x14ac:dyDescent="0.2">
      <c r="A129" t="str">
        <f>INDEX('ei names mapping'!$B$4:$R$33,MATCH(B95,'ei names mapping'!$A$4:$A$33,0),MATCH(G129,'ei names mapping'!$B$3:$R$3,0))</f>
        <v>market for electric powertrain, for electric scooter</v>
      </c>
      <c r="B129" s="11">
        <f>INDEX('vehicles specifications'!$B$3:$CW$166,MATCH(B98,'vehicles specifications'!$A$3:$A$166,0),MATCH(G129,'vehicles specifications'!$B$2:$CW$2,0))*INDEX('ei names mapping'!$B$137:$BL$300,MATCH(B98,'ei names mapping'!$A$137:$A$300,0),MATCH(G129,'ei names mapping'!$B$136:$BL$136,0))</f>
        <v>7.5</v>
      </c>
      <c r="C129" t="str">
        <f>INDEX('ei names mapping'!$B$38:$R$67,MATCH(B95,'ei names mapping'!$A$4:$A$33,0),MATCH(G129,'ei names mapping'!$B$3:$R$3,0))</f>
        <v>GLO</v>
      </c>
      <c r="D129" t="str">
        <f>INDEX('ei names mapping'!$B$104:$R$133,MATCH(B95,'ei names mapping'!$A$104:$A$133,0),MATCH(G129,'ei names mapping'!$B$3:$R$3,0))</f>
        <v>kilogram</v>
      </c>
      <c r="F129" t="s">
        <v>89</v>
      </c>
      <c r="G129" t="s">
        <v>501</v>
      </c>
      <c r="H129" t="str">
        <f>INDEX('ei names mapping'!$B$71:$R$100,MATCH(B95,'ei names mapping'!$A$4:$A$33,0),MATCH(G129,'ei names mapping'!$B$3:$R$3,0))</f>
        <v>powertrain, for electric scooter</v>
      </c>
    </row>
    <row r="130" spans="1:8" x14ac:dyDescent="0.2">
      <c r="A130" t="str">
        <f>INDEX('ei names mapping'!$B$4:$R$33,MATCH(B95,'ei names mapping'!$A$4:$A$33,0),MATCH(G130,'ei names mapping'!$B$3:$R$3,0))</f>
        <v>Battery cell, NMC-622</v>
      </c>
      <c r="B130" s="11">
        <f>INDEX('vehicles specifications'!$B$3:$CW$166,MATCH(B98,'vehicles specifications'!$A$3:$A$166,0),MATCH(G130,'vehicles specifications'!$B$2:$CW$2,0))*INDEX('ei names mapping'!$B$137:$BL$300,MATCH(B98,'ei names mapping'!$A$137:$A$300,0),MATCH(G130,'ei names mapping'!$B$136:$BL$136,0))</f>
        <v>11.25</v>
      </c>
      <c r="C130" t="str">
        <f>INDEX('ei names mapping'!$B$38:$R$67,MATCH(B95,'ei names mapping'!$A$4:$A$33,0),MATCH(G130,'ei names mapping'!$B$3:$R$3,0))</f>
        <v>GLO</v>
      </c>
      <c r="D130" t="str">
        <f>INDEX('ei names mapping'!$B$104:$R$133,MATCH(B95,'ei names mapping'!$A$104:$A$133,0),MATCH(G130,'ei names mapping'!$B$3:$R$3,0))</f>
        <v>kilogram</v>
      </c>
      <c r="F130" t="s">
        <v>89</v>
      </c>
      <c r="G130" t="s">
        <v>19</v>
      </c>
      <c r="H130" t="str">
        <f>INDEX('ei names mapping'!$B$71:$R$100,MATCH(B95,'ei names mapping'!$A$4:$A$33,0),MATCH(G130,'ei names mapping'!$B$3:$R$3,0))</f>
        <v>Battery cell</v>
      </c>
    </row>
    <row r="131" spans="1:8" x14ac:dyDescent="0.2">
      <c r="A131" t="str">
        <f>INDEX('ei names mapping'!$B$4:$R$33,MATCH(B95,'ei names mapping'!$A$4:$A$33,0),MATCH(G131,'ei names mapping'!$B$3:$R$3,0))</f>
        <v>Battery BoP</v>
      </c>
      <c r="B131" s="11">
        <f>INDEX('vehicles specifications'!$B$3:$CW$166,MATCH(B98,'vehicles specifications'!$A$3:$A$166,0),MATCH(G131,'vehicles specifications'!$B$2:$CW$2,0))*INDEX('ei names mapping'!$B$137:$BL$300,MATCH(B98,'ei names mapping'!$A$137:$A$300,0),MATCH(G131,'ei names mapping'!$B$136:$BL$136,0))</f>
        <v>3.375</v>
      </c>
      <c r="C131" t="str">
        <f>INDEX('ei names mapping'!$B$38:$R$67,MATCH(B95,'ei names mapping'!$A$4:$A$33,0),MATCH(G131,'ei names mapping'!$B$3:$R$3,0))</f>
        <v>GLO</v>
      </c>
      <c r="D131" t="str">
        <f>INDEX('ei names mapping'!$B$104:$R$133,MATCH(B95,'ei names mapping'!$A$104:$A$133,0),MATCH(G131,'ei names mapping'!$B$3:$R$3,0))</f>
        <v>kilogram</v>
      </c>
      <c r="F131" t="s">
        <v>89</v>
      </c>
      <c r="G131" t="s">
        <v>20</v>
      </c>
      <c r="H131" t="str">
        <f>INDEX('ei names mapping'!$B$71:$R$100,MATCH(B95,'ei names mapping'!$A$4:$A$33,0),MATCH(G131,'ei names mapping'!$B$3:$R$3,0))</f>
        <v>Battery BoP</v>
      </c>
    </row>
    <row r="132" spans="1:8" x14ac:dyDescent="0.2">
      <c r="A132" t="str">
        <f>INDEX('ei names mapping'!$B$4:$R$33,MATCH(B95,'ei names mapping'!$A$4:$A$33,0),MATCH(G132,'ei names mapping'!$B$3:$R$3,0))</f>
        <v>charging station, 3kW</v>
      </c>
      <c r="B132" s="11">
        <f>INDEX('vehicles specifications'!$B$3:$CW$166,MATCH(B98,'vehicles specifications'!$A$3:$A$166,0),MATCH(G132,'vehicles specifications'!$B$2:$CW$2,0))*INDEX('ei names mapping'!$B$137:$BL$300,MATCH(B98,'ei names mapping'!$A$137:$A$300,0),MATCH(G132,'ei names mapping'!$B$136:$BL$136,0))</f>
        <v>1</v>
      </c>
      <c r="C132" t="str">
        <f>INDEX('ei names mapping'!$B$38:$R$67,MATCH(B95,'ei names mapping'!$A$4:$A$33,0),MATCH(G132,'ei names mapping'!$B$3:$R$3,0))</f>
        <v>GLO</v>
      </c>
      <c r="D132" t="str">
        <f>INDEX('ei names mapping'!$B$104:$R$133,MATCH(B95,'ei names mapping'!$A$104:$A$133,0),MATCH(G132,'ei names mapping'!$B$3:$R$3,0))</f>
        <v>unit</v>
      </c>
      <c r="F132" t="s">
        <v>89</v>
      </c>
      <c r="G132" t="s">
        <v>52</v>
      </c>
      <c r="H132" t="str">
        <f>INDEX('ei names mapping'!$B$71:$R$100,MATCH(B95,'ei names mapping'!$A$4:$A$33,0),MATCH(G132,'ei names mapping'!$B$3:$R$3,0))</f>
        <v>charging station, 3kW</v>
      </c>
    </row>
    <row r="133" spans="1:8" x14ac:dyDescent="0.2">
      <c r="A133" t="str">
        <f>INDEX('ei names mapping'!$B$4:$R$33,MATCH(B95,'ei names mapping'!$A$4:$A$33,0),MATCH(G133,'ei names mapping'!$B$3:$R$3,0))</f>
        <v>manual dismantling of used electric scooter</v>
      </c>
      <c r="B133" s="11">
        <f>INDEX('vehicles specifications'!$B$3:$CW$166,MATCH(B98,'vehicles specifications'!$A$3:$A$166,0),MATCH(G133,'vehicles specifications'!$B$2:$CW$2,0))*INDEX('ei names mapping'!$B$137:$BL$300,MATCH(B98,'ei names mapping'!$A$137:$A$300,0),MATCH(G133,'ei names mapping'!$B$136:$BL$136,0))</f>
        <v>50.349999999999994</v>
      </c>
      <c r="C133" t="str">
        <f>INDEX('ei names mapping'!$B$38:$R$67,MATCH(B95,'ei names mapping'!$A$4:$A$33,0),MATCH(G133,'ei names mapping'!$B$3:$R$3,0))</f>
        <v>GLO</v>
      </c>
      <c r="D133" t="str">
        <f>INDEX('ei names mapping'!$B$104:$R$133,MATCH(B95,'ei names mapping'!$A$104:$A$133,0),MATCH(G133,'ei names mapping'!$B$3:$R$3,0))</f>
        <v>unit</v>
      </c>
      <c r="F133" t="s">
        <v>89</v>
      </c>
      <c r="G133" t="s">
        <v>144</v>
      </c>
      <c r="H133" t="str">
        <f>INDEX('ei names mapping'!$B$71:$R$100,MATCH(B95,'ei names mapping'!$A$4:$A$33,0),MATCH(G133,'ei names mapping'!$B$3:$R$3,0))</f>
        <v>manual dismantling of electric scooter</v>
      </c>
    </row>
    <row r="134" spans="1:8" x14ac:dyDescent="0.2">
      <c r="A134" t="str">
        <f>INDEX('ei names mapping'!$B$4:$R$33,MATCH(B95,'ei names mapping'!$A$4:$A$33,0),MATCH(G134,'ei names mapping'!$B$3:$R$3,0))</f>
        <v>manual dismantling of used electric scooter</v>
      </c>
      <c r="B134" s="11">
        <f>INDEX('vehicles specifications'!$B$3:$CW$166,MATCH(B98,'vehicles specifications'!$A$3:$A$166,0),MATCH(G134,'vehicles specifications'!$B$2:$CW$2,0))*INDEX('ei names mapping'!$B$137:$BL$300,MATCH(B98,'ei names mapping'!$A$137:$A$300,0),MATCH(G134,'ei names mapping'!$B$136:$BL$136,0))</f>
        <v>12</v>
      </c>
      <c r="C134" t="str">
        <f>INDEX('ei names mapping'!$B$38:$R$67,MATCH(B95,'ei names mapping'!$A$4:$A$33,0),MATCH(G134,'ei names mapping'!$B$3:$R$3,0))</f>
        <v>GLO</v>
      </c>
      <c r="D134" t="str">
        <f>INDEX('ei names mapping'!$B$104:$R$133,MATCH(B95,'ei names mapping'!$A$104:$A$133,0),MATCH(G134,'ei names mapping'!$B$3:$R$3,0))</f>
        <v>unit</v>
      </c>
      <c r="F134" t="s">
        <v>89</v>
      </c>
      <c r="G134" t="s">
        <v>145</v>
      </c>
      <c r="H134" t="str">
        <f>INDEX('ei names mapping'!$B$71:$R$100,MATCH(B95,'ei names mapping'!$A$4:$A$33,0),MATCH(G134,'ei names mapping'!$B$3:$R$3,0))</f>
        <v>manual dismantling of electric scooter</v>
      </c>
    </row>
    <row r="135" spans="1:8" x14ac:dyDescent="0.2">
      <c r="A135" t="str">
        <f>INDEX('ei names mapping'!$B$4:$R$33,MATCH(B95,'ei names mapping'!$A$4:$A$33,0),MATCH(G135,'ei names mapping'!$B$3:$R$3,0))</f>
        <v>market for used Li-ion battery</v>
      </c>
      <c r="B135" s="11">
        <f>INDEX('vehicles specifications'!$B$3:$CW$166,MATCH(B98,'vehicles specifications'!$A$3:$A$166,0),MATCH(G135,'vehicles specifications'!$B$2:$CW$2,0))*INDEX('ei names mapping'!$B$137:$BL$300,MATCH(B98,'ei names mapping'!$A$137:$A$300,0),MATCH(G135,'ei names mapping'!$B$136:$BL$136,0))</f>
        <v>-14.625</v>
      </c>
      <c r="C135" t="str">
        <f>INDEX('ei names mapping'!$B$38:$R$67,MATCH(B95,'ei names mapping'!$A$4:$A$33,0),MATCH(G135,'ei names mapping'!$B$3:$R$3,0))</f>
        <v>GLO</v>
      </c>
      <c r="D135" t="str">
        <f>INDEX('ei names mapping'!$B$104:$R$133,MATCH(B99,'ei names mapping'!$A$104:$A$133,0),MATCH(G135,'ei names mapping'!$B$3:$R$3,0))</f>
        <v>kilogram</v>
      </c>
      <c r="F135" t="s">
        <v>89</v>
      </c>
      <c r="G135" t="s">
        <v>146</v>
      </c>
      <c r="H135" t="str">
        <f>INDEX('ei names mapping'!$B$71:$R$100,MATCH(B95,'ei names mapping'!$A$4:$A$33,0),MATCH(G135,'ei names mapping'!$B$3:$R$3,0))</f>
        <v>used Li-ion battery</v>
      </c>
    </row>
    <row r="136" spans="1:8" x14ac:dyDescent="0.2">
      <c r="A136" s="13" t="s">
        <v>840</v>
      </c>
      <c r="B136">
        <f>(B108/1000)*B121</f>
        <v>76.974999999999994</v>
      </c>
      <c r="C136" t="s">
        <v>92</v>
      </c>
      <c r="D136" t="s">
        <v>233</v>
      </c>
      <c r="F136" t="s">
        <v>89</v>
      </c>
      <c r="H136" s="13" t="s">
        <v>841</v>
      </c>
    </row>
    <row r="137" spans="1:8" x14ac:dyDescent="0.2">
      <c r="A137" s="13" t="s">
        <v>441</v>
      </c>
      <c r="B137" s="2">
        <f>(B108/1000)*B120</f>
        <v>1223.9024999999999</v>
      </c>
      <c r="C137" t="s">
        <v>95</v>
      </c>
      <c r="D137" t="s">
        <v>233</v>
      </c>
      <c r="F137" t="s">
        <v>89</v>
      </c>
      <c r="H137" s="13" t="s">
        <v>441</v>
      </c>
    </row>
    <row r="139" spans="1:8" ht="16" x14ac:dyDescent="0.2">
      <c r="A139" s="10" t="s">
        <v>71</v>
      </c>
      <c r="B139" s="8" t="str">
        <f>B141&amp;", "&amp;B156&amp;" battery, "&amp;B143</f>
        <v>Motorbike, electric, &lt;4kW, NMC battery, 2050</v>
      </c>
    </row>
    <row r="140" spans="1:8" x14ac:dyDescent="0.2">
      <c r="A140" t="s">
        <v>72</v>
      </c>
      <c r="B140" t="s">
        <v>37</v>
      </c>
    </row>
    <row r="141" spans="1:8" x14ac:dyDescent="0.2">
      <c r="A141" t="s">
        <v>86</v>
      </c>
      <c r="B141" t="s">
        <v>492</v>
      </c>
    </row>
    <row r="142" spans="1:8" x14ac:dyDescent="0.2">
      <c r="A142" t="s">
        <v>87</v>
      </c>
    </row>
    <row r="143" spans="1:8" x14ac:dyDescent="0.2">
      <c r="A143" t="s">
        <v>88</v>
      </c>
      <c r="B143">
        <v>2050</v>
      </c>
    </row>
    <row r="144" spans="1:8" x14ac:dyDescent="0.2">
      <c r="A144" t="s">
        <v>126</v>
      </c>
      <c r="B144" t="str">
        <f>B141&amp;" - "&amp;B143&amp;" - "&amp;B156&amp;" - "&amp;B140</f>
        <v>Motorbike, electric, &lt;4kW - 2050 - NMC - CH</v>
      </c>
    </row>
    <row r="145" spans="1:2" x14ac:dyDescent="0.2">
      <c r="A145" t="s">
        <v>73</v>
      </c>
      <c r="B145" t="str">
        <f>B141</f>
        <v>Motorbike, electric, &lt;4kW</v>
      </c>
    </row>
    <row r="146" spans="1:2" x14ac:dyDescent="0.2">
      <c r="A146" t="s">
        <v>74</v>
      </c>
      <c r="B146" t="s">
        <v>75</v>
      </c>
    </row>
    <row r="147" spans="1:2" x14ac:dyDescent="0.2">
      <c r="A147" t="s">
        <v>76</v>
      </c>
      <c r="B147" t="s">
        <v>76</v>
      </c>
    </row>
    <row r="148" spans="1:2" x14ac:dyDescent="0.2">
      <c r="A148" t="s">
        <v>78</v>
      </c>
      <c r="B148" t="s">
        <v>1143</v>
      </c>
    </row>
    <row r="149" spans="1:2" x14ac:dyDescent="0.2">
      <c r="A149" t="s">
        <v>127</v>
      </c>
      <c r="B149">
        <f>INDEX('vehicles specifications'!$B$3:$CW$166,MATCH(B144,'vehicles specifications'!$A$3:$A$166,0),MATCH("Lifetime [km]",'vehicles specifications'!$B$2:$CW$2,0))</f>
        <v>25000</v>
      </c>
    </row>
    <row r="150" spans="1:2" x14ac:dyDescent="0.2">
      <c r="A150" t="s">
        <v>128</v>
      </c>
      <c r="B150">
        <f>INDEX('vehicles specifications'!$B$3:$CW$166,MATCH(B144,'vehicles specifications'!$A$3:$A$166,0),MATCH("Passengers [unit]",'vehicles specifications'!$B$2:$CW$2,0))</f>
        <v>1.1000000000000001</v>
      </c>
    </row>
    <row r="151" spans="1:2" x14ac:dyDescent="0.2">
      <c r="A151" t="s">
        <v>129</v>
      </c>
      <c r="B151">
        <f>INDEX('vehicles specifications'!$B$3:$CW$166,MATCH(B144,'vehicles specifications'!$A$3:$A$166,0),MATCH("Servicing [unit]",'vehicles specifications'!$B$2:$CW$2,0))</f>
        <v>1</v>
      </c>
    </row>
    <row r="152" spans="1:2" x14ac:dyDescent="0.2">
      <c r="A152" t="s">
        <v>130</v>
      </c>
      <c r="B152">
        <f>INDEX('vehicles specifications'!$B$3:$CW$166,MATCH(B144,'vehicles specifications'!$A$3:$A$166,0),MATCH("Energy battery replacement [unit]",'vehicles specifications'!$B$2:$CW$2,0))</f>
        <v>0</v>
      </c>
    </row>
    <row r="153" spans="1:2" x14ac:dyDescent="0.2">
      <c r="A153" t="s">
        <v>131</v>
      </c>
      <c r="B153">
        <f>INDEX('vehicles specifications'!$B$3:$CW$166,MATCH(B144,'vehicles specifications'!$A$3:$A$166,0),MATCH("Annual kilometers [km]",'vehicles specifications'!$B$2:$CW$2,0))</f>
        <v>1776</v>
      </c>
    </row>
    <row r="154" spans="1:2" x14ac:dyDescent="0.2">
      <c r="A154" t="s">
        <v>132</v>
      </c>
      <c r="B154" s="2">
        <f>INDEX('vehicles specifications'!$B$3:$CW$166,MATCH(B144,'vehicles specifications'!$A$3:$A$166,0),MATCH("Curb mass [kg]",'vehicles specifications'!$B$2:$CW$2,0))</f>
        <v>76.89</v>
      </c>
    </row>
    <row r="155" spans="1:2" x14ac:dyDescent="0.2">
      <c r="A155" t="s">
        <v>133</v>
      </c>
      <c r="B155">
        <f>INDEX('vehicles specifications'!$B$3:$CW$166,MATCH(B144,'vehicles specifications'!$A$3:$A$166,0),MATCH("Power [kW]",'vehicles specifications'!$B$2:$CW$2,0))</f>
        <v>2.5</v>
      </c>
    </row>
    <row r="156" spans="1:2" x14ac:dyDescent="0.2">
      <c r="A156" t="s">
        <v>652</v>
      </c>
      <c r="B156" s="20" t="s">
        <v>43</v>
      </c>
    </row>
    <row r="157" spans="1:2" x14ac:dyDescent="0.2">
      <c r="A157" t="s">
        <v>134</v>
      </c>
      <c r="B157">
        <f>INDEX('vehicles specifications'!$B$3:$CW$166,MATCH(B144,'vehicles specifications'!$A$3:$A$166,0),MATCH("Energy battery mass [kg]",'vehicles specifications'!$B$2:$CW$2,0))</f>
        <v>15.6</v>
      </c>
    </row>
    <row r="158" spans="1:2" x14ac:dyDescent="0.2">
      <c r="A158" t="s">
        <v>135</v>
      </c>
      <c r="B158">
        <f>INDEX('vehicles specifications'!$B$3:$CW$166,MATCH(B144,'vehicles specifications'!$A$3:$A$166,0),MATCH("Electric energy stored [kWh]",'vehicles specifications'!$B$2:$CW$2,0))</f>
        <v>6</v>
      </c>
    </row>
    <row r="159" spans="1:2" x14ac:dyDescent="0.2">
      <c r="A159" t="s">
        <v>588</v>
      </c>
      <c r="B159">
        <f>INDEX('vehicles specifications'!$B$3:$CW$166,MATCH(B144,'vehicles specifications'!$A$3:$A$166,0),MATCH("Electric energy available [kWh]",'vehicles specifications'!$B$2:$CW$2,0))</f>
        <v>4.8000000000000007</v>
      </c>
    </row>
    <row r="160" spans="1:2" x14ac:dyDescent="0.2">
      <c r="A160" t="s">
        <v>138</v>
      </c>
      <c r="B160" s="2">
        <f>INDEX('vehicles specifications'!$B$3:$CW$166,MATCH(B144,'vehicles specifications'!$A$3:$A$166,0),MATCH("Oxydation energy stored [kWh]",'vehicles specifications'!$B$2:$CW$2,0))</f>
        <v>0</v>
      </c>
    </row>
    <row r="161" spans="1:8" x14ac:dyDescent="0.2">
      <c r="A161" t="s">
        <v>139</v>
      </c>
      <c r="B161">
        <f>INDEX('vehicles specifications'!$B$3:$CW$166,MATCH(B144,'vehicles specifications'!$A$3:$A$166,0),MATCH("Fuel mass [kg]",'vehicles specifications'!$B$2:$CW$2,0))</f>
        <v>0</v>
      </c>
    </row>
    <row r="162" spans="1:8" x14ac:dyDescent="0.2">
      <c r="A162" t="s">
        <v>136</v>
      </c>
      <c r="B162" s="2">
        <f>INDEX('vehicles specifications'!$B$3:$CW$166,MATCH(B144,'vehicles specifications'!$A$3:$A$166,0),MATCH("Range [km]",'vehicles specifications'!$B$2:$CW$2,0))</f>
        <v>142.80991735537191</v>
      </c>
    </row>
    <row r="163" spans="1:8" x14ac:dyDescent="0.2">
      <c r="A163" t="s">
        <v>137</v>
      </c>
      <c r="B163" t="str">
        <f>INDEX('vehicles specifications'!$B$3:$CW$166,MATCH(B144,'vehicles specifications'!$A$3:$A$166,0),MATCH("Emission standard",'vehicles specifications'!$B$2:$CW$2,0))</f>
        <v>None</v>
      </c>
    </row>
    <row r="164" spans="1:8" x14ac:dyDescent="0.2">
      <c r="A164" t="s">
        <v>1174</v>
      </c>
      <c r="B164" s="6">
        <f>INDEX('vehicles specifications'!$B$3:$CW$166,MATCH(B144,'vehicles specifications'!$A$3:$A$166,0),MATCH("Lightweighting rate [%]",'vehicles specifications'!$B$2:$CW$2,0))</f>
        <v>7.0000000000000007E-2</v>
      </c>
    </row>
    <row r="165" spans="1:8" x14ac:dyDescent="0.2">
      <c r="A165" t="s">
        <v>485</v>
      </c>
      <c r="B165" s="6" t="s">
        <v>486</v>
      </c>
    </row>
    <row r="166" spans="1:8" x14ac:dyDescent="0.2">
      <c r="A166" t="s">
        <v>487</v>
      </c>
      <c r="B166" s="2">
        <v>15900</v>
      </c>
    </row>
    <row r="167" spans="1:8" x14ac:dyDescent="0.2">
      <c r="A167" t="s">
        <v>488</v>
      </c>
      <c r="B167" s="2">
        <v>1000</v>
      </c>
    </row>
    <row r="168" spans="1:8" x14ac:dyDescent="0.2">
      <c r="A168" t="s">
        <v>83</v>
      </c>
      <c r="B168"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6" x14ac:dyDescent="0.2">
      <c r="A169" s="10" t="s">
        <v>79</v>
      </c>
    </row>
    <row r="170" spans="1:8" x14ac:dyDescent="0.2">
      <c r="A170" t="s">
        <v>80</v>
      </c>
      <c r="B170" t="s">
        <v>81</v>
      </c>
      <c r="C170" t="s">
        <v>72</v>
      </c>
      <c r="D170" t="s">
        <v>76</v>
      </c>
      <c r="E170" t="s">
        <v>82</v>
      </c>
      <c r="F170" t="s">
        <v>74</v>
      </c>
      <c r="G170" t="s">
        <v>83</v>
      </c>
      <c r="H170" t="s">
        <v>73</v>
      </c>
    </row>
    <row r="171" spans="1:8" x14ac:dyDescent="0.2">
      <c r="A171" t="str">
        <f>B139</f>
        <v>Motorbike, electric, &lt;4kW, NMC battery, 2050</v>
      </c>
      <c r="B171">
        <v>1</v>
      </c>
      <c r="C171" t="str">
        <f>B140</f>
        <v>CH</v>
      </c>
      <c r="D171" t="str">
        <f>B147</f>
        <v>unit</v>
      </c>
      <c r="F171" t="s">
        <v>84</v>
      </c>
      <c r="G171" t="s">
        <v>85</v>
      </c>
      <c r="H171" t="str">
        <f>B141</f>
        <v>Motorbike, electric, &lt;4kW</v>
      </c>
    </row>
    <row r="172" spans="1:8" x14ac:dyDescent="0.2">
      <c r="A172" t="str">
        <f>INDEX('ei names mapping'!$B$4:$R$33,MATCH(B141,'ei names mapping'!$A$4:$A$33,0),MATCH(G172,'ei names mapping'!$B$3:$R$3,0))</f>
        <v>market for glider, for electric scooter</v>
      </c>
      <c r="B172" s="11">
        <f>INDEX('vehicles specifications'!$B$3:$CW$166,MATCH(B144,'vehicles specifications'!$A$3:$A$166,0),MATCH(G172,'vehicles specifications'!$B$2:$CW$2,0))*INDEX('ei names mapping'!$B$137:$BL$300,MATCH(B144,'ei names mapping'!$A$137:$A$300,0),MATCH(G172,'ei names mapping'!$B$136:$BL$136,0))</f>
        <v>53</v>
      </c>
      <c r="C172" t="str">
        <f>INDEX('ei names mapping'!$B$38:$R$67,MATCH(B141,'ei names mapping'!$A$4:$A$33,0),MATCH(G172,'ei names mapping'!$B$3:$R$3,0))</f>
        <v>GLO</v>
      </c>
      <c r="D172" t="str">
        <f>INDEX('ei names mapping'!$B$104:$R$133,MATCH(B141,'ei names mapping'!$A$104:$A$133,0),MATCH(G172,'ei names mapping'!$B$3:$R$3,0))</f>
        <v>kilogram</v>
      </c>
      <c r="F172" t="s">
        <v>89</v>
      </c>
      <c r="G172" t="s">
        <v>15</v>
      </c>
      <c r="H172" t="str">
        <f>INDEX('ei names mapping'!$B$71:$R$100,MATCH(B141,'ei names mapping'!$A$4:$A$33,0),MATCH(G172,'ei names mapping'!$B$3:$R$3,0))</f>
        <v>glider, for electric scooter</v>
      </c>
    </row>
    <row r="173" spans="1:8" x14ac:dyDescent="0.2">
      <c r="A173" t="str">
        <f>INDEX('ei names mapping'!$B$4:$R$33,MATCH(B141,'ei names mapping'!$A$4:$A$33,0),MATCH(G173,'ei names mapping'!$B$3:$R$3,0))</f>
        <v>Glider lightweighting</v>
      </c>
      <c r="B173" s="11">
        <f>INDEX('vehicles specifications'!$B$3:$CW$166,MATCH(B144,'vehicles specifications'!$A$3:$A$166,0),MATCH(G173,'vehicles specifications'!$B$2:$CW$2,0))*INDEX('ei names mapping'!$B$137:$BL$300,MATCH(B144,'ei names mapping'!$A$137:$A$300,0),MATCH(G173,'ei names mapping'!$B$136:$BL$136,0))</f>
        <v>4.5803678872229945</v>
      </c>
      <c r="C173" t="str">
        <f>INDEX('ei names mapping'!$B$38:$R$67,MATCH(B141,'ei names mapping'!$A$4:$A$33,0),MATCH(G173,'ei names mapping'!$B$3:$R$3,0))</f>
        <v>GLO</v>
      </c>
      <c r="D173" t="str">
        <f>INDEX('ei names mapping'!$B$104:$R$133,MATCH(B141,'ei names mapping'!$A$104:$A$133,0),MATCH(G173,'ei names mapping'!$B$3:$R$3,0))</f>
        <v>kilogram</v>
      </c>
      <c r="F173" t="s">
        <v>89</v>
      </c>
      <c r="G173" t="s">
        <v>14</v>
      </c>
      <c r="H173" t="str">
        <f>INDEX('ei names mapping'!$B$71:$R$100,MATCH(B141,'ei names mapping'!$A$4:$A$33,0),MATCH(G173,'ei names mapping'!$B$3:$R$3,0))</f>
        <v>Glider lightweighting</v>
      </c>
    </row>
    <row r="174" spans="1:8" x14ac:dyDescent="0.2">
      <c r="A174" t="str">
        <f>INDEX('ei names mapping'!$B$4:$R$33,MATCH(B141,'ei names mapping'!$A$4:$A$33,0),MATCH(G174,'ei names mapping'!$B$3:$R$3,0))</f>
        <v>market for glider, for electric scooter</v>
      </c>
      <c r="B174" s="11">
        <f>INDEX('vehicles specifications'!$B$3:$CW$166,MATCH(B144,'vehicles specifications'!$A$3:$A$166,0),MATCH(G174,'vehicles specifications'!$B$2:$CW$2,0))*INDEX('ei names mapping'!$B$137:$BL$300,MATCH(B144,'ei names mapping'!$A$137:$A$300,0),MATCH(G174,'ei names mapping'!$B$136:$BL$136,0))</f>
        <v>4.5</v>
      </c>
      <c r="C174" t="str">
        <f>INDEX('ei names mapping'!$B$38:$R$67,MATCH(B141,'ei names mapping'!$A$4:$A$33,0),MATCH(G174,'ei names mapping'!$B$3:$R$3,0))</f>
        <v>GLO</v>
      </c>
      <c r="D174" t="str">
        <f>INDEX('ei names mapping'!$B$104:$R$133,MATCH(B141,'ei names mapping'!$A$104:$A$133,0),MATCH(G174,'ei names mapping'!$B$3:$R$3,0))</f>
        <v>kilogram</v>
      </c>
      <c r="F174" t="s">
        <v>89</v>
      </c>
      <c r="G174" t="s">
        <v>16</v>
      </c>
      <c r="H174" t="str">
        <f>INDEX('ei names mapping'!$B$71:$R$100,MATCH(B141,'ei names mapping'!$A$4:$A$33,0),MATCH(G174,'ei names mapping'!$B$3:$R$3,0))</f>
        <v>glider, for electric scooter</v>
      </c>
    </row>
    <row r="175" spans="1:8" x14ac:dyDescent="0.2">
      <c r="A175" t="str">
        <f>INDEX('ei names mapping'!$B$4:$R$33,MATCH(B141,'ei names mapping'!$A$4:$A$33,0),MATCH(G175,'ei names mapping'!$B$3:$R$3,0))</f>
        <v>market for electric powertrain, for electric scooter</v>
      </c>
      <c r="B175" s="11">
        <f>INDEX('vehicles specifications'!$B$3:$CW$166,MATCH(B144,'vehicles specifications'!$A$3:$A$166,0),MATCH(G175,'vehicles specifications'!$B$2:$CW$2,0))*INDEX('ei names mapping'!$B$137:$BL$300,MATCH(B144,'ei names mapping'!$A$137:$A$300,0),MATCH(G175,'ei names mapping'!$B$136:$BL$136,0))</f>
        <v>7.5</v>
      </c>
      <c r="C175" t="str">
        <f>INDEX('ei names mapping'!$B$38:$R$67,MATCH(B141,'ei names mapping'!$A$4:$A$33,0),MATCH(G175,'ei names mapping'!$B$3:$R$3,0))</f>
        <v>GLO</v>
      </c>
      <c r="D175" t="str">
        <f>INDEX('ei names mapping'!$B$104:$R$133,MATCH(B141,'ei names mapping'!$A$104:$A$133,0),MATCH(G175,'ei names mapping'!$B$3:$R$3,0))</f>
        <v>kilogram</v>
      </c>
      <c r="F175" t="s">
        <v>89</v>
      </c>
      <c r="G175" t="s">
        <v>501</v>
      </c>
      <c r="H175" t="str">
        <f>INDEX('ei names mapping'!$B$71:$R$100,MATCH(B141,'ei names mapping'!$A$4:$A$33,0),MATCH(G175,'ei names mapping'!$B$3:$R$3,0))</f>
        <v>powertrain, for electric scooter</v>
      </c>
    </row>
    <row r="176" spans="1:8" x14ac:dyDescent="0.2">
      <c r="A176" t="str">
        <f>INDEX('ei names mapping'!$B$4:$R$33,MATCH(B141,'ei names mapping'!$A$4:$A$33,0),MATCH(G176,'ei names mapping'!$B$3:$R$3,0))</f>
        <v>Battery cell, NMC-622</v>
      </c>
      <c r="B176" s="11">
        <f>INDEX('vehicles specifications'!$B$3:$CW$166,MATCH(B144,'vehicles specifications'!$A$3:$A$166,0),MATCH(G176,'vehicles specifications'!$B$2:$CW$2,0))*INDEX('ei names mapping'!$B$137:$BL$300,MATCH(B144,'ei names mapping'!$A$137:$A$300,0),MATCH(G176,'ei names mapping'!$B$136:$BL$136,0))</f>
        <v>24</v>
      </c>
      <c r="C176" t="str">
        <f>INDEX('ei names mapping'!$B$38:$R$67,MATCH(B141,'ei names mapping'!$A$4:$A$33,0),MATCH(G176,'ei names mapping'!$B$3:$R$3,0))</f>
        <v>GLO</v>
      </c>
      <c r="D176" t="str">
        <f>INDEX('ei names mapping'!$B$104:$R$133,MATCH(B141,'ei names mapping'!$A$104:$A$133,0),MATCH(G176,'ei names mapping'!$B$3:$R$3,0))</f>
        <v>kilogram</v>
      </c>
      <c r="F176" t="s">
        <v>89</v>
      </c>
      <c r="G176" t="s">
        <v>19</v>
      </c>
      <c r="H176" t="str">
        <f>INDEX('ei names mapping'!$B$71:$R$100,MATCH(B141,'ei names mapping'!$A$4:$A$33,0),MATCH(G176,'ei names mapping'!$B$3:$R$3,0))</f>
        <v>Battery cell</v>
      </c>
    </row>
    <row r="177" spans="1:8" x14ac:dyDescent="0.2">
      <c r="A177" t="str">
        <f>INDEX('ei names mapping'!$B$4:$R$33,MATCH(B141,'ei names mapping'!$A$4:$A$33,0),MATCH(G177,'ei names mapping'!$B$3:$R$3,0))</f>
        <v>Battery BoP</v>
      </c>
      <c r="B177" s="11">
        <f>INDEX('vehicles specifications'!$B$3:$CW$166,MATCH(B144,'vehicles specifications'!$A$3:$A$166,0),MATCH(G177,'vehicles specifications'!$B$2:$CW$2,0))*INDEX('ei names mapping'!$B$137:$BL$300,MATCH(B144,'ei names mapping'!$A$137:$A$300,0),MATCH(G177,'ei names mapping'!$B$136:$BL$136,0))</f>
        <v>7.1999999999999993</v>
      </c>
      <c r="C177" t="str">
        <f>INDEX('ei names mapping'!$B$38:$R$67,MATCH(B141,'ei names mapping'!$A$4:$A$33,0),MATCH(G177,'ei names mapping'!$B$3:$R$3,0))</f>
        <v>GLO</v>
      </c>
      <c r="D177" t="str">
        <f>INDEX('ei names mapping'!$B$104:$R$133,MATCH(B141,'ei names mapping'!$A$104:$A$133,0),MATCH(G177,'ei names mapping'!$B$3:$R$3,0))</f>
        <v>kilogram</v>
      </c>
      <c r="F177" t="s">
        <v>89</v>
      </c>
      <c r="G177" t="s">
        <v>20</v>
      </c>
      <c r="H177" t="str">
        <f>INDEX('ei names mapping'!$B$71:$R$100,MATCH(B141,'ei names mapping'!$A$4:$A$33,0),MATCH(G177,'ei names mapping'!$B$3:$R$3,0))</f>
        <v>Battery BoP</v>
      </c>
    </row>
    <row r="178" spans="1:8" x14ac:dyDescent="0.2">
      <c r="A178" t="str">
        <f>INDEX('ei names mapping'!$B$4:$R$33,MATCH(B141,'ei names mapping'!$A$4:$A$33,0),MATCH(G178,'ei names mapping'!$B$3:$R$3,0))</f>
        <v>charging station, 3kW</v>
      </c>
      <c r="B178" s="11">
        <f>INDEX('vehicles specifications'!$B$3:$CW$166,MATCH(B144,'vehicles specifications'!$A$3:$A$166,0),MATCH(G178,'vehicles specifications'!$B$2:$CW$2,0))*INDEX('ei names mapping'!$B$137:$BL$300,MATCH(B144,'ei names mapping'!$A$137:$A$300,0),MATCH(G178,'ei names mapping'!$B$136:$BL$136,0))</f>
        <v>1</v>
      </c>
      <c r="C178" t="str">
        <f>INDEX('ei names mapping'!$B$38:$R$67,MATCH(B141,'ei names mapping'!$A$4:$A$33,0),MATCH(G178,'ei names mapping'!$B$3:$R$3,0))</f>
        <v>GLO</v>
      </c>
      <c r="D178" t="str">
        <f>INDEX('ei names mapping'!$B$104:$R$133,MATCH(B141,'ei names mapping'!$A$104:$A$133,0),MATCH(G178,'ei names mapping'!$B$3:$R$3,0))</f>
        <v>unit</v>
      </c>
      <c r="F178" t="s">
        <v>89</v>
      </c>
      <c r="G178" t="s">
        <v>52</v>
      </c>
      <c r="H178" t="str">
        <f>INDEX('ei names mapping'!$B$71:$R$100,MATCH(B141,'ei names mapping'!$A$4:$A$33,0),MATCH(G178,'ei names mapping'!$B$3:$R$3,0))</f>
        <v>charging station, 3kW</v>
      </c>
    </row>
    <row r="179" spans="1:8" x14ac:dyDescent="0.2">
      <c r="A179" t="str">
        <f>INDEX('ei names mapping'!$B$4:$R$33,MATCH(B141,'ei names mapping'!$A$4:$A$33,0),MATCH(G179,'ei names mapping'!$B$3:$R$3,0))</f>
        <v>manual dismantling of used electric scooter</v>
      </c>
      <c r="B179" s="11">
        <f>INDEX('vehicles specifications'!$B$3:$CW$166,MATCH(B144,'vehicles specifications'!$A$3:$A$166,0),MATCH(G179,'vehicles specifications'!$B$2:$CW$2,0))*INDEX('ei names mapping'!$B$137:$BL$300,MATCH(B144,'ei names mapping'!$A$137:$A$300,0),MATCH(G179,'ei names mapping'!$B$136:$BL$136,0))</f>
        <v>49.29</v>
      </c>
      <c r="C179" t="str">
        <f>INDEX('ei names mapping'!$B$38:$R$67,MATCH(B141,'ei names mapping'!$A$4:$A$33,0),MATCH(G179,'ei names mapping'!$B$3:$R$3,0))</f>
        <v>GLO</v>
      </c>
      <c r="D179" t="str">
        <f>INDEX('ei names mapping'!$B$104:$R$133,MATCH(B141,'ei names mapping'!$A$104:$A$133,0),MATCH(G179,'ei names mapping'!$B$3:$R$3,0))</f>
        <v>unit</v>
      </c>
      <c r="F179" t="s">
        <v>89</v>
      </c>
      <c r="G179" t="s">
        <v>144</v>
      </c>
      <c r="H179" t="str">
        <f>INDEX('ei names mapping'!$B$71:$R$100,MATCH(B141,'ei names mapping'!$A$4:$A$33,0),MATCH(G179,'ei names mapping'!$B$3:$R$3,0))</f>
        <v>manual dismantling of electric scooter</v>
      </c>
    </row>
    <row r="180" spans="1:8" x14ac:dyDescent="0.2">
      <c r="A180" t="str">
        <f>INDEX('ei names mapping'!$B$4:$R$33,MATCH(B141,'ei names mapping'!$A$4:$A$33,0),MATCH(G180,'ei names mapping'!$B$3:$R$3,0))</f>
        <v>manual dismantling of used electric scooter</v>
      </c>
      <c r="B180" s="11">
        <f>INDEX('vehicles specifications'!$B$3:$CW$166,MATCH(B144,'vehicles specifications'!$A$3:$A$166,0),MATCH(G180,'vehicles specifications'!$B$2:$CW$2,0))*INDEX('ei names mapping'!$B$137:$BL$300,MATCH(B144,'ei names mapping'!$A$137:$A$300,0),MATCH(G180,'ei names mapping'!$B$136:$BL$136,0))</f>
        <v>12</v>
      </c>
      <c r="C180" t="str">
        <f>INDEX('ei names mapping'!$B$38:$R$67,MATCH(B141,'ei names mapping'!$A$4:$A$33,0),MATCH(G180,'ei names mapping'!$B$3:$R$3,0))</f>
        <v>GLO</v>
      </c>
      <c r="D180" t="str">
        <f>INDEX('ei names mapping'!$B$104:$R$133,MATCH(B141,'ei names mapping'!$A$104:$A$133,0),MATCH(G180,'ei names mapping'!$B$3:$R$3,0))</f>
        <v>unit</v>
      </c>
      <c r="F180" t="s">
        <v>89</v>
      </c>
      <c r="G180" t="s">
        <v>145</v>
      </c>
      <c r="H180" t="str">
        <f>INDEX('ei names mapping'!$B$71:$R$100,MATCH(B141,'ei names mapping'!$A$4:$A$33,0),MATCH(G180,'ei names mapping'!$B$3:$R$3,0))</f>
        <v>manual dismantling of electric scooter</v>
      </c>
    </row>
    <row r="181" spans="1:8" x14ac:dyDescent="0.2">
      <c r="A181" t="str">
        <f>INDEX('ei names mapping'!$B$4:$R$33,MATCH(B141,'ei names mapping'!$A$4:$A$33,0),MATCH(G181,'ei names mapping'!$B$3:$R$3,0))</f>
        <v>market for used Li-ion battery</v>
      </c>
      <c r="B181" s="11">
        <f>INDEX('vehicles specifications'!$B$3:$CW$166,MATCH(B144,'vehicles specifications'!$A$3:$A$166,0),MATCH(G181,'vehicles specifications'!$B$2:$CW$2,0))*INDEX('ei names mapping'!$B$137:$BL$300,MATCH(B144,'ei names mapping'!$A$137:$A$300,0),MATCH(G181,'ei names mapping'!$B$136:$BL$136,0))</f>
        <v>-31.2</v>
      </c>
      <c r="C181" t="str">
        <f>INDEX('ei names mapping'!$B$38:$R$67,MATCH(B141,'ei names mapping'!$A$4:$A$33,0),MATCH(G181,'ei names mapping'!$B$3:$R$3,0))</f>
        <v>GLO</v>
      </c>
      <c r="D181" t="str">
        <f>INDEX('ei names mapping'!$B$104:$R$133,MATCH(B145,'ei names mapping'!$A$104:$A$133,0),MATCH(G181,'ei names mapping'!$B$3:$R$3,0))</f>
        <v>kilogram</v>
      </c>
      <c r="F181" t="s">
        <v>89</v>
      </c>
      <c r="G181" t="s">
        <v>146</v>
      </c>
      <c r="H181" t="str">
        <f>INDEX('ei names mapping'!$B$71:$R$100,MATCH(B141,'ei names mapping'!$A$4:$A$33,0),MATCH(G181,'ei names mapping'!$B$3:$R$3,0))</f>
        <v>used Li-ion battery</v>
      </c>
    </row>
    <row r="182" spans="1:8" x14ac:dyDescent="0.2">
      <c r="A182" s="13" t="s">
        <v>840</v>
      </c>
      <c r="B182">
        <f>(B154/1000)*B167</f>
        <v>76.89</v>
      </c>
      <c r="C182" t="s">
        <v>92</v>
      </c>
      <c r="D182" t="s">
        <v>233</v>
      </c>
      <c r="F182" t="s">
        <v>89</v>
      </c>
      <c r="H182" s="13" t="s">
        <v>841</v>
      </c>
    </row>
    <row r="183" spans="1:8" x14ac:dyDescent="0.2">
      <c r="A183" s="13" t="s">
        <v>441</v>
      </c>
      <c r="B183" s="2">
        <f>(B154/1000)*B166</f>
        <v>1222.5509999999999</v>
      </c>
      <c r="C183" t="s">
        <v>95</v>
      </c>
      <c r="D183" t="s">
        <v>233</v>
      </c>
      <c r="F183" t="s">
        <v>89</v>
      </c>
      <c r="H183" s="13" t="s">
        <v>441</v>
      </c>
    </row>
    <row r="184" spans="1:8" x14ac:dyDescent="0.2">
      <c r="B184" s="2"/>
    </row>
    <row r="185" spans="1:8" ht="16" x14ac:dyDescent="0.2">
      <c r="A185" s="10" t="s">
        <v>71</v>
      </c>
      <c r="B185" s="8" t="str">
        <f>"transport, "&amp;B187&amp;", "&amp;B202&amp;" battery, "&amp;B189</f>
        <v>transport, Motorbike, electric, &lt;4kW, NMC battery, 2020</v>
      </c>
    </row>
    <row r="186" spans="1:8" x14ac:dyDescent="0.2">
      <c r="A186" t="s">
        <v>72</v>
      </c>
      <c r="B186" t="s">
        <v>37</v>
      </c>
    </row>
    <row r="187" spans="1:8" x14ac:dyDescent="0.2">
      <c r="A187" t="s">
        <v>86</v>
      </c>
      <c r="B187" t="s">
        <v>492</v>
      </c>
    </row>
    <row r="188" spans="1:8" x14ac:dyDescent="0.2">
      <c r="A188" t="s">
        <v>87</v>
      </c>
    </row>
    <row r="189" spans="1:8" x14ac:dyDescent="0.2">
      <c r="A189" t="s">
        <v>88</v>
      </c>
      <c r="B189">
        <v>2020</v>
      </c>
    </row>
    <row r="190" spans="1:8" x14ac:dyDescent="0.2">
      <c r="A190" t="s">
        <v>126</v>
      </c>
      <c r="B190" t="str">
        <f>B187&amp;" - "&amp;B189&amp;" - "&amp;B202&amp;" - "&amp;B186</f>
        <v>Motorbike, electric, &lt;4kW - 2020 - NMC - CH</v>
      </c>
    </row>
    <row r="191" spans="1:8" x14ac:dyDescent="0.2">
      <c r="A191" t="s">
        <v>73</v>
      </c>
      <c r="B191" t="str">
        <f>"transport, "&amp;B187</f>
        <v>transport, Motorbike, electric, &lt;4kW</v>
      </c>
    </row>
    <row r="192" spans="1:8" x14ac:dyDescent="0.2">
      <c r="A192" t="s">
        <v>74</v>
      </c>
      <c r="B192" t="s">
        <v>75</v>
      </c>
    </row>
    <row r="193" spans="1:2" x14ac:dyDescent="0.2">
      <c r="A193" t="s">
        <v>76</v>
      </c>
      <c r="B193" t="s">
        <v>166</v>
      </c>
    </row>
    <row r="194" spans="1:2" x14ac:dyDescent="0.2">
      <c r="A194" t="s">
        <v>78</v>
      </c>
      <c r="B194" t="s">
        <v>1143</v>
      </c>
    </row>
    <row r="195" spans="1:2" x14ac:dyDescent="0.2">
      <c r="A195" t="s">
        <v>127</v>
      </c>
      <c r="B195">
        <f>INDEX('vehicles specifications'!$B$3:$CW$166,MATCH(B190,'vehicles specifications'!$A$3:$A$166,0),MATCH("Lifetime [km]",'vehicles specifications'!$B$2:$CW$2,0))</f>
        <v>25000</v>
      </c>
    </row>
    <row r="196" spans="1:2" x14ac:dyDescent="0.2">
      <c r="A196" t="s">
        <v>128</v>
      </c>
      <c r="B196">
        <f>INDEX('vehicles specifications'!$B$3:$CW$166,MATCH(B190,'vehicles specifications'!$A$3:$A$166,0),MATCH("Passengers [unit]",'vehicles specifications'!$B$2:$CW$2,0))</f>
        <v>1.1000000000000001</v>
      </c>
    </row>
    <row r="197" spans="1:2" x14ac:dyDescent="0.2">
      <c r="A197" t="s">
        <v>129</v>
      </c>
      <c r="B197">
        <f>INDEX('vehicles specifications'!$B$3:$CW$166,MATCH(B190,'vehicles specifications'!$A$3:$A$166,0),MATCH("Servicing [unit]",'vehicles specifications'!$B$2:$CW$2,0))</f>
        <v>1</v>
      </c>
    </row>
    <row r="198" spans="1:2" x14ac:dyDescent="0.2">
      <c r="A198" t="s">
        <v>130</v>
      </c>
      <c r="B198">
        <f>INDEX('vehicles specifications'!$B$3:$CW$166,MATCH(B190,'vehicles specifications'!$A$3:$A$166,0),MATCH("Energy battery replacement [unit]",'vehicles specifications'!$B$2:$CW$2,0))</f>
        <v>1</v>
      </c>
    </row>
    <row r="199" spans="1:2" x14ac:dyDescent="0.2">
      <c r="A199" t="s">
        <v>131</v>
      </c>
      <c r="B199">
        <f>INDEX('vehicles specifications'!$B$3:$CW$166,MATCH(B190,'vehicles specifications'!$A$3:$A$166,0),MATCH("Annual kilometers [km]",'vehicles specifications'!$B$2:$CW$2,0))</f>
        <v>1776</v>
      </c>
    </row>
    <row r="200" spans="1:2" x14ac:dyDescent="0.2">
      <c r="A200" t="s">
        <v>132</v>
      </c>
      <c r="B200" s="2">
        <f>INDEX('vehicles specifications'!$B$3:$CW$166,MATCH(B190,'vehicles specifications'!$A$3:$A$166,0),MATCH("Curb mass [kg]",'vehicles specifications'!$B$2:$CW$2,0))</f>
        <v>76.7</v>
      </c>
    </row>
    <row r="201" spans="1:2" x14ac:dyDescent="0.2">
      <c r="A201" t="s">
        <v>133</v>
      </c>
      <c r="B201">
        <f>INDEX('vehicles specifications'!$B$3:$CW$166,MATCH(B190,'vehicles specifications'!$A$3:$A$166,0),MATCH("Power [kW]",'vehicles specifications'!$B$2:$CW$2,0))</f>
        <v>2.5</v>
      </c>
    </row>
    <row r="202" spans="1:2" x14ac:dyDescent="0.2">
      <c r="A202" t="s">
        <v>652</v>
      </c>
      <c r="B202" s="20" t="s">
        <v>43</v>
      </c>
    </row>
    <row r="203" spans="1:2" x14ac:dyDescent="0.2">
      <c r="A203" t="s">
        <v>134</v>
      </c>
      <c r="B203">
        <f>INDEX('vehicles specifications'!$B$3:$CW$166,MATCH(B190,'vehicles specifications'!$A$3:$A$166,0),MATCH("Energy battery mass [kg]",'vehicles specifications'!$B$2:$CW$2,0))</f>
        <v>11.7</v>
      </c>
    </row>
    <row r="204" spans="1:2" x14ac:dyDescent="0.2">
      <c r="A204" t="s">
        <v>135</v>
      </c>
      <c r="B204">
        <f>INDEX('vehicles specifications'!$B$3:$CW$166,MATCH(B190,'vehicles specifications'!$A$3:$A$166,0),MATCH("Electric energy stored [kWh]",'vehicles specifications'!$B$2:$CW$2,0))</f>
        <v>1.8</v>
      </c>
    </row>
    <row r="205" spans="1:2" x14ac:dyDescent="0.2">
      <c r="A205" t="s">
        <v>588</v>
      </c>
      <c r="B205">
        <f>INDEX('vehicles specifications'!$B$3:$CW$166,MATCH(B190,'vehicles specifications'!$A$3:$A$166,0),MATCH("Electric energy available [kWh]",'vehicles specifications'!$B$2:$CW$2,0))</f>
        <v>1.4400000000000002</v>
      </c>
    </row>
    <row r="206" spans="1:2" x14ac:dyDescent="0.2">
      <c r="A206" t="s">
        <v>138</v>
      </c>
      <c r="B206" s="2">
        <f>INDEX('vehicles specifications'!$B$3:$CW$166,MATCH(B190,'vehicles specifications'!$A$3:$A$166,0),MATCH("Oxydation energy stored [kWh]",'vehicles specifications'!$B$2:$CW$2,0))</f>
        <v>0</v>
      </c>
    </row>
    <row r="207" spans="1:2" x14ac:dyDescent="0.2">
      <c r="A207" t="s">
        <v>139</v>
      </c>
      <c r="B207">
        <f>INDEX('vehicles specifications'!$B$3:$CW$166,MATCH(B190,'vehicles specifications'!$A$3:$A$166,0),MATCH("Fuel mass [kg]",'vehicles specifications'!$B$2:$CW$2,0))</f>
        <v>0</v>
      </c>
    </row>
    <row r="208" spans="1:2" x14ac:dyDescent="0.2">
      <c r="A208" t="s">
        <v>136</v>
      </c>
      <c r="B208" s="2">
        <f>INDEX('vehicles specifications'!$B$3:$CW$166,MATCH(B190,'vehicles specifications'!$A$3:$A$166,0),MATCH("Range [km]",'vehicles specifications'!$B$2:$CW$2,0))</f>
        <v>42.842975206611577</v>
      </c>
    </row>
    <row r="209" spans="1:8" x14ac:dyDescent="0.2">
      <c r="A209" t="s">
        <v>137</v>
      </c>
      <c r="B209" t="str">
        <f>INDEX('vehicles specifications'!$B$3:$CW$166,MATCH(B190,'vehicles specifications'!$A$3:$A$166,0),MATCH("Emission standard",'vehicles specifications'!$B$2:$CW$2,0))</f>
        <v>None</v>
      </c>
    </row>
    <row r="210" spans="1:8" x14ac:dyDescent="0.2">
      <c r="A210" t="s">
        <v>1174</v>
      </c>
      <c r="B210" s="6">
        <f>INDEX('vehicles specifications'!$B$3:$CW$166,MATCH(B190,'vehicles specifications'!$A$3:$A$166,0),MATCH("Lightweighting rate [%]",'vehicles specifications'!$B$2:$CW$2,0))</f>
        <v>0</v>
      </c>
    </row>
    <row r="211" spans="1:8" x14ac:dyDescent="0.2">
      <c r="A211" t="s">
        <v>83</v>
      </c>
      <c r="B21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Documentation: Life-cycle inventories for on-road vehicles, Sacchi R. (PSI), Bauer C. (PSI), 2021. 0</v>
      </c>
    </row>
    <row r="212" spans="1:8" ht="16" x14ac:dyDescent="0.2">
      <c r="A212" s="10" t="s">
        <v>79</v>
      </c>
    </row>
    <row r="213" spans="1:8" x14ac:dyDescent="0.2">
      <c r="A213" t="s">
        <v>80</v>
      </c>
      <c r="B213" t="s">
        <v>81</v>
      </c>
      <c r="C213" t="s">
        <v>72</v>
      </c>
      <c r="D213" t="s">
        <v>76</v>
      </c>
      <c r="E213" t="s">
        <v>82</v>
      </c>
      <c r="F213" t="s">
        <v>74</v>
      </c>
      <c r="G213" t="s">
        <v>83</v>
      </c>
      <c r="H213" t="s">
        <v>73</v>
      </c>
    </row>
    <row r="214" spans="1:8" x14ac:dyDescent="0.2">
      <c r="A214" t="str">
        <f>B185</f>
        <v>transport, Motorbike, electric, &lt;4kW, NMC battery, 2020</v>
      </c>
      <c r="B214">
        <v>1</v>
      </c>
      <c r="C214" t="str">
        <f>B186</f>
        <v>CH</v>
      </c>
      <c r="D214" t="s">
        <v>166</v>
      </c>
      <c r="F214" t="s">
        <v>84</v>
      </c>
      <c r="G214" t="s">
        <v>85</v>
      </c>
      <c r="H214" t="str">
        <f>B191</f>
        <v>transport, Motorbike, electric, &lt;4kW</v>
      </c>
    </row>
    <row r="215" spans="1:8" x14ac:dyDescent="0.2">
      <c r="A215" t="str">
        <f>RIGHT(A214,LEN(A214)-11)</f>
        <v>Motorbike, electric, &lt;4kW, NMC battery, 2020</v>
      </c>
      <c r="B215" s="7">
        <f>1/B195</f>
        <v>4.0000000000000003E-5</v>
      </c>
      <c r="C215" t="str">
        <f>B186</f>
        <v>CH</v>
      </c>
      <c r="D215" t="s">
        <v>76</v>
      </c>
      <c r="F215" t="s">
        <v>89</v>
      </c>
      <c r="H215" t="str">
        <f>RIGHT(H214,LEN(H214)-11)</f>
        <v>Motorbike, electric, &lt;4kW</v>
      </c>
    </row>
    <row r="216" spans="1:8" x14ac:dyDescent="0.2">
      <c r="A216" t="str">
        <f>INDEX('ei names mapping'!$B$4:$R$33,MATCH(B187,'ei names mapping'!$A$4:$A$33,0),MATCH(G216,'ei names mapping'!$B$3:$R$3,0))</f>
        <v>road maintenance</v>
      </c>
      <c r="B216" s="7">
        <f>INDEX('vehicles specifications'!$B$3:$CW$166,MATCH(B190,'vehicles specifications'!$A$3:$A$166,0),MATCH(G216,'vehicles specifications'!$B$2:$CW$2,0))*INDEX('ei names mapping'!$B$137:$BL$300,MATCH(B190,'ei names mapping'!$A$137:$A$300,0),MATCH(G216,'ei names mapping'!$B$136:$BL$136,0))</f>
        <v>1.2899999999999999E-3</v>
      </c>
      <c r="C216" t="str">
        <f>INDEX('ei names mapping'!$B$38:$R$67,MATCH(B187,'ei names mapping'!$A$4:$A$33,0),MATCH(G216,'ei names mapping'!$B$3:$R$3,0))</f>
        <v>CH</v>
      </c>
      <c r="D216" t="str">
        <f>INDEX('ei names mapping'!$B$104:$BL$133,MATCH(B187,'ei names mapping'!$A$4:$A$33,0),MATCH(G216,'ei names mapping'!$B$3:$BL$3,0))</f>
        <v>meter-year</v>
      </c>
      <c r="F216" t="s">
        <v>89</v>
      </c>
      <c r="G216" t="s">
        <v>112</v>
      </c>
      <c r="H216" t="str">
        <f>INDEX('ei names mapping'!$B$71:$BL$100,MATCH(B187,'ei names mapping'!$A$4:$A$33,0),MATCH(G216,'ei names mapping'!$B$3:$BL$3,0))</f>
        <v>road maintenance</v>
      </c>
    </row>
    <row r="217" spans="1:8" x14ac:dyDescent="0.2">
      <c r="A217" t="str">
        <f>INDEX('ei names mapping'!$B$4:$R$33,MATCH(B187,'ei names mapping'!$A$4:$A$33,0),MATCH(G217,'ei names mapping'!$B$3:$R$3,0))</f>
        <v>market for electricity, low voltage</v>
      </c>
      <c r="B217" s="7">
        <f>INDEX('vehicles specifications'!$B$3:$CW$166,MATCH(B190,'vehicles specifications'!$A$3:$A$166,0),MATCH(G217,'vehicles specifications'!$B$2:$CW$2,0))*INDEX('ei names mapping'!$B$137:$BL$300,MATCH(B190,'ei names mapping'!$A$137:$A$300,0),MATCH(G217,'ei names mapping'!$B$136:$BL$136,0))</f>
        <v>3.6972222222222226E-2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mapping'!$B$71:$R$100,MATCH(B187,'ei names mapping'!$A$4:$A$33,0),MATCH(G217,'ei names mapping'!$B$3:$R$3,0))</f>
        <v>electricity, low voltage</v>
      </c>
    </row>
    <row r="218" spans="1:8" x14ac:dyDescent="0.2">
      <c r="A218" t="str">
        <f>INDEX('ei names mapping'!$B$4:$R$33,MATCH(B187,'ei names mapping'!$A$4:$A$33,0),MATCH(G218,'ei names mapping'!$B$3:$R$3,0))</f>
        <v>market for maintenance, electric scooter, without battery</v>
      </c>
      <c r="B218" s="7">
        <f>INDEX('vehicles specifications'!$B$3:$CW$166,MATCH(B190,'vehicles specifications'!$A$3:$A$166,0),MATCH(G218,'vehicles specifications'!$B$2:$CW$2,0))*INDEX('ei names mapping'!$B$137:$BL$300,MATCH(B190,'ei names mapping'!$A$137:$A$300,0),MATCH(G218,'ei names mapping'!$B$136:$BL$136,0))</f>
        <v>4.0000000000000003E-5</v>
      </c>
      <c r="C218" t="str">
        <f>INDEX('ei names mapping'!$B$38:$BL$67,MATCH(B187,'ei names mapping'!$A$4:$A$33,0),MATCH(G218,'ei names mapping'!$B$3:$BL$3,0))</f>
        <v>GLO</v>
      </c>
      <c r="D218" t="str">
        <f>INDEX('ei names mapping'!$B$104:$BL$133,MATCH(B187,'ei names mapping'!$A$4:$A$33,0),MATCH(G218,'ei names mapping'!$B$3:$BL$3,0))</f>
        <v>unit</v>
      </c>
      <c r="F218" t="s">
        <v>89</v>
      </c>
      <c r="G218" t="s">
        <v>118</v>
      </c>
      <c r="H218" t="str">
        <f>INDEX('ei names mapping'!$B$71:$BL$100,MATCH(B187,'ei names mapping'!$A$4:$A$33,0),MATCH(G218,'ei names mapping'!$B$3:$BL$3,0))</f>
        <v>maintenance, electric scooter, without battery</v>
      </c>
    </row>
    <row r="219" spans="1:8" x14ac:dyDescent="0.2">
      <c r="A219" t="str">
        <f>INDEX('ei names mapping'!$B$4:$R$33,MATCH(B187,'ei names mapping'!$A$4:$A$33,0),MATCH(G219,'ei names mapping'!$B$3:$R$3,0))</f>
        <v>road construction</v>
      </c>
      <c r="B219" s="7">
        <f>INDEX('vehicles specifications'!$B$3:$CW$166,MATCH(B190,'vehicles specifications'!$A$3:$A$166,0),MATCH(G219,'vehicles specifications'!$B$2:$CW$2,0))*INDEX('ei names mapping'!$B$137:$BL$300,MATCH(B190,'ei names mapping'!$A$137:$A$300,0),MATCH(G219,'ei names mapping'!$B$136:$BL$136,0))</f>
        <v>8.8712400000000001E-5</v>
      </c>
      <c r="C219" t="str">
        <f>INDEX('ei names mapping'!$B$38:$R$67,MATCH(B187,'ei names mapping'!$A$4:$A$33,0),MATCH(G219,'ei names mapping'!$B$3:$R$3,0))</f>
        <v>CH</v>
      </c>
      <c r="D219" t="str">
        <f>INDEX('ei names mapping'!$B$104:$R$133,MATCH(B187,'ei names mapping'!$A$104:$A$133,0),MATCH(G219,'ei names mapping'!$B$3:$R$3,0))</f>
        <v>meter-year</v>
      </c>
      <c r="F219" t="s">
        <v>89</v>
      </c>
      <c r="G219" t="s">
        <v>105</v>
      </c>
      <c r="H219" t="str">
        <f>INDEX('ei names mapping'!$B$71:$R$100,MATCH(B187,'ei names mapping'!$A$4:$A$33,0),MATCH(G219,'ei names mapping'!$B$3:$R$3,0))</f>
        <v>road</v>
      </c>
    </row>
    <row r="220" spans="1:8" x14ac:dyDescent="0.2">
      <c r="A220" t="str">
        <f>INDEX('ei names mapping'!$B$4:$BL$33,MATCH(B187,'ei names mapping'!$A$4:$A$33,0),MATCH(G220,'ei names mapping'!$B$3:$BL$3,0))</f>
        <v>treatment of road wear emissions, passenger car</v>
      </c>
      <c r="B220" s="7">
        <f>INDEX('vehicles specifications'!$B$3:$CW$166,MATCH(B190,'vehicles specifications'!$A$3:$A$166,0),MATCH(G220,'vehicles specifications'!$B$2:$CW$2,0))*INDEX('ei names mapping'!$B$137:$BL$300,MATCH(B190,'ei names mapping'!$A$137:$A$300,0),MATCH(G220,'ei names mapping'!$B$136:$BL$136,0))</f>
        <v>-6.2620810940496784E-6</v>
      </c>
      <c r="C220" t="str">
        <f>INDEX('ei names mapping'!$B$38:$BL$67,MATCH(B187,'ei names mapping'!$A$4:$A$33,0),MATCH(G220,'ei names mapping'!$B$3:$BL$3,0))</f>
        <v>RER</v>
      </c>
      <c r="D220" t="str">
        <f>INDEX('ei names mapping'!$B$104:$BL$133,MATCH(B187,'ei names mapping'!$A$4:$A$33,0),MATCH(G220,'ei names mapping'!$B$3:$BL$3,0))</f>
        <v>kilogram</v>
      </c>
      <c r="F220" t="s">
        <v>89</v>
      </c>
      <c r="G220" t="s">
        <v>29</v>
      </c>
      <c r="H220" t="str">
        <f>INDEX('ei names mapping'!$B$71:$BL$100,MATCH(B187,'ei names mapping'!$A$4:$A$33,0),MATCH(G220,'ei names mapping'!$B$3:$BL$3,0))</f>
        <v>road wear emissions, passenger car</v>
      </c>
    </row>
    <row r="221" spans="1:8" x14ac:dyDescent="0.2">
      <c r="A221" t="str">
        <f>INDEX('ei names mapping'!$B$4:$BL$33,MATCH(B187,'ei names mapping'!$A$4:$A$33,0),MATCH(G221,'ei names mapping'!$B$3:$BL$3,0))</f>
        <v>treatment of tyre wear emissions, passenger car</v>
      </c>
      <c r="B221" s="7">
        <f>INDEX('vehicles specifications'!$B$3:$CW$166,MATCH(B190,'vehicles specifications'!$A$3:$A$166,0),MATCH(G221,'vehicles specifications'!$B$2:$CW$2,0))*INDEX('ei names mapping'!$B$137:$BL$300,MATCH(B190,'ei names mapping'!$A$137:$A$300,0),MATCH(G221,'ei names mapping'!$B$136:$BL$136,0))</f>
        <v>-4.5554631442082041E-6</v>
      </c>
      <c r="C221" t="str">
        <f>INDEX('ei names mapping'!$B$38:$BL$67,MATCH(B187,'ei names mapping'!$A$4:$A$33,0),MATCH(G221,'ei names mapping'!$B$3:$BL$3,0))</f>
        <v>RER</v>
      </c>
      <c r="D221" t="str">
        <f>INDEX('ei names mapping'!$B$104:$BL$133,MATCH(B187,'ei names mapping'!$A$4:$A$33,0),MATCH(G221,'ei names mapping'!$B$3:$BL$3,0))</f>
        <v>kilogram</v>
      </c>
      <c r="F221" t="s">
        <v>89</v>
      </c>
      <c r="G221" t="s">
        <v>30</v>
      </c>
      <c r="H221" t="str">
        <f>INDEX('ei names mapping'!$B$71:$BL$100,MATCH(B187,'ei names mapping'!$A$4:$A$33,0),MATCH(G221,'ei names mapping'!$B$3:$BL$3,0))</f>
        <v>tyre wear emissions, passenger car</v>
      </c>
    </row>
    <row r="222" spans="1:8" x14ac:dyDescent="0.2">
      <c r="A222" t="str">
        <f>INDEX('ei names mapping'!$B$4:$BL$33,MATCH(B187,'ei names mapping'!$A$4:$A$33,0),MATCH(G222,'ei names mapping'!$B$3:$BL$3,0))</f>
        <v>treatment of brake wear emissions, passenger car</v>
      </c>
      <c r="B222" s="7">
        <f>INDEX('vehicles specifications'!$B$3:$CW$166,MATCH(B190,'vehicles specifications'!$A$3:$A$166,0),MATCH(G222,'vehicles specifications'!$B$2:$CW$2,0))*INDEX('ei names mapping'!$B$137:$BL$300,MATCH(B190,'ei names mapping'!$A$137:$A$300,0),MATCH(G222,'ei names mapping'!$B$136:$BL$136,0))</f>
        <v>-2.4211309013042481E-6</v>
      </c>
      <c r="C222" t="str">
        <f>INDEX('ei names mapping'!$B$38:$BL$67,MATCH(B187,'ei names mapping'!$A$4:$A$33,0),MATCH(G222,'ei names mapping'!$B$3:$BL$3,0))</f>
        <v>RER</v>
      </c>
      <c r="D222" t="str">
        <f>INDEX('ei names mapping'!$B$104:$BL$133,MATCH(B187,'ei names mapping'!$A$4:$A$33,0),MATCH(G222,'ei names mapping'!$B$3:$BL$3,0))</f>
        <v>kilogram</v>
      </c>
      <c r="F222" t="s">
        <v>89</v>
      </c>
      <c r="G222" t="s">
        <v>31</v>
      </c>
      <c r="H222" t="str">
        <f>INDEX('ei names mapping'!$B$71:$BL$100,MATCH(B187,'ei names mapping'!$A$4:$A$33,0),MATCH(G222,'ei names mapping'!$B$3:$BL$3,0))</f>
        <v>brake wear emissions, passenger car</v>
      </c>
    </row>
    <row r="223" spans="1:8" x14ac:dyDescent="0.2">
      <c r="B223" s="6"/>
    </row>
    <row r="224" spans="1:8" ht="16" x14ac:dyDescent="0.2">
      <c r="A224" s="10" t="s">
        <v>71</v>
      </c>
      <c r="B224" s="8" t="str">
        <f>"transport, "&amp;B226&amp;", "&amp;B241&amp;" battery, "&amp;B228</f>
        <v>transport, Motorbike, electric, &lt;4kW, NMC battery, 2030</v>
      </c>
    </row>
    <row r="225" spans="1:2" x14ac:dyDescent="0.2">
      <c r="A225" t="s">
        <v>72</v>
      </c>
      <c r="B225" t="s">
        <v>37</v>
      </c>
    </row>
    <row r="226" spans="1:2" x14ac:dyDescent="0.2">
      <c r="A226" t="s">
        <v>86</v>
      </c>
      <c r="B226" t="s">
        <v>492</v>
      </c>
    </row>
    <row r="227" spans="1:2" x14ac:dyDescent="0.2">
      <c r="A227" t="s">
        <v>87</v>
      </c>
    </row>
    <row r="228" spans="1:2" x14ac:dyDescent="0.2">
      <c r="A228" t="s">
        <v>88</v>
      </c>
      <c r="B228">
        <v>2030</v>
      </c>
    </row>
    <row r="229" spans="1:2" x14ac:dyDescent="0.2">
      <c r="A229" t="s">
        <v>126</v>
      </c>
      <c r="B229" t="str">
        <f>B226&amp;" - "&amp;B228&amp;" - "&amp;B241&amp;" - "&amp;B225</f>
        <v>Motorbike, electric, &lt;4kW - 2030 - NMC - CH</v>
      </c>
    </row>
    <row r="230" spans="1:2" x14ac:dyDescent="0.2">
      <c r="A230" t="s">
        <v>73</v>
      </c>
      <c r="B230" t="str">
        <f>"transport, "&amp;B226</f>
        <v>transport, Motorbike, electric, &lt;4kW</v>
      </c>
    </row>
    <row r="231" spans="1:2" x14ac:dyDescent="0.2">
      <c r="A231" t="s">
        <v>74</v>
      </c>
      <c r="B231" t="s">
        <v>75</v>
      </c>
    </row>
    <row r="232" spans="1:2" x14ac:dyDescent="0.2">
      <c r="A232" t="s">
        <v>76</v>
      </c>
      <c r="B232" t="s">
        <v>166</v>
      </c>
    </row>
    <row r="233" spans="1:2" x14ac:dyDescent="0.2">
      <c r="A233" t="s">
        <v>78</v>
      </c>
      <c r="B233" t="s">
        <v>1143</v>
      </c>
    </row>
    <row r="234" spans="1:2" x14ac:dyDescent="0.2">
      <c r="A234" t="s">
        <v>127</v>
      </c>
      <c r="B234">
        <f>INDEX('vehicles specifications'!$B$3:$CW$166,MATCH(B229,'vehicles specifications'!$A$3:$A$166,0),MATCH("Lifetime [km]",'vehicles specifications'!$B$2:$CW$2,0))</f>
        <v>25000</v>
      </c>
    </row>
    <row r="235" spans="1:2" x14ac:dyDescent="0.2">
      <c r="A235" t="s">
        <v>128</v>
      </c>
      <c r="B235">
        <f>INDEX('vehicles specifications'!$B$3:$CW$166,MATCH(B229,'vehicles specifications'!$A$3:$A$166,0),MATCH("Passengers [unit]",'vehicles specifications'!$B$2:$CW$2,0))</f>
        <v>1.1000000000000001</v>
      </c>
    </row>
    <row r="236" spans="1:2" x14ac:dyDescent="0.2">
      <c r="A236" t="s">
        <v>129</v>
      </c>
      <c r="B236">
        <f>INDEX('vehicles specifications'!$B$3:$CW$166,MATCH(B229,'vehicles specifications'!$A$3:$A$166,0),MATCH("Servicing [unit]",'vehicles specifications'!$B$2:$CW$2,0))</f>
        <v>1</v>
      </c>
    </row>
    <row r="237" spans="1:2" x14ac:dyDescent="0.2">
      <c r="A237" t="s">
        <v>130</v>
      </c>
      <c r="B237">
        <f>INDEX('vehicles specifications'!$B$3:$CW$166,MATCH(B229,'vehicles specifications'!$A$3:$A$166,0),MATCH("Energy battery replacement [unit]",'vehicles specifications'!$B$2:$CW$2,0))</f>
        <v>0.5</v>
      </c>
    </row>
    <row r="238" spans="1:2" x14ac:dyDescent="0.2">
      <c r="A238" t="s">
        <v>131</v>
      </c>
      <c r="B238">
        <f>INDEX('vehicles specifications'!$B$3:$CW$166,MATCH(B229,'vehicles specifications'!$A$3:$A$166,0),MATCH("Annual kilometers [km]",'vehicles specifications'!$B$2:$CW$2,0))</f>
        <v>1776</v>
      </c>
    </row>
    <row r="239" spans="1:2" x14ac:dyDescent="0.2">
      <c r="A239" t="s">
        <v>132</v>
      </c>
      <c r="B239" s="2">
        <f>INDEX('vehicles specifications'!$B$3:$CW$166,MATCH(B229,'vehicles specifications'!$A$3:$A$166,0),MATCH("Curb mass [kg]",'vehicles specifications'!$B$2:$CW$2,0))</f>
        <v>77.276666666666671</v>
      </c>
    </row>
    <row r="240" spans="1:2" x14ac:dyDescent="0.2">
      <c r="A240" t="s">
        <v>133</v>
      </c>
      <c r="B240">
        <f>INDEX('vehicles specifications'!$B$3:$CW$166,MATCH(B229,'vehicles specifications'!$A$3:$A$166,0),MATCH("Power [kW]",'vehicles specifications'!$B$2:$CW$2,0))</f>
        <v>2.5</v>
      </c>
    </row>
    <row r="241" spans="1:8" x14ac:dyDescent="0.2">
      <c r="A241" t="s">
        <v>652</v>
      </c>
      <c r="B241" s="20" t="s">
        <v>43</v>
      </c>
    </row>
    <row r="242" spans="1:8" x14ac:dyDescent="0.2">
      <c r="A242" t="s">
        <v>134</v>
      </c>
      <c r="B242">
        <f>INDEX('vehicles specifications'!$B$3:$CW$166,MATCH(B229,'vehicles specifications'!$A$3:$A$166,0),MATCH("Energy battery mass [kg]",'vehicles specifications'!$B$2:$CW$2,0))</f>
        <v>13.866666666666667</v>
      </c>
    </row>
    <row r="243" spans="1:8" x14ac:dyDescent="0.2">
      <c r="A243" t="s">
        <v>135</v>
      </c>
      <c r="B243">
        <f>INDEX('vehicles specifications'!$B$3:$CW$166,MATCH(B229,'vehicles specifications'!$A$3:$A$166,0),MATCH("Electric energy stored [kWh]",'vehicles specifications'!$B$2:$CW$2,0))</f>
        <v>3.2</v>
      </c>
    </row>
    <row r="244" spans="1:8" x14ac:dyDescent="0.2">
      <c r="A244" t="s">
        <v>588</v>
      </c>
      <c r="B244">
        <f>INDEX('vehicles specifications'!$B$3:$CW$166,MATCH(B229,'vehicles specifications'!$A$3:$A$166,0),MATCH("Electric energy available [kWh]",'vehicles specifications'!$B$2:$CW$2,0))</f>
        <v>2.5600000000000005</v>
      </c>
    </row>
    <row r="245" spans="1:8" x14ac:dyDescent="0.2">
      <c r="A245" t="s">
        <v>138</v>
      </c>
      <c r="B245" s="2">
        <f>INDEX('vehicles specifications'!$B$3:$CW$166,MATCH(B229,'vehicles specifications'!$A$3:$A$166,0),MATCH("Oxydation energy stored [kWh]",'vehicles specifications'!$B$2:$CW$2,0))</f>
        <v>0</v>
      </c>
    </row>
    <row r="246" spans="1:8" x14ac:dyDescent="0.2">
      <c r="A246" t="s">
        <v>139</v>
      </c>
      <c r="B246">
        <f>INDEX('vehicles specifications'!$B$3:$CW$166,MATCH(B229,'vehicles specifications'!$A$3:$A$166,0),MATCH("Fuel mass [kg]",'vehicles specifications'!$B$2:$CW$2,0))</f>
        <v>0</v>
      </c>
    </row>
    <row r="247" spans="1:8" x14ac:dyDescent="0.2">
      <c r="A247" t="s">
        <v>136</v>
      </c>
      <c r="B247" s="2">
        <f>INDEX('vehicles specifications'!$B$3:$CW$166,MATCH(B229,'vehicles specifications'!$A$3:$A$166,0),MATCH("Range [km]",'vehicles specifications'!$B$2:$CW$2,0))</f>
        <v>76.165289256198363</v>
      </c>
    </row>
    <row r="248" spans="1:8" x14ac:dyDescent="0.2">
      <c r="A248" t="s">
        <v>137</v>
      </c>
      <c r="B248" t="str">
        <f>INDEX('vehicles specifications'!$B$3:$CW$166,MATCH(B229,'vehicles specifications'!$A$3:$A$166,0),MATCH("Emission standard",'vehicles specifications'!$B$2:$CW$2,0))</f>
        <v>None</v>
      </c>
    </row>
    <row r="249" spans="1:8" x14ac:dyDescent="0.2">
      <c r="A249" t="s">
        <v>1174</v>
      </c>
      <c r="B249" s="6">
        <f>INDEX('vehicles specifications'!$B$3:$CW$166,MATCH(B229,'vehicles specifications'!$A$3:$A$166,0),MATCH("Lightweighting rate [%]",'vehicles specifications'!$B$2:$CW$2,0))</f>
        <v>0.03</v>
      </c>
    </row>
    <row r="250" spans="1:8" x14ac:dyDescent="0.2">
      <c r="A250" t="s">
        <v>83</v>
      </c>
      <c r="B250"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kilometer</v>
      </c>
    </row>
    <row r="251" spans="1:8" ht="16" x14ac:dyDescent="0.2">
      <c r="A251" s="10" t="s">
        <v>79</v>
      </c>
    </row>
    <row r="252" spans="1:8" x14ac:dyDescent="0.2">
      <c r="A252" t="s">
        <v>80</v>
      </c>
      <c r="B252" t="s">
        <v>81</v>
      </c>
      <c r="C252" t="s">
        <v>72</v>
      </c>
      <c r="D252" t="s">
        <v>76</v>
      </c>
      <c r="E252" t="s">
        <v>82</v>
      </c>
      <c r="F252" t="s">
        <v>74</v>
      </c>
      <c r="G252" t="s">
        <v>83</v>
      </c>
      <c r="H252" t="s">
        <v>73</v>
      </c>
    </row>
    <row r="253" spans="1:8" x14ac:dyDescent="0.2">
      <c r="A253" t="str">
        <f>B224</f>
        <v>transport, Motorbike, electric, &lt;4kW, NMC battery, 2030</v>
      </c>
      <c r="B253">
        <v>1</v>
      </c>
      <c r="C253" t="str">
        <f>B225</f>
        <v>CH</v>
      </c>
      <c r="D253" t="s">
        <v>166</v>
      </c>
      <c r="F253" t="s">
        <v>84</v>
      </c>
      <c r="G253" t="s">
        <v>85</v>
      </c>
      <c r="H253" t="str">
        <f>B230</f>
        <v>transport, Motorbike, electric, &lt;4kW</v>
      </c>
    </row>
    <row r="254" spans="1:8" x14ac:dyDescent="0.2">
      <c r="A254" t="str">
        <f>RIGHT(A253,LEN(A253)-11)</f>
        <v>Motorbike, electric, &lt;4kW, NMC battery, 2030</v>
      </c>
      <c r="B254" s="7">
        <f>1/B234</f>
        <v>4.0000000000000003E-5</v>
      </c>
      <c r="C254" t="str">
        <f>B225</f>
        <v>CH</v>
      </c>
      <c r="D254" t="s">
        <v>76</v>
      </c>
      <c r="F254" t="s">
        <v>89</v>
      </c>
      <c r="H254" t="str">
        <f>RIGHT(H253,LEN(H253)-11)</f>
        <v>Motorbike, electric, &lt;4kW</v>
      </c>
    </row>
    <row r="255" spans="1:8" x14ac:dyDescent="0.2">
      <c r="A255" t="str">
        <f>INDEX('ei names mapping'!$B$4:$R$33,MATCH(B226,'ei names mapping'!$A$4:$A$33,0),MATCH(G255,'ei names mapping'!$B$3:$R$3,0))</f>
        <v>road maintenance</v>
      </c>
      <c r="B255" s="7">
        <f>INDEX('vehicles specifications'!$B$3:$CW$166,MATCH(B229,'vehicles specifications'!$A$3:$A$166,0),MATCH(G255,'vehicles specifications'!$B$2:$CW$2,0))*INDEX('ei names mapping'!$B$137:$BL$300,MATCH(B229,'ei names mapping'!$A$137:$A$300,0),MATCH(G255,'ei names mapping'!$B$136:$BL$136,0))</f>
        <v>1.2899999999999999E-3</v>
      </c>
      <c r="C255" t="str">
        <f>INDEX('ei names mapping'!$B$38:$R$67,MATCH(B226,'ei names mapping'!$A$4:$A$33,0),MATCH(G255,'ei names mapping'!$B$3:$R$3,0))</f>
        <v>CH</v>
      </c>
      <c r="D255" t="str">
        <f>INDEX('ei names mapping'!$B$104:$BL$133,MATCH(B226,'ei names mapping'!$A$4:$A$33,0),MATCH(G255,'ei names mapping'!$B$3:$BL$3,0))</f>
        <v>meter-year</v>
      </c>
      <c r="F255" t="s">
        <v>89</v>
      </c>
      <c r="G255" t="s">
        <v>112</v>
      </c>
      <c r="H255" t="str">
        <f>INDEX('ei names mapping'!$B$71:$BL$100,MATCH(B226,'ei names mapping'!$A$4:$A$33,0),MATCH(G255,'ei names mapping'!$B$3:$BL$3,0))</f>
        <v>road maintenance</v>
      </c>
    </row>
    <row r="256" spans="1:8" x14ac:dyDescent="0.2">
      <c r="A256" t="str">
        <f>INDEX('ei names mapping'!$B$4:$R$33,MATCH(B226,'ei names mapping'!$A$4:$A$33,0),MATCH(G256,'ei names mapping'!$B$3:$R$3,0))</f>
        <v>market for electricity, low voltage</v>
      </c>
      <c r="B256" s="7">
        <f>INDEX('vehicles specifications'!$B$3:$CW$166,MATCH(B229,'vehicles specifications'!$A$3:$A$166,0),MATCH(G256,'vehicles specifications'!$B$2:$CW$2,0))*INDEX('ei names mapping'!$B$137:$BL$300,MATCH(B229,'ei names mapping'!$A$137:$A$300,0),MATCH(G256,'ei names mapping'!$B$136:$BL$136,0))</f>
        <v>3.6972222222222226E-2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mapping'!$B$71:$R$100,MATCH(B226,'ei names mapping'!$A$4:$A$33,0),MATCH(G256,'ei names mapping'!$B$3:$R$3,0))</f>
        <v>electricity, low voltage</v>
      </c>
    </row>
    <row r="257" spans="1:8" x14ac:dyDescent="0.2">
      <c r="A257" t="str">
        <f>INDEX('ei names mapping'!$B$4:$R$33,MATCH(B226,'ei names mapping'!$A$4:$A$33,0),MATCH(G257,'ei names mapping'!$B$3:$R$3,0))</f>
        <v>market for maintenance, electric scooter, without battery</v>
      </c>
      <c r="B257" s="7">
        <f>INDEX('vehicles specifications'!$B$3:$CW$166,MATCH(B229,'vehicles specifications'!$A$3:$A$166,0),MATCH(G257,'vehicles specifications'!$B$2:$CW$2,0))*INDEX('ei names mapping'!$B$137:$BL$300,MATCH(B229,'ei names mapping'!$A$137:$A$300,0),MATCH(G257,'ei names mapping'!$B$136:$BL$136,0))</f>
        <v>4.0000000000000003E-5</v>
      </c>
      <c r="C257" t="str">
        <f>INDEX('ei names mapping'!$B$38:$BL$67,MATCH(B226,'ei names mapping'!$A$4:$A$33,0),MATCH(G257,'ei names mapping'!$B$3:$BL$3,0))</f>
        <v>GLO</v>
      </c>
      <c r="D257" t="str">
        <f>INDEX('ei names mapping'!$B$104:$BL$133,MATCH(B226,'ei names mapping'!$A$4:$A$33,0),MATCH(G257,'ei names mapping'!$B$3:$BL$3,0))</f>
        <v>unit</v>
      </c>
      <c r="F257" t="s">
        <v>89</v>
      </c>
      <c r="G257" t="s">
        <v>118</v>
      </c>
      <c r="H257" t="str">
        <f>INDEX('ei names mapping'!$B$71:$BL$100,MATCH(B226,'ei names mapping'!$A$4:$A$33,0),MATCH(G257,'ei names mapping'!$B$3:$BL$3,0))</f>
        <v>maintenance, electric scooter, without battery</v>
      </c>
    </row>
    <row r="258" spans="1:8" x14ac:dyDescent="0.2">
      <c r="A258" t="str">
        <f>INDEX('ei names mapping'!$B$4:$R$33,MATCH(B226,'ei names mapping'!$A$4:$A$33,0),MATCH(G258,'ei names mapping'!$B$3:$R$3,0))</f>
        <v>road construction</v>
      </c>
      <c r="B258" s="7">
        <f>INDEX('vehicles specifications'!$B$3:$CW$166,MATCH(B229,'vehicles specifications'!$A$3:$A$166,0),MATCH(G258,'vehicles specifications'!$B$2:$CW$2,0))*INDEX('ei names mapping'!$B$137:$BL$300,MATCH(B229,'ei names mapping'!$A$137:$A$300,0),MATCH(G258,'ei names mapping'!$B$136:$BL$136,0))</f>
        <v>8.9022070000000007E-5</v>
      </c>
      <c r="C258" t="str">
        <f>INDEX('ei names mapping'!$B$38:$R$67,MATCH(B226,'ei names mapping'!$A$4:$A$33,0),MATCH(G258,'ei names mapping'!$B$3:$R$3,0))</f>
        <v>CH</v>
      </c>
      <c r="D258" t="str">
        <f>INDEX('ei names mapping'!$B$104:$R$133,MATCH(B226,'ei names mapping'!$A$104:$A$133,0),MATCH(G258,'ei names mapping'!$B$3:$R$3,0))</f>
        <v>meter-year</v>
      </c>
      <c r="F258" t="s">
        <v>89</v>
      </c>
      <c r="G258" t="s">
        <v>105</v>
      </c>
      <c r="H258" t="str">
        <f>INDEX('ei names mapping'!$B$71:$R$100,MATCH(B226,'ei names mapping'!$A$4:$A$33,0),MATCH(G258,'ei names mapping'!$B$3:$R$3,0))</f>
        <v>road</v>
      </c>
    </row>
    <row r="259" spans="1:8" x14ac:dyDescent="0.2">
      <c r="A259" t="str">
        <f>INDEX('ei names mapping'!$B$4:$BL$33,MATCH(B226,'ei names mapping'!$A$4:$A$33,0),MATCH(G259,'ei names mapping'!$B$3:$BL$3,0))</f>
        <v>treatment of road wear emissions, passenger car</v>
      </c>
      <c r="B259" s="7">
        <f>INDEX('vehicles specifications'!$B$3:$CW$166,MATCH(B229,'vehicles specifications'!$A$3:$A$166,0),MATCH(G259,'vehicles specifications'!$B$2:$CW$2,0))*INDEX('ei names mapping'!$B$137:$BL$300,MATCH(B229,'ei names mapping'!$A$137:$A$300,0),MATCH(G259,'ei names mapping'!$B$136:$BL$136,0))</f>
        <v>-6.279348553390259E-6</v>
      </c>
      <c r="C259" t="str">
        <f>INDEX('ei names mapping'!$B$38:$BL$67,MATCH(B226,'ei names mapping'!$A$4:$A$33,0),MATCH(G259,'ei names mapping'!$B$3:$BL$3,0))</f>
        <v>RER</v>
      </c>
      <c r="D259" t="str">
        <f>INDEX('ei names mapping'!$B$104:$BL$133,MATCH(B226,'ei names mapping'!$A$4:$A$33,0),MATCH(G259,'ei names mapping'!$B$3:$BL$3,0))</f>
        <v>kilogram</v>
      </c>
      <c r="F259" t="s">
        <v>89</v>
      </c>
      <c r="G259" t="s">
        <v>29</v>
      </c>
      <c r="H259" t="str">
        <f>INDEX('ei names mapping'!$B$71:$BL$100,MATCH(B226,'ei names mapping'!$A$4:$A$33,0),MATCH(G259,'ei names mapping'!$B$3:$BL$3,0))</f>
        <v>road wear emissions, passenger car</v>
      </c>
    </row>
    <row r="260" spans="1:8" x14ac:dyDescent="0.2">
      <c r="A260" t="str">
        <f>INDEX('ei names mapping'!$B$4:$BL$33,MATCH(B226,'ei names mapping'!$A$4:$A$33,0),MATCH(G260,'ei names mapping'!$B$3:$BL$3,0))</f>
        <v>treatment of tyre wear emissions, passenger car</v>
      </c>
      <c r="B260" s="7">
        <f>INDEX('vehicles specifications'!$B$3:$CW$166,MATCH(B229,'vehicles specifications'!$A$3:$A$166,0),MATCH(G260,'vehicles specifications'!$B$2:$CW$2,0))*INDEX('ei names mapping'!$B$137:$BL$300,MATCH(B229,'ei names mapping'!$A$137:$A$300,0),MATCH(G260,'ei names mapping'!$B$136:$BL$136,0))</f>
        <v>-4.5650299796219703E-6</v>
      </c>
      <c r="C260" t="str">
        <f>INDEX('ei names mapping'!$B$38:$BL$67,MATCH(B226,'ei names mapping'!$A$4:$A$33,0),MATCH(G260,'ei names mapping'!$B$3:$BL$3,0))</f>
        <v>RER</v>
      </c>
      <c r="D260" t="str">
        <f>INDEX('ei names mapping'!$B$104:$BL$133,MATCH(B226,'ei names mapping'!$A$4:$A$33,0),MATCH(G260,'ei names mapping'!$B$3:$BL$3,0))</f>
        <v>kilogram</v>
      </c>
      <c r="F260" t="s">
        <v>89</v>
      </c>
      <c r="G260" t="s">
        <v>30</v>
      </c>
      <c r="H260" t="str">
        <f>INDEX('ei names mapping'!$B$71:$BL$100,MATCH(B226,'ei names mapping'!$A$4:$A$33,0),MATCH(G260,'ei names mapping'!$B$3:$BL$3,0))</f>
        <v>tyre wear emissions, passenger car</v>
      </c>
    </row>
    <row r="261" spans="1:8" x14ac:dyDescent="0.2">
      <c r="A261" t="str">
        <f>INDEX('ei names mapping'!$B$4:$BL$33,MATCH(B226,'ei names mapping'!$A$4:$A$33,0),MATCH(G261,'ei names mapping'!$B$3:$BL$3,0))</f>
        <v>treatment of brake wear emissions, passenger car</v>
      </c>
      <c r="B261" s="7">
        <f>INDEX('vehicles specifications'!$B$3:$CW$166,MATCH(B229,'vehicles specifications'!$A$3:$A$166,0),MATCH(G261,'vehicles specifications'!$B$2:$CW$2,0))*INDEX('ei names mapping'!$B$137:$BL$300,MATCH(B229,'ei names mapping'!$A$137:$A$300,0),MATCH(G261,'ei names mapping'!$B$136:$BL$136,0))</f>
        <v>-2.4270352948224213E-6</v>
      </c>
      <c r="C261" t="str">
        <f>INDEX('ei names mapping'!$B$38:$BL$67,MATCH(B226,'ei names mapping'!$A$4:$A$33,0),MATCH(G261,'ei names mapping'!$B$3:$BL$3,0))</f>
        <v>RER</v>
      </c>
      <c r="D261" t="str">
        <f>INDEX('ei names mapping'!$B$104:$BL$133,MATCH(B226,'ei names mapping'!$A$4:$A$33,0),MATCH(G261,'ei names mapping'!$B$3:$BL$3,0))</f>
        <v>kilogram</v>
      </c>
      <c r="F261" t="s">
        <v>89</v>
      </c>
      <c r="G261" t="s">
        <v>31</v>
      </c>
      <c r="H261" t="str">
        <f>INDEX('ei names mapping'!$B$71:$BL$100,MATCH(B226,'ei names mapping'!$A$4:$A$33,0),MATCH(G261,'ei names mapping'!$B$3:$BL$3,0))</f>
        <v>brake wear emissions, passenger car</v>
      </c>
    </row>
    <row r="263" spans="1:8" ht="16" x14ac:dyDescent="0.2">
      <c r="A263" s="10" t="s">
        <v>71</v>
      </c>
      <c r="B263" s="8" t="str">
        <f>"transport, "&amp;B265&amp;", "&amp;B280&amp;" battery, "&amp;B267</f>
        <v>transport, Motorbike, electric, &lt;4kW, NMC battery, 2040</v>
      </c>
    </row>
    <row r="264" spans="1:8" x14ac:dyDescent="0.2">
      <c r="A264" t="s">
        <v>72</v>
      </c>
      <c r="B264" t="s">
        <v>37</v>
      </c>
    </row>
    <row r="265" spans="1:8" x14ac:dyDescent="0.2">
      <c r="A265" t="s">
        <v>86</v>
      </c>
      <c r="B265" t="s">
        <v>492</v>
      </c>
    </row>
    <row r="266" spans="1:8" x14ac:dyDescent="0.2">
      <c r="A266" t="s">
        <v>87</v>
      </c>
    </row>
    <row r="267" spans="1:8" x14ac:dyDescent="0.2">
      <c r="A267" t="s">
        <v>88</v>
      </c>
      <c r="B267">
        <v>2040</v>
      </c>
    </row>
    <row r="268" spans="1:8" x14ac:dyDescent="0.2">
      <c r="A268" t="s">
        <v>126</v>
      </c>
      <c r="B268" t="str">
        <f>B265&amp;" - "&amp;B267&amp;" - "&amp;B280&amp;" - "&amp;B264</f>
        <v>Motorbike, electric, &lt;4kW - 2040 - NMC - CH</v>
      </c>
    </row>
    <row r="269" spans="1:8" x14ac:dyDescent="0.2">
      <c r="A269" t="s">
        <v>73</v>
      </c>
      <c r="B269" t="str">
        <f>"transport, "&amp;B265</f>
        <v>transport, Motorbike, electric, &lt;4kW</v>
      </c>
    </row>
    <row r="270" spans="1:8" x14ac:dyDescent="0.2">
      <c r="A270" t="s">
        <v>74</v>
      </c>
      <c r="B270" t="s">
        <v>75</v>
      </c>
    </row>
    <row r="271" spans="1:8" x14ac:dyDescent="0.2">
      <c r="A271" t="s">
        <v>76</v>
      </c>
      <c r="B271" t="s">
        <v>166</v>
      </c>
    </row>
    <row r="272" spans="1:8" x14ac:dyDescent="0.2">
      <c r="A272" t="s">
        <v>78</v>
      </c>
      <c r="B272" t="s">
        <v>1143</v>
      </c>
    </row>
    <row r="273" spans="1:2" x14ac:dyDescent="0.2">
      <c r="A273" t="s">
        <v>127</v>
      </c>
      <c r="B273">
        <f>INDEX('vehicles specifications'!$B$3:$CW$166,MATCH(B268,'vehicles specifications'!$A$3:$A$166,0),MATCH("Lifetime [km]",'vehicles specifications'!$B$2:$CW$2,0))</f>
        <v>25000</v>
      </c>
    </row>
    <row r="274" spans="1:2" x14ac:dyDescent="0.2">
      <c r="A274" t="s">
        <v>128</v>
      </c>
      <c r="B274">
        <f>INDEX('vehicles specifications'!$B$3:$CW$166,MATCH(B268,'vehicles specifications'!$A$3:$A$166,0),MATCH("Passengers [unit]",'vehicles specifications'!$B$2:$CW$2,0))</f>
        <v>1.1000000000000001</v>
      </c>
    </row>
    <row r="275" spans="1:2" x14ac:dyDescent="0.2">
      <c r="A275" t="s">
        <v>129</v>
      </c>
      <c r="B275">
        <f>INDEX('vehicles specifications'!$B$3:$CW$166,MATCH(B268,'vehicles specifications'!$A$3:$A$166,0),MATCH("Servicing [unit]",'vehicles specifications'!$B$2:$CW$2,0))</f>
        <v>1</v>
      </c>
    </row>
    <row r="276" spans="1:2" x14ac:dyDescent="0.2">
      <c r="A276" t="s">
        <v>130</v>
      </c>
      <c r="B276">
        <f>INDEX('vehicles specifications'!$B$3:$CW$166,MATCH(B268,'vehicles specifications'!$A$3:$A$166,0),MATCH("Energy battery replacement [unit]",'vehicles specifications'!$B$2:$CW$2,0))</f>
        <v>0.25</v>
      </c>
    </row>
    <row r="277" spans="1:2" x14ac:dyDescent="0.2">
      <c r="A277" t="s">
        <v>131</v>
      </c>
      <c r="B277">
        <f>INDEX('vehicles specifications'!$B$3:$CW$166,MATCH(B268,'vehicles specifications'!$A$3:$A$166,0),MATCH("Annual kilometers [km]",'vehicles specifications'!$B$2:$CW$2,0))</f>
        <v>1776</v>
      </c>
    </row>
    <row r="278" spans="1:2" x14ac:dyDescent="0.2">
      <c r="A278" t="s">
        <v>132</v>
      </c>
      <c r="B278" s="2">
        <f>INDEX('vehicles specifications'!$B$3:$CW$166,MATCH(B268,'vehicles specifications'!$A$3:$A$166,0),MATCH("Curb mass [kg]",'vehicles specifications'!$B$2:$CW$2,0))</f>
        <v>76.974999999999994</v>
      </c>
    </row>
    <row r="279" spans="1:2" x14ac:dyDescent="0.2">
      <c r="A279" t="s">
        <v>133</v>
      </c>
      <c r="B279">
        <f>INDEX('vehicles specifications'!$B$3:$CW$166,MATCH(B268,'vehicles specifications'!$A$3:$A$166,0),MATCH("Power [kW]",'vehicles specifications'!$B$2:$CW$2,0))</f>
        <v>2.5</v>
      </c>
    </row>
    <row r="280" spans="1:2" x14ac:dyDescent="0.2">
      <c r="A280" t="s">
        <v>652</v>
      </c>
      <c r="B280" s="20" t="s">
        <v>43</v>
      </c>
    </row>
    <row r="281" spans="1:2" x14ac:dyDescent="0.2">
      <c r="A281" t="s">
        <v>134</v>
      </c>
      <c r="B281">
        <f>INDEX('vehicles specifications'!$B$3:$CW$166,MATCH(B268,'vehicles specifications'!$A$3:$A$166,0),MATCH("Energy battery mass [kg]",'vehicles specifications'!$B$2:$CW$2,0))</f>
        <v>14.625</v>
      </c>
    </row>
    <row r="282" spans="1:2" x14ac:dyDescent="0.2">
      <c r="A282" t="s">
        <v>135</v>
      </c>
      <c r="B282">
        <f>INDEX('vehicles specifications'!$B$3:$CW$166,MATCH(B268,'vehicles specifications'!$A$3:$A$166,0),MATCH("Electric energy stored [kWh]",'vehicles specifications'!$B$2:$CW$2,0))</f>
        <v>4.5</v>
      </c>
    </row>
    <row r="283" spans="1:2" x14ac:dyDescent="0.2">
      <c r="A283" t="s">
        <v>588</v>
      </c>
      <c r="B283">
        <f>INDEX('vehicles specifications'!$B$3:$CW$166,MATCH(B268,'vehicles specifications'!$A$3:$A$166,0),MATCH("Electric energy available [kWh]",'vehicles specifications'!$B$2:$CW$2,0))</f>
        <v>3.6</v>
      </c>
    </row>
    <row r="284" spans="1:2" x14ac:dyDescent="0.2">
      <c r="A284" t="s">
        <v>138</v>
      </c>
      <c r="B284" s="2">
        <f>INDEX('vehicles specifications'!$B$3:$CW$166,MATCH(B268,'vehicles specifications'!$A$3:$A$166,0),MATCH("Oxydation energy stored [kWh]",'vehicles specifications'!$B$2:$CW$2,0))</f>
        <v>0</v>
      </c>
    </row>
    <row r="285" spans="1:2" x14ac:dyDescent="0.2">
      <c r="A285" t="s">
        <v>139</v>
      </c>
      <c r="B285">
        <f>INDEX('vehicles specifications'!$B$3:$CW$166,MATCH(B268,'vehicles specifications'!$A$3:$A$166,0),MATCH("Fuel mass [kg]",'vehicles specifications'!$B$2:$CW$2,0))</f>
        <v>0</v>
      </c>
    </row>
    <row r="286" spans="1:2" x14ac:dyDescent="0.2">
      <c r="A286" t="s">
        <v>136</v>
      </c>
      <c r="B286" s="2">
        <f>INDEX('vehicles specifications'!$B$3:$CW$166,MATCH(B268,'vehicles specifications'!$A$3:$A$166,0),MATCH("Range [km]",'vehicles specifications'!$B$2:$CW$2,0))</f>
        <v>107.10743801652892</v>
      </c>
    </row>
    <row r="287" spans="1:2" x14ac:dyDescent="0.2">
      <c r="A287" t="s">
        <v>137</v>
      </c>
      <c r="B287" t="str">
        <f>INDEX('vehicles specifications'!$B$3:$CW$166,MATCH(B268,'vehicles specifications'!$A$3:$A$166,0),MATCH("Emission standard",'vehicles specifications'!$B$2:$CW$2,0))</f>
        <v>None</v>
      </c>
    </row>
    <row r="288" spans="1:2" x14ac:dyDescent="0.2">
      <c r="A288" t="s">
        <v>1174</v>
      </c>
      <c r="B288" s="6">
        <f>INDEX('vehicles specifications'!$B$3:$CW$166,MATCH(B268,'vehicles specifications'!$A$3:$A$166,0),MATCH("Lightweighting rate [%]",'vehicles specifications'!$B$2:$CW$2,0))</f>
        <v>0.05</v>
      </c>
    </row>
    <row r="289" spans="1:8" x14ac:dyDescent="0.2">
      <c r="A289" t="s">
        <v>83</v>
      </c>
      <c r="B289"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8" ht="16" x14ac:dyDescent="0.2">
      <c r="A290" s="10" t="s">
        <v>79</v>
      </c>
    </row>
    <row r="291" spans="1:8" x14ac:dyDescent="0.2">
      <c r="A291" t="s">
        <v>80</v>
      </c>
      <c r="B291" t="s">
        <v>81</v>
      </c>
      <c r="C291" t="s">
        <v>72</v>
      </c>
      <c r="D291" t="s">
        <v>76</v>
      </c>
      <c r="E291" t="s">
        <v>82</v>
      </c>
      <c r="F291" t="s">
        <v>74</v>
      </c>
      <c r="G291" t="s">
        <v>83</v>
      </c>
      <c r="H291" t="s">
        <v>73</v>
      </c>
    </row>
    <row r="292" spans="1:8" x14ac:dyDescent="0.2">
      <c r="A292" t="str">
        <f>B263</f>
        <v>transport, Motorbike, electric, &lt;4kW, NMC battery, 2040</v>
      </c>
      <c r="B292">
        <v>1</v>
      </c>
      <c r="C292" t="str">
        <f>B264</f>
        <v>CH</v>
      </c>
      <c r="D292" t="s">
        <v>166</v>
      </c>
      <c r="F292" t="s">
        <v>84</v>
      </c>
      <c r="G292" t="s">
        <v>85</v>
      </c>
      <c r="H292" t="str">
        <f>B269</f>
        <v>transport, Motorbike, electric, &lt;4kW</v>
      </c>
    </row>
    <row r="293" spans="1:8" x14ac:dyDescent="0.2">
      <c r="A293" t="str">
        <f>RIGHT(A292,LEN(A292)-11)</f>
        <v>Motorbike, electric, &lt;4kW, NMC battery, 2040</v>
      </c>
      <c r="B293" s="7">
        <f>1/B273</f>
        <v>4.0000000000000003E-5</v>
      </c>
      <c r="C293" t="str">
        <f>B264</f>
        <v>CH</v>
      </c>
      <c r="D293" t="s">
        <v>76</v>
      </c>
      <c r="F293" t="s">
        <v>89</v>
      </c>
      <c r="H293" t="str">
        <f>RIGHT(H292,LEN(H292)-11)</f>
        <v>Motorbike, electric, &lt;4kW</v>
      </c>
    </row>
    <row r="294" spans="1:8" x14ac:dyDescent="0.2">
      <c r="A294" t="str">
        <f>INDEX('ei names mapping'!$B$4:$R$33,MATCH(B265,'ei names mapping'!$A$4:$A$33,0),MATCH(G294,'ei names mapping'!$B$3:$R$3,0))</f>
        <v>road maintenance</v>
      </c>
      <c r="B294" s="7">
        <f>INDEX('vehicles specifications'!$B$3:$CW$166,MATCH(B268,'vehicles specifications'!$A$3:$A$166,0),MATCH(G294,'vehicles specifications'!$B$2:$CW$2,0))*INDEX('ei names mapping'!$B$137:$BL$300,MATCH(B268,'ei names mapping'!$A$137:$A$300,0),MATCH(G294,'ei names mapping'!$B$136:$BL$136,0))</f>
        <v>1.2899999999999999E-3</v>
      </c>
      <c r="C294" t="str">
        <f>INDEX('ei names mapping'!$B$38:$R$67,MATCH(B265,'ei names mapping'!$A$4:$A$33,0),MATCH(G294,'ei names mapping'!$B$3:$R$3,0))</f>
        <v>CH</v>
      </c>
      <c r="D294" t="str">
        <f>INDEX('ei names mapping'!$B$104:$BL$133,MATCH(B265,'ei names mapping'!$A$4:$A$33,0),MATCH(G294,'ei names mapping'!$B$3:$BL$3,0))</f>
        <v>meter-year</v>
      </c>
      <c r="F294" t="s">
        <v>89</v>
      </c>
      <c r="G294" t="s">
        <v>112</v>
      </c>
      <c r="H294" t="str">
        <f>INDEX('ei names mapping'!$B$71:$BL$100,MATCH(B265,'ei names mapping'!$A$4:$A$33,0),MATCH(G294,'ei names mapping'!$B$3:$BL$3,0))</f>
        <v>road maintenance</v>
      </c>
    </row>
    <row r="295" spans="1:8" x14ac:dyDescent="0.2">
      <c r="A295" t="str">
        <f>INDEX('ei names mapping'!$B$4:$R$33,MATCH(B265,'ei names mapping'!$A$4:$A$33,0),MATCH(G295,'ei names mapping'!$B$3:$R$3,0))</f>
        <v>market for electricity, low voltage</v>
      </c>
      <c r="B295" s="7">
        <f>INDEX('vehicles specifications'!$B$3:$CW$166,MATCH(B268,'vehicles specifications'!$A$3:$A$166,0),MATCH(G295,'vehicles specifications'!$B$2:$CW$2,0))*INDEX('ei names mapping'!$B$137:$BL$300,MATCH(B268,'ei names mapping'!$A$137:$A$300,0),MATCH(G295,'ei names mapping'!$B$136:$BL$136,0))</f>
        <v>3.6972222222222226E-2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mapping'!$B$71:$R$100,MATCH(B265,'ei names mapping'!$A$4:$A$33,0),MATCH(G295,'ei names mapping'!$B$3:$R$3,0))</f>
        <v>electricity, low voltage</v>
      </c>
    </row>
    <row r="296" spans="1:8" x14ac:dyDescent="0.2">
      <c r="A296" t="str">
        <f>INDEX('ei names mapping'!$B$4:$R$33,MATCH(B265,'ei names mapping'!$A$4:$A$33,0),MATCH(G296,'ei names mapping'!$B$3:$R$3,0))</f>
        <v>market for maintenance, electric scooter, without battery</v>
      </c>
      <c r="B296" s="7">
        <f>INDEX('vehicles specifications'!$B$3:$CW$166,MATCH(B268,'vehicles specifications'!$A$3:$A$166,0),MATCH(G296,'vehicles specifications'!$B$2:$CW$2,0))*INDEX('ei names mapping'!$B$137:$BL$300,MATCH(B268,'ei names mapping'!$A$137:$A$300,0),MATCH(G296,'ei names mapping'!$B$136:$BL$136,0))</f>
        <v>4.0000000000000003E-5</v>
      </c>
      <c r="C296" t="str">
        <f>INDEX('ei names mapping'!$B$38:$BL$67,MATCH(B265,'ei names mapping'!$A$4:$A$33,0),MATCH(G296,'ei names mapping'!$B$3:$BL$3,0))</f>
        <v>GLO</v>
      </c>
      <c r="D296" t="str">
        <f>INDEX('ei names mapping'!$B$104:$BL$133,MATCH(B265,'ei names mapping'!$A$4:$A$33,0),MATCH(G296,'ei names mapping'!$B$3:$BL$3,0))</f>
        <v>unit</v>
      </c>
      <c r="F296" t="s">
        <v>89</v>
      </c>
      <c r="G296" t="s">
        <v>118</v>
      </c>
      <c r="H296" t="str">
        <f>INDEX('ei names mapping'!$B$71:$BL$100,MATCH(B265,'ei names mapping'!$A$4:$A$33,0),MATCH(G296,'ei names mapping'!$B$3:$BL$3,0))</f>
        <v>maintenance, electric scooter, without battery</v>
      </c>
    </row>
    <row r="297" spans="1:8" x14ac:dyDescent="0.2">
      <c r="A297" t="str">
        <f>INDEX('ei names mapping'!$B$4:$R$33,MATCH(B265,'ei names mapping'!$A$4:$A$33,0),MATCH(G297,'ei names mapping'!$B$3:$R$3,0))</f>
        <v>road construction</v>
      </c>
      <c r="B297" s="7">
        <f>INDEX('vehicles specifications'!$B$3:$CW$166,MATCH(B268,'vehicles specifications'!$A$3:$A$166,0),MATCH(G297,'vehicles specifications'!$B$2:$CW$2,0))*INDEX('ei names mapping'!$B$137:$BL$300,MATCH(B268,'ei names mapping'!$A$137:$A$300,0),MATCH(G297,'ei names mapping'!$B$136:$BL$136,0))</f>
        <v>8.8860074999999998E-5</v>
      </c>
      <c r="C297" t="str">
        <f>INDEX('ei names mapping'!$B$38:$R$67,MATCH(B265,'ei names mapping'!$A$4:$A$33,0),MATCH(G297,'ei names mapping'!$B$3:$R$3,0))</f>
        <v>CH</v>
      </c>
      <c r="D297" t="str">
        <f>INDEX('ei names mapping'!$B$104:$R$133,MATCH(B265,'ei names mapping'!$A$104:$A$133,0),MATCH(G297,'ei names mapping'!$B$3:$R$3,0))</f>
        <v>meter-year</v>
      </c>
      <c r="F297" t="s">
        <v>89</v>
      </c>
      <c r="G297" t="s">
        <v>105</v>
      </c>
      <c r="H297" t="str">
        <f>INDEX('ei names mapping'!$B$71:$R$100,MATCH(B265,'ei names mapping'!$A$4:$A$33,0),MATCH(G297,'ei names mapping'!$B$3:$R$3,0))</f>
        <v>road</v>
      </c>
    </row>
    <row r="298" spans="1:8" x14ac:dyDescent="0.2">
      <c r="A298" t="str">
        <f>INDEX('ei names mapping'!$B$4:$BL$33,MATCH(B265,'ei names mapping'!$A$4:$A$33,0),MATCH(G298,'ei names mapping'!$B$3:$BL$3,0))</f>
        <v>treatment of road wear emissions, passenger car</v>
      </c>
      <c r="B298" s="7">
        <f>INDEX('vehicles specifications'!$B$3:$CW$166,MATCH(B268,'vehicles specifications'!$A$3:$A$166,0),MATCH(G298,'vehicles specifications'!$B$2:$CW$2,0))*INDEX('ei names mapping'!$B$137:$BL$300,MATCH(B268,'ei names mapping'!$A$137:$A$300,0),MATCH(G298,'ei names mapping'!$B$136:$BL$136,0))</f>
        <v>-6.2703170110420856E-6</v>
      </c>
      <c r="C298" t="str">
        <f>INDEX('ei names mapping'!$B$38:$BL$67,MATCH(B265,'ei names mapping'!$A$4:$A$33,0),MATCH(G298,'ei names mapping'!$B$3:$BL$3,0))</f>
        <v>RER</v>
      </c>
      <c r="D298" t="str">
        <f>INDEX('ei names mapping'!$B$104:$BL$133,MATCH(B265,'ei names mapping'!$A$4:$A$33,0),MATCH(G298,'ei names mapping'!$B$3:$BL$3,0))</f>
        <v>kilogram</v>
      </c>
      <c r="F298" t="s">
        <v>89</v>
      </c>
      <c r="G298" t="s">
        <v>29</v>
      </c>
      <c r="H298" t="str">
        <f>INDEX('ei names mapping'!$B$71:$BL$100,MATCH(B265,'ei names mapping'!$A$4:$A$33,0),MATCH(G298,'ei names mapping'!$B$3:$BL$3,0))</f>
        <v>road wear emissions, passenger car</v>
      </c>
    </row>
    <row r="299" spans="1:8" x14ac:dyDescent="0.2">
      <c r="A299" t="str">
        <f>INDEX('ei names mapping'!$B$4:$BL$33,MATCH(B265,'ei names mapping'!$A$4:$A$33,0),MATCH(G299,'ei names mapping'!$B$3:$BL$3,0))</f>
        <v>treatment of tyre wear emissions, passenger car</v>
      </c>
      <c r="B299" s="7">
        <f>INDEX('vehicles specifications'!$B$3:$CW$166,MATCH(B268,'vehicles specifications'!$A$3:$A$166,0),MATCH(G299,'vehicles specifications'!$B$2:$CW$2,0))*INDEX('ei names mapping'!$B$137:$BL$300,MATCH(B268,'ei names mapping'!$A$137:$A$300,0),MATCH(G299,'ei names mapping'!$B$136:$BL$136,0))</f>
        <v>-4.5600291174985831E-6</v>
      </c>
      <c r="C299" t="str">
        <f>INDEX('ei names mapping'!$B$38:$BL$67,MATCH(B265,'ei names mapping'!$A$4:$A$33,0),MATCH(G299,'ei names mapping'!$B$3:$BL$3,0))</f>
        <v>RER</v>
      </c>
      <c r="D299" t="str">
        <f>INDEX('ei names mapping'!$B$104:$BL$133,MATCH(B265,'ei names mapping'!$A$4:$A$33,0),MATCH(G299,'ei names mapping'!$B$3:$BL$3,0))</f>
        <v>kilogram</v>
      </c>
      <c r="F299" t="s">
        <v>89</v>
      </c>
      <c r="G299" t="s">
        <v>30</v>
      </c>
      <c r="H299" t="str">
        <f>INDEX('ei names mapping'!$B$71:$BL$100,MATCH(B265,'ei names mapping'!$A$4:$A$33,0),MATCH(G299,'ei names mapping'!$B$3:$BL$3,0))</f>
        <v>tyre wear emissions, passenger car</v>
      </c>
    </row>
    <row r="300" spans="1:8" x14ac:dyDescent="0.2">
      <c r="A300" t="str">
        <f>INDEX('ei names mapping'!$B$4:$BL$33,MATCH(B265,'ei names mapping'!$A$4:$A$33,0),MATCH(G300,'ei names mapping'!$B$3:$BL$3,0))</f>
        <v>treatment of brake wear emissions, passenger car</v>
      </c>
      <c r="B300" s="7">
        <f>INDEX('vehicles specifications'!$B$3:$CW$166,MATCH(B268,'vehicles specifications'!$A$3:$A$166,0),MATCH(G300,'vehicles specifications'!$B$2:$CW$2,0))*INDEX('ei names mapping'!$B$137:$BL$300,MATCH(B268,'ei names mapping'!$A$137:$A$300,0),MATCH(G300,'ei names mapping'!$B$136:$BL$136,0))</f>
        <v>-2.4239481022645517E-6</v>
      </c>
      <c r="C300" t="str">
        <f>INDEX('ei names mapping'!$B$38:$BL$67,MATCH(B265,'ei names mapping'!$A$4:$A$33,0),MATCH(G300,'ei names mapping'!$B$3:$BL$3,0))</f>
        <v>RER</v>
      </c>
      <c r="D300" t="str">
        <f>INDEX('ei names mapping'!$B$104:$BL$133,MATCH(B265,'ei names mapping'!$A$4:$A$33,0),MATCH(G300,'ei names mapping'!$B$3:$BL$3,0))</f>
        <v>kilogram</v>
      </c>
      <c r="F300" t="s">
        <v>89</v>
      </c>
      <c r="G300" t="s">
        <v>31</v>
      </c>
      <c r="H300" t="str">
        <f>INDEX('ei names mapping'!$B$71:$BL$100,MATCH(B265,'ei names mapping'!$A$4:$A$33,0),MATCH(G300,'ei names mapping'!$B$3:$BL$3,0))</f>
        <v>brake wear emissions, passenger car</v>
      </c>
    </row>
    <row r="302" spans="1:8" ht="16" x14ac:dyDescent="0.2">
      <c r="A302" s="10" t="s">
        <v>71</v>
      </c>
      <c r="B302" s="8" t="str">
        <f>"transport, "&amp;B304&amp;", "&amp;B319&amp;" battery, "&amp;B306</f>
        <v>transport, Motorbike, electric, &lt;4kW, NMC battery, 2050</v>
      </c>
    </row>
    <row r="303" spans="1:8" x14ac:dyDescent="0.2">
      <c r="A303" t="s">
        <v>72</v>
      </c>
      <c r="B303" t="s">
        <v>37</v>
      </c>
    </row>
    <row r="304" spans="1:8" x14ac:dyDescent="0.2">
      <c r="A304" t="s">
        <v>86</v>
      </c>
      <c r="B304" t="s">
        <v>492</v>
      </c>
    </row>
    <row r="305" spans="1:2" x14ac:dyDescent="0.2">
      <c r="A305" t="s">
        <v>87</v>
      </c>
    </row>
    <row r="306" spans="1:2" x14ac:dyDescent="0.2">
      <c r="A306" t="s">
        <v>88</v>
      </c>
      <c r="B306">
        <v>2050</v>
      </c>
    </row>
    <row r="307" spans="1:2" x14ac:dyDescent="0.2">
      <c r="A307" t="s">
        <v>126</v>
      </c>
      <c r="B307" t="str">
        <f>B304&amp;" - "&amp;B306&amp;" - "&amp;B319&amp;" - "&amp;B303</f>
        <v>Motorbike, electric, &lt;4kW - 2050 - NMC - CH</v>
      </c>
    </row>
    <row r="308" spans="1:2" x14ac:dyDescent="0.2">
      <c r="A308" t="s">
        <v>73</v>
      </c>
      <c r="B308" t="str">
        <f>"transport, "&amp;B304</f>
        <v>transport, Motorbike, electric, &lt;4kW</v>
      </c>
    </row>
    <row r="309" spans="1:2" x14ac:dyDescent="0.2">
      <c r="A309" t="s">
        <v>74</v>
      </c>
      <c r="B309" t="s">
        <v>75</v>
      </c>
    </row>
    <row r="310" spans="1:2" x14ac:dyDescent="0.2">
      <c r="A310" t="s">
        <v>76</v>
      </c>
      <c r="B310" t="s">
        <v>166</v>
      </c>
    </row>
    <row r="311" spans="1:2" x14ac:dyDescent="0.2">
      <c r="A311" t="s">
        <v>78</v>
      </c>
      <c r="B311" t="s">
        <v>1143</v>
      </c>
    </row>
    <row r="312" spans="1:2" x14ac:dyDescent="0.2">
      <c r="A312" t="s">
        <v>127</v>
      </c>
      <c r="B312">
        <f>INDEX('vehicles specifications'!$B$3:$CW$166,MATCH(B307,'vehicles specifications'!$A$3:$A$166,0),MATCH("Lifetime [km]",'vehicles specifications'!$B$2:$CW$2,0))</f>
        <v>25000</v>
      </c>
    </row>
    <row r="313" spans="1:2" x14ac:dyDescent="0.2">
      <c r="A313" t="s">
        <v>128</v>
      </c>
      <c r="B313">
        <f>INDEX('vehicles specifications'!$B$3:$CW$166,MATCH(B307,'vehicles specifications'!$A$3:$A$166,0),MATCH("Passengers [unit]",'vehicles specifications'!$B$2:$CW$2,0))</f>
        <v>1.1000000000000001</v>
      </c>
    </row>
    <row r="314" spans="1:2" x14ac:dyDescent="0.2">
      <c r="A314" t="s">
        <v>129</v>
      </c>
      <c r="B314">
        <f>INDEX('vehicles specifications'!$B$3:$CW$166,MATCH(B307,'vehicles specifications'!$A$3:$A$166,0),MATCH("Servicing [unit]",'vehicles specifications'!$B$2:$CW$2,0))</f>
        <v>1</v>
      </c>
    </row>
    <row r="315" spans="1:2" x14ac:dyDescent="0.2">
      <c r="A315" t="s">
        <v>130</v>
      </c>
      <c r="B315">
        <f>INDEX('vehicles specifications'!$B$3:$CW$166,MATCH(B307,'vehicles specifications'!$A$3:$A$166,0),MATCH("Energy battery replacement [unit]",'vehicles specifications'!$B$2:$CW$2,0))</f>
        <v>0</v>
      </c>
    </row>
    <row r="316" spans="1:2" x14ac:dyDescent="0.2">
      <c r="A316" t="s">
        <v>131</v>
      </c>
      <c r="B316">
        <f>INDEX('vehicles specifications'!$B$3:$CW$166,MATCH(B307,'vehicles specifications'!$A$3:$A$166,0),MATCH("Annual kilometers [km]",'vehicles specifications'!$B$2:$CW$2,0))</f>
        <v>1776</v>
      </c>
    </row>
    <row r="317" spans="1:2" x14ac:dyDescent="0.2">
      <c r="A317" t="s">
        <v>132</v>
      </c>
      <c r="B317" s="2">
        <f>INDEX('vehicles specifications'!$B$3:$CW$166,MATCH(B307,'vehicles specifications'!$A$3:$A$166,0),MATCH("Curb mass [kg]",'vehicles specifications'!$B$2:$CW$2,0))</f>
        <v>76.89</v>
      </c>
    </row>
    <row r="318" spans="1:2" x14ac:dyDescent="0.2">
      <c r="A318" t="s">
        <v>133</v>
      </c>
      <c r="B318">
        <f>INDEX('vehicles specifications'!$B$3:$CW$166,MATCH(B307,'vehicles specifications'!$A$3:$A$166,0),MATCH("Power [kW]",'vehicles specifications'!$B$2:$CW$2,0))</f>
        <v>2.5</v>
      </c>
    </row>
    <row r="319" spans="1:2" x14ac:dyDescent="0.2">
      <c r="A319" t="s">
        <v>652</v>
      </c>
      <c r="B319" s="20" t="s">
        <v>43</v>
      </c>
    </row>
    <row r="320" spans="1:2" x14ac:dyDescent="0.2">
      <c r="A320" t="s">
        <v>134</v>
      </c>
      <c r="B320">
        <f>INDEX('vehicles specifications'!$B$3:$CW$166,MATCH(B307,'vehicles specifications'!$A$3:$A$166,0),MATCH("Energy battery mass [kg]",'vehicles specifications'!$B$2:$CW$2,0))</f>
        <v>15.6</v>
      </c>
    </row>
    <row r="321" spans="1:8" x14ac:dyDescent="0.2">
      <c r="A321" t="s">
        <v>135</v>
      </c>
      <c r="B321">
        <f>INDEX('vehicles specifications'!$B$3:$CW$166,MATCH(B307,'vehicles specifications'!$A$3:$A$166,0),MATCH("Electric energy stored [kWh]",'vehicles specifications'!$B$2:$CW$2,0))</f>
        <v>6</v>
      </c>
    </row>
    <row r="322" spans="1:8" x14ac:dyDescent="0.2">
      <c r="A322" t="s">
        <v>588</v>
      </c>
      <c r="B322">
        <f>INDEX('vehicles specifications'!$B$3:$CW$166,MATCH(B307,'vehicles specifications'!$A$3:$A$166,0),MATCH("Electric energy available [kWh]",'vehicles specifications'!$B$2:$CW$2,0))</f>
        <v>4.8000000000000007</v>
      </c>
    </row>
    <row r="323" spans="1:8" x14ac:dyDescent="0.2">
      <c r="A323" t="s">
        <v>138</v>
      </c>
      <c r="B323" s="2">
        <f>INDEX('vehicles specifications'!$B$3:$CW$166,MATCH(B307,'vehicles specifications'!$A$3:$A$166,0),MATCH("Oxydation energy stored [kWh]",'vehicles specifications'!$B$2:$CW$2,0))</f>
        <v>0</v>
      </c>
    </row>
    <row r="324" spans="1:8" x14ac:dyDescent="0.2">
      <c r="A324" t="s">
        <v>139</v>
      </c>
      <c r="B324">
        <f>INDEX('vehicles specifications'!$B$3:$CW$166,MATCH(B307,'vehicles specifications'!$A$3:$A$166,0),MATCH("Fuel mass [kg]",'vehicles specifications'!$B$2:$CW$2,0))</f>
        <v>0</v>
      </c>
    </row>
    <row r="325" spans="1:8" x14ac:dyDescent="0.2">
      <c r="A325" t="s">
        <v>136</v>
      </c>
      <c r="B325" s="2">
        <f>INDEX('vehicles specifications'!$B$3:$CW$166,MATCH(B307,'vehicles specifications'!$A$3:$A$166,0),MATCH("Range [km]",'vehicles specifications'!$B$2:$CW$2,0))</f>
        <v>142.80991735537191</v>
      </c>
    </row>
    <row r="326" spans="1:8" x14ac:dyDescent="0.2">
      <c r="A326" t="s">
        <v>137</v>
      </c>
      <c r="B326" t="str">
        <f>INDEX('vehicles specifications'!$B$3:$CW$166,MATCH(B307,'vehicles specifications'!$A$3:$A$166,0),MATCH("Emission standard",'vehicles specifications'!$B$2:$CW$2,0))</f>
        <v>None</v>
      </c>
    </row>
    <row r="327" spans="1:8" x14ac:dyDescent="0.2">
      <c r="A327" t="s">
        <v>1174</v>
      </c>
      <c r="B327" s="6">
        <f>INDEX('vehicles specifications'!$B$3:$CW$166,MATCH(B307,'vehicles specifications'!$A$3:$A$166,0),MATCH("Lightweighting rate [%]",'vehicles specifications'!$B$2:$CW$2,0))</f>
        <v>7.0000000000000007E-2</v>
      </c>
    </row>
    <row r="328" spans="1:8" x14ac:dyDescent="0.2">
      <c r="A328" t="s">
        <v>83</v>
      </c>
      <c r="B328"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1785</v>
      </c>
    </row>
    <row r="329" spans="1:8" ht="16" x14ac:dyDescent="0.2">
      <c r="A329" s="10" t="s">
        <v>79</v>
      </c>
    </row>
    <row r="330" spans="1:8" x14ac:dyDescent="0.2">
      <c r="A330" t="s">
        <v>80</v>
      </c>
      <c r="B330" t="s">
        <v>81</v>
      </c>
      <c r="C330" t="s">
        <v>72</v>
      </c>
      <c r="D330" t="s">
        <v>76</v>
      </c>
      <c r="E330" t="s">
        <v>82</v>
      </c>
      <c r="F330" t="s">
        <v>74</v>
      </c>
      <c r="G330" t="s">
        <v>83</v>
      </c>
      <c r="H330" t="s">
        <v>73</v>
      </c>
    </row>
    <row r="331" spans="1:8" x14ac:dyDescent="0.2">
      <c r="A331" t="str">
        <f>B302</f>
        <v>transport, Motorbike, electric, &lt;4kW, NMC battery, 2050</v>
      </c>
      <c r="B331">
        <v>1</v>
      </c>
      <c r="C331" t="str">
        <f>B303</f>
        <v>CH</v>
      </c>
      <c r="D331" t="s">
        <v>166</v>
      </c>
      <c r="F331" t="s">
        <v>84</v>
      </c>
      <c r="G331" t="s">
        <v>85</v>
      </c>
      <c r="H331" t="str">
        <f>B308</f>
        <v>transport, Motorbike, electric, &lt;4kW</v>
      </c>
    </row>
    <row r="332" spans="1:8" x14ac:dyDescent="0.2">
      <c r="A332" t="str">
        <f>RIGHT(A331,LEN(A331)-11)</f>
        <v>Motorbike, electric, &lt;4kW, NMC battery, 2050</v>
      </c>
      <c r="B332" s="7">
        <f>1/B312</f>
        <v>4.0000000000000003E-5</v>
      </c>
      <c r="C332" t="str">
        <f>B303</f>
        <v>CH</v>
      </c>
      <c r="D332" t="s">
        <v>76</v>
      </c>
      <c r="F332" t="s">
        <v>89</v>
      </c>
      <c r="H332" t="str">
        <f>RIGHT(H331,LEN(H331)-11)</f>
        <v>Motorbike, electric, &lt;4kW</v>
      </c>
    </row>
    <row r="333" spans="1:8" x14ac:dyDescent="0.2">
      <c r="A333" t="str">
        <f>INDEX('ei names mapping'!$B$4:$R$33,MATCH(B304,'ei names mapping'!$A$4:$A$33,0),MATCH(G333,'ei names mapping'!$B$3:$R$3,0))</f>
        <v>road maintenance</v>
      </c>
      <c r="B333" s="7">
        <f>INDEX('vehicles specifications'!$B$3:$CW$166,MATCH(B307,'vehicles specifications'!$A$3:$A$166,0),MATCH(G333,'vehicles specifications'!$B$2:$CW$2,0))*INDEX('ei names mapping'!$B$137:$BL$300,MATCH(B307,'ei names mapping'!$A$137:$A$300,0),MATCH(G333,'ei names mapping'!$B$136:$BL$136,0))</f>
        <v>1.2899999999999999E-3</v>
      </c>
      <c r="C333" t="str">
        <f>INDEX('ei names mapping'!$B$38:$R$67,MATCH(B304,'ei names mapping'!$A$4:$A$33,0),MATCH(G333,'ei names mapping'!$B$3:$R$3,0))</f>
        <v>CH</v>
      </c>
      <c r="D333" t="str">
        <f>INDEX('ei names mapping'!$B$104:$BL$133,MATCH(B304,'ei names mapping'!$A$4:$A$33,0),MATCH(G333,'ei names mapping'!$B$3:$BL$3,0))</f>
        <v>meter-year</v>
      </c>
      <c r="F333" t="s">
        <v>89</v>
      </c>
      <c r="G333" t="s">
        <v>112</v>
      </c>
      <c r="H333" t="str">
        <f>INDEX('ei names mapping'!$B$71:$BL$100,MATCH(B304,'ei names mapping'!$A$4:$A$33,0),MATCH(G333,'ei names mapping'!$B$3:$BL$3,0))</f>
        <v>road maintenance</v>
      </c>
    </row>
    <row r="334" spans="1:8" x14ac:dyDescent="0.2">
      <c r="A334" t="str">
        <f>INDEX('ei names mapping'!$B$4:$R$33,MATCH(B304,'ei names mapping'!$A$4:$A$33,0),MATCH(G334,'ei names mapping'!$B$3:$R$3,0))</f>
        <v>market for electricity, low voltage</v>
      </c>
      <c r="B334" s="7">
        <f>INDEX('vehicles specifications'!$B$3:$CW$166,MATCH(B307,'vehicles specifications'!$A$3:$A$166,0),MATCH(G334,'vehicles specifications'!$B$2:$CW$2,0))*INDEX('ei names mapping'!$B$137:$BL$300,MATCH(B307,'ei names mapping'!$A$137:$A$300,0),MATCH(G334,'ei names mapping'!$B$136:$BL$136,0))</f>
        <v>3.6972222222222226E-2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mapping'!$B$71:$R$100,MATCH(B304,'ei names mapping'!$A$4:$A$33,0),MATCH(G334,'ei names mapping'!$B$3:$R$3,0))</f>
        <v>electricity, low voltage</v>
      </c>
    </row>
    <row r="335" spans="1:8" x14ac:dyDescent="0.2">
      <c r="A335" t="str">
        <f>INDEX('ei names mapping'!$B$4:$R$33,MATCH(B304,'ei names mapping'!$A$4:$A$33,0),MATCH(G335,'ei names mapping'!$B$3:$R$3,0))</f>
        <v>market for maintenance, electric scooter, without battery</v>
      </c>
      <c r="B335" s="7">
        <f>INDEX('vehicles specifications'!$B$3:$CW$166,MATCH(B307,'vehicles specifications'!$A$3:$A$166,0),MATCH(G335,'vehicles specifications'!$B$2:$CW$2,0))*INDEX('ei names mapping'!$B$137:$BL$300,MATCH(B307,'ei names mapping'!$A$137:$A$300,0),MATCH(G335,'ei names mapping'!$B$136:$BL$136,0))</f>
        <v>4.0000000000000003E-5</v>
      </c>
      <c r="C335" t="str">
        <f>INDEX('ei names mapping'!$B$38:$BL$67,MATCH(B304,'ei names mapping'!$A$4:$A$33,0),MATCH(G335,'ei names mapping'!$B$3:$BL$3,0))</f>
        <v>GLO</v>
      </c>
      <c r="D335" t="str">
        <f>INDEX('ei names mapping'!$B$104:$BL$133,MATCH(B304,'ei names mapping'!$A$4:$A$33,0),MATCH(G335,'ei names mapping'!$B$3:$BL$3,0))</f>
        <v>unit</v>
      </c>
      <c r="F335" t="s">
        <v>89</v>
      </c>
      <c r="G335" t="s">
        <v>118</v>
      </c>
      <c r="H335" t="str">
        <f>INDEX('ei names mapping'!$B$71:$BL$100,MATCH(B304,'ei names mapping'!$A$4:$A$33,0),MATCH(G335,'ei names mapping'!$B$3:$BL$3,0))</f>
        <v>maintenance, electric scooter, without battery</v>
      </c>
    </row>
    <row r="336" spans="1:8" x14ac:dyDescent="0.2">
      <c r="A336" t="str">
        <f>INDEX('ei names mapping'!$B$4:$R$33,MATCH(B304,'ei names mapping'!$A$4:$A$33,0),MATCH(G336,'ei names mapping'!$B$3:$R$3,0))</f>
        <v>road construction</v>
      </c>
      <c r="B336" s="7">
        <f>INDEX('vehicles specifications'!$B$3:$CW$166,MATCH(B307,'vehicles specifications'!$A$3:$A$166,0),MATCH(G336,'vehicles specifications'!$B$2:$CW$2,0))*INDEX('ei names mapping'!$B$137:$BL$300,MATCH(B307,'ei names mapping'!$A$137:$A$300,0),MATCH(G336,'ei names mapping'!$B$136:$BL$136,0))</f>
        <v>8.8814429999999997E-5</v>
      </c>
      <c r="C336" t="str">
        <f>INDEX('ei names mapping'!$B$38:$R$67,MATCH(B304,'ei names mapping'!$A$4:$A$33,0),MATCH(G336,'ei names mapping'!$B$3:$R$3,0))</f>
        <v>CH</v>
      </c>
      <c r="D336" t="str">
        <f>INDEX('ei names mapping'!$B$104:$R$133,MATCH(B304,'ei names mapping'!$A$104:$A$133,0),MATCH(G336,'ei names mapping'!$B$3:$R$3,0))</f>
        <v>meter-year</v>
      </c>
      <c r="F336" t="s">
        <v>89</v>
      </c>
      <c r="G336" t="s">
        <v>105</v>
      </c>
      <c r="H336" t="str">
        <f>INDEX('ei names mapping'!$B$71:$R$100,MATCH(B304,'ei names mapping'!$A$4:$A$33,0),MATCH(G336,'ei names mapping'!$B$3:$R$3,0))</f>
        <v>road</v>
      </c>
    </row>
    <row r="337" spans="1:8" x14ac:dyDescent="0.2">
      <c r="A337" t="str">
        <f>INDEX('ei names mapping'!$B$4:$BL$33,MATCH(B304,'ei names mapping'!$A$4:$A$33,0),MATCH(G337,'ei names mapping'!$B$3:$BL$3,0))</f>
        <v>treatment of road wear emissions, passenger car</v>
      </c>
      <c r="B337" s="7">
        <f>INDEX('vehicles specifications'!$B$3:$CW$166,MATCH(B307,'vehicles specifications'!$A$3:$A$166,0),MATCH(G337,'vehicles specifications'!$B$2:$CW$2,0))*INDEX('ei names mapping'!$B$137:$BL$300,MATCH(B307,'ei names mapping'!$A$137:$A$300,0),MATCH(G337,'ei names mapping'!$B$136:$BL$136,0))</f>
        <v>-6.267771643595028E-6</v>
      </c>
      <c r="C337" t="str">
        <f>INDEX('ei names mapping'!$B$38:$BL$67,MATCH(B304,'ei names mapping'!$A$4:$A$33,0),MATCH(G337,'ei names mapping'!$B$3:$BL$3,0))</f>
        <v>RER</v>
      </c>
      <c r="D337" t="str">
        <f>INDEX('ei names mapping'!$B$104:$BL$133,MATCH(B304,'ei names mapping'!$A$4:$A$33,0),MATCH(G337,'ei names mapping'!$B$3:$BL$3,0))</f>
        <v>kilogram</v>
      </c>
      <c r="F337" t="s">
        <v>89</v>
      </c>
      <c r="G337" t="s">
        <v>29</v>
      </c>
      <c r="H337" t="str">
        <f>INDEX('ei names mapping'!$B$71:$BL$100,MATCH(B304,'ei names mapping'!$A$4:$A$33,0),MATCH(G337,'ei names mapping'!$B$3:$BL$3,0))</f>
        <v>road wear emissions, passenger car</v>
      </c>
    </row>
    <row r="338" spans="1:8" x14ac:dyDescent="0.2">
      <c r="A338" t="str">
        <f>INDEX('ei names mapping'!$B$4:$BL$33,MATCH(B304,'ei names mapping'!$A$4:$A$33,0),MATCH(G338,'ei names mapping'!$B$3:$BL$3,0))</f>
        <v>treatment of tyre wear emissions, passenger car</v>
      </c>
      <c r="B338" s="7">
        <f>INDEX('vehicles specifications'!$B$3:$CW$166,MATCH(B307,'vehicles specifications'!$A$3:$A$166,0),MATCH(G338,'vehicles specifications'!$B$2:$CW$2,0))*INDEX('ei names mapping'!$B$137:$BL$300,MATCH(B307,'ei names mapping'!$A$137:$A$300,0),MATCH(G338,'ei names mapping'!$B$136:$BL$136,0))</f>
        <v>-4.5586185491029798E-6</v>
      </c>
      <c r="C338" t="str">
        <f>INDEX('ei names mapping'!$B$38:$BL$67,MATCH(B304,'ei names mapping'!$A$4:$A$33,0),MATCH(G338,'ei names mapping'!$B$3:$BL$3,0))</f>
        <v>RER</v>
      </c>
      <c r="D338" t="str">
        <f>INDEX('ei names mapping'!$B$104:$BL$133,MATCH(B304,'ei names mapping'!$A$4:$A$33,0),MATCH(G338,'ei names mapping'!$B$3:$BL$3,0))</f>
        <v>kilogram</v>
      </c>
      <c r="F338" t="s">
        <v>89</v>
      </c>
      <c r="G338" t="s">
        <v>30</v>
      </c>
      <c r="H338" t="str">
        <f>INDEX('ei names mapping'!$B$71:$BL$100,MATCH(B304,'ei names mapping'!$A$4:$A$33,0),MATCH(G338,'ei names mapping'!$B$3:$BL$3,0))</f>
        <v>tyre wear emissions, passenger car</v>
      </c>
    </row>
    <row r="339" spans="1:8" x14ac:dyDescent="0.2">
      <c r="A339" t="str">
        <f>INDEX('ei names mapping'!$B$4:$BL$33,MATCH(B304,'ei names mapping'!$A$4:$A$33,0),MATCH(G339,'ei names mapping'!$B$3:$BL$3,0))</f>
        <v>treatment of brake wear emissions, passenger car</v>
      </c>
      <c r="B339" s="7">
        <f>INDEX('vehicles specifications'!$B$3:$CW$166,MATCH(B307,'vehicles specifications'!$A$3:$A$166,0),MATCH(G339,'vehicles specifications'!$B$2:$CW$2,0))*INDEX('ei names mapping'!$B$137:$BL$300,MATCH(B307,'ei names mapping'!$A$137:$A$300,0),MATCH(G339,'ei names mapping'!$B$136:$BL$136,0))</f>
        <v>-2.4230776278866842E-6</v>
      </c>
      <c r="C339" t="str">
        <f>INDEX('ei names mapping'!$B$38:$BL$67,MATCH(B304,'ei names mapping'!$A$4:$A$33,0),MATCH(G339,'ei names mapping'!$B$3:$BL$3,0))</f>
        <v>RER</v>
      </c>
      <c r="D339" t="str">
        <f>INDEX('ei names mapping'!$B$104:$BL$133,MATCH(B304,'ei names mapping'!$A$4:$A$33,0),MATCH(G339,'ei names mapping'!$B$3:$BL$3,0))</f>
        <v>kilogram</v>
      </c>
      <c r="F339" t="s">
        <v>89</v>
      </c>
      <c r="G339" t="s">
        <v>31</v>
      </c>
      <c r="H339" t="str">
        <f>INDEX('ei names mapping'!$B$71:$BL$100,MATCH(B304,'ei names mapping'!$A$4:$A$33,0),MATCH(G339,'ei names mapping'!$B$3:$BL$3,0))</f>
        <v>brake wear emissions, passenger car</v>
      </c>
    </row>
    <row r="341" spans="1:8" ht="16" x14ac:dyDescent="0.2">
      <c r="A341" s="10"/>
      <c r="B341" s="8"/>
    </row>
    <row r="356" spans="1:2" x14ac:dyDescent="0.2">
      <c r="B356" s="2"/>
    </row>
    <row r="360" spans="1:2" x14ac:dyDescent="0.2">
      <c r="B360" s="2"/>
    </row>
    <row r="362" spans="1:2" x14ac:dyDescent="0.2">
      <c r="B362" s="2"/>
    </row>
    <row r="364" spans="1:2" x14ac:dyDescent="0.2">
      <c r="B364" s="6"/>
    </row>
    <row r="366" spans="1:2" ht="16" x14ac:dyDescent="0.2">
      <c r="A366" s="10"/>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x14ac:dyDescent="0.2">
      <c r="B379" s="11"/>
    </row>
    <row r="380" spans="1:2" ht="16" x14ac:dyDescent="0.2">
      <c r="A380" s="10"/>
      <c r="B380" s="8"/>
    </row>
    <row r="395" spans="2:2" x14ac:dyDescent="0.2">
      <c r="B395" s="2"/>
    </row>
    <row r="399" spans="2:2" x14ac:dyDescent="0.2">
      <c r="B399" s="2"/>
    </row>
    <row r="401" spans="1:2" x14ac:dyDescent="0.2">
      <c r="B401" s="2"/>
    </row>
    <row r="403" spans="1:2" x14ac:dyDescent="0.2">
      <c r="B403" s="6"/>
    </row>
    <row r="405" spans="1:2" ht="16" x14ac:dyDescent="0.2">
      <c r="A405" s="10"/>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7" spans="1:2" x14ac:dyDescent="0.2">
      <c r="B417" s="11"/>
    </row>
    <row r="419" spans="1:2" ht="16" x14ac:dyDescent="0.2">
      <c r="A419" s="10"/>
      <c r="B419" s="8"/>
    </row>
    <row r="434" spans="1:2" x14ac:dyDescent="0.2">
      <c r="B434" s="2"/>
    </row>
    <row r="438" spans="1:2" x14ac:dyDescent="0.2">
      <c r="B438" s="2"/>
    </row>
    <row r="440" spans="1:2" x14ac:dyDescent="0.2">
      <c r="B440" s="2"/>
    </row>
    <row r="442" spans="1:2" x14ac:dyDescent="0.2">
      <c r="B442" s="6"/>
    </row>
    <row r="444" spans="1:2" ht="16" x14ac:dyDescent="0.2">
      <c r="A444" s="10"/>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6" spans="1:2" x14ac:dyDescent="0.2">
      <c r="B456" s="11"/>
    </row>
    <row r="458" spans="1:2" ht="16" x14ac:dyDescent="0.2">
      <c r="A458" s="10"/>
      <c r="B458" s="8"/>
    </row>
    <row r="473" spans="2:2" x14ac:dyDescent="0.2">
      <c r="B473" s="2"/>
    </row>
    <row r="477" spans="2:2" x14ac:dyDescent="0.2">
      <c r="B477" s="2"/>
    </row>
    <row r="479" spans="2:2" x14ac:dyDescent="0.2">
      <c r="B479" s="2"/>
    </row>
    <row r="481" spans="1:2" x14ac:dyDescent="0.2">
      <c r="B481" s="6"/>
    </row>
    <row r="483" spans="1:2" ht="16" x14ac:dyDescent="0.2">
      <c r="A483" s="10"/>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11"/>
    </row>
    <row r="496" spans="1:2" x14ac:dyDescent="0.2">
      <c r="B496" s="2"/>
    </row>
    <row r="497" spans="1:2" ht="16" x14ac:dyDescent="0.2">
      <c r="A497" s="10"/>
      <c r="B497" s="8"/>
    </row>
    <row r="512" spans="1:2" x14ac:dyDescent="0.2">
      <c r="B512" s="2"/>
    </row>
    <row r="516" spans="1:2" x14ac:dyDescent="0.2">
      <c r="B516" s="2"/>
    </row>
    <row r="518" spans="1:2" x14ac:dyDescent="0.2">
      <c r="B518" s="2"/>
    </row>
    <row r="520" spans="1:2" x14ac:dyDescent="0.2">
      <c r="B520" s="6"/>
    </row>
    <row r="522" spans="1:2" ht="16" x14ac:dyDescent="0.2">
      <c r="A522" s="10"/>
    </row>
    <row r="525" spans="1:2" x14ac:dyDescent="0.2">
      <c r="B525" s="7"/>
    </row>
    <row r="526" spans="1:2" x14ac:dyDescent="0.2">
      <c r="B526" s="11"/>
    </row>
    <row r="527" spans="1:2" x14ac:dyDescent="0.2">
      <c r="B527" s="4"/>
    </row>
    <row r="528" spans="1:2" x14ac:dyDescent="0.2">
      <c r="B528" s="11"/>
    </row>
    <row r="529" spans="1:2" x14ac:dyDescent="0.2">
      <c r="B529" s="11"/>
    </row>
    <row r="530" spans="1:2" x14ac:dyDescent="0.2">
      <c r="B530" s="11"/>
    </row>
    <row r="531" spans="1:2" x14ac:dyDescent="0.2">
      <c r="B531" s="11"/>
    </row>
    <row r="532" spans="1:2" x14ac:dyDescent="0.2">
      <c r="B532" s="6"/>
    </row>
    <row r="533" spans="1:2" ht="16" x14ac:dyDescent="0.2">
      <c r="A533" s="10"/>
      <c r="B533" s="8"/>
    </row>
    <row r="548" spans="1:2" x14ac:dyDescent="0.2">
      <c r="B548" s="2"/>
    </row>
    <row r="552" spans="1:2" x14ac:dyDescent="0.2">
      <c r="B552" s="2"/>
    </row>
    <row r="554" spans="1:2" x14ac:dyDescent="0.2">
      <c r="B554" s="2"/>
    </row>
    <row r="556" spans="1:2" x14ac:dyDescent="0.2">
      <c r="B556" s="6"/>
    </row>
    <row r="558" spans="1:2" ht="16" x14ac:dyDescent="0.2">
      <c r="A558" s="10"/>
    </row>
    <row r="562" spans="1:2" x14ac:dyDescent="0.2">
      <c r="B562" s="11"/>
    </row>
    <row r="563" spans="1:2" x14ac:dyDescent="0.2">
      <c r="B563" s="4"/>
    </row>
    <row r="564" spans="1:2" x14ac:dyDescent="0.2">
      <c r="B564" s="11"/>
    </row>
    <row r="565" spans="1:2" x14ac:dyDescent="0.2">
      <c r="B565" s="11"/>
    </row>
    <row r="566" spans="1:2" x14ac:dyDescent="0.2">
      <c r="B566" s="11"/>
    </row>
    <row r="567" spans="1:2" x14ac:dyDescent="0.2">
      <c r="B567" s="11"/>
    </row>
    <row r="569" spans="1:2" ht="16" x14ac:dyDescent="0.2">
      <c r="A569" s="10"/>
      <c r="B569" s="8"/>
    </row>
    <row r="584" spans="2:2" x14ac:dyDescent="0.2">
      <c r="B584" s="2"/>
    </row>
    <row r="588" spans="2:2" x14ac:dyDescent="0.2">
      <c r="B588" s="2"/>
    </row>
    <row r="590" spans="2:2" x14ac:dyDescent="0.2">
      <c r="B590" s="2"/>
    </row>
    <row r="592" spans="2:2" x14ac:dyDescent="0.2">
      <c r="B592" s="6"/>
    </row>
    <row r="594" spans="1:2" ht="16" x14ac:dyDescent="0.2">
      <c r="A594" s="10"/>
    </row>
    <row r="598" spans="1:2" x14ac:dyDescent="0.2">
      <c r="B598" s="11"/>
    </row>
    <row r="599" spans="1:2" x14ac:dyDescent="0.2">
      <c r="B599" s="4"/>
    </row>
    <row r="600" spans="1:2" x14ac:dyDescent="0.2">
      <c r="B600" s="11"/>
    </row>
    <row r="601" spans="1:2" x14ac:dyDescent="0.2">
      <c r="B601" s="11"/>
    </row>
    <row r="602" spans="1:2" x14ac:dyDescent="0.2">
      <c r="B602" s="11"/>
    </row>
    <row r="603" spans="1:2" x14ac:dyDescent="0.2">
      <c r="B603" s="11"/>
    </row>
    <row r="605" spans="1:2" ht="16" x14ac:dyDescent="0.2">
      <c r="A605" s="10"/>
      <c r="B605" s="8"/>
    </row>
    <row r="620" spans="2:2" x14ac:dyDescent="0.2">
      <c r="B620" s="2"/>
    </row>
    <row r="624" spans="2:2" x14ac:dyDescent="0.2">
      <c r="B624" s="2"/>
    </row>
    <row r="626" spans="1:2" x14ac:dyDescent="0.2">
      <c r="B626" s="2"/>
    </row>
    <row r="628" spans="1:2" x14ac:dyDescent="0.2">
      <c r="B628" s="6"/>
    </row>
    <row r="630" spans="1:2" ht="16" x14ac:dyDescent="0.2">
      <c r="A630" s="10"/>
    </row>
    <row r="634" spans="1:2" x14ac:dyDescent="0.2">
      <c r="B634" s="11"/>
    </row>
    <row r="635" spans="1:2" x14ac:dyDescent="0.2">
      <c r="B635" s="4"/>
    </row>
    <row r="636" spans="1:2" x14ac:dyDescent="0.2">
      <c r="B636" s="11"/>
    </row>
    <row r="637" spans="1:2" x14ac:dyDescent="0.2">
      <c r="B637" s="11"/>
    </row>
    <row r="638" spans="1:2" x14ac:dyDescent="0.2">
      <c r="B638" s="11"/>
    </row>
    <row r="639" spans="1:2" x14ac:dyDescent="0.2">
      <c r="B639" s="1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39"/>
  <sheetViews>
    <sheetView topLeftCell="A323" workbookViewId="0">
      <selection activeCell="A347" sqref="A347"/>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tr">
        <f>B3&amp;", "&amp;B18&amp;" battery, "&amp;B5</f>
        <v>Motorbike, electric, &lt;4kW, LFP battery, 2020</v>
      </c>
    </row>
    <row r="2" spans="1:2" x14ac:dyDescent="0.2">
      <c r="A2" t="s">
        <v>72</v>
      </c>
      <c r="B2" t="s">
        <v>37</v>
      </c>
    </row>
    <row r="3" spans="1:2" x14ac:dyDescent="0.2">
      <c r="A3" t="s">
        <v>86</v>
      </c>
      <c r="B3" t="s">
        <v>492</v>
      </c>
    </row>
    <row r="4" spans="1:2" x14ac:dyDescent="0.2">
      <c r="A4" t="s">
        <v>87</v>
      </c>
    </row>
    <row r="5" spans="1:2" x14ac:dyDescent="0.2">
      <c r="A5" t="s">
        <v>88</v>
      </c>
      <c r="B5">
        <v>2020</v>
      </c>
    </row>
    <row r="6" spans="1:2" x14ac:dyDescent="0.2">
      <c r="A6" t="s">
        <v>126</v>
      </c>
      <c r="B6" t="str">
        <f>B3&amp;" - "&amp;B5&amp;" - "&amp;B18&amp;" - "&amp;B2</f>
        <v>Motorbike, electric, &lt;4kW - 2020 - LFP - CH</v>
      </c>
    </row>
    <row r="7" spans="1:2" x14ac:dyDescent="0.2">
      <c r="A7" t="s">
        <v>73</v>
      </c>
      <c r="B7" t="str">
        <f>B3</f>
        <v>Motorbike,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79.400000000000006</v>
      </c>
    </row>
    <row r="17" spans="1:8" x14ac:dyDescent="0.2">
      <c r="A17" t="s">
        <v>133</v>
      </c>
      <c r="B17">
        <f>INDEX('vehicles specifications'!$B$3:$CW$166,MATCH(B6,'vehicles specifications'!$A$3:$A$166,0),MATCH("Power [kW]",'vehicles specifications'!$B$2:$CW$2,0))</f>
        <v>2.5</v>
      </c>
    </row>
    <row r="18" spans="1:8" x14ac:dyDescent="0.2">
      <c r="A18" t="s">
        <v>652</v>
      </c>
      <c r="B18" s="20" t="s">
        <v>44</v>
      </c>
    </row>
    <row r="19" spans="1:8" x14ac:dyDescent="0.2">
      <c r="A19" t="s">
        <v>134</v>
      </c>
      <c r="B19">
        <f>INDEX('vehicles specifications'!$B$3:$CW$166,MATCH(B6,'vehicles specifications'!$A$3:$A$166,0),MATCH("Energy battery mass [kg]",'vehicles specifications'!$B$2:$CW$2,0))</f>
        <v>14.4</v>
      </c>
    </row>
    <row r="20" spans="1:8" x14ac:dyDescent="0.2">
      <c r="A20" t="s">
        <v>135</v>
      </c>
      <c r="B20">
        <f>INDEX('vehicles specifications'!$B$3:$CW$166,MATCH(B6,'vehicles specifications'!$A$3:$A$166,0),MATCH("Electric energy stored [kWh]",'vehicles specifications'!$B$2:$CW$2,0))</f>
        <v>1.8</v>
      </c>
    </row>
    <row r="21" spans="1:8" x14ac:dyDescent="0.2">
      <c r="A21" t="s">
        <v>588</v>
      </c>
      <c r="B21">
        <f>INDEX('vehicles specifications'!$B$3:$CW$166,MATCH(B6,'vehicles specifications'!$A$3:$A$166,0),MATCH("Electric energy available [kWh]",'vehicles specifications'!$B$2:$CW$2,0))</f>
        <v>1.4400000000000002</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42.842975206611577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&lt;4kW, LFP battery, 2020</v>
      </c>
      <c r="B33">
        <v>1</v>
      </c>
      <c r="C33" t="str">
        <f>B2</f>
        <v>CH</v>
      </c>
      <c r="D33" t="str">
        <f>B9</f>
        <v>unit</v>
      </c>
      <c r="F33" t="s">
        <v>84</v>
      </c>
      <c r="G33" t="s">
        <v>85</v>
      </c>
      <c r="H33" t="str">
        <f>B3</f>
        <v>Motorbike, electric, &lt;4kW</v>
      </c>
    </row>
    <row r="34" spans="1:8" x14ac:dyDescent="0.2">
      <c r="A34" t="str">
        <f>INDEX('ei names mapping'!$B$4:$R$33,MATCH(B3,'ei names mapping'!$A$4:$A$33,0),MATCH(G34,'ei names mapping'!$B$3:$R$3,0))</f>
        <v>market for glider, for electric scooter</v>
      </c>
      <c r="B34" s="11">
        <f>INDEX('vehicles specifications'!$B$3:$CW$166,MATCH(B6,'vehicles specifications'!$A$3:$A$166,0),MATCH(G34,'vehicles specifications'!$B$2:$CW$2,0))*INDEX('ei names mapping'!$B$137:$BL$300,MATCH(B6,'ei names mapping'!$A$137:$A$300,0),MATCH(G34,'ei names mapping'!$B$136:$BL$136,0))</f>
        <v>53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Glider lightweighting</v>
      </c>
      <c r="B35" s="11">
        <f>INDEX('vehicles specifications'!$B$3:$CW$166,MATCH(B6,'vehicles specifications'!$A$3:$A$166,0),MATCH(G35,'vehicles specifications'!$B$2:$CW$2,0))*INDEX('ei names mapping'!$B$137:$BL$300,MATCH(B6,'ei names mapping'!$A$137:$A$300,0),MATCH(G35,'ei names mapping'!$B$136:$BL$136,0))</f>
        <v>0</v>
      </c>
      <c r="C35" t="str">
        <f>INDEX('ei names mapping'!$B$38:$R$67,MATCH(B3,'ei names mapping'!$A$4:$A$33,0),MATCH(G35,'ei names mapping'!$B$3:$R$3,0))</f>
        <v>GLO</v>
      </c>
      <c r="D35" t="str">
        <f>INDEX('ei names mapping'!$B$104:$R$133,MATCH(B3,'ei names mapping'!$A$104:$A$133,0),MATCH(G35,'ei names mapping'!$B$3:$R$3,0))</f>
        <v>kilogram</v>
      </c>
      <c r="F35" t="s">
        <v>89</v>
      </c>
      <c r="G35" t="s">
        <v>14</v>
      </c>
      <c r="H35" t="str">
        <f>INDEX('ei names mapping'!$B$71:$R$100,MATCH(B3,'ei names mapping'!$A$4:$A$33,0),MATCH(G35,'ei names mapping'!$B$3:$R$3,0))</f>
        <v>Glider lightweighting</v>
      </c>
    </row>
    <row r="36" spans="1:8" x14ac:dyDescent="0.2">
      <c r="A36" t="str">
        <f>INDEX('ei names mapping'!$B$4:$R$33,MATCH(B3,'ei names mapping'!$A$4:$A$33,0),MATCH(G36,'ei names mapping'!$B$3:$R$3,0))</f>
        <v>market for glider, for electric scooter</v>
      </c>
      <c r="B36" s="11">
        <f>INDEX('vehicles specifications'!$B$3:$CW$166,MATCH(B6,'vehicles specifications'!$A$3:$A$166,0),MATCH(G36,'vehicles specifications'!$B$2:$CW$2,0))*INDEX('ei names mapping'!$B$137:$BL$300,MATCH(B6,'ei names mapping'!$A$137:$A$300,0),MATCH(G36,'ei names mapping'!$B$136:$BL$136,0))</f>
        <v>4.5</v>
      </c>
      <c r="C36" t="str">
        <f>INDEX('ei names mapping'!$B$38:$R$67,MATCH(B3,'ei names mapping'!$A$4:$A$33,0),MATCH(G36,'ei names mapping'!$B$3:$R$3,0))</f>
        <v>GLO</v>
      </c>
      <c r="D36" t="str">
        <f>INDEX('ei names mapping'!$B$104:$R$133,MATCH(B3,'ei names mapping'!$A$104:$A$133,0),MATCH(G36,'ei names mapping'!$B$3:$R$3,0))</f>
        <v>kilogram</v>
      </c>
      <c r="F36" t="s">
        <v>89</v>
      </c>
      <c r="G36" t="s">
        <v>16</v>
      </c>
      <c r="H36" t="str">
        <f>INDEX('ei names mapping'!$B$71:$R$100,MATCH(B3,'ei names mapping'!$A$4:$A$33,0),MATCH(G36,'ei names mapping'!$B$3:$R$3,0))</f>
        <v>glider, for electric scooter</v>
      </c>
    </row>
    <row r="37" spans="1:8" x14ac:dyDescent="0.2">
      <c r="A37" t="str">
        <f>INDEX('ei names mapping'!$B$4:$R$33,MATCH(B3,'ei names mapping'!$A$4:$A$33,0),MATCH(G37,'ei names mapping'!$B$3:$R$3,0))</f>
        <v>market for electric powertrain, for electric scooter</v>
      </c>
      <c r="B37" s="11">
        <f>INDEX('vehicles specifications'!$B$3:$CW$166,MATCH(B6,'vehicles specifications'!$A$3:$A$166,0),MATCH(G37,'vehicles specifications'!$B$2:$CW$2,0))*INDEX('ei names mapping'!$B$137:$BL$300,MATCH(B6,'ei names mapping'!$A$137:$A$300,0),MATCH(G37,'ei names mapping'!$B$136:$BL$136,0))</f>
        <v>7.5</v>
      </c>
      <c r="C37" t="str">
        <f>INDEX('ei names mapping'!$B$38:$R$67,MATCH(B3,'ei names mapping'!$A$4:$A$33,0),MATCH(G37,'ei names mapping'!$B$3:$R$3,0))</f>
        <v>GLO</v>
      </c>
      <c r="D37" t="str">
        <f>INDEX('ei names mapping'!$B$104:$R$133,MATCH(B3,'ei names mapping'!$A$104:$A$133,0),MATCH(G37,'ei names mapping'!$B$3:$R$3,0))</f>
        <v>kilogram</v>
      </c>
      <c r="F37" t="s">
        <v>89</v>
      </c>
      <c r="G37" t="s">
        <v>501</v>
      </c>
      <c r="H37" t="str">
        <f>INDEX('ei names mapping'!$B$71:$R$100,MATCH(B3,'ei names mapping'!$A$4:$A$33,0),MATCH(G37,'ei names mapping'!$B$3:$R$3,0))</f>
        <v>powertrain, for electric scooter</v>
      </c>
    </row>
    <row r="38" spans="1:8" x14ac:dyDescent="0.2">
      <c r="A38" t="s">
        <v>759</v>
      </c>
      <c r="B38" s="11">
        <f>INDEX('vehicles specifications'!$B$3:$CW$166,MATCH(B6,'vehicles specifications'!$A$3:$A$166,0),MATCH(G38,'vehicles specifications'!$B$2:$CW$2,0))*INDEX('ei names mapping'!$B$137:$BL$300,MATCH(B6,'ei names mapping'!$A$137:$A$300,0),MATCH(G38,'ei names mapping'!$B$136:$BL$136,0))</f>
        <v>18</v>
      </c>
      <c r="C38" t="str">
        <f>INDEX('ei names mapping'!$B$38:$R$67,MATCH(B3,'ei names mapping'!$A$4:$A$33,0),MATCH(G38,'ei names mapping'!$B$3:$R$3,0))</f>
        <v>GLO</v>
      </c>
      <c r="D38" t="str">
        <f>INDEX('ei names mapping'!$B$104:$R$133,MATCH(B3,'ei names mapping'!$A$104:$A$133,0),MATCH(G38,'ei names mapping'!$B$3:$R$3,0))</f>
        <v>kilogram</v>
      </c>
      <c r="F38" t="s">
        <v>89</v>
      </c>
      <c r="G38" t="s">
        <v>19</v>
      </c>
      <c r="H38" t="str">
        <f>INDEX('ei names mapping'!$B$71:$R$100,MATCH(B3,'ei names mapping'!$A$4:$A$33,0),MATCH(G38,'ei names mapping'!$B$3:$R$3,0))</f>
        <v>Battery cell</v>
      </c>
    </row>
    <row r="39" spans="1:8" x14ac:dyDescent="0.2">
      <c r="A39" t="str">
        <f>INDEX('ei names mapping'!$B$4:$R$33,MATCH(B3,'ei names mapping'!$A$4:$A$33,0),MATCH(G39,'ei names mapping'!$B$3:$R$3,0))</f>
        <v>Battery BoP</v>
      </c>
      <c r="B39" s="11">
        <f>INDEX('vehicles specifications'!$B$3:$CW$166,MATCH(B6,'vehicles specifications'!$A$3:$A$166,0),MATCH(G39,'vehicles specifications'!$B$2:$CW$2,0))*INDEX('ei names mapping'!$B$137:$BL$300,MATCH(B6,'ei names mapping'!$A$137:$A$300,0),MATCH(G39,'ei names mapping'!$B$136:$BL$136,0))</f>
        <v>3.6000000000000005</v>
      </c>
      <c r="C39" t="str">
        <f>INDEX('ei names mapping'!$B$38:$R$67,MATCH(B3,'ei names mapping'!$A$4:$A$33,0),MATCH(G39,'ei names mapping'!$B$3:$R$3,0))</f>
        <v>GLO</v>
      </c>
      <c r="D39" t="str">
        <f>INDEX('ei names mapping'!$B$104:$R$133,MATCH(B3,'ei names mapping'!$A$104:$A$133,0),MATCH(G39,'ei names mapping'!$B$3:$R$3,0))</f>
        <v>kilogram</v>
      </c>
      <c r="F39" t="s">
        <v>89</v>
      </c>
      <c r="G39" t="s">
        <v>20</v>
      </c>
      <c r="H39" t="str">
        <f>INDEX('ei names mapping'!$B$71:$R$100,MATCH(B3,'ei names mapping'!$A$4:$A$33,0),MATCH(G39,'ei names mapping'!$B$3:$R$3,0))</f>
        <v>Battery BoP</v>
      </c>
    </row>
    <row r="40" spans="1:8" x14ac:dyDescent="0.2">
      <c r="A40" t="str">
        <f>INDEX('ei names mapping'!$B$4:$R$33,MATCH(B3,'ei names mapping'!$A$4:$A$33,0),MATCH(G40,'ei names mapping'!$B$3:$R$3,0))</f>
        <v>charging station, 3kW</v>
      </c>
      <c r="B40" s="11">
        <f>INDEX('vehicles specifications'!$B$3:$CW$166,MATCH(B6,'vehicles specifications'!$A$3:$A$166,0),MATCH(G40,'vehicles specifications'!$B$2:$CW$2,0))*INDEX('ei names mapping'!$B$137:$BL$300,MATCH(B6,'ei names mapping'!$A$137:$A$300,0),MATCH(G40,'ei names mapping'!$B$136:$BL$136,0))</f>
        <v>1</v>
      </c>
      <c r="C40" t="str">
        <f>INDEX('ei names mapping'!$B$38:$R$67,MATCH(B3,'ei names mapping'!$A$4:$A$33,0),MATCH(G40,'ei names mapping'!$B$3:$R$3,0))</f>
        <v>GLO</v>
      </c>
      <c r="D40" t="str">
        <f>INDEX('ei names mapping'!$B$104:$R$133,MATCH(B3,'ei names mapping'!$A$104:$A$133,0),MATCH(G40,'ei names mapping'!$B$3:$R$3,0))</f>
        <v>unit</v>
      </c>
      <c r="F40" t="s">
        <v>89</v>
      </c>
      <c r="G40" t="s">
        <v>52</v>
      </c>
      <c r="H40" t="str">
        <f>INDEX('ei names mapping'!$B$71:$R$100,MATCH(B3,'ei names mapping'!$A$4:$A$33,0),MATCH(G40,'ei names mapping'!$B$3:$R$3,0))</f>
        <v>charging station, 3kW</v>
      </c>
    </row>
    <row r="41" spans="1:8" x14ac:dyDescent="0.2">
      <c r="A41" t="str">
        <f>INDEX('ei names mapping'!$B$4:$R$33,MATCH(B3,'ei names mapping'!$A$4:$A$33,0),MATCH(G41,'ei names mapping'!$B$3:$R$3,0))</f>
        <v>manual dismantling of used electric scooter</v>
      </c>
      <c r="B41" s="11">
        <f>INDEX('vehicles specifications'!$B$3:$CW$166,MATCH(B6,'vehicles specifications'!$A$3:$A$166,0),MATCH(G41,'vehicles specifications'!$B$2:$CW$2,0))*INDEX('ei names mapping'!$B$137:$BL$300,MATCH(B6,'ei names mapping'!$A$137:$A$300,0),MATCH(G41,'ei names mapping'!$B$136:$BL$136,0))</f>
        <v>53</v>
      </c>
      <c r="C41" t="str">
        <f>INDEX('ei names mapping'!$B$38:$R$67,MATCH(B3,'ei names mapping'!$A$4:$A$33,0),MATCH(G41,'ei names mapping'!$B$3:$R$3,0))</f>
        <v>GLO</v>
      </c>
      <c r="D41" t="str">
        <f>INDEX('ei names mapping'!$B$104:$R$133,MATCH(B3,'ei names mapping'!$A$104:$A$133,0),MATCH(G41,'ei names mapping'!$B$3:$R$3,0))</f>
        <v>unit</v>
      </c>
      <c r="F41" t="s">
        <v>89</v>
      </c>
      <c r="G41" t="s">
        <v>144</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manual dismantling of used electric scooter</v>
      </c>
      <c r="B42" s="11">
        <f>INDEX('vehicles specifications'!$B$3:$CW$166,MATCH(B6,'vehicles specifications'!$A$3:$A$166,0),MATCH(G42,'vehicles specifications'!$B$2:$CW$2,0))*INDEX('ei names mapping'!$B$137:$BL$300,MATCH(B6,'ei names mapping'!$A$137:$A$300,0),MATCH(G42,'ei names mapping'!$B$136:$BL$136,0))</f>
        <v>12</v>
      </c>
      <c r="C42" t="str">
        <f>INDEX('ei names mapping'!$B$38:$R$67,MATCH(B3,'ei names mapping'!$A$4:$A$33,0),MATCH(G42,'ei names mapping'!$B$3:$R$3,0))</f>
        <v>GLO</v>
      </c>
      <c r="D42" t="str">
        <f>INDEX('ei names mapping'!$B$104:$R$133,MATCH(B3,'ei names mapping'!$A$104:$A$133,0),MATCH(G42,'ei names mapping'!$B$3:$R$3,0))</f>
        <v>unit</v>
      </c>
      <c r="F42" t="s">
        <v>89</v>
      </c>
      <c r="G42" t="s">
        <v>145</v>
      </c>
      <c r="H42" t="str">
        <f>INDEX('ei names mapping'!$B$71:$R$100,MATCH(B3,'ei names mapping'!$A$4:$A$33,0),MATCH(G42,'ei names mapping'!$B$3:$R$3,0))</f>
        <v>manual dismantling of electric scooter</v>
      </c>
    </row>
    <row r="43" spans="1:8" x14ac:dyDescent="0.2">
      <c r="A43" t="str">
        <f>INDEX('ei names mapping'!$B$4:$R$33,MATCH(B3,'ei names mapping'!$A$4:$A$33,0),MATCH(G43,'ei names mapping'!$B$3:$R$3,0))</f>
        <v>market for used Li-ion battery</v>
      </c>
      <c r="B43" s="11">
        <f>INDEX('vehicles specifications'!$B$3:$CW$166,MATCH(B6,'vehicles specifications'!$A$3:$A$166,0),MATCH(G43,'vehicles specifications'!$B$2:$CW$2,0))*INDEX('ei names mapping'!$B$137:$BL$300,MATCH(B6,'ei names mapping'!$A$137:$A$300,0),MATCH(G43,'ei names mapping'!$B$136:$BL$136,0))</f>
        <v>-21.6</v>
      </c>
      <c r="C43" t="str">
        <f>INDEX('ei names mapping'!$B$38:$R$67,MATCH(B3,'ei names mapping'!$A$4:$A$33,0),MATCH(G43,'ei names mapping'!$B$3:$R$3,0))</f>
        <v>GLO</v>
      </c>
      <c r="D43" t="str">
        <f>INDEX('ei names mapping'!$B$104:$R$133,MATCH(B7,'ei names mapping'!$A$104:$A$133,0),MATCH(G43,'ei names mapping'!$B$3:$R$3,0))</f>
        <v>kilogram</v>
      </c>
      <c r="F43" t="s">
        <v>89</v>
      </c>
      <c r="G43" t="s">
        <v>146</v>
      </c>
      <c r="H43" t="str">
        <f>INDEX('ei names mapping'!$B$71:$R$100,MATCH(B3,'ei names mapping'!$A$4:$A$33,0),MATCH(G43,'ei names mapping'!$B$3:$R$3,0))</f>
        <v>used Li-ion battery</v>
      </c>
    </row>
    <row r="44" spans="1:8" x14ac:dyDescent="0.2">
      <c r="A44" s="13" t="s">
        <v>840</v>
      </c>
      <c r="B44">
        <f>(B16/1000)*B29</f>
        <v>79.400000000000006</v>
      </c>
      <c r="C44" t="s">
        <v>92</v>
      </c>
      <c r="D44" t="s">
        <v>233</v>
      </c>
      <c r="F44" t="s">
        <v>89</v>
      </c>
      <c r="H44" s="13" t="s">
        <v>841</v>
      </c>
    </row>
    <row r="45" spans="1:8" x14ac:dyDescent="0.2">
      <c r="A45" s="13" t="s">
        <v>441</v>
      </c>
      <c r="B45" s="2">
        <f>(B16/1000)*B28</f>
        <v>1262.4600000000003</v>
      </c>
      <c r="C45" t="s">
        <v>95</v>
      </c>
      <c r="D45" t="s">
        <v>233</v>
      </c>
      <c r="F45" t="s">
        <v>89</v>
      </c>
      <c r="H45" s="13" t="s">
        <v>441</v>
      </c>
    </row>
    <row r="46" spans="1:8" x14ac:dyDescent="0.2">
      <c r="B46" s="11"/>
    </row>
    <row r="47" spans="1:8" ht="16" x14ac:dyDescent="0.2">
      <c r="A47" s="10" t="s">
        <v>71</v>
      </c>
      <c r="B47" s="8" t="str">
        <f>B49&amp;", "&amp;B64&amp;" battery, "&amp;B51</f>
        <v>Motorbike, electric, &lt;4kW, LFP battery, 2030</v>
      </c>
    </row>
    <row r="48" spans="1:8" x14ac:dyDescent="0.2">
      <c r="A48" t="s">
        <v>72</v>
      </c>
      <c r="B48" t="s">
        <v>37</v>
      </c>
    </row>
    <row r="49" spans="1:2" x14ac:dyDescent="0.2">
      <c r="A49" t="s">
        <v>86</v>
      </c>
      <c r="B49" t="s">
        <v>492</v>
      </c>
    </row>
    <row r="50" spans="1:2" x14ac:dyDescent="0.2">
      <c r="A50" t="s">
        <v>87</v>
      </c>
    </row>
    <row r="51" spans="1:2" x14ac:dyDescent="0.2">
      <c r="A51" t="s">
        <v>88</v>
      </c>
      <c r="B51">
        <v>2030</v>
      </c>
    </row>
    <row r="52" spans="1:2" x14ac:dyDescent="0.2">
      <c r="A52" t="s">
        <v>126</v>
      </c>
      <c r="B52" t="str">
        <f>B49&amp;" - "&amp;B51&amp;" - "&amp;B64&amp;" - "&amp;B48</f>
        <v>Motorbike, electric, &lt;4kW - 2030 - LFP - CH</v>
      </c>
    </row>
    <row r="53" spans="1:2" x14ac:dyDescent="0.2">
      <c r="A53" t="s">
        <v>73</v>
      </c>
      <c r="B53" t="str">
        <f>B49</f>
        <v>Motorbike, electric, &lt;4kW</v>
      </c>
    </row>
    <row r="54" spans="1:2" x14ac:dyDescent="0.2">
      <c r="A54" t="s">
        <v>74</v>
      </c>
      <c r="B54" t="s">
        <v>75</v>
      </c>
    </row>
    <row r="55" spans="1:2" x14ac:dyDescent="0.2">
      <c r="A55" t="s">
        <v>76</v>
      </c>
      <c r="B55" t="s">
        <v>76</v>
      </c>
    </row>
    <row r="56" spans="1:2" x14ac:dyDescent="0.2">
      <c r="A56" t="s">
        <v>78</v>
      </c>
      <c r="B56" t="s">
        <v>1143</v>
      </c>
    </row>
    <row r="57" spans="1:2" x14ac:dyDescent="0.2">
      <c r="A57" t="s">
        <v>127</v>
      </c>
      <c r="B57">
        <f>INDEX('vehicles specifications'!$B$3:$CW$166,MATCH(B52,'vehicles specifications'!$A$3:$A$166,0),MATCH("Lifetime [km]",'vehicles specifications'!$B$2:$CW$2,0))</f>
        <v>25000</v>
      </c>
    </row>
    <row r="58" spans="1:2" x14ac:dyDescent="0.2">
      <c r="A58" t="s">
        <v>128</v>
      </c>
      <c r="B58">
        <f>INDEX('vehicles specifications'!$B$3:$CW$166,MATCH(B52,'vehicles specifications'!$A$3:$A$166,0),MATCH("Passengers [unit]",'vehicles specifications'!$B$2:$CW$2,0))</f>
        <v>1.1000000000000001</v>
      </c>
    </row>
    <row r="59" spans="1:2" x14ac:dyDescent="0.2">
      <c r="A59" t="s">
        <v>129</v>
      </c>
      <c r="B59">
        <f>INDEX('vehicles specifications'!$B$3:$CW$166,MATCH(B52,'vehicles specifications'!$A$3:$A$166,0),MATCH("Servicing [unit]",'vehicles specifications'!$B$2:$CW$2,0))</f>
        <v>1</v>
      </c>
    </row>
    <row r="60" spans="1:2" x14ac:dyDescent="0.2">
      <c r="A60" t="s">
        <v>130</v>
      </c>
      <c r="B60">
        <f>INDEX('vehicles specifications'!$B$3:$CW$166,MATCH(B52,'vehicles specifications'!$A$3:$A$166,0),MATCH("Energy battery replacement [unit]",'vehicles specifications'!$B$2:$CW$2,0))</f>
        <v>0.5</v>
      </c>
    </row>
    <row r="61" spans="1:2" x14ac:dyDescent="0.2">
      <c r="A61" t="s">
        <v>131</v>
      </c>
      <c r="B61">
        <f>INDEX('vehicles specifications'!$B$3:$CW$166,MATCH(B52,'vehicles specifications'!$A$3:$A$166,0),MATCH("Annual kilometers [km]",'vehicles specifications'!$B$2:$CW$2,0))</f>
        <v>1776</v>
      </c>
    </row>
    <row r="62" spans="1:2" x14ac:dyDescent="0.2">
      <c r="A62" t="s">
        <v>132</v>
      </c>
      <c r="B62" s="2">
        <f>INDEX('vehicles specifications'!$B$3:$CW$166,MATCH(B52,'vehicles specifications'!$A$3:$A$166,0),MATCH("Curb mass [kg]",'vehicles specifications'!$B$2:$CW$2,0))</f>
        <v>84.743333333333339</v>
      </c>
    </row>
    <row r="63" spans="1:2" x14ac:dyDescent="0.2">
      <c r="A63" t="s">
        <v>133</v>
      </c>
      <c r="B63">
        <f>INDEX('vehicles specifications'!$B$3:$CW$166,MATCH(B52,'vehicles specifications'!$A$3:$A$166,0),MATCH("Power [kW]",'vehicles specifications'!$B$2:$CW$2,0))</f>
        <v>2.5</v>
      </c>
    </row>
    <row r="64" spans="1:2" x14ac:dyDescent="0.2">
      <c r="A64" t="s">
        <v>652</v>
      </c>
      <c r="B64" s="20" t="s">
        <v>44</v>
      </c>
    </row>
    <row r="65" spans="1:8" x14ac:dyDescent="0.2">
      <c r="A65" t="s">
        <v>134</v>
      </c>
      <c r="B65">
        <f>INDEX('vehicles specifications'!$B$3:$CW$166,MATCH(B52,'vehicles specifications'!$A$3:$A$166,0),MATCH("Energy battery mass [kg]",'vehicles specifications'!$B$2:$CW$2,0))</f>
        <v>21.333333333333336</v>
      </c>
    </row>
    <row r="66" spans="1:8" x14ac:dyDescent="0.2">
      <c r="A66" t="s">
        <v>135</v>
      </c>
      <c r="B66">
        <f>INDEX('vehicles specifications'!$B$3:$CW$166,MATCH(B52,'vehicles specifications'!$A$3:$A$166,0),MATCH("Electric energy stored [kWh]",'vehicles specifications'!$B$2:$CW$2,0))</f>
        <v>3.2</v>
      </c>
    </row>
    <row r="67" spans="1:8" x14ac:dyDescent="0.2">
      <c r="A67" t="s">
        <v>588</v>
      </c>
      <c r="B67">
        <f>INDEX('vehicles specifications'!$B$3:$CW$166,MATCH(B52,'vehicles specifications'!$A$3:$A$166,0),MATCH("Electric energy available [kWh]",'vehicles specifications'!$B$2:$CW$2,0))</f>
        <v>2.5600000000000005</v>
      </c>
    </row>
    <row r="68" spans="1:8" x14ac:dyDescent="0.2">
      <c r="A68" t="s">
        <v>138</v>
      </c>
      <c r="B68" s="2">
        <f>INDEX('vehicles specifications'!$B$3:$CW$166,MATCH(B52,'vehicles specifications'!$A$3:$A$166,0),MATCH("Oxydation energy stored [kWh]",'vehicles specifications'!$B$2:$CW$2,0))</f>
        <v>0</v>
      </c>
    </row>
    <row r="69" spans="1:8" x14ac:dyDescent="0.2">
      <c r="A69" t="s">
        <v>139</v>
      </c>
      <c r="B69">
        <f>INDEX('vehicles specifications'!$B$3:$CW$166,MATCH(B52,'vehicles specifications'!$A$3:$A$166,0),MATCH("Fuel mass [kg]",'vehicles specifications'!$B$2:$CW$2,0))</f>
        <v>0</v>
      </c>
    </row>
    <row r="70" spans="1:8" x14ac:dyDescent="0.2">
      <c r="A70" t="s">
        <v>136</v>
      </c>
      <c r="B70" s="2">
        <f>INDEX('vehicles specifications'!$B$3:$CW$166,MATCH(B52,'vehicles specifications'!$A$3:$A$166,0),MATCH("Range [km]",'vehicles specifications'!$B$2:$CW$2,0))</f>
        <v>76.165289256198363</v>
      </c>
    </row>
    <row r="71" spans="1:8" x14ac:dyDescent="0.2">
      <c r="A71" t="s">
        <v>137</v>
      </c>
      <c r="B71" t="str">
        <f>INDEX('vehicles specifications'!$B$3:$CW$166,MATCH(B52,'vehicles specifications'!$A$3:$A$166,0),MATCH("Emission standard",'vehicles specifications'!$B$2:$CW$2,0))</f>
        <v>None</v>
      </c>
    </row>
    <row r="72" spans="1:8" x14ac:dyDescent="0.2">
      <c r="A72" t="s">
        <v>1174</v>
      </c>
      <c r="B72" s="6">
        <f>INDEX('vehicles specifications'!$B$3:$CW$166,MATCH(B52,'vehicles specifications'!$A$3:$A$166,0),MATCH("Lightweighting rate [%]",'vehicles specifications'!$B$2:$CW$2,0))</f>
        <v>0.03</v>
      </c>
    </row>
    <row r="73" spans="1:8" x14ac:dyDescent="0.2">
      <c r="A73" t="s">
        <v>485</v>
      </c>
      <c r="B73" s="6" t="s">
        <v>486</v>
      </c>
    </row>
    <row r="74" spans="1:8" x14ac:dyDescent="0.2">
      <c r="A74" t="s">
        <v>487</v>
      </c>
      <c r="B74" s="2">
        <v>15900</v>
      </c>
    </row>
    <row r="75" spans="1:8" x14ac:dyDescent="0.2">
      <c r="A75" t="s">
        <v>488</v>
      </c>
      <c r="B75" s="2">
        <v>1000</v>
      </c>
    </row>
    <row r="76" spans="1:8" x14ac:dyDescent="0.2">
      <c r="A76" t="s">
        <v>83</v>
      </c>
      <c r="B76"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84.7 kg. Lightweighting of glider: 3%. Emission standard: None. Service visits throughout lifetime: 1. Range: 76 km. Battery capacity: 3.2 kWh. Available battery capacity: 2.56 kWh. Battery mass: 21.3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6" x14ac:dyDescent="0.2">
      <c r="A77" s="10" t="s">
        <v>79</v>
      </c>
    </row>
    <row r="78" spans="1:8" x14ac:dyDescent="0.2">
      <c r="A78" t="s">
        <v>80</v>
      </c>
      <c r="B78" t="s">
        <v>81</v>
      </c>
      <c r="C78" t="s">
        <v>72</v>
      </c>
      <c r="D78" t="s">
        <v>76</v>
      </c>
      <c r="E78" t="s">
        <v>82</v>
      </c>
      <c r="F78" t="s">
        <v>74</v>
      </c>
      <c r="G78" t="s">
        <v>83</v>
      </c>
      <c r="H78" t="s">
        <v>73</v>
      </c>
    </row>
    <row r="79" spans="1:8" x14ac:dyDescent="0.2">
      <c r="A79" t="str">
        <f>B47</f>
        <v>Motorbike, electric, &lt;4kW, LFP battery, 2030</v>
      </c>
      <c r="B79">
        <v>1</v>
      </c>
      <c r="C79" t="str">
        <f>B48</f>
        <v>CH</v>
      </c>
      <c r="D79" t="str">
        <f>B55</f>
        <v>unit</v>
      </c>
      <c r="F79" t="s">
        <v>84</v>
      </c>
      <c r="G79" t="s">
        <v>85</v>
      </c>
      <c r="H79" t="str">
        <f>B49</f>
        <v>Motorbike, electric, &lt;4kW</v>
      </c>
    </row>
    <row r="80" spans="1:8" x14ac:dyDescent="0.2">
      <c r="A80" t="str">
        <f>INDEX('ei names mapping'!$B$4:$R$33,MATCH(B49,'ei names mapping'!$A$4:$A$33,0),MATCH(G80,'ei names mapping'!$B$3:$R$3,0))</f>
        <v>market for glider, for electric scooter</v>
      </c>
      <c r="B80" s="11">
        <f>INDEX('vehicles specifications'!$B$3:$CW$166,MATCH(B52,'vehicles specifications'!$A$3:$A$166,0),MATCH(G80,'vehicles specifications'!$B$2:$CW$2,0))*INDEX('ei names mapping'!$B$137:$BL$300,MATCH(B52,'ei names mapping'!$A$137:$A$300,0),MATCH(G80,'ei names mapping'!$B$136:$BL$136,0))</f>
        <v>53</v>
      </c>
      <c r="C80" t="str">
        <f>INDEX('ei names mapping'!$B$38:$R$67,MATCH(B49,'ei names mapping'!$A$4:$A$33,0),MATCH(G80,'ei names mapping'!$B$3:$R$3,0))</f>
        <v>GLO</v>
      </c>
      <c r="D80" t="str">
        <f>INDEX('ei names mapping'!$B$104:$R$133,MATCH(B49,'ei names mapping'!$A$104:$A$133,0),MATCH(G80,'ei names mapping'!$B$3:$R$3,0))</f>
        <v>kilogram</v>
      </c>
      <c r="F80" t="s">
        <v>89</v>
      </c>
      <c r="G80" t="s">
        <v>15</v>
      </c>
      <c r="H80" t="str">
        <f>INDEX('ei names mapping'!$B$71:$R$100,MATCH(B49,'ei names mapping'!$A$4:$A$33,0),MATCH(G80,'ei names mapping'!$B$3:$R$3,0))</f>
        <v>glider, for electric scooter</v>
      </c>
    </row>
    <row r="81" spans="1:8" x14ac:dyDescent="0.2">
      <c r="A81" t="str">
        <f>INDEX('ei names mapping'!$B$4:$R$33,MATCH(B49,'ei names mapping'!$A$4:$A$33,0),MATCH(G81,'ei names mapping'!$B$3:$R$3,0))</f>
        <v>Glider lightweighting</v>
      </c>
      <c r="B81" s="11">
        <f>INDEX('vehicles specifications'!$B$3:$CW$166,MATCH(B52,'vehicles specifications'!$A$3:$A$166,0),MATCH(G81,'vehicles specifications'!$B$2:$CW$2,0))*INDEX('ei names mapping'!$B$137:$BL$300,MATCH(B52,'ei names mapping'!$A$137:$A$300,0),MATCH(G81,'ei names mapping'!$B$136:$BL$136,0))</f>
        <v>1.5899999999999999</v>
      </c>
      <c r="C81" t="str">
        <f>INDEX('ei names mapping'!$B$38:$R$67,MATCH(B49,'ei names mapping'!$A$4:$A$33,0),MATCH(G81,'ei names mapping'!$B$3:$R$3,0))</f>
        <v>GLO</v>
      </c>
      <c r="D81" t="str">
        <f>INDEX('ei names mapping'!$B$104:$R$133,MATCH(B49,'ei names mapping'!$A$104:$A$133,0),MATCH(G81,'ei names mapping'!$B$3:$R$3,0))</f>
        <v>kilogram</v>
      </c>
      <c r="F81" t="s">
        <v>89</v>
      </c>
      <c r="G81" t="s">
        <v>14</v>
      </c>
      <c r="H81" t="str">
        <f>INDEX('ei names mapping'!$B$71:$R$100,MATCH(B49,'ei names mapping'!$A$4:$A$33,0),MATCH(G81,'ei names mapping'!$B$3:$R$3,0))</f>
        <v>Glider lightweighting</v>
      </c>
    </row>
    <row r="82" spans="1:8" x14ac:dyDescent="0.2">
      <c r="A82" t="str">
        <f>INDEX('ei names mapping'!$B$4:$R$33,MATCH(B49,'ei names mapping'!$A$4:$A$33,0),MATCH(G82,'ei names mapping'!$B$3:$R$3,0))</f>
        <v>market for glider, for electric scooter</v>
      </c>
      <c r="B82" s="11">
        <f>INDEX('vehicles specifications'!$B$3:$CW$166,MATCH(B52,'vehicles specifications'!$A$3:$A$166,0),MATCH(G82,'vehicles specifications'!$B$2:$CW$2,0))*INDEX('ei names mapping'!$B$137:$BL$300,MATCH(B52,'ei names mapping'!$A$137:$A$300,0),MATCH(G82,'ei names mapping'!$B$136:$BL$136,0))</f>
        <v>4.5</v>
      </c>
      <c r="C82" t="str">
        <f>INDEX('ei names mapping'!$B$38:$R$67,MATCH(B49,'ei names mapping'!$A$4:$A$33,0),MATCH(G82,'ei names mapping'!$B$3:$R$3,0))</f>
        <v>GLO</v>
      </c>
      <c r="D82" t="str">
        <f>INDEX('ei names mapping'!$B$104:$R$133,MATCH(B49,'ei names mapping'!$A$104:$A$133,0),MATCH(G82,'ei names mapping'!$B$3:$R$3,0))</f>
        <v>kilogram</v>
      </c>
      <c r="F82" t="s">
        <v>89</v>
      </c>
      <c r="G82" t="s">
        <v>16</v>
      </c>
      <c r="H82" t="str">
        <f>INDEX('ei names mapping'!$B$71:$R$100,MATCH(B49,'ei names mapping'!$A$4:$A$33,0),MATCH(G82,'ei names mapping'!$B$3:$R$3,0))</f>
        <v>glider, for electric scooter</v>
      </c>
    </row>
    <row r="83" spans="1:8" x14ac:dyDescent="0.2">
      <c r="A83" t="str">
        <f>INDEX('ei names mapping'!$B$4:$R$33,MATCH(B49,'ei names mapping'!$A$4:$A$33,0),MATCH(G83,'ei names mapping'!$B$3:$R$3,0))</f>
        <v>market for electric powertrain, for electric scooter</v>
      </c>
      <c r="B83" s="11">
        <f>INDEX('vehicles specifications'!$B$3:$CW$166,MATCH(B52,'vehicles specifications'!$A$3:$A$166,0),MATCH(G83,'vehicles specifications'!$B$2:$CW$2,0))*INDEX('ei names mapping'!$B$137:$BL$300,MATCH(B52,'ei names mapping'!$A$137:$A$300,0),MATCH(G83,'ei names mapping'!$B$136:$BL$136,0))</f>
        <v>7.5</v>
      </c>
      <c r="C83" t="str">
        <f>INDEX('ei names mapping'!$B$38:$R$67,MATCH(B49,'ei names mapping'!$A$4:$A$33,0),MATCH(G83,'ei names mapping'!$B$3:$R$3,0))</f>
        <v>GLO</v>
      </c>
      <c r="D83" t="str">
        <f>INDEX('ei names mapping'!$B$104:$R$133,MATCH(B49,'ei names mapping'!$A$104:$A$133,0),MATCH(G83,'ei names mapping'!$B$3:$R$3,0))</f>
        <v>kilogram</v>
      </c>
      <c r="F83" t="s">
        <v>89</v>
      </c>
      <c r="G83" t="s">
        <v>501</v>
      </c>
      <c r="H83" t="str">
        <f>INDEX('ei names mapping'!$B$71:$R$100,MATCH(B49,'ei names mapping'!$A$4:$A$33,0),MATCH(G83,'ei names mapping'!$B$3:$R$3,0))</f>
        <v>powertrain, for electric scooter</v>
      </c>
    </row>
    <row r="84" spans="1:8" x14ac:dyDescent="0.2">
      <c r="A84" t="s">
        <v>759</v>
      </c>
      <c r="B84" s="11">
        <f>INDEX('vehicles specifications'!$B$3:$CW$166,MATCH(B52,'vehicles specifications'!$A$3:$A$166,0),MATCH(G84,'vehicles specifications'!$B$2:$CW$2,0))*INDEX('ei names mapping'!$B$137:$BL$300,MATCH(B52,'ei names mapping'!$A$137:$A$300,0),MATCH(G84,'ei names mapping'!$B$136:$BL$136,0))</f>
        <v>22.222222222222221</v>
      </c>
      <c r="C84" t="str">
        <f>INDEX('ei names mapping'!$B$38:$R$67,MATCH(B49,'ei names mapping'!$A$4:$A$33,0),MATCH(G84,'ei names mapping'!$B$3:$R$3,0))</f>
        <v>GLO</v>
      </c>
      <c r="D84" t="str">
        <f>INDEX('ei names mapping'!$B$104:$R$133,MATCH(B49,'ei names mapping'!$A$104:$A$133,0),MATCH(G84,'ei names mapping'!$B$3:$R$3,0))</f>
        <v>kilogram</v>
      </c>
      <c r="F84" t="s">
        <v>89</v>
      </c>
      <c r="G84" t="s">
        <v>19</v>
      </c>
      <c r="H84" t="str">
        <f>INDEX('ei names mapping'!$B$71:$R$100,MATCH(B49,'ei names mapping'!$A$4:$A$33,0),MATCH(G84,'ei names mapping'!$B$3:$R$3,0))</f>
        <v>Battery cell</v>
      </c>
    </row>
    <row r="85" spans="1:8" x14ac:dyDescent="0.2">
      <c r="A85" t="str">
        <f>INDEX('ei names mapping'!$B$4:$R$33,MATCH(B49,'ei names mapping'!$A$4:$A$33,0),MATCH(G85,'ei names mapping'!$B$3:$R$3,0))</f>
        <v>Battery BoP</v>
      </c>
      <c r="B85" s="11">
        <f>INDEX('vehicles specifications'!$B$3:$CW$166,MATCH(B52,'vehicles specifications'!$A$3:$A$166,0),MATCH(G85,'vehicles specifications'!$B$2:$CW$2,0))*INDEX('ei names mapping'!$B$137:$BL$300,MATCH(B52,'ei names mapping'!$A$137:$A$300,0),MATCH(G85,'ei names mapping'!$B$136:$BL$136,0))</f>
        <v>4.4444444444444446</v>
      </c>
      <c r="C85" t="str">
        <f>INDEX('ei names mapping'!$B$38:$R$67,MATCH(B49,'ei names mapping'!$A$4:$A$33,0),MATCH(G85,'ei names mapping'!$B$3:$R$3,0))</f>
        <v>GLO</v>
      </c>
      <c r="D85" t="str">
        <f>INDEX('ei names mapping'!$B$104:$R$133,MATCH(B49,'ei names mapping'!$A$104:$A$133,0),MATCH(G85,'ei names mapping'!$B$3:$R$3,0))</f>
        <v>kilogram</v>
      </c>
      <c r="F85" t="s">
        <v>89</v>
      </c>
      <c r="G85" t="s">
        <v>20</v>
      </c>
      <c r="H85" t="str">
        <f>INDEX('ei names mapping'!$B$71:$R$100,MATCH(B49,'ei names mapping'!$A$4:$A$33,0),MATCH(G85,'ei names mapping'!$B$3:$R$3,0))</f>
        <v>Battery BoP</v>
      </c>
    </row>
    <row r="86" spans="1:8" x14ac:dyDescent="0.2">
      <c r="A86" t="str">
        <f>INDEX('ei names mapping'!$B$4:$R$33,MATCH(B49,'ei names mapping'!$A$4:$A$33,0),MATCH(G86,'ei names mapping'!$B$3:$R$3,0))</f>
        <v>charging station, 3kW</v>
      </c>
      <c r="B86" s="11">
        <f>INDEX('vehicles specifications'!$B$3:$CW$166,MATCH(B52,'vehicles specifications'!$A$3:$A$166,0),MATCH(G86,'vehicles specifications'!$B$2:$CW$2,0))*INDEX('ei names mapping'!$B$137:$BL$300,MATCH(B52,'ei names mapping'!$A$137:$A$300,0),MATCH(G86,'ei names mapping'!$B$136:$BL$136,0))</f>
        <v>1</v>
      </c>
      <c r="C86" t="str">
        <f>INDEX('ei names mapping'!$B$38:$R$67,MATCH(B49,'ei names mapping'!$A$4:$A$33,0),MATCH(G86,'ei names mapping'!$B$3:$R$3,0))</f>
        <v>GLO</v>
      </c>
      <c r="D86" t="str">
        <f>INDEX('ei names mapping'!$B$104:$R$133,MATCH(B49,'ei names mapping'!$A$104:$A$133,0),MATCH(G86,'ei names mapping'!$B$3:$R$3,0))</f>
        <v>unit</v>
      </c>
      <c r="F86" t="s">
        <v>89</v>
      </c>
      <c r="G86" t="s">
        <v>52</v>
      </c>
      <c r="H86" t="str">
        <f>INDEX('ei names mapping'!$B$71:$R$100,MATCH(B49,'ei names mapping'!$A$4:$A$33,0),MATCH(G86,'ei names mapping'!$B$3:$R$3,0))</f>
        <v>charging station, 3kW</v>
      </c>
    </row>
    <row r="87" spans="1:8" x14ac:dyDescent="0.2">
      <c r="A87" t="str">
        <f>INDEX('ei names mapping'!$B$4:$R$33,MATCH(B49,'ei names mapping'!$A$4:$A$33,0),MATCH(G87,'ei names mapping'!$B$3:$R$3,0))</f>
        <v>manual dismantling of used electric scooter</v>
      </c>
      <c r="B87" s="11">
        <f>INDEX('vehicles specifications'!$B$3:$CW$166,MATCH(B52,'vehicles specifications'!$A$3:$A$166,0),MATCH(G87,'vehicles specifications'!$B$2:$CW$2,0))*INDEX('ei names mapping'!$B$137:$BL$300,MATCH(B52,'ei names mapping'!$A$137:$A$300,0),MATCH(G87,'ei names mapping'!$B$136:$BL$136,0))</f>
        <v>51.41</v>
      </c>
      <c r="C87" t="str">
        <f>INDEX('ei names mapping'!$B$38:$R$67,MATCH(B49,'ei names mapping'!$A$4:$A$33,0),MATCH(G87,'ei names mapping'!$B$3:$R$3,0))</f>
        <v>GLO</v>
      </c>
      <c r="D87" t="str">
        <f>INDEX('ei names mapping'!$B$104:$R$133,MATCH(B49,'ei names mapping'!$A$104:$A$133,0),MATCH(G87,'ei names mapping'!$B$3:$R$3,0))</f>
        <v>unit</v>
      </c>
      <c r="F87" t="s">
        <v>89</v>
      </c>
      <c r="G87" t="s">
        <v>144</v>
      </c>
      <c r="H87" t="str">
        <f>INDEX('ei names mapping'!$B$71:$R$100,MATCH(B49,'ei names mapping'!$A$4:$A$33,0),MATCH(G87,'ei names mapping'!$B$3:$R$3,0))</f>
        <v>manual dismantling of electric scooter</v>
      </c>
    </row>
    <row r="88" spans="1:8" x14ac:dyDescent="0.2">
      <c r="A88" t="str">
        <f>INDEX('ei names mapping'!$B$4:$R$33,MATCH(B49,'ei names mapping'!$A$4:$A$33,0),MATCH(G88,'ei names mapping'!$B$3:$R$3,0))</f>
        <v>manual dismantling of used electric scooter</v>
      </c>
      <c r="B88" s="11">
        <f>INDEX('vehicles specifications'!$B$3:$CW$166,MATCH(B52,'vehicles specifications'!$A$3:$A$166,0),MATCH(G88,'vehicles specifications'!$B$2:$CW$2,0))*INDEX('ei names mapping'!$B$137:$BL$300,MATCH(B52,'ei names mapping'!$A$137:$A$300,0),MATCH(G88,'ei names mapping'!$B$136:$BL$136,0))</f>
        <v>12</v>
      </c>
      <c r="C88" t="str">
        <f>INDEX('ei names mapping'!$B$38:$R$67,MATCH(B49,'ei names mapping'!$A$4:$A$33,0),MATCH(G88,'ei names mapping'!$B$3:$R$3,0))</f>
        <v>GLO</v>
      </c>
      <c r="D88" t="str">
        <f>INDEX('ei names mapping'!$B$104:$R$133,MATCH(B49,'ei names mapping'!$A$104:$A$133,0),MATCH(G88,'ei names mapping'!$B$3:$R$3,0))</f>
        <v>unit</v>
      </c>
      <c r="F88" t="s">
        <v>89</v>
      </c>
      <c r="G88" t="s">
        <v>145</v>
      </c>
      <c r="H88" t="str">
        <f>INDEX('ei names mapping'!$B$71:$R$100,MATCH(B49,'ei names mapping'!$A$4:$A$33,0),MATCH(G88,'ei names mapping'!$B$3:$R$3,0))</f>
        <v>manual dismantling of electric scooter</v>
      </c>
    </row>
    <row r="89" spans="1:8" x14ac:dyDescent="0.2">
      <c r="A89" t="str">
        <f>INDEX('ei names mapping'!$B$4:$R$33,MATCH(B49,'ei names mapping'!$A$4:$A$33,0),MATCH(G89,'ei names mapping'!$B$3:$R$3,0))</f>
        <v>market for used Li-ion battery</v>
      </c>
      <c r="B89" s="11">
        <f>INDEX('vehicles specifications'!$B$3:$CW$166,MATCH(B52,'vehicles specifications'!$A$3:$A$166,0),MATCH(G89,'vehicles specifications'!$B$2:$CW$2,0))*INDEX('ei names mapping'!$B$137:$BL$300,MATCH(B52,'ei names mapping'!$A$137:$A$300,0),MATCH(G89,'ei names mapping'!$B$136:$BL$136,0))</f>
        <v>-26.666666666666671</v>
      </c>
      <c r="C89" t="str">
        <f>INDEX('ei names mapping'!$B$38:$R$67,MATCH(B49,'ei names mapping'!$A$4:$A$33,0),MATCH(G89,'ei names mapping'!$B$3:$R$3,0))</f>
        <v>GLO</v>
      </c>
      <c r="D89" t="str">
        <f>INDEX('ei names mapping'!$B$104:$R$133,MATCH(B53,'ei names mapping'!$A$104:$A$133,0),MATCH(G89,'ei names mapping'!$B$3:$R$3,0))</f>
        <v>kilogram</v>
      </c>
      <c r="F89" t="s">
        <v>89</v>
      </c>
      <c r="G89" t="s">
        <v>146</v>
      </c>
      <c r="H89" t="str">
        <f>INDEX('ei names mapping'!$B$71:$R$100,MATCH(B49,'ei names mapping'!$A$4:$A$33,0),MATCH(G89,'ei names mapping'!$B$3:$R$3,0))</f>
        <v>used Li-ion battery</v>
      </c>
    </row>
    <row r="90" spans="1:8" x14ac:dyDescent="0.2">
      <c r="A90" s="13" t="s">
        <v>840</v>
      </c>
      <c r="B90">
        <f>(B62/1000)*B75</f>
        <v>84.743333333333339</v>
      </c>
      <c r="C90" t="s">
        <v>92</v>
      </c>
      <c r="D90" t="s">
        <v>233</v>
      </c>
      <c r="F90" t="s">
        <v>89</v>
      </c>
      <c r="H90" s="13" t="s">
        <v>841</v>
      </c>
    </row>
    <row r="91" spans="1:8" x14ac:dyDescent="0.2">
      <c r="A91" s="13" t="s">
        <v>441</v>
      </c>
      <c r="B91" s="2">
        <f>(B62/1000)*B74</f>
        <v>1347.4190000000001</v>
      </c>
      <c r="C91" t="s">
        <v>95</v>
      </c>
      <c r="D91" t="s">
        <v>233</v>
      </c>
      <c r="F91" t="s">
        <v>89</v>
      </c>
      <c r="H91" s="13" t="s">
        <v>441</v>
      </c>
    </row>
    <row r="93" spans="1:8" ht="16" x14ac:dyDescent="0.2">
      <c r="A93" s="10" t="s">
        <v>71</v>
      </c>
      <c r="B93" s="8" t="str">
        <f>B95&amp;", "&amp;B110&amp;" battery, "&amp;B97</f>
        <v>Motorbike, electric, &lt;4kW, LFP battery, 2040</v>
      </c>
    </row>
    <row r="94" spans="1:8" x14ac:dyDescent="0.2">
      <c r="A94" t="s">
        <v>72</v>
      </c>
      <c r="B94" t="s">
        <v>37</v>
      </c>
    </row>
    <row r="95" spans="1:8" x14ac:dyDescent="0.2">
      <c r="A95" t="s">
        <v>86</v>
      </c>
      <c r="B95" t="s">
        <v>492</v>
      </c>
    </row>
    <row r="96" spans="1:8" x14ac:dyDescent="0.2">
      <c r="A96" t="s">
        <v>87</v>
      </c>
    </row>
    <row r="97" spans="1:2" x14ac:dyDescent="0.2">
      <c r="A97" t="s">
        <v>88</v>
      </c>
      <c r="B97">
        <v>2040</v>
      </c>
    </row>
    <row r="98" spans="1:2" x14ac:dyDescent="0.2">
      <c r="A98" t="s">
        <v>126</v>
      </c>
      <c r="B98" t="str">
        <f>B95&amp;" - "&amp;B97&amp;" - "&amp;B110&amp;" - "&amp;B94</f>
        <v>Motorbike, electric, &lt;4kW - 2040 - LFP - CH</v>
      </c>
    </row>
    <row r="99" spans="1:2" x14ac:dyDescent="0.2">
      <c r="A99" t="s">
        <v>73</v>
      </c>
      <c r="B99" t="str">
        <f>B95</f>
        <v>Motorbike, electric, &lt;4kW</v>
      </c>
    </row>
    <row r="100" spans="1:2" x14ac:dyDescent="0.2">
      <c r="A100" t="s">
        <v>74</v>
      </c>
      <c r="B100" t="s">
        <v>75</v>
      </c>
    </row>
    <row r="101" spans="1:2" x14ac:dyDescent="0.2">
      <c r="A101" t="s">
        <v>76</v>
      </c>
      <c r="B101" t="s">
        <v>76</v>
      </c>
    </row>
    <row r="102" spans="1:2" x14ac:dyDescent="0.2">
      <c r="A102" t="s">
        <v>78</v>
      </c>
      <c r="B102" t="s">
        <v>1143</v>
      </c>
    </row>
    <row r="103" spans="1:2" x14ac:dyDescent="0.2">
      <c r="A103" t="s">
        <v>127</v>
      </c>
      <c r="B103">
        <f>INDEX('vehicles specifications'!$B$3:$CW$166,MATCH(B98,'vehicles specifications'!$A$3:$A$166,0),MATCH("Lifetime [km]",'vehicles specifications'!$B$2:$CW$2,0))</f>
        <v>25000</v>
      </c>
    </row>
    <row r="104" spans="1:2" x14ac:dyDescent="0.2">
      <c r="A104" t="s">
        <v>128</v>
      </c>
      <c r="B104">
        <f>INDEX('vehicles specifications'!$B$3:$CW$166,MATCH(B98,'vehicles specifications'!$A$3:$A$166,0),MATCH("Passengers [unit]",'vehicles specifications'!$B$2:$CW$2,0))</f>
        <v>1.1000000000000001</v>
      </c>
    </row>
    <row r="105" spans="1:2" x14ac:dyDescent="0.2">
      <c r="A105" t="s">
        <v>129</v>
      </c>
      <c r="B105">
        <f>INDEX('vehicles specifications'!$B$3:$CW$166,MATCH(B98,'vehicles specifications'!$A$3:$A$166,0),MATCH("Servicing [unit]",'vehicles specifications'!$B$2:$CW$2,0))</f>
        <v>1</v>
      </c>
    </row>
    <row r="106" spans="1:2" x14ac:dyDescent="0.2">
      <c r="A106" t="s">
        <v>130</v>
      </c>
      <c r="B106">
        <f>INDEX('vehicles specifications'!$B$3:$CW$166,MATCH(B98,'vehicles specifications'!$A$3:$A$166,0),MATCH("Energy battery replacement [unit]",'vehicles specifications'!$B$2:$CW$2,0))</f>
        <v>0.25</v>
      </c>
    </row>
    <row r="107" spans="1:2" x14ac:dyDescent="0.2">
      <c r="A107" t="s">
        <v>131</v>
      </c>
      <c r="B107">
        <f>INDEX('vehicles specifications'!$B$3:$CW$166,MATCH(B98,'vehicles specifications'!$A$3:$A$166,0),MATCH("Annual kilometers [km]",'vehicles specifications'!$B$2:$CW$2,0))</f>
        <v>1776</v>
      </c>
    </row>
    <row r="108" spans="1:2" x14ac:dyDescent="0.2">
      <c r="A108" t="s">
        <v>132</v>
      </c>
      <c r="B108" s="2">
        <f>INDEX('vehicles specifications'!$B$3:$CW$166,MATCH(B98,'vehicles specifications'!$A$3:$A$166,0),MATCH("Curb mass [kg]",'vehicles specifications'!$B$2:$CW$2,0))</f>
        <v>92.35</v>
      </c>
    </row>
    <row r="109" spans="1:2" x14ac:dyDescent="0.2">
      <c r="A109" t="s">
        <v>133</v>
      </c>
      <c r="B109">
        <f>INDEX('vehicles specifications'!$B$3:$CW$166,MATCH(B98,'vehicles specifications'!$A$3:$A$166,0),MATCH("Power [kW]",'vehicles specifications'!$B$2:$CW$2,0))</f>
        <v>2.5</v>
      </c>
    </row>
    <row r="110" spans="1:2" x14ac:dyDescent="0.2">
      <c r="A110" t="s">
        <v>652</v>
      </c>
      <c r="B110" s="20" t="s">
        <v>44</v>
      </c>
    </row>
    <row r="111" spans="1:2" x14ac:dyDescent="0.2">
      <c r="A111" t="s">
        <v>134</v>
      </c>
      <c r="B111">
        <f>INDEX('vehicles specifications'!$B$3:$CW$166,MATCH(B98,'vehicles specifications'!$A$3:$A$166,0),MATCH("Energy battery mass [kg]",'vehicles specifications'!$B$2:$CW$2,0))</f>
        <v>30</v>
      </c>
    </row>
    <row r="112" spans="1:2" x14ac:dyDescent="0.2">
      <c r="A112" t="s">
        <v>135</v>
      </c>
      <c r="B112">
        <f>INDEX('vehicles specifications'!$B$3:$CW$166,MATCH(B98,'vehicles specifications'!$A$3:$A$166,0),MATCH("Electric energy stored [kWh]",'vehicles specifications'!$B$2:$CW$2,0))</f>
        <v>4.5</v>
      </c>
    </row>
    <row r="113" spans="1:8" x14ac:dyDescent="0.2">
      <c r="A113" t="s">
        <v>588</v>
      </c>
      <c r="B113">
        <f>INDEX('vehicles specifications'!$B$3:$CW$166,MATCH(B98,'vehicles specifications'!$A$3:$A$166,0),MATCH("Electric energy available [kWh]",'vehicles specifications'!$B$2:$CW$2,0))</f>
        <v>3.6</v>
      </c>
    </row>
    <row r="114" spans="1:8" x14ac:dyDescent="0.2">
      <c r="A114" t="s">
        <v>138</v>
      </c>
      <c r="B114" s="2">
        <f>INDEX('vehicles specifications'!$B$3:$CW$166,MATCH(B98,'vehicles specifications'!$A$3:$A$166,0),MATCH("Oxydation energy stored [kWh]",'vehicles specifications'!$B$2:$CW$2,0))</f>
        <v>0</v>
      </c>
    </row>
    <row r="115" spans="1:8" x14ac:dyDescent="0.2">
      <c r="A115" t="s">
        <v>139</v>
      </c>
      <c r="B115">
        <f>INDEX('vehicles specifications'!$B$3:$CW$166,MATCH(B98,'vehicles specifications'!$A$3:$A$166,0),MATCH("Fuel mass [kg]",'vehicles specifications'!$B$2:$CW$2,0))</f>
        <v>0</v>
      </c>
    </row>
    <row r="116" spans="1:8" x14ac:dyDescent="0.2">
      <c r="A116" t="s">
        <v>136</v>
      </c>
      <c r="B116" s="2">
        <f>INDEX('vehicles specifications'!$B$3:$CW$166,MATCH(B98,'vehicles specifications'!$A$3:$A$166,0),MATCH("Range [km]",'vehicles specifications'!$B$2:$CW$2,0))</f>
        <v>107.10743801652892</v>
      </c>
    </row>
    <row r="117" spans="1:8" x14ac:dyDescent="0.2">
      <c r="A117" t="s">
        <v>137</v>
      </c>
      <c r="B117" t="str">
        <f>INDEX('vehicles specifications'!$B$3:$CW$166,MATCH(B98,'vehicles specifications'!$A$3:$A$166,0),MATCH("Emission standard",'vehicles specifications'!$B$2:$CW$2,0))</f>
        <v>None</v>
      </c>
    </row>
    <row r="118" spans="1:8" x14ac:dyDescent="0.2">
      <c r="A118" t="s">
        <v>1174</v>
      </c>
      <c r="B118" s="6">
        <f>INDEX('vehicles specifications'!$B$3:$CW$166,MATCH(B98,'vehicles specifications'!$A$3:$A$166,0),MATCH("Lightweighting rate [%]",'vehicles specifications'!$B$2:$CW$2,0))</f>
        <v>0.05</v>
      </c>
    </row>
    <row r="119" spans="1:8" x14ac:dyDescent="0.2">
      <c r="A119" t="s">
        <v>485</v>
      </c>
      <c r="B119" s="6" t="s">
        <v>486</v>
      </c>
    </row>
    <row r="120" spans="1:8" x14ac:dyDescent="0.2">
      <c r="A120" t="s">
        <v>487</v>
      </c>
      <c r="B120" s="2">
        <v>15900</v>
      </c>
    </row>
    <row r="121" spans="1:8" x14ac:dyDescent="0.2">
      <c r="A121" t="s">
        <v>488</v>
      </c>
      <c r="B121" s="2">
        <v>1000</v>
      </c>
    </row>
    <row r="122" spans="1:8" x14ac:dyDescent="0.2">
      <c r="A122" t="s">
        <v>83</v>
      </c>
      <c r="B122"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92.4 kg. Lightweighting of glider: 5%. Emission standard: None. Service visits throughout lifetime: 1. Range: 107 km. Battery capacity: 4.5 kWh. Available battery capacity: 3.6 kWh. Battery mass: 30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6" x14ac:dyDescent="0.2">
      <c r="A123" s="10" t="s">
        <v>79</v>
      </c>
    </row>
    <row r="124" spans="1:8" x14ac:dyDescent="0.2">
      <c r="A124" t="s">
        <v>80</v>
      </c>
      <c r="B124" t="s">
        <v>81</v>
      </c>
      <c r="C124" t="s">
        <v>72</v>
      </c>
      <c r="D124" t="s">
        <v>76</v>
      </c>
      <c r="E124" t="s">
        <v>82</v>
      </c>
      <c r="F124" t="s">
        <v>74</v>
      </c>
      <c r="G124" t="s">
        <v>83</v>
      </c>
      <c r="H124" t="s">
        <v>73</v>
      </c>
    </row>
    <row r="125" spans="1:8" x14ac:dyDescent="0.2">
      <c r="A125" t="str">
        <f>B93</f>
        <v>Motorbike, electric, &lt;4kW, LFP battery, 2040</v>
      </c>
      <c r="B125">
        <v>1</v>
      </c>
      <c r="C125" t="str">
        <f>B94</f>
        <v>CH</v>
      </c>
      <c r="D125" t="str">
        <f>B101</f>
        <v>unit</v>
      </c>
      <c r="F125" t="s">
        <v>84</v>
      </c>
      <c r="G125" t="s">
        <v>85</v>
      </c>
      <c r="H125" t="str">
        <f>B95</f>
        <v>Motorbike, electric, &lt;4kW</v>
      </c>
    </row>
    <row r="126" spans="1:8" x14ac:dyDescent="0.2">
      <c r="A126" t="str">
        <f>INDEX('ei names mapping'!$B$4:$R$33,MATCH(B95,'ei names mapping'!$A$4:$A$33,0),MATCH(G126,'ei names mapping'!$B$3:$R$3,0))</f>
        <v>market for glider, for electric scooter</v>
      </c>
      <c r="B126" s="11">
        <f>INDEX('vehicles specifications'!$B$3:$CW$166,MATCH(B98,'vehicles specifications'!$A$3:$A$166,0),MATCH(G126,'vehicles specifications'!$B$2:$CW$2,0))*INDEX('ei names mapping'!$B$137:$BL$300,MATCH(B98,'ei names mapping'!$A$137:$A$300,0),MATCH(G126,'ei names mapping'!$B$136:$BL$136,0))</f>
        <v>53</v>
      </c>
      <c r="C126" t="str">
        <f>INDEX('ei names mapping'!$B$38:$R$67,MATCH(B95,'ei names mapping'!$A$4:$A$33,0),MATCH(G126,'ei names mapping'!$B$3:$R$3,0))</f>
        <v>GLO</v>
      </c>
      <c r="D126" t="str">
        <f>INDEX('ei names mapping'!$B$104:$R$133,MATCH(B95,'ei names mapping'!$A$104:$A$133,0),MATCH(G126,'ei names mapping'!$B$3:$R$3,0))</f>
        <v>kilogram</v>
      </c>
      <c r="F126" t="s">
        <v>89</v>
      </c>
      <c r="G126" t="s">
        <v>15</v>
      </c>
      <c r="H126" t="str">
        <f>INDEX('ei names mapping'!$B$71:$R$100,MATCH(B95,'ei names mapping'!$A$4:$A$33,0),MATCH(G126,'ei names mapping'!$B$3:$R$3,0))</f>
        <v>glider, for electric scooter</v>
      </c>
    </row>
    <row r="127" spans="1:8" x14ac:dyDescent="0.2">
      <c r="A127" t="str">
        <f>INDEX('ei names mapping'!$B$4:$R$33,MATCH(B95,'ei names mapping'!$A$4:$A$33,0),MATCH(G127,'ei names mapping'!$B$3:$R$3,0))</f>
        <v>Glider lightweighting</v>
      </c>
      <c r="B127" s="11">
        <f>INDEX('vehicles specifications'!$B$3:$CW$166,MATCH(B98,'vehicles specifications'!$A$3:$A$166,0),MATCH(G127,'vehicles specifications'!$B$2:$CW$2,0))*INDEX('ei names mapping'!$B$137:$BL$300,MATCH(B98,'ei names mapping'!$A$137:$A$300,0),MATCH(G127,'ei names mapping'!$B$136:$BL$136,0))</f>
        <v>2.6500000000000004</v>
      </c>
      <c r="C127" t="str">
        <f>INDEX('ei names mapping'!$B$38:$R$67,MATCH(B95,'ei names mapping'!$A$4:$A$33,0),MATCH(G127,'ei names mapping'!$B$3:$R$3,0))</f>
        <v>GLO</v>
      </c>
      <c r="D127" t="str">
        <f>INDEX('ei names mapping'!$B$104:$R$133,MATCH(B95,'ei names mapping'!$A$104:$A$133,0),MATCH(G127,'ei names mapping'!$B$3:$R$3,0))</f>
        <v>kilogram</v>
      </c>
      <c r="F127" t="s">
        <v>89</v>
      </c>
      <c r="G127" t="s">
        <v>14</v>
      </c>
      <c r="H127" t="str">
        <f>INDEX('ei names mapping'!$B$71:$R$100,MATCH(B95,'ei names mapping'!$A$4:$A$33,0),MATCH(G127,'ei names mapping'!$B$3:$R$3,0))</f>
        <v>Glider lightweighting</v>
      </c>
    </row>
    <row r="128" spans="1:8" x14ac:dyDescent="0.2">
      <c r="A128" t="str">
        <f>INDEX('ei names mapping'!$B$4:$R$33,MATCH(B95,'ei names mapping'!$A$4:$A$33,0),MATCH(G128,'ei names mapping'!$B$3:$R$3,0))</f>
        <v>market for glider, for electric scooter</v>
      </c>
      <c r="B128" s="11">
        <f>INDEX('vehicles specifications'!$B$3:$CW$166,MATCH(B98,'vehicles specifications'!$A$3:$A$166,0),MATCH(G128,'vehicles specifications'!$B$2:$CW$2,0))*INDEX('ei names mapping'!$B$137:$BL$300,MATCH(B98,'ei names mapping'!$A$137:$A$300,0),MATCH(G128,'ei names mapping'!$B$136:$BL$136,0))</f>
        <v>4.5</v>
      </c>
      <c r="C128" t="str">
        <f>INDEX('ei names mapping'!$B$38:$R$67,MATCH(B95,'ei names mapping'!$A$4:$A$33,0),MATCH(G128,'ei names mapping'!$B$3:$R$3,0))</f>
        <v>GLO</v>
      </c>
      <c r="D128" t="str">
        <f>INDEX('ei names mapping'!$B$104:$R$133,MATCH(B95,'ei names mapping'!$A$104:$A$133,0),MATCH(G128,'ei names mapping'!$B$3:$R$3,0))</f>
        <v>kilogram</v>
      </c>
      <c r="F128" t="s">
        <v>89</v>
      </c>
      <c r="G128" t="s">
        <v>16</v>
      </c>
      <c r="H128" t="str">
        <f>INDEX('ei names mapping'!$B$71:$R$100,MATCH(B95,'ei names mapping'!$A$4:$A$33,0),MATCH(G128,'ei names mapping'!$B$3:$R$3,0))</f>
        <v>glider, for electric scooter</v>
      </c>
    </row>
    <row r="129" spans="1:8" x14ac:dyDescent="0.2">
      <c r="A129" t="str">
        <f>INDEX('ei names mapping'!$B$4:$R$33,MATCH(B95,'ei names mapping'!$A$4:$A$33,0),MATCH(G129,'ei names mapping'!$B$3:$R$3,0))</f>
        <v>market for electric powertrain, for electric scooter</v>
      </c>
      <c r="B129" s="11">
        <f>INDEX('vehicles specifications'!$B$3:$CW$166,MATCH(B98,'vehicles specifications'!$A$3:$A$166,0),MATCH(G129,'vehicles specifications'!$B$2:$CW$2,0))*INDEX('ei names mapping'!$B$137:$BL$300,MATCH(B98,'ei names mapping'!$A$137:$A$300,0),MATCH(G129,'ei names mapping'!$B$136:$BL$136,0))</f>
        <v>7.5</v>
      </c>
      <c r="C129" t="str">
        <f>INDEX('ei names mapping'!$B$38:$R$67,MATCH(B95,'ei names mapping'!$A$4:$A$33,0),MATCH(G129,'ei names mapping'!$B$3:$R$3,0))</f>
        <v>GLO</v>
      </c>
      <c r="D129" t="str">
        <f>INDEX('ei names mapping'!$B$104:$R$133,MATCH(B95,'ei names mapping'!$A$104:$A$133,0),MATCH(G129,'ei names mapping'!$B$3:$R$3,0))</f>
        <v>kilogram</v>
      </c>
      <c r="F129" t="s">
        <v>89</v>
      </c>
      <c r="G129" t="s">
        <v>501</v>
      </c>
      <c r="H129" t="str">
        <f>INDEX('ei names mapping'!$B$71:$R$100,MATCH(B95,'ei names mapping'!$A$4:$A$33,0),MATCH(G129,'ei names mapping'!$B$3:$R$3,0))</f>
        <v>powertrain, for electric scooter</v>
      </c>
    </row>
    <row r="130" spans="1:8" x14ac:dyDescent="0.2">
      <c r="A130" t="s">
        <v>759</v>
      </c>
      <c r="B130" s="11">
        <f>INDEX('vehicles specifications'!$B$3:$CW$166,MATCH(B98,'vehicles specifications'!$A$3:$A$166,0),MATCH(G130,'vehicles specifications'!$B$2:$CW$2,0))*INDEX('ei names mapping'!$B$137:$BL$300,MATCH(B98,'ei names mapping'!$A$137:$A$300,0),MATCH(G130,'ei names mapping'!$B$136:$BL$136,0))</f>
        <v>25</v>
      </c>
      <c r="C130" t="str">
        <f>INDEX('ei names mapping'!$B$38:$R$67,MATCH(B95,'ei names mapping'!$A$4:$A$33,0),MATCH(G130,'ei names mapping'!$B$3:$R$3,0))</f>
        <v>GLO</v>
      </c>
      <c r="D130" t="str">
        <f>INDEX('ei names mapping'!$B$104:$R$133,MATCH(B95,'ei names mapping'!$A$104:$A$133,0),MATCH(G130,'ei names mapping'!$B$3:$R$3,0))</f>
        <v>kilogram</v>
      </c>
      <c r="F130" t="s">
        <v>89</v>
      </c>
      <c r="G130" t="s">
        <v>19</v>
      </c>
      <c r="H130" t="str">
        <f>INDEX('ei names mapping'!$B$71:$R$100,MATCH(B95,'ei names mapping'!$A$4:$A$33,0),MATCH(G130,'ei names mapping'!$B$3:$R$3,0))</f>
        <v>Battery cell</v>
      </c>
    </row>
    <row r="131" spans="1:8" x14ac:dyDescent="0.2">
      <c r="A131" t="str">
        <f>INDEX('ei names mapping'!$B$4:$R$33,MATCH(B95,'ei names mapping'!$A$4:$A$33,0),MATCH(G131,'ei names mapping'!$B$3:$R$3,0))</f>
        <v>Battery BoP</v>
      </c>
      <c r="B131" s="11">
        <f>INDEX('vehicles specifications'!$B$3:$CW$166,MATCH(B98,'vehicles specifications'!$A$3:$A$166,0),MATCH(G131,'vehicles specifications'!$B$2:$CW$2,0))*INDEX('ei names mapping'!$B$137:$BL$300,MATCH(B98,'ei names mapping'!$A$137:$A$300,0),MATCH(G131,'ei names mapping'!$B$136:$BL$136,0))</f>
        <v>5</v>
      </c>
      <c r="C131" t="str">
        <f>INDEX('ei names mapping'!$B$38:$R$67,MATCH(B95,'ei names mapping'!$A$4:$A$33,0),MATCH(G131,'ei names mapping'!$B$3:$R$3,0))</f>
        <v>GLO</v>
      </c>
      <c r="D131" t="str">
        <f>INDEX('ei names mapping'!$B$104:$R$133,MATCH(B95,'ei names mapping'!$A$104:$A$133,0),MATCH(G131,'ei names mapping'!$B$3:$R$3,0))</f>
        <v>kilogram</v>
      </c>
      <c r="F131" t="s">
        <v>89</v>
      </c>
      <c r="G131" t="s">
        <v>20</v>
      </c>
      <c r="H131" t="str">
        <f>INDEX('ei names mapping'!$B$71:$R$100,MATCH(B95,'ei names mapping'!$A$4:$A$33,0),MATCH(G131,'ei names mapping'!$B$3:$R$3,0))</f>
        <v>Battery BoP</v>
      </c>
    </row>
    <row r="132" spans="1:8" x14ac:dyDescent="0.2">
      <c r="A132" t="str">
        <f>INDEX('ei names mapping'!$B$4:$R$33,MATCH(B95,'ei names mapping'!$A$4:$A$33,0),MATCH(G132,'ei names mapping'!$B$3:$R$3,0))</f>
        <v>charging station, 3kW</v>
      </c>
      <c r="B132" s="11">
        <f>INDEX('vehicles specifications'!$B$3:$CW$166,MATCH(B98,'vehicles specifications'!$A$3:$A$166,0),MATCH(G132,'vehicles specifications'!$B$2:$CW$2,0))*INDEX('ei names mapping'!$B$137:$BL$300,MATCH(B98,'ei names mapping'!$A$137:$A$300,0),MATCH(G132,'ei names mapping'!$B$136:$BL$136,0))</f>
        <v>1</v>
      </c>
      <c r="C132" t="str">
        <f>INDEX('ei names mapping'!$B$38:$R$67,MATCH(B95,'ei names mapping'!$A$4:$A$33,0),MATCH(G132,'ei names mapping'!$B$3:$R$3,0))</f>
        <v>GLO</v>
      </c>
      <c r="D132" t="str">
        <f>INDEX('ei names mapping'!$B$104:$R$133,MATCH(B95,'ei names mapping'!$A$104:$A$133,0),MATCH(G132,'ei names mapping'!$B$3:$R$3,0))</f>
        <v>unit</v>
      </c>
      <c r="F132" t="s">
        <v>89</v>
      </c>
      <c r="G132" t="s">
        <v>52</v>
      </c>
      <c r="H132" t="str">
        <f>INDEX('ei names mapping'!$B$71:$R$100,MATCH(B95,'ei names mapping'!$A$4:$A$33,0),MATCH(G132,'ei names mapping'!$B$3:$R$3,0))</f>
        <v>charging station, 3kW</v>
      </c>
    </row>
    <row r="133" spans="1:8" x14ac:dyDescent="0.2">
      <c r="A133" t="str">
        <f>INDEX('ei names mapping'!$B$4:$R$33,MATCH(B95,'ei names mapping'!$A$4:$A$33,0),MATCH(G133,'ei names mapping'!$B$3:$R$3,0))</f>
        <v>manual dismantling of used electric scooter</v>
      </c>
      <c r="B133" s="11">
        <f>INDEX('vehicles specifications'!$B$3:$CW$166,MATCH(B98,'vehicles specifications'!$A$3:$A$166,0),MATCH(G133,'vehicles specifications'!$B$2:$CW$2,0))*INDEX('ei names mapping'!$B$137:$BL$300,MATCH(B98,'ei names mapping'!$A$137:$A$300,0),MATCH(G133,'ei names mapping'!$B$136:$BL$136,0))</f>
        <v>50.349999999999994</v>
      </c>
      <c r="C133" t="str">
        <f>INDEX('ei names mapping'!$B$38:$R$67,MATCH(B95,'ei names mapping'!$A$4:$A$33,0),MATCH(G133,'ei names mapping'!$B$3:$R$3,0))</f>
        <v>GLO</v>
      </c>
      <c r="D133" t="str">
        <f>INDEX('ei names mapping'!$B$104:$R$133,MATCH(B95,'ei names mapping'!$A$104:$A$133,0),MATCH(G133,'ei names mapping'!$B$3:$R$3,0))</f>
        <v>unit</v>
      </c>
      <c r="F133" t="s">
        <v>89</v>
      </c>
      <c r="G133" t="s">
        <v>144</v>
      </c>
      <c r="H133" t="str">
        <f>INDEX('ei names mapping'!$B$71:$R$100,MATCH(B95,'ei names mapping'!$A$4:$A$33,0),MATCH(G133,'ei names mapping'!$B$3:$R$3,0))</f>
        <v>manual dismantling of electric scooter</v>
      </c>
    </row>
    <row r="134" spans="1:8" x14ac:dyDescent="0.2">
      <c r="A134" t="str">
        <f>INDEX('ei names mapping'!$B$4:$R$33,MATCH(B95,'ei names mapping'!$A$4:$A$33,0),MATCH(G134,'ei names mapping'!$B$3:$R$3,0))</f>
        <v>manual dismantling of used electric scooter</v>
      </c>
      <c r="B134" s="11">
        <f>INDEX('vehicles specifications'!$B$3:$CW$166,MATCH(B98,'vehicles specifications'!$A$3:$A$166,0),MATCH(G134,'vehicles specifications'!$B$2:$CW$2,0))*INDEX('ei names mapping'!$B$137:$BL$300,MATCH(B98,'ei names mapping'!$A$137:$A$300,0),MATCH(G134,'ei names mapping'!$B$136:$BL$136,0))</f>
        <v>12</v>
      </c>
      <c r="C134" t="str">
        <f>INDEX('ei names mapping'!$B$38:$R$67,MATCH(B95,'ei names mapping'!$A$4:$A$33,0),MATCH(G134,'ei names mapping'!$B$3:$R$3,0))</f>
        <v>GLO</v>
      </c>
      <c r="D134" t="str">
        <f>INDEX('ei names mapping'!$B$104:$R$133,MATCH(B95,'ei names mapping'!$A$104:$A$133,0),MATCH(G134,'ei names mapping'!$B$3:$R$3,0))</f>
        <v>unit</v>
      </c>
      <c r="F134" t="s">
        <v>89</v>
      </c>
      <c r="G134" t="s">
        <v>145</v>
      </c>
      <c r="H134" t="str">
        <f>INDEX('ei names mapping'!$B$71:$R$100,MATCH(B95,'ei names mapping'!$A$4:$A$33,0),MATCH(G134,'ei names mapping'!$B$3:$R$3,0))</f>
        <v>manual dismantling of electric scooter</v>
      </c>
    </row>
    <row r="135" spans="1:8" x14ac:dyDescent="0.2">
      <c r="A135" t="str">
        <f>INDEX('ei names mapping'!$B$4:$R$33,MATCH(B95,'ei names mapping'!$A$4:$A$33,0),MATCH(G135,'ei names mapping'!$B$3:$R$3,0))</f>
        <v>market for used Li-ion battery</v>
      </c>
      <c r="B135" s="11">
        <f>INDEX('vehicles specifications'!$B$3:$CW$166,MATCH(B98,'vehicles specifications'!$A$3:$A$166,0),MATCH(G135,'vehicles specifications'!$B$2:$CW$2,0))*INDEX('ei names mapping'!$B$137:$BL$300,MATCH(B98,'ei names mapping'!$A$137:$A$300,0),MATCH(G135,'ei names mapping'!$B$136:$BL$136,0))</f>
        <v>-30</v>
      </c>
      <c r="C135" t="str">
        <f>INDEX('ei names mapping'!$B$38:$R$67,MATCH(B95,'ei names mapping'!$A$4:$A$33,0),MATCH(G135,'ei names mapping'!$B$3:$R$3,0))</f>
        <v>GLO</v>
      </c>
      <c r="D135" t="str">
        <f>INDEX('ei names mapping'!$B$104:$R$133,MATCH(B99,'ei names mapping'!$A$104:$A$133,0),MATCH(G135,'ei names mapping'!$B$3:$R$3,0))</f>
        <v>kilogram</v>
      </c>
      <c r="F135" t="s">
        <v>89</v>
      </c>
      <c r="G135" t="s">
        <v>146</v>
      </c>
      <c r="H135" t="str">
        <f>INDEX('ei names mapping'!$B$71:$R$100,MATCH(B95,'ei names mapping'!$A$4:$A$33,0),MATCH(G135,'ei names mapping'!$B$3:$R$3,0))</f>
        <v>used Li-ion battery</v>
      </c>
    </row>
    <row r="136" spans="1:8" x14ac:dyDescent="0.2">
      <c r="A136" s="13" t="s">
        <v>840</v>
      </c>
      <c r="B136">
        <f>(B108/1000)*B121</f>
        <v>92.35</v>
      </c>
      <c r="C136" t="s">
        <v>92</v>
      </c>
      <c r="D136" t="s">
        <v>233</v>
      </c>
      <c r="F136" t="s">
        <v>89</v>
      </c>
      <c r="H136" s="13" t="s">
        <v>841</v>
      </c>
    </row>
    <row r="137" spans="1:8" x14ac:dyDescent="0.2">
      <c r="A137" s="13" t="s">
        <v>441</v>
      </c>
      <c r="B137" s="2">
        <f>(B108/1000)*B120</f>
        <v>1468.3649999999998</v>
      </c>
      <c r="C137" t="s">
        <v>95</v>
      </c>
      <c r="D137" t="s">
        <v>233</v>
      </c>
      <c r="F137" t="s">
        <v>89</v>
      </c>
      <c r="H137" s="13" t="s">
        <v>441</v>
      </c>
    </row>
    <row r="139" spans="1:8" ht="16" x14ac:dyDescent="0.2">
      <c r="A139" s="10" t="s">
        <v>71</v>
      </c>
      <c r="B139" s="8" t="str">
        <f>B141&amp;", "&amp;B156&amp;" battery, "&amp;B143</f>
        <v>Motorbike, electric, &lt;4kW, LFP battery, 2050</v>
      </c>
    </row>
    <row r="140" spans="1:8" x14ac:dyDescent="0.2">
      <c r="A140" t="s">
        <v>72</v>
      </c>
      <c r="B140" t="s">
        <v>37</v>
      </c>
    </row>
    <row r="141" spans="1:8" x14ac:dyDescent="0.2">
      <c r="A141" t="s">
        <v>86</v>
      </c>
      <c r="B141" t="s">
        <v>492</v>
      </c>
    </row>
    <row r="142" spans="1:8" x14ac:dyDescent="0.2">
      <c r="A142" t="s">
        <v>87</v>
      </c>
    </row>
    <row r="143" spans="1:8" x14ac:dyDescent="0.2">
      <c r="A143" t="s">
        <v>88</v>
      </c>
      <c r="B143">
        <v>2050</v>
      </c>
    </row>
    <row r="144" spans="1:8" x14ac:dyDescent="0.2">
      <c r="A144" t="s">
        <v>126</v>
      </c>
      <c r="B144" t="str">
        <f>B141&amp;" - "&amp;B143&amp;" - "&amp;B156&amp;" - "&amp;B140</f>
        <v>Motorbike, electric, &lt;4kW - 2050 - LFP - CH</v>
      </c>
    </row>
    <row r="145" spans="1:2" x14ac:dyDescent="0.2">
      <c r="A145" t="s">
        <v>73</v>
      </c>
      <c r="B145" t="str">
        <f>B141</f>
        <v>Motorbike, electric, &lt;4kW</v>
      </c>
    </row>
    <row r="146" spans="1:2" x14ac:dyDescent="0.2">
      <c r="A146" t="s">
        <v>74</v>
      </c>
      <c r="B146" t="s">
        <v>75</v>
      </c>
    </row>
    <row r="147" spans="1:2" x14ac:dyDescent="0.2">
      <c r="A147" t="s">
        <v>76</v>
      </c>
      <c r="B147" t="s">
        <v>76</v>
      </c>
    </row>
    <row r="148" spans="1:2" x14ac:dyDescent="0.2">
      <c r="A148" t="s">
        <v>78</v>
      </c>
      <c r="B148" t="s">
        <v>1143</v>
      </c>
    </row>
    <row r="149" spans="1:2" x14ac:dyDescent="0.2">
      <c r="A149" t="s">
        <v>127</v>
      </c>
      <c r="B149">
        <f>INDEX('vehicles specifications'!$B$3:$CW$166,MATCH(B144,'vehicles specifications'!$A$3:$A$166,0),MATCH("Lifetime [km]",'vehicles specifications'!$B$2:$CW$2,0))</f>
        <v>25000</v>
      </c>
    </row>
    <row r="150" spans="1:2" x14ac:dyDescent="0.2">
      <c r="A150" t="s">
        <v>128</v>
      </c>
      <c r="B150">
        <f>INDEX('vehicles specifications'!$B$3:$CW$166,MATCH(B144,'vehicles specifications'!$A$3:$A$166,0),MATCH("Passengers [unit]",'vehicles specifications'!$B$2:$CW$2,0))</f>
        <v>1.1000000000000001</v>
      </c>
    </row>
    <row r="151" spans="1:2" x14ac:dyDescent="0.2">
      <c r="A151" t="s">
        <v>129</v>
      </c>
      <c r="B151">
        <f>INDEX('vehicles specifications'!$B$3:$CW$166,MATCH(B144,'vehicles specifications'!$A$3:$A$166,0),MATCH("Servicing [unit]",'vehicles specifications'!$B$2:$CW$2,0))</f>
        <v>1</v>
      </c>
    </row>
    <row r="152" spans="1:2" x14ac:dyDescent="0.2">
      <c r="A152" t="s">
        <v>130</v>
      </c>
      <c r="B152">
        <f>INDEX('vehicles specifications'!$B$3:$CW$166,MATCH(B144,'vehicles specifications'!$A$3:$A$166,0),MATCH("Energy battery replacement [unit]",'vehicles specifications'!$B$2:$CW$2,0))</f>
        <v>0</v>
      </c>
    </row>
    <row r="153" spans="1:2" x14ac:dyDescent="0.2">
      <c r="A153" t="s">
        <v>131</v>
      </c>
      <c r="B153">
        <f>INDEX('vehicles specifications'!$B$3:$CW$166,MATCH(B144,'vehicles specifications'!$A$3:$A$166,0),MATCH("Annual kilometers [km]",'vehicles specifications'!$B$2:$CW$2,0))</f>
        <v>1776</v>
      </c>
    </row>
    <row r="154" spans="1:2" x14ac:dyDescent="0.2">
      <c r="A154" t="s">
        <v>132</v>
      </c>
      <c r="B154" s="2">
        <f>INDEX('vehicles specifications'!$B$3:$CW$166,MATCH(B144,'vehicles specifications'!$A$3:$A$166,0),MATCH("Curb mass [kg]",'vehicles specifications'!$B$2:$CW$2,0))</f>
        <v>97.289999999999992</v>
      </c>
    </row>
    <row r="155" spans="1:2" x14ac:dyDescent="0.2">
      <c r="A155" t="s">
        <v>133</v>
      </c>
      <c r="B155">
        <f>INDEX('vehicles specifications'!$B$3:$CW$166,MATCH(B144,'vehicles specifications'!$A$3:$A$166,0),MATCH("Power [kW]",'vehicles specifications'!$B$2:$CW$2,0))</f>
        <v>2.5</v>
      </c>
    </row>
    <row r="156" spans="1:2" x14ac:dyDescent="0.2">
      <c r="A156" t="s">
        <v>652</v>
      </c>
      <c r="B156" s="20" t="s">
        <v>44</v>
      </c>
    </row>
    <row r="157" spans="1:2" x14ac:dyDescent="0.2">
      <c r="A157" t="s">
        <v>134</v>
      </c>
      <c r="B157">
        <f>INDEX('vehicles specifications'!$B$3:$CW$166,MATCH(B144,'vehicles specifications'!$A$3:$A$166,0),MATCH("Energy battery mass [kg]",'vehicles specifications'!$B$2:$CW$2,0))</f>
        <v>36</v>
      </c>
    </row>
    <row r="158" spans="1:2" x14ac:dyDescent="0.2">
      <c r="A158" t="s">
        <v>135</v>
      </c>
      <c r="B158">
        <f>INDEX('vehicles specifications'!$B$3:$CW$166,MATCH(B144,'vehicles specifications'!$A$3:$A$166,0),MATCH("Electric energy stored [kWh]",'vehicles specifications'!$B$2:$CW$2,0))</f>
        <v>6</v>
      </c>
    </row>
    <row r="159" spans="1:2" x14ac:dyDescent="0.2">
      <c r="A159" t="s">
        <v>588</v>
      </c>
      <c r="B159">
        <f>INDEX('vehicles specifications'!$B$3:$CW$166,MATCH(B144,'vehicles specifications'!$A$3:$A$166,0),MATCH("Electric energy available [kWh]",'vehicles specifications'!$B$2:$CW$2,0))</f>
        <v>4.8000000000000007</v>
      </c>
    </row>
    <row r="160" spans="1:2" x14ac:dyDescent="0.2">
      <c r="A160" t="s">
        <v>138</v>
      </c>
      <c r="B160" s="2">
        <f>INDEX('vehicles specifications'!$B$3:$CW$166,MATCH(B144,'vehicles specifications'!$A$3:$A$166,0),MATCH("Oxydation energy stored [kWh]",'vehicles specifications'!$B$2:$CW$2,0))</f>
        <v>0</v>
      </c>
    </row>
    <row r="161" spans="1:8" x14ac:dyDescent="0.2">
      <c r="A161" t="s">
        <v>139</v>
      </c>
      <c r="B161">
        <f>INDEX('vehicles specifications'!$B$3:$CW$166,MATCH(B144,'vehicles specifications'!$A$3:$A$166,0),MATCH("Fuel mass [kg]",'vehicles specifications'!$B$2:$CW$2,0))</f>
        <v>0</v>
      </c>
    </row>
    <row r="162" spans="1:8" x14ac:dyDescent="0.2">
      <c r="A162" t="s">
        <v>136</v>
      </c>
      <c r="B162" s="2">
        <f>INDEX('vehicles specifications'!$B$3:$CW$166,MATCH(B144,'vehicles specifications'!$A$3:$A$166,0),MATCH("Range [km]",'vehicles specifications'!$B$2:$CW$2,0))</f>
        <v>142.80991735537191</v>
      </c>
    </row>
    <row r="163" spans="1:8" x14ac:dyDescent="0.2">
      <c r="A163" t="s">
        <v>137</v>
      </c>
      <c r="B163" t="str">
        <f>INDEX('vehicles specifications'!$B$3:$CW$166,MATCH(B144,'vehicles specifications'!$A$3:$A$166,0),MATCH("Emission standard",'vehicles specifications'!$B$2:$CW$2,0))</f>
        <v>None</v>
      </c>
    </row>
    <row r="164" spans="1:8" x14ac:dyDescent="0.2">
      <c r="A164" t="s">
        <v>1174</v>
      </c>
      <c r="B164" s="6">
        <f>INDEX('vehicles specifications'!$B$3:$CW$166,MATCH(B144,'vehicles specifications'!$A$3:$A$166,0),MATCH("Lightweighting rate [%]",'vehicles specifications'!$B$2:$CW$2,0))</f>
        <v>7.0000000000000007E-2</v>
      </c>
    </row>
    <row r="165" spans="1:8" x14ac:dyDescent="0.2">
      <c r="A165" t="s">
        <v>485</v>
      </c>
      <c r="B165" s="6" t="s">
        <v>486</v>
      </c>
    </row>
    <row r="166" spans="1:8" x14ac:dyDescent="0.2">
      <c r="A166" t="s">
        <v>487</v>
      </c>
      <c r="B166" s="2">
        <v>15900</v>
      </c>
    </row>
    <row r="167" spans="1:8" x14ac:dyDescent="0.2">
      <c r="A167" t="s">
        <v>488</v>
      </c>
      <c r="B167" s="2">
        <v>1000</v>
      </c>
    </row>
    <row r="168" spans="1:8" x14ac:dyDescent="0.2">
      <c r="A168" t="s">
        <v>83</v>
      </c>
      <c r="B168"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97.3 kg. Lightweighting of glider: 7%. Emission standard: None. Service visits throughout lifetime: 1. Range: 143 km. Battery capacity: 6 kWh. Available battery capacity: 4.8 kWh. Battery mass: 36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6" x14ac:dyDescent="0.2">
      <c r="A169" s="10" t="s">
        <v>79</v>
      </c>
    </row>
    <row r="170" spans="1:8" x14ac:dyDescent="0.2">
      <c r="A170" t="s">
        <v>80</v>
      </c>
      <c r="B170" t="s">
        <v>81</v>
      </c>
      <c r="C170" t="s">
        <v>72</v>
      </c>
      <c r="D170" t="s">
        <v>76</v>
      </c>
      <c r="E170" t="s">
        <v>82</v>
      </c>
      <c r="F170" t="s">
        <v>74</v>
      </c>
      <c r="G170" t="s">
        <v>83</v>
      </c>
      <c r="H170" t="s">
        <v>73</v>
      </c>
    </row>
    <row r="171" spans="1:8" x14ac:dyDescent="0.2">
      <c r="A171" t="str">
        <f>B139</f>
        <v>Motorbike, electric, &lt;4kW, LFP battery, 2050</v>
      </c>
      <c r="B171">
        <v>1</v>
      </c>
      <c r="C171" t="str">
        <f>B140</f>
        <v>CH</v>
      </c>
      <c r="D171" t="str">
        <f>B147</f>
        <v>unit</v>
      </c>
      <c r="F171" t="s">
        <v>84</v>
      </c>
      <c r="G171" t="s">
        <v>85</v>
      </c>
      <c r="H171" t="str">
        <f>B141</f>
        <v>Motorbike, electric, &lt;4kW</v>
      </c>
    </row>
    <row r="172" spans="1:8" x14ac:dyDescent="0.2">
      <c r="A172" t="str">
        <f>INDEX('ei names mapping'!$B$4:$R$33,MATCH(B141,'ei names mapping'!$A$4:$A$33,0),MATCH(G172,'ei names mapping'!$B$3:$R$3,0))</f>
        <v>market for glider, for electric scooter</v>
      </c>
      <c r="B172" s="11">
        <f>INDEX('vehicles specifications'!$B$3:$CW$166,MATCH(B144,'vehicles specifications'!$A$3:$A$166,0),MATCH(G172,'vehicles specifications'!$B$2:$CW$2,0))*INDEX('ei names mapping'!$B$137:$BL$300,MATCH(B144,'ei names mapping'!$A$137:$A$300,0),MATCH(G172,'ei names mapping'!$B$136:$BL$136,0))</f>
        <v>53</v>
      </c>
      <c r="C172" t="str">
        <f>INDEX('ei names mapping'!$B$38:$R$67,MATCH(B141,'ei names mapping'!$A$4:$A$33,0),MATCH(G172,'ei names mapping'!$B$3:$R$3,0))</f>
        <v>GLO</v>
      </c>
      <c r="D172" t="str">
        <f>INDEX('ei names mapping'!$B$104:$R$133,MATCH(B141,'ei names mapping'!$A$104:$A$133,0),MATCH(G172,'ei names mapping'!$B$3:$R$3,0))</f>
        <v>kilogram</v>
      </c>
      <c r="F172" t="s">
        <v>89</v>
      </c>
      <c r="G172" t="s">
        <v>15</v>
      </c>
      <c r="H172" t="str">
        <f>INDEX('ei names mapping'!$B$71:$R$100,MATCH(B141,'ei names mapping'!$A$4:$A$33,0),MATCH(G172,'ei names mapping'!$B$3:$R$3,0))</f>
        <v>glider, for electric scooter</v>
      </c>
    </row>
    <row r="173" spans="1:8" x14ac:dyDescent="0.2">
      <c r="A173" t="str">
        <f>INDEX('ei names mapping'!$B$4:$R$33,MATCH(B141,'ei names mapping'!$A$4:$A$33,0),MATCH(G173,'ei names mapping'!$B$3:$R$3,0))</f>
        <v>Glider lightweighting</v>
      </c>
      <c r="B173" s="11">
        <f>INDEX('vehicles specifications'!$B$3:$CW$166,MATCH(B144,'vehicles specifications'!$A$3:$A$166,0),MATCH(G173,'vehicles specifications'!$B$2:$CW$2,0))*INDEX('ei names mapping'!$B$137:$BL$300,MATCH(B144,'ei names mapping'!$A$137:$A$300,0),MATCH(G173,'ei names mapping'!$B$136:$BL$136,0))</f>
        <v>4.5803678872229945</v>
      </c>
      <c r="C173" t="str">
        <f>INDEX('ei names mapping'!$B$38:$R$67,MATCH(B141,'ei names mapping'!$A$4:$A$33,0),MATCH(G173,'ei names mapping'!$B$3:$R$3,0))</f>
        <v>GLO</v>
      </c>
      <c r="D173" t="str">
        <f>INDEX('ei names mapping'!$B$104:$R$133,MATCH(B141,'ei names mapping'!$A$104:$A$133,0),MATCH(G173,'ei names mapping'!$B$3:$R$3,0))</f>
        <v>kilogram</v>
      </c>
      <c r="F173" t="s">
        <v>89</v>
      </c>
      <c r="G173" t="s">
        <v>14</v>
      </c>
      <c r="H173" t="str">
        <f>INDEX('ei names mapping'!$B$71:$R$100,MATCH(B141,'ei names mapping'!$A$4:$A$33,0),MATCH(G173,'ei names mapping'!$B$3:$R$3,0))</f>
        <v>Glider lightweighting</v>
      </c>
    </row>
    <row r="174" spans="1:8" x14ac:dyDescent="0.2">
      <c r="A174" t="str">
        <f>INDEX('ei names mapping'!$B$4:$R$33,MATCH(B141,'ei names mapping'!$A$4:$A$33,0),MATCH(G174,'ei names mapping'!$B$3:$R$3,0))</f>
        <v>market for glider, for electric scooter</v>
      </c>
      <c r="B174" s="11">
        <f>INDEX('vehicles specifications'!$B$3:$CW$166,MATCH(B144,'vehicles specifications'!$A$3:$A$166,0),MATCH(G174,'vehicles specifications'!$B$2:$CW$2,0))*INDEX('ei names mapping'!$B$137:$BL$300,MATCH(B144,'ei names mapping'!$A$137:$A$300,0),MATCH(G174,'ei names mapping'!$B$136:$BL$136,0))</f>
        <v>4.5</v>
      </c>
      <c r="C174" t="str">
        <f>INDEX('ei names mapping'!$B$38:$R$67,MATCH(B141,'ei names mapping'!$A$4:$A$33,0),MATCH(G174,'ei names mapping'!$B$3:$R$3,0))</f>
        <v>GLO</v>
      </c>
      <c r="D174" t="str">
        <f>INDEX('ei names mapping'!$B$104:$R$133,MATCH(B141,'ei names mapping'!$A$104:$A$133,0),MATCH(G174,'ei names mapping'!$B$3:$R$3,0))</f>
        <v>kilogram</v>
      </c>
      <c r="F174" t="s">
        <v>89</v>
      </c>
      <c r="G174" t="s">
        <v>16</v>
      </c>
      <c r="H174" t="str">
        <f>INDEX('ei names mapping'!$B$71:$R$100,MATCH(B141,'ei names mapping'!$A$4:$A$33,0),MATCH(G174,'ei names mapping'!$B$3:$R$3,0))</f>
        <v>glider, for electric scooter</v>
      </c>
    </row>
    <row r="175" spans="1:8" x14ac:dyDescent="0.2">
      <c r="A175" t="str">
        <f>INDEX('ei names mapping'!$B$4:$R$33,MATCH(B141,'ei names mapping'!$A$4:$A$33,0),MATCH(G175,'ei names mapping'!$B$3:$R$3,0))</f>
        <v>market for electric powertrain, for electric scooter</v>
      </c>
      <c r="B175" s="11">
        <f>INDEX('vehicles specifications'!$B$3:$CW$166,MATCH(B144,'vehicles specifications'!$A$3:$A$166,0),MATCH(G175,'vehicles specifications'!$B$2:$CW$2,0))*INDEX('ei names mapping'!$B$137:$BL$300,MATCH(B144,'ei names mapping'!$A$137:$A$300,0),MATCH(G175,'ei names mapping'!$B$136:$BL$136,0))</f>
        <v>7.5</v>
      </c>
      <c r="C175" t="str">
        <f>INDEX('ei names mapping'!$B$38:$R$67,MATCH(B141,'ei names mapping'!$A$4:$A$33,0),MATCH(G175,'ei names mapping'!$B$3:$R$3,0))</f>
        <v>GLO</v>
      </c>
      <c r="D175" t="str">
        <f>INDEX('ei names mapping'!$B$104:$R$133,MATCH(B141,'ei names mapping'!$A$104:$A$133,0),MATCH(G175,'ei names mapping'!$B$3:$R$3,0))</f>
        <v>kilogram</v>
      </c>
      <c r="F175" t="s">
        <v>89</v>
      </c>
      <c r="G175" t="s">
        <v>501</v>
      </c>
      <c r="H175" t="str">
        <f>INDEX('ei names mapping'!$B$71:$R$100,MATCH(B141,'ei names mapping'!$A$4:$A$33,0),MATCH(G175,'ei names mapping'!$B$3:$R$3,0))</f>
        <v>powertrain, for electric scooter</v>
      </c>
    </row>
    <row r="176" spans="1:8" x14ac:dyDescent="0.2">
      <c r="A176" t="s">
        <v>759</v>
      </c>
      <c r="B176" s="11">
        <f>INDEX('vehicles specifications'!$B$3:$CW$166,MATCH(B144,'vehicles specifications'!$A$3:$A$166,0),MATCH(G176,'vehicles specifications'!$B$2:$CW$2,0))*INDEX('ei names mapping'!$B$137:$BL$300,MATCH(B144,'ei names mapping'!$A$137:$A$300,0),MATCH(G176,'ei names mapping'!$B$136:$BL$136,0))</f>
        <v>60</v>
      </c>
      <c r="C176" t="str">
        <f>INDEX('ei names mapping'!$B$38:$R$67,MATCH(B141,'ei names mapping'!$A$4:$A$33,0),MATCH(G176,'ei names mapping'!$B$3:$R$3,0))</f>
        <v>GLO</v>
      </c>
      <c r="D176" t="str">
        <f>INDEX('ei names mapping'!$B$104:$R$133,MATCH(B141,'ei names mapping'!$A$104:$A$133,0),MATCH(G176,'ei names mapping'!$B$3:$R$3,0))</f>
        <v>kilogram</v>
      </c>
      <c r="F176" t="s">
        <v>89</v>
      </c>
      <c r="G176" t="s">
        <v>19</v>
      </c>
      <c r="H176" t="str">
        <f>INDEX('ei names mapping'!$B$71:$R$100,MATCH(B141,'ei names mapping'!$A$4:$A$33,0),MATCH(G176,'ei names mapping'!$B$3:$R$3,0))</f>
        <v>Battery cell</v>
      </c>
    </row>
    <row r="177" spans="1:8" x14ac:dyDescent="0.2">
      <c r="A177" t="str">
        <f>INDEX('ei names mapping'!$B$4:$R$33,MATCH(B141,'ei names mapping'!$A$4:$A$33,0),MATCH(G177,'ei names mapping'!$B$3:$R$3,0))</f>
        <v>Battery BoP</v>
      </c>
      <c r="B177" s="11">
        <f>INDEX('vehicles specifications'!$B$3:$CW$166,MATCH(B144,'vehicles specifications'!$A$3:$A$166,0),MATCH(G177,'vehicles specifications'!$B$2:$CW$2,0))*INDEX('ei names mapping'!$B$137:$BL$300,MATCH(B144,'ei names mapping'!$A$137:$A$300,0),MATCH(G177,'ei names mapping'!$B$136:$BL$136,0))</f>
        <v>12</v>
      </c>
      <c r="C177" t="str">
        <f>INDEX('ei names mapping'!$B$38:$R$67,MATCH(B141,'ei names mapping'!$A$4:$A$33,0),MATCH(G177,'ei names mapping'!$B$3:$R$3,0))</f>
        <v>GLO</v>
      </c>
      <c r="D177" t="str">
        <f>INDEX('ei names mapping'!$B$104:$R$133,MATCH(B141,'ei names mapping'!$A$104:$A$133,0),MATCH(G177,'ei names mapping'!$B$3:$R$3,0))</f>
        <v>kilogram</v>
      </c>
      <c r="F177" t="s">
        <v>89</v>
      </c>
      <c r="G177" t="s">
        <v>20</v>
      </c>
      <c r="H177" t="str">
        <f>INDEX('ei names mapping'!$B$71:$R$100,MATCH(B141,'ei names mapping'!$A$4:$A$33,0),MATCH(G177,'ei names mapping'!$B$3:$R$3,0))</f>
        <v>Battery BoP</v>
      </c>
    </row>
    <row r="178" spans="1:8" x14ac:dyDescent="0.2">
      <c r="A178" t="str">
        <f>INDEX('ei names mapping'!$B$4:$R$33,MATCH(B141,'ei names mapping'!$A$4:$A$33,0),MATCH(G178,'ei names mapping'!$B$3:$R$3,0))</f>
        <v>charging station, 3kW</v>
      </c>
      <c r="B178" s="11">
        <f>INDEX('vehicles specifications'!$B$3:$CW$166,MATCH(B144,'vehicles specifications'!$A$3:$A$166,0),MATCH(G178,'vehicles specifications'!$B$2:$CW$2,0))*INDEX('ei names mapping'!$B$137:$BL$300,MATCH(B144,'ei names mapping'!$A$137:$A$300,0),MATCH(G178,'ei names mapping'!$B$136:$BL$136,0))</f>
        <v>1</v>
      </c>
      <c r="C178" t="str">
        <f>INDEX('ei names mapping'!$B$38:$R$67,MATCH(B141,'ei names mapping'!$A$4:$A$33,0),MATCH(G178,'ei names mapping'!$B$3:$R$3,0))</f>
        <v>GLO</v>
      </c>
      <c r="D178" t="str">
        <f>INDEX('ei names mapping'!$B$104:$R$133,MATCH(B141,'ei names mapping'!$A$104:$A$133,0),MATCH(G178,'ei names mapping'!$B$3:$R$3,0))</f>
        <v>unit</v>
      </c>
      <c r="F178" t="s">
        <v>89</v>
      </c>
      <c r="G178" t="s">
        <v>52</v>
      </c>
      <c r="H178" t="str">
        <f>INDEX('ei names mapping'!$B$71:$R$100,MATCH(B141,'ei names mapping'!$A$4:$A$33,0),MATCH(G178,'ei names mapping'!$B$3:$R$3,0))</f>
        <v>charging station, 3kW</v>
      </c>
    </row>
    <row r="179" spans="1:8" x14ac:dyDescent="0.2">
      <c r="A179" t="str">
        <f>INDEX('ei names mapping'!$B$4:$R$33,MATCH(B141,'ei names mapping'!$A$4:$A$33,0),MATCH(G179,'ei names mapping'!$B$3:$R$3,0))</f>
        <v>manual dismantling of used electric scooter</v>
      </c>
      <c r="B179" s="11">
        <f>INDEX('vehicles specifications'!$B$3:$CW$166,MATCH(B144,'vehicles specifications'!$A$3:$A$166,0),MATCH(G179,'vehicles specifications'!$B$2:$CW$2,0))*INDEX('ei names mapping'!$B$137:$BL$300,MATCH(B144,'ei names mapping'!$A$137:$A$300,0),MATCH(G179,'ei names mapping'!$B$136:$BL$136,0))</f>
        <v>49.29</v>
      </c>
      <c r="C179" t="str">
        <f>INDEX('ei names mapping'!$B$38:$R$67,MATCH(B141,'ei names mapping'!$A$4:$A$33,0),MATCH(G179,'ei names mapping'!$B$3:$R$3,0))</f>
        <v>GLO</v>
      </c>
      <c r="D179" t="str">
        <f>INDEX('ei names mapping'!$B$104:$R$133,MATCH(B141,'ei names mapping'!$A$104:$A$133,0),MATCH(G179,'ei names mapping'!$B$3:$R$3,0))</f>
        <v>unit</v>
      </c>
      <c r="F179" t="s">
        <v>89</v>
      </c>
      <c r="G179" t="s">
        <v>144</v>
      </c>
      <c r="H179" t="str">
        <f>INDEX('ei names mapping'!$B$71:$R$100,MATCH(B141,'ei names mapping'!$A$4:$A$33,0),MATCH(G179,'ei names mapping'!$B$3:$R$3,0))</f>
        <v>manual dismantling of electric scooter</v>
      </c>
    </row>
    <row r="180" spans="1:8" x14ac:dyDescent="0.2">
      <c r="A180" t="str">
        <f>INDEX('ei names mapping'!$B$4:$R$33,MATCH(B141,'ei names mapping'!$A$4:$A$33,0),MATCH(G180,'ei names mapping'!$B$3:$R$3,0))</f>
        <v>manual dismantling of used electric scooter</v>
      </c>
      <c r="B180" s="11">
        <f>INDEX('vehicles specifications'!$B$3:$CW$166,MATCH(B144,'vehicles specifications'!$A$3:$A$166,0),MATCH(G180,'vehicles specifications'!$B$2:$CW$2,0))*INDEX('ei names mapping'!$B$137:$BL$300,MATCH(B144,'ei names mapping'!$A$137:$A$300,0),MATCH(G180,'ei names mapping'!$B$136:$BL$136,0))</f>
        <v>12</v>
      </c>
      <c r="C180" t="str">
        <f>INDEX('ei names mapping'!$B$38:$R$67,MATCH(B141,'ei names mapping'!$A$4:$A$33,0),MATCH(G180,'ei names mapping'!$B$3:$R$3,0))</f>
        <v>GLO</v>
      </c>
      <c r="D180" t="str">
        <f>INDEX('ei names mapping'!$B$104:$R$133,MATCH(B141,'ei names mapping'!$A$104:$A$133,0),MATCH(G180,'ei names mapping'!$B$3:$R$3,0))</f>
        <v>unit</v>
      </c>
      <c r="F180" t="s">
        <v>89</v>
      </c>
      <c r="G180" t="s">
        <v>145</v>
      </c>
      <c r="H180" t="str">
        <f>INDEX('ei names mapping'!$B$71:$R$100,MATCH(B141,'ei names mapping'!$A$4:$A$33,0),MATCH(G180,'ei names mapping'!$B$3:$R$3,0))</f>
        <v>manual dismantling of electric scooter</v>
      </c>
    </row>
    <row r="181" spans="1:8" x14ac:dyDescent="0.2">
      <c r="A181" t="str">
        <f>INDEX('ei names mapping'!$B$4:$R$33,MATCH(B141,'ei names mapping'!$A$4:$A$33,0),MATCH(G181,'ei names mapping'!$B$3:$R$3,0))</f>
        <v>market for used Li-ion battery</v>
      </c>
      <c r="B181" s="11">
        <f>INDEX('vehicles specifications'!$B$3:$CW$166,MATCH(B144,'vehicles specifications'!$A$3:$A$166,0),MATCH(G181,'vehicles specifications'!$B$2:$CW$2,0))*INDEX('ei names mapping'!$B$137:$BL$300,MATCH(B144,'ei names mapping'!$A$137:$A$300,0),MATCH(G181,'ei names mapping'!$B$136:$BL$136,0))</f>
        <v>-72</v>
      </c>
      <c r="C181" t="str">
        <f>INDEX('ei names mapping'!$B$38:$R$67,MATCH(B141,'ei names mapping'!$A$4:$A$33,0),MATCH(G181,'ei names mapping'!$B$3:$R$3,0))</f>
        <v>GLO</v>
      </c>
      <c r="D181" t="str">
        <f>INDEX('ei names mapping'!$B$104:$R$133,MATCH(B145,'ei names mapping'!$A$104:$A$133,0),MATCH(G181,'ei names mapping'!$B$3:$R$3,0))</f>
        <v>kilogram</v>
      </c>
      <c r="F181" t="s">
        <v>89</v>
      </c>
      <c r="G181" t="s">
        <v>146</v>
      </c>
      <c r="H181" t="str">
        <f>INDEX('ei names mapping'!$B$71:$R$100,MATCH(B141,'ei names mapping'!$A$4:$A$33,0),MATCH(G181,'ei names mapping'!$B$3:$R$3,0))</f>
        <v>used Li-ion battery</v>
      </c>
    </row>
    <row r="182" spans="1:8" x14ac:dyDescent="0.2">
      <c r="A182" s="13" t="s">
        <v>840</v>
      </c>
      <c r="B182">
        <f>(B154/1000)*B167</f>
        <v>97.289999999999992</v>
      </c>
      <c r="C182" t="s">
        <v>92</v>
      </c>
      <c r="D182" t="s">
        <v>233</v>
      </c>
      <c r="F182" t="s">
        <v>89</v>
      </c>
      <c r="H182" s="13" t="s">
        <v>841</v>
      </c>
    </row>
    <row r="183" spans="1:8" x14ac:dyDescent="0.2">
      <c r="A183" s="13" t="s">
        <v>441</v>
      </c>
      <c r="B183" s="2">
        <f>(B154/1000)*B166</f>
        <v>1546.9109999999998</v>
      </c>
      <c r="C183" t="s">
        <v>95</v>
      </c>
      <c r="D183" t="s">
        <v>233</v>
      </c>
      <c r="F183" t="s">
        <v>89</v>
      </c>
      <c r="H183" s="13" t="s">
        <v>441</v>
      </c>
    </row>
    <row r="184" spans="1:8" x14ac:dyDescent="0.2">
      <c r="B184" s="2"/>
    </row>
    <row r="185" spans="1:8" ht="16" x14ac:dyDescent="0.2">
      <c r="A185" s="10" t="s">
        <v>71</v>
      </c>
      <c r="B185" s="8" t="str">
        <f>"transport, "&amp;B187&amp;", "&amp;B202&amp;" battery, "&amp;B189</f>
        <v>transport, Motorbike, electric, &lt;4kW, LFP battery, 2020</v>
      </c>
    </row>
    <row r="186" spans="1:8" x14ac:dyDescent="0.2">
      <c r="A186" t="s">
        <v>72</v>
      </c>
      <c r="B186" t="s">
        <v>37</v>
      </c>
    </row>
    <row r="187" spans="1:8" x14ac:dyDescent="0.2">
      <c r="A187" t="s">
        <v>86</v>
      </c>
      <c r="B187" t="s">
        <v>492</v>
      </c>
    </row>
    <row r="188" spans="1:8" x14ac:dyDescent="0.2">
      <c r="A188" t="s">
        <v>87</v>
      </c>
    </row>
    <row r="189" spans="1:8" x14ac:dyDescent="0.2">
      <c r="A189" t="s">
        <v>88</v>
      </c>
      <c r="B189">
        <v>2020</v>
      </c>
    </row>
    <row r="190" spans="1:8" x14ac:dyDescent="0.2">
      <c r="A190" t="s">
        <v>126</v>
      </c>
      <c r="B190" t="str">
        <f>B187&amp;" - "&amp;B189&amp;" - "&amp;B202&amp;" - "&amp;B186</f>
        <v>Motorbike, electric, &lt;4kW - 2020 - LFP - CH</v>
      </c>
    </row>
    <row r="191" spans="1:8" x14ac:dyDescent="0.2">
      <c r="A191" t="s">
        <v>73</v>
      </c>
      <c r="B191" t="str">
        <f>"transport, "&amp;B187</f>
        <v>transport, Motorbike, electric, &lt;4kW</v>
      </c>
    </row>
    <row r="192" spans="1:8" x14ac:dyDescent="0.2">
      <c r="A192" t="s">
        <v>74</v>
      </c>
      <c r="B192" t="s">
        <v>75</v>
      </c>
    </row>
    <row r="193" spans="1:2" x14ac:dyDescent="0.2">
      <c r="A193" t="s">
        <v>76</v>
      </c>
      <c r="B193" t="s">
        <v>166</v>
      </c>
    </row>
    <row r="194" spans="1:2" x14ac:dyDescent="0.2">
      <c r="A194" t="s">
        <v>78</v>
      </c>
      <c r="B194" t="s">
        <v>1143</v>
      </c>
    </row>
    <row r="195" spans="1:2" x14ac:dyDescent="0.2">
      <c r="A195" t="s">
        <v>127</v>
      </c>
      <c r="B195">
        <f>INDEX('vehicles specifications'!$B$3:$CW$166,MATCH(B190,'vehicles specifications'!$A$3:$A$166,0),MATCH("Lifetime [km]",'vehicles specifications'!$B$2:$CW$2,0))</f>
        <v>25000</v>
      </c>
    </row>
    <row r="196" spans="1:2" x14ac:dyDescent="0.2">
      <c r="A196" t="s">
        <v>128</v>
      </c>
      <c r="B196">
        <f>INDEX('vehicles specifications'!$B$3:$CW$166,MATCH(B190,'vehicles specifications'!$A$3:$A$166,0),MATCH("Passengers [unit]",'vehicles specifications'!$B$2:$CW$2,0))</f>
        <v>1.1000000000000001</v>
      </c>
    </row>
    <row r="197" spans="1:2" x14ac:dyDescent="0.2">
      <c r="A197" t="s">
        <v>129</v>
      </c>
      <c r="B197">
        <f>INDEX('vehicles specifications'!$B$3:$CW$166,MATCH(B190,'vehicles specifications'!$A$3:$A$166,0),MATCH("Servicing [unit]",'vehicles specifications'!$B$2:$CW$2,0))</f>
        <v>1</v>
      </c>
    </row>
    <row r="198" spans="1:2" x14ac:dyDescent="0.2">
      <c r="A198" t="s">
        <v>130</v>
      </c>
      <c r="B198">
        <f>INDEX('vehicles specifications'!$B$3:$CW$166,MATCH(B190,'vehicles specifications'!$A$3:$A$166,0),MATCH("Energy battery replacement [unit]",'vehicles specifications'!$B$2:$CW$2,0))</f>
        <v>1</v>
      </c>
    </row>
    <row r="199" spans="1:2" x14ac:dyDescent="0.2">
      <c r="A199" t="s">
        <v>131</v>
      </c>
      <c r="B199">
        <f>INDEX('vehicles specifications'!$B$3:$CW$166,MATCH(B190,'vehicles specifications'!$A$3:$A$166,0),MATCH("Annual kilometers [km]",'vehicles specifications'!$B$2:$CW$2,0))</f>
        <v>1776</v>
      </c>
    </row>
    <row r="200" spans="1:2" x14ac:dyDescent="0.2">
      <c r="A200" t="s">
        <v>132</v>
      </c>
      <c r="B200" s="2">
        <f>INDEX('vehicles specifications'!$B$3:$CW$166,MATCH(B190,'vehicles specifications'!$A$3:$A$166,0),MATCH("Curb mass [kg]",'vehicles specifications'!$B$2:$CW$2,0))</f>
        <v>79.400000000000006</v>
      </c>
    </row>
    <row r="201" spans="1:2" x14ac:dyDescent="0.2">
      <c r="A201" t="s">
        <v>133</v>
      </c>
      <c r="B201">
        <f>INDEX('vehicles specifications'!$B$3:$CW$166,MATCH(B190,'vehicles specifications'!$A$3:$A$166,0),MATCH("Power [kW]",'vehicles specifications'!$B$2:$CW$2,0))</f>
        <v>2.5</v>
      </c>
    </row>
    <row r="202" spans="1:2" x14ac:dyDescent="0.2">
      <c r="A202" t="s">
        <v>652</v>
      </c>
      <c r="B202" s="20" t="s">
        <v>44</v>
      </c>
    </row>
    <row r="203" spans="1:2" x14ac:dyDescent="0.2">
      <c r="A203" t="s">
        <v>134</v>
      </c>
      <c r="B203">
        <f>INDEX('vehicles specifications'!$B$3:$CW$166,MATCH(B190,'vehicles specifications'!$A$3:$A$166,0),MATCH("Energy battery mass [kg]",'vehicles specifications'!$B$2:$CW$2,0))</f>
        <v>14.4</v>
      </c>
    </row>
    <row r="204" spans="1:2" x14ac:dyDescent="0.2">
      <c r="A204" t="s">
        <v>135</v>
      </c>
      <c r="B204">
        <f>INDEX('vehicles specifications'!$B$3:$CW$166,MATCH(B190,'vehicles specifications'!$A$3:$A$166,0),MATCH("Electric energy stored [kWh]",'vehicles specifications'!$B$2:$CW$2,0))</f>
        <v>1.8</v>
      </c>
    </row>
    <row r="205" spans="1:2" x14ac:dyDescent="0.2">
      <c r="A205" t="s">
        <v>588</v>
      </c>
      <c r="B205">
        <f>INDEX('vehicles specifications'!$B$3:$CW$166,MATCH(B190,'vehicles specifications'!$A$3:$A$166,0),MATCH("Electric energy available [kWh]",'vehicles specifications'!$B$2:$CW$2,0))</f>
        <v>1.4400000000000002</v>
      </c>
    </row>
    <row r="206" spans="1:2" x14ac:dyDescent="0.2">
      <c r="A206" t="s">
        <v>138</v>
      </c>
      <c r="B206" s="2">
        <f>INDEX('vehicles specifications'!$B$3:$CW$166,MATCH(B190,'vehicles specifications'!$A$3:$A$166,0),MATCH("Oxydation energy stored [kWh]",'vehicles specifications'!$B$2:$CW$2,0))</f>
        <v>0</v>
      </c>
    </row>
    <row r="207" spans="1:2" x14ac:dyDescent="0.2">
      <c r="A207" t="s">
        <v>139</v>
      </c>
      <c r="B207">
        <f>INDEX('vehicles specifications'!$B$3:$CW$166,MATCH(B190,'vehicles specifications'!$A$3:$A$166,0),MATCH("Fuel mass [kg]",'vehicles specifications'!$B$2:$CW$2,0))</f>
        <v>0</v>
      </c>
    </row>
    <row r="208" spans="1:2" x14ac:dyDescent="0.2">
      <c r="A208" t="s">
        <v>136</v>
      </c>
      <c r="B208" s="2">
        <f>INDEX('vehicles specifications'!$B$3:$CW$166,MATCH(B190,'vehicles specifications'!$A$3:$A$166,0),MATCH("Range [km]",'vehicles specifications'!$B$2:$CW$2,0))</f>
        <v>42.842975206611577</v>
      </c>
    </row>
    <row r="209" spans="1:8" x14ac:dyDescent="0.2">
      <c r="A209" t="s">
        <v>137</v>
      </c>
      <c r="B209" t="str">
        <f>INDEX('vehicles specifications'!$B$3:$CW$166,MATCH(B190,'vehicles specifications'!$A$3:$A$166,0),MATCH("Emission standard",'vehicles specifications'!$B$2:$CW$2,0))</f>
        <v>None</v>
      </c>
    </row>
    <row r="210" spans="1:8" x14ac:dyDescent="0.2">
      <c r="A210" t="s">
        <v>1174</v>
      </c>
      <c r="B210" s="6">
        <f>INDEX('vehicles specifications'!$B$3:$CW$166,MATCH(B190,'vehicles specifications'!$A$3:$A$166,0),MATCH("Lightweighting rate [%]",'vehicles specifications'!$B$2:$CW$2,0))</f>
        <v>0</v>
      </c>
    </row>
    <row r="211" spans="1:8" x14ac:dyDescent="0.2">
      <c r="A211" t="s">
        <v>83</v>
      </c>
      <c r="B21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79.4 kg. Lightweighting of glider: 0%. Emission standard: None. Service visits throughout lifetime: 1. Range: 43 km. Battery capacity: 1.8 kWh. Available battery capacity: 1.44 kWh. Battery mass: 14.4 kg. Battery replacement throughout lifetime: 1. Fuel tank capacity: 0 kWh. Fuel mass: 0 kg. Documentation: Life-cycle inventories for on-road vehicles, Sacchi R. (PSI), Bauer C. (PSI), 2021. 0</v>
      </c>
    </row>
    <row r="212" spans="1:8" ht="16" x14ac:dyDescent="0.2">
      <c r="A212" s="10" t="s">
        <v>79</v>
      </c>
    </row>
    <row r="213" spans="1:8" x14ac:dyDescent="0.2">
      <c r="A213" t="s">
        <v>80</v>
      </c>
      <c r="B213" t="s">
        <v>81</v>
      </c>
      <c r="C213" t="s">
        <v>72</v>
      </c>
      <c r="D213" t="s">
        <v>76</v>
      </c>
      <c r="E213" t="s">
        <v>82</v>
      </c>
      <c r="F213" t="s">
        <v>74</v>
      </c>
      <c r="G213" t="s">
        <v>83</v>
      </c>
      <c r="H213" t="s">
        <v>73</v>
      </c>
    </row>
    <row r="214" spans="1:8" x14ac:dyDescent="0.2">
      <c r="A214" t="str">
        <f>B185</f>
        <v>transport, Motorbike, electric, &lt;4kW, LFP battery, 2020</v>
      </c>
      <c r="B214">
        <v>1</v>
      </c>
      <c r="C214" t="str">
        <f>B186</f>
        <v>CH</v>
      </c>
      <c r="D214" t="s">
        <v>166</v>
      </c>
      <c r="F214" t="s">
        <v>84</v>
      </c>
      <c r="G214" t="s">
        <v>85</v>
      </c>
      <c r="H214" t="str">
        <f>B191</f>
        <v>transport, Motorbike, electric, &lt;4kW</v>
      </c>
    </row>
    <row r="215" spans="1:8" x14ac:dyDescent="0.2">
      <c r="A215" t="str">
        <f>RIGHT(A214,LEN(A214)-11)</f>
        <v>Motorbike, electric, &lt;4kW, LFP battery, 2020</v>
      </c>
      <c r="B215" s="7">
        <f>1/B195</f>
        <v>4.0000000000000003E-5</v>
      </c>
      <c r="C215" t="str">
        <f>B186</f>
        <v>CH</v>
      </c>
      <c r="D215" t="s">
        <v>76</v>
      </c>
      <c r="F215" t="s">
        <v>89</v>
      </c>
      <c r="H215" t="str">
        <f>RIGHT(H214,LEN(H214)-11)</f>
        <v>Motorbike, electric, &lt;4kW</v>
      </c>
    </row>
    <row r="216" spans="1:8" x14ac:dyDescent="0.2">
      <c r="A216" t="str">
        <f>INDEX('ei names mapping'!$B$4:$R$33,MATCH(B187,'ei names mapping'!$A$4:$A$33,0),MATCH(G216,'ei names mapping'!$B$3:$R$3,0))</f>
        <v>road maintenance</v>
      </c>
      <c r="B216" s="7">
        <f>INDEX('vehicles specifications'!$B$3:$CW$166,MATCH(B190,'vehicles specifications'!$A$3:$A$166,0),MATCH(G216,'vehicles specifications'!$B$2:$CW$2,0))*INDEX('ei names mapping'!$B$137:$BL$300,MATCH(B190,'ei names mapping'!$A$137:$A$300,0),MATCH(G216,'ei names mapping'!$B$136:$BL$136,0))</f>
        <v>1.2899999999999999E-3</v>
      </c>
      <c r="C216" t="str">
        <f>INDEX('ei names mapping'!$B$38:$R$67,MATCH(B187,'ei names mapping'!$A$4:$A$33,0),MATCH(G216,'ei names mapping'!$B$3:$R$3,0))</f>
        <v>CH</v>
      </c>
      <c r="D216" t="str">
        <f>INDEX('ei names mapping'!$B$104:$BL$133,MATCH(B187,'ei names mapping'!$A$4:$A$33,0),MATCH(G216,'ei names mapping'!$B$3:$BL$3,0))</f>
        <v>meter-year</v>
      </c>
      <c r="F216" t="s">
        <v>89</v>
      </c>
      <c r="G216" t="s">
        <v>112</v>
      </c>
      <c r="H216" t="str">
        <f>INDEX('ei names mapping'!$B$71:$BL$100,MATCH(B187,'ei names mapping'!$A$4:$A$33,0),MATCH(G216,'ei names mapping'!$B$3:$BL$3,0))</f>
        <v>road maintenance</v>
      </c>
    </row>
    <row r="217" spans="1:8" x14ac:dyDescent="0.2">
      <c r="A217" t="str">
        <f>INDEX('ei names mapping'!$B$4:$R$33,MATCH(B187,'ei names mapping'!$A$4:$A$33,0),MATCH(G217,'ei names mapping'!$B$3:$R$3,0))</f>
        <v>market for electricity, low voltage</v>
      </c>
      <c r="B217" s="7">
        <f>INDEX('vehicles specifications'!$B$3:$CW$166,MATCH(B190,'vehicles specifications'!$A$3:$A$166,0),MATCH(G217,'vehicles specifications'!$B$2:$CW$2,0))*INDEX('ei names mapping'!$B$137:$BL$300,MATCH(B190,'ei names mapping'!$A$137:$A$300,0),MATCH(G217,'ei names mapping'!$B$136:$BL$136,0))</f>
        <v>3.6972222222222226E-2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mapping'!$B$71:$R$100,MATCH(B187,'ei names mapping'!$A$4:$A$33,0),MATCH(G217,'ei names mapping'!$B$3:$R$3,0))</f>
        <v>electricity, low voltage</v>
      </c>
    </row>
    <row r="218" spans="1:8" x14ac:dyDescent="0.2">
      <c r="A218" t="str">
        <f>INDEX('ei names mapping'!$B$4:$R$33,MATCH(B187,'ei names mapping'!$A$4:$A$33,0),MATCH(G218,'ei names mapping'!$B$3:$R$3,0))</f>
        <v>market for maintenance, electric scooter, without battery</v>
      </c>
      <c r="B218" s="7">
        <f>INDEX('vehicles specifications'!$B$3:$CW$166,MATCH(B190,'vehicles specifications'!$A$3:$A$166,0),MATCH(G218,'vehicles specifications'!$B$2:$CW$2,0))*INDEX('ei names mapping'!$B$137:$BL$300,MATCH(B190,'ei names mapping'!$A$137:$A$300,0),MATCH(G218,'ei names mapping'!$B$136:$BL$136,0))</f>
        <v>4.0000000000000003E-5</v>
      </c>
      <c r="C218" t="str">
        <f>INDEX('ei names mapping'!$B$38:$BL$67,MATCH(B187,'ei names mapping'!$A$4:$A$33,0),MATCH(G218,'ei names mapping'!$B$3:$BL$3,0))</f>
        <v>GLO</v>
      </c>
      <c r="D218" t="str">
        <f>INDEX('ei names mapping'!$B$104:$BL$133,MATCH(B187,'ei names mapping'!$A$4:$A$33,0),MATCH(G218,'ei names mapping'!$B$3:$BL$3,0))</f>
        <v>unit</v>
      </c>
      <c r="F218" t="s">
        <v>89</v>
      </c>
      <c r="G218" t="s">
        <v>118</v>
      </c>
      <c r="H218" t="str">
        <f>INDEX('ei names mapping'!$B$71:$BL$100,MATCH(B187,'ei names mapping'!$A$4:$A$33,0),MATCH(G218,'ei names mapping'!$B$3:$BL$3,0))</f>
        <v>maintenance, electric scooter, without battery</v>
      </c>
    </row>
    <row r="219" spans="1:8" x14ac:dyDescent="0.2">
      <c r="A219" t="str">
        <f>INDEX('ei names mapping'!$B$4:$R$33,MATCH(B187,'ei names mapping'!$A$4:$A$33,0),MATCH(G219,'ei names mapping'!$B$3:$R$3,0))</f>
        <v>road construction</v>
      </c>
      <c r="B219" s="7">
        <f>INDEX('vehicles specifications'!$B$3:$CW$166,MATCH(B190,'vehicles specifications'!$A$3:$A$166,0),MATCH(G219,'vehicles specifications'!$B$2:$CW$2,0))*INDEX('ei names mapping'!$B$137:$BL$300,MATCH(B190,'ei names mapping'!$A$137:$A$300,0),MATCH(G219,'ei names mapping'!$B$136:$BL$136,0))</f>
        <v>9.0162300000000002E-5</v>
      </c>
      <c r="C219" t="str">
        <f>INDEX('ei names mapping'!$B$38:$R$67,MATCH(B187,'ei names mapping'!$A$4:$A$33,0),MATCH(G219,'ei names mapping'!$B$3:$R$3,0))</f>
        <v>CH</v>
      </c>
      <c r="D219" t="str">
        <f>INDEX('ei names mapping'!$B$104:$R$133,MATCH(B187,'ei names mapping'!$A$104:$A$133,0),MATCH(G219,'ei names mapping'!$B$3:$R$3,0))</f>
        <v>meter-year</v>
      </c>
      <c r="F219" t="s">
        <v>89</v>
      </c>
      <c r="G219" t="s">
        <v>105</v>
      </c>
      <c r="H219" t="str">
        <f>INDEX('ei names mapping'!$B$71:$R$100,MATCH(B187,'ei names mapping'!$A$4:$A$33,0),MATCH(G219,'ei names mapping'!$B$3:$R$3,0))</f>
        <v>road</v>
      </c>
    </row>
    <row r="220" spans="1:8" x14ac:dyDescent="0.2">
      <c r="A220" t="str">
        <f>INDEX('ei names mapping'!$B$4:$BL$33,MATCH(B187,'ei names mapping'!$A$4:$A$33,0),MATCH(G220,'ei names mapping'!$B$3:$BL$3,0))</f>
        <v>treatment of road wear emissions, passenger car</v>
      </c>
      <c r="B220" s="7">
        <f>INDEX('vehicles specifications'!$B$3:$CW$166,MATCH(B190,'vehicles specifications'!$A$3:$A$166,0),MATCH(G220,'vehicles specifications'!$B$2:$CW$2,0))*INDEX('ei names mapping'!$B$137:$BL$300,MATCH(B190,'ei names mapping'!$A$137:$A$300,0),MATCH(G220,'ei names mapping'!$B$136:$BL$136,0))</f>
        <v>-6.3428301799505996E-6</v>
      </c>
      <c r="C220" t="str">
        <f>INDEX('ei names mapping'!$B$38:$BL$67,MATCH(B187,'ei names mapping'!$A$4:$A$33,0),MATCH(G220,'ei names mapping'!$B$3:$BL$3,0))</f>
        <v>RER</v>
      </c>
      <c r="D220" t="str">
        <f>INDEX('ei names mapping'!$B$104:$BL$133,MATCH(B187,'ei names mapping'!$A$4:$A$33,0),MATCH(G220,'ei names mapping'!$B$3:$BL$3,0))</f>
        <v>kilogram</v>
      </c>
      <c r="F220" t="s">
        <v>89</v>
      </c>
      <c r="G220" t="s">
        <v>29</v>
      </c>
      <c r="H220" t="str">
        <f>INDEX('ei names mapping'!$B$71:$BL$100,MATCH(B187,'ei names mapping'!$A$4:$A$33,0),MATCH(G220,'ei names mapping'!$B$3:$BL$3,0))</f>
        <v>road wear emissions, passenger car</v>
      </c>
    </row>
    <row r="221" spans="1:8" x14ac:dyDescent="0.2">
      <c r="A221" t="str">
        <f>INDEX('ei names mapping'!$B$4:$BL$33,MATCH(B187,'ei names mapping'!$A$4:$A$33,0),MATCH(G221,'ei names mapping'!$B$3:$BL$3,0))</f>
        <v>treatment of tyre wear emissions, passenger car</v>
      </c>
      <c r="B221" s="7">
        <f>INDEX('vehicles specifications'!$B$3:$CW$166,MATCH(B190,'vehicles specifications'!$A$3:$A$166,0),MATCH(G221,'vehicles specifications'!$B$2:$CW$2,0))*INDEX('ei names mapping'!$B$137:$BL$300,MATCH(B190,'ei names mapping'!$A$137:$A$300,0),MATCH(G221,'ei names mapping'!$B$136:$BL$136,0))</f>
        <v>-4.5999999215160904E-6</v>
      </c>
      <c r="C221" t="str">
        <f>INDEX('ei names mapping'!$B$38:$BL$67,MATCH(B187,'ei names mapping'!$A$4:$A$33,0),MATCH(G221,'ei names mapping'!$B$3:$BL$3,0))</f>
        <v>RER</v>
      </c>
      <c r="D221" t="str">
        <f>INDEX('ei names mapping'!$B$104:$BL$133,MATCH(B187,'ei names mapping'!$A$4:$A$33,0),MATCH(G221,'ei names mapping'!$B$3:$BL$3,0))</f>
        <v>kilogram</v>
      </c>
      <c r="F221" t="s">
        <v>89</v>
      </c>
      <c r="G221" t="s">
        <v>30</v>
      </c>
      <c r="H221" t="str">
        <f>INDEX('ei names mapping'!$B$71:$BL$100,MATCH(B187,'ei names mapping'!$A$4:$A$33,0),MATCH(G221,'ei names mapping'!$B$3:$BL$3,0))</f>
        <v>tyre wear emissions, passenger car</v>
      </c>
    </row>
    <row r="222" spans="1:8" x14ac:dyDescent="0.2">
      <c r="A222" t="str">
        <f>INDEX('ei names mapping'!$B$4:$BL$33,MATCH(B187,'ei names mapping'!$A$4:$A$33,0),MATCH(G222,'ei names mapping'!$B$3:$BL$3,0))</f>
        <v>treatment of brake wear emissions, passenger car</v>
      </c>
      <c r="B222" s="7">
        <f>INDEX('vehicles specifications'!$B$3:$CW$166,MATCH(B190,'vehicles specifications'!$A$3:$A$166,0),MATCH(G222,'vehicles specifications'!$B$2:$CW$2,0))*INDEX('ei names mapping'!$B$137:$BL$300,MATCH(B190,'ei names mapping'!$A$137:$A$300,0),MATCH(G222,'ei names mapping'!$B$136:$BL$136,0))</f>
        <v>-2.448671746258615E-6</v>
      </c>
      <c r="C222" t="str">
        <f>INDEX('ei names mapping'!$B$38:$BL$67,MATCH(B187,'ei names mapping'!$A$4:$A$33,0),MATCH(G222,'ei names mapping'!$B$3:$BL$3,0))</f>
        <v>RER</v>
      </c>
      <c r="D222" t="str">
        <f>INDEX('ei names mapping'!$B$104:$BL$133,MATCH(B187,'ei names mapping'!$A$4:$A$33,0),MATCH(G222,'ei names mapping'!$B$3:$BL$3,0))</f>
        <v>kilogram</v>
      </c>
      <c r="F222" t="s">
        <v>89</v>
      </c>
      <c r="G222" t="s">
        <v>31</v>
      </c>
      <c r="H222" t="str">
        <f>INDEX('ei names mapping'!$B$71:$BL$100,MATCH(B187,'ei names mapping'!$A$4:$A$33,0),MATCH(G222,'ei names mapping'!$B$3:$BL$3,0))</f>
        <v>brake wear emissions, passenger car</v>
      </c>
    </row>
    <row r="223" spans="1:8" x14ac:dyDescent="0.2">
      <c r="B223" s="6"/>
    </row>
    <row r="224" spans="1:8" ht="16" x14ac:dyDescent="0.2">
      <c r="A224" s="10" t="s">
        <v>71</v>
      </c>
      <c r="B224" s="8" t="str">
        <f>"transport, "&amp;B226&amp;", "&amp;B241&amp;" battery, "&amp;B228</f>
        <v>transport, Motorbike, electric, &lt;4kW, LFP battery, 2030</v>
      </c>
    </row>
    <row r="225" spans="1:2" x14ac:dyDescent="0.2">
      <c r="A225" t="s">
        <v>72</v>
      </c>
      <c r="B225" t="s">
        <v>37</v>
      </c>
    </row>
    <row r="226" spans="1:2" x14ac:dyDescent="0.2">
      <c r="A226" t="s">
        <v>86</v>
      </c>
      <c r="B226" t="s">
        <v>492</v>
      </c>
    </row>
    <row r="227" spans="1:2" x14ac:dyDescent="0.2">
      <c r="A227" t="s">
        <v>87</v>
      </c>
    </row>
    <row r="228" spans="1:2" x14ac:dyDescent="0.2">
      <c r="A228" t="s">
        <v>88</v>
      </c>
      <c r="B228">
        <v>2030</v>
      </c>
    </row>
    <row r="229" spans="1:2" x14ac:dyDescent="0.2">
      <c r="A229" t="s">
        <v>126</v>
      </c>
      <c r="B229" t="str">
        <f>B226&amp;" - "&amp;B228&amp;" - "&amp;B241&amp;" - "&amp;B225</f>
        <v>Motorbike, electric, &lt;4kW - 2030 - LFP - CH</v>
      </c>
    </row>
    <row r="230" spans="1:2" x14ac:dyDescent="0.2">
      <c r="A230" t="s">
        <v>73</v>
      </c>
      <c r="B230" t="str">
        <f>"transport, "&amp;B226</f>
        <v>transport, Motorbike, electric, &lt;4kW</v>
      </c>
    </row>
    <row r="231" spans="1:2" x14ac:dyDescent="0.2">
      <c r="A231" t="s">
        <v>74</v>
      </c>
      <c r="B231" t="s">
        <v>75</v>
      </c>
    </row>
    <row r="232" spans="1:2" x14ac:dyDescent="0.2">
      <c r="A232" t="s">
        <v>76</v>
      </c>
      <c r="B232" t="s">
        <v>166</v>
      </c>
    </row>
    <row r="233" spans="1:2" x14ac:dyDescent="0.2">
      <c r="A233" t="s">
        <v>78</v>
      </c>
      <c r="B233" t="s">
        <v>1143</v>
      </c>
    </row>
    <row r="234" spans="1:2" x14ac:dyDescent="0.2">
      <c r="A234" t="s">
        <v>127</v>
      </c>
      <c r="B234">
        <f>INDEX('vehicles specifications'!$B$3:$CW$166,MATCH(B229,'vehicles specifications'!$A$3:$A$166,0),MATCH("Lifetime [km]",'vehicles specifications'!$B$2:$CW$2,0))</f>
        <v>25000</v>
      </c>
    </row>
    <row r="235" spans="1:2" x14ac:dyDescent="0.2">
      <c r="A235" t="s">
        <v>128</v>
      </c>
      <c r="B235">
        <f>INDEX('vehicles specifications'!$B$3:$CW$166,MATCH(B229,'vehicles specifications'!$A$3:$A$166,0),MATCH("Passengers [unit]",'vehicles specifications'!$B$2:$CW$2,0))</f>
        <v>1.1000000000000001</v>
      </c>
    </row>
    <row r="236" spans="1:2" x14ac:dyDescent="0.2">
      <c r="A236" t="s">
        <v>129</v>
      </c>
      <c r="B236">
        <f>INDEX('vehicles specifications'!$B$3:$CW$166,MATCH(B229,'vehicles specifications'!$A$3:$A$166,0),MATCH("Servicing [unit]",'vehicles specifications'!$B$2:$CW$2,0))</f>
        <v>1</v>
      </c>
    </row>
    <row r="237" spans="1:2" x14ac:dyDescent="0.2">
      <c r="A237" t="s">
        <v>130</v>
      </c>
      <c r="B237">
        <f>INDEX('vehicles specifications'!$B$3:$CW$166,MATCH(B229,'vehicles specifications'!$A$3:$A$166,0),MATCH("Energy battery replacement [unit]",'vehicles specifications'!$B$2:$CW$2,0))</f>
        <v>0.5</v>
      </c>
    </row>
    <row r="238" spans="1:2" x14ac:dyDescent="0.2">
      <c r="A238" t="s">
        <v>131</v>
      </c>
      <c r="B238">
        <f>INDEX('vehicles specifications'!$B$3:$CW$166,MATCH(B229,'vehicles specifications'!$A$3:$A$166,0),MATCH("Annual kilometers [km]",'vehicles specifications'!$B$2:$CW$2,0))</f>
        <v>1776</v>
      </c>
    </row>
    <row r="239" spans="1:2" x14ac:dyDescent="0.2">
      <c r="A239" t="s">
        <v>132</v>
      </c>
      <c r="B239" s="2">
        <f>INDEX('vehicles specifications'!$B$3:$CW$166,MATCH(B229,'vehicles specifications'!$A$3:$A$166,0),MATCH("Curb mass [kg]",'vehicles specifications'!$B$2:$CW$2,0))</f>
        <v>84.743333333333339</v>
      </c>
    </row>
    <row r="240" spans="1:2" x14ac:dyDescent="0.2">
      <c r="A240" t="s">
        <v>133</v>
      </c>
      <c r="B240">
        <f>INDEX('vehicles specifications'!$B$3:$CW$166,MATCH(B229,'vehicles specifications'!$A$3:$A$166,0),MATCH("Power [kW]",'vehicles specifications'!$B$2:$CW$2,0))</f>
        <v>2.5</v>
      </c>
    </row>
    <row r="241" spans="1:8" x14ac:dyDescent="0.2">
      <c r="A241" t="s">
        <v>652</v>
      </c>
      <c r="B241" s="20" t="s">
        <v>44</v>
      </c>
    </row>
    <row r="242" spans="1:8" x14ac:dyDescent="0.2">
      <c r="A242" t="s">
        <v>134</v>
      </c>
      <c r="B242">
        <f>INDEX('vehicles specifications'!$B$3:$CW$166,MATCH(B229,'vehicles specifications'!$A$3:$A$166,0),MATCH("Energy battery mass [kg]",'vehicles specifications'!$B$2:$CW$2,0))</f>
        <v>21.333333333333336</v>
      </c>
    </row>
    <row r="243" spans="1:8" x14ac:dyDescent="0.2">
      <c r="A243" t="s">
        <v>135</v>
      </c>
      <c r="B243">
        <f>INDEX('vehicles specifications'!$B$3:$CW$166,MATCH(B229,'vehicles specifications'!$A$3:$A$166,0),MATCH("Electric energy stored [kWh]",'vehicles specifications'!$B$2:$CW$2,0))</f>
        <v>3.2</v>
      </c>
    </row>
    <row r="244" spans="1:8" x14ac:dyDescent="0.2">
      <c r="A244" t="s">
        <v>588</v>
      </c>
      <c r="B244">
        <f>INDEX('vehicles specifications'!$B$3:$CW$166,MATCH(B229,'vehicles specifications'!$A$3:$A$166,0),MATCH("Electric energy available [kWh]",'vehicles specifications'!$B$2:$CW$2,0))</f>
        <v>2.5600000000000005</v>
      </c>
    </row>
    <row r="245" spans="1:8" x14ac:dyDescent="0.2">
      <c r="A245" t="s">
        <v>138</v>
      </c>
      <c r="B245" s="2">
        <f>INDEX('vehicles specifications'!$B$3:$CW$166,MATCH(B229,'vehicles specifications'!$A$3:$A$166,0),MATCH("Oxydation energy stored [kWh]",'vehicles specifications'!$B$2:$CW$2,0))</f>
        <v>0</v>
      </c>
    </row>
    <row r="246" spans="1:8" x14ac:dyDescent="0.2">
      <c r="A246" t="s">
        <v>139</v>
      </c>
      <c r="B246">
        <f>INDEX('vehicles specifications'!$B$3:$CW$166,MATCH(B229,'vehicles specifications'!$A$3:$A$166,0),MATCH("Fuel mass [kg]",'vehicles specifications'!$B$2:$CW$2,0))</f>
        <v>0</v>
      </c>
    </row>
    <row r="247" spans="1:8" x14ac:dyDescent="0.2">
      <c r="A247" t="s">
        <v>136</v>
      </c>
      <c r="B247" s="2">
        <f>INDEX('vehicles specifications'!$B$3:$CW$166,MATCH(B229,'vehicles specifications'!$A$3:$A$166,0),MATCH("Range [km]",'vehicles specifications'!$B$2:$CW$2,0))</f>
        <v>76.165289256198363</v>
      </c>
    </row>
    <row r="248" spans="1:8" x14ac:dyDescent="0.2">
      <c r="A248" t="s">
        <v>137</v>
      </c>
      <c r="B248" t="str">
        <f>INDEX('vehicles specifications'!$B$3:$CW$166,MATCH(B229,'vehicles specifications'!$A$3:$A$166,0),MATCH("Emission standard",'vehicles specifications'!$B$2:$CW$2,0))</f>
        <v>None</v>
      </c>
    </row>
    <row r="249" spans="1:8" x14ac:dyDescent="0.2">
      <c r="A249" t="s">
        <v>1174</v>
      </c>
      <c r="B249" s="6">
        <f>INDEX('vehicles specifications'!$B$3:$CW$166,MATCH(B229,'vehicles specifications'!$A$3:$A$166,0),MATCH("Lightweighting rate [%]",'vehicles specifications'!$B$2:$CW$2,0))</f>
        <v>0.03</v>
      </c>
    </row>
    <row r="250" spans="1:8" x14ac:dyDescent="0.2">
      <c r="A250" t="s">
        <v>83</v>
      </c>
      <c r="B250"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84.7 kg. Lightweighting of glider: 3%. Emission standard: None. Service visits throughout lifetime: 1. Range: 76 km. Battery capacity: 3.2 kWh. Available battery capacity: 2.56 kWh. Battery mass: 21.3 kg. Battery replacement throughout lifetime: 0.5. Fuel tank capacity: 0 kWh. Fuel mass: 0 kg. Documentation: Life-cycle inventories for on-road vehicles, Sacchi R. (PSI), Bauer C. (PSI), 2021. kilometer</v>
      </c>
    </row>
    <row r="251" spans="1:8" ht="16" x14ac:dyDescent="0.2">
      <c r="A251" s="10" t="s">
        <v>79</v>
      </c>
    </row>
    <row r="252" spans="1:8" x14ac:dyDescent="0.2">
      <c r="A252" t="s">
        <v>80</v>
      </c>
      <c r="B252" t="s">
        <v>81</v>
      </c>
      <c r="C252" t="s">
        <v>72</v>
      </c>
      <c r="D252" t="s">
        <v>76</v>
      </c>
      <c r="E252" t="s">
        <v>82</v>
      </c>
      <c r="F252" t="s">
        <v>74</v>
      </c>
      <c r="G252" t="s">
        <v>83</v>
      </c>
      <c r="H252" t="s">
        <v>73</v>
      </c>
    </row>
    <row r="253" spans="1:8" x14ac:dyDescent="0.2">
      <c r="A253" t="str">
        <f>B224</f>
        <v>transport, Motorbike, electric, &lt;4kW, LFP battery, 2030</v>
      </c>
      <c r="B253">
        <v>1</v>
      </c>
      <c r="C253" t="str">
        <f>B225</f>
        <v>CH</v>
      </c>
      <c r="D253" t="s">
        <v>166</v>
      </c>
      <c r="F253" t="s">
        <v>84</v>
      </c>
      <c r="G253" t="s">
        <v>85</v>
      </c>
      <c r="H253" t="str">
        <f>B230</f>
        <v>transport, Motorbike, electric, &lt;4kW</v>
      </c>
    </row>
    <row r="254" spans="1:8" x14ac:dyDescent="0.2">
      <c r="A254" t="str">
        <f>RIGHT(A253,LEN(A253)-11)</f>
        <v>Motorbike, electric, &lt;4kW, LFP battery, 2030</v>
      </c>
      <c r="B254" s="7">
        <f>1/B234</f>
        <v>4.0000000000000003E-5</v>
      </c>
      <c r="C254" t="str">
        <f>B225</f>
        <v>CH</v>
      </c>
      <c r="D254" t="s">
        <v>76</v>
      </c>
      <c r="F254" t="s">
        <v>89</v>
      </c>
      <c r="H254" t="str">
        <f>RIGHT(H253,LEN(H253)-11)</f>
        <v>Motorbike, electric, &lt;4kW</v>
      </c>
    </row>
    <row r="255" spans="1:8" x14ac:dyDescent="0.2">
      <c r="A255" t="str">
        <f>INDEX('ei names mapping'!$B$4:$R$33,MATCH(B226,'ei names mapping'!$A$4:$A$33,0),MATCH(G255,'ei names mapping'!$B$3:$R$3,0))</f>
        <v>road maintenance</v>
      </c>
      <c r="B255" s="7">
        <f>INDEX('vehicles specifications'!$B$3:$CW$166,MATCH(B229,'vehicles specifications'!$A$3:$A$166,0),MATCH(G255,'vehicles specifications'!$B$2:$CW$2,0))*INDEX('ei names mapping'!$B$137:$BL$300,MATCH(B229,'ei names mapping'!$A$137:$A$300,0),MATCH(G255,'ei names mapping'!$B$136:$BL$136,0))</f>
        <v>1.2899999999999999E-3</v>
      </c>
      <c r="C255" t="str">
        <f>INDEX('ei names mapping'!$B$38:$R$67,MATCH(B226,'ei names mapping'!$A$4:$A$33,0),MATCH(G255,'ei names mapping'!$B$3:$R$3,0))</f>
        <v>CH</v>
      </c>
      <c r="D255" t="str">
        <f>INDEX('ei names mapping'!$B$104:$BL$133,MATCH(B226,'ei names mapping'!$A$4:$A$33,0),MATCH(G255,'ei names mapping'!$B$3:$BL$3,0))</f>
        <v>meter-year</v>
      </c>
      <c r="F255" t="s">
        <v>89</v>
      </c>
      <c r="G255" t="s">
        <v>112</v>
      </c>
      <c r="H255" t="str">
        <f>INDEX('ei names mapping'!$B$71:$BL$100,MATCH(B226,'ei names mapping'!$A$4:$A$33,0),MATCH(G255,'ei names mapping'!$B$3:$BL$3,0))</f>
        <v>road maintenance</v>
      </c>
    </row>
    <row r="256" spans="1:8" x14ac:dyDescent="0.2">
      <c r="A256" t="str">
        <f>INDEX('ei names mapping'!$B$4:$R$33,MATCH(B226,'ei names mapping'!$A$4:$A$33,0),MATCH(G256,'ei names mapping'!$B$3:$R$3,0))</f>
        <v>market for electricity, low voltage</v>
      </c>
      <c r="B256" s="7">
        <f>INDEX('vehicles specifications'!$B$3:$CW$166,MATCH(B229,'vehicles specifications'!$A$3:$A$166,0),MATCH(G256,'vehicles specifications'!$B$2:$CW$2,0))*INDEX('ei names mapping'!$B$137:$BL$300,MATCH(B229,'ei names mapping'!$A$137:$A$300,0),MATCH(G256,'ei names mapping'!$B$136:$BL$136,0))</f>
        <v>3.6972222222222226E-2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mapping'!$B$71:$R$100,MATCH(B226,'ei names mapping'!$A$4:$A$33,0),MATCH(G256,'ei names mapping'!$B$3:$R$3,0))</f>
        <v>electricity, low voltage</v>
      </c>
    </row>
    <row r="257" spans="1:8" x14ac:dyDescent="0.2">
      <c r="A257" t="str">
        <f>INDEX('ei names mapping'!$B$4:$R$33,MATCH(B226,'ei names mapping'!$A$4:$A$33,0),MATCH(G257,'ei names mapping'!$B$3:$R$3,0))</f>
        <v>market for maintenance, electric scooter, without battery</v>
      </c>
      <c r="B257" s="7">
        <f>INDEX('vehicles specifications'!$B$3:$CW$166,MATCH(B229,'vehicles specifications'!$A$3:$A$166,0),MATCH(G257,'vehicles specifications'!$B$2:$CW$2,0))*INDEX('ei names mapping'!$B$137:$BL$300,MATCH(B229,'ei names mapping'!$A$137:$A$300,0),MATCH(G257,'ei names mapping'!$B$136:$BL$136,0))</f>
        <v>4.0000000000000003E-5</v>
      </c>
      <c r="C257" t="str">
        <f>INDEX('ei names mapping'!$B$38:$BL$67,MATCH(B226,'ei names mapping'!$A$4:$A$33,0),MATCH(G257,'ei names mapping'!$B$3:$BL$3,0))</f>
        <v>GLO</v>
      </c>
      <c r="D257" t="str">
        <f>INDEX('ei names mapping'!$B$104:$BL$133,MATCH(B226,'ei names mapping'!$A$4:$A$33,0),MATCH(G257,'ei names mapping'!$B$3:$BL$3,0))</f>
        <v>unit</v>
      </c>
      <c r="F257" t="s">
        <v>89</v>
      </c>
      <c r="G257" t="s">
        <v>118</v>
      </c>
      <c r="H257" t="str">
        <f>INDEX('ei names mapping'!$B$71:$BL$100,MATCH(B226,'ei names mapping'!$A$4:$A$33,0),MATCH(G257,'ei names mapping'!$B$3:$BL$3,0))</f>
        <v>maintenance, electric scooter, without battery</v>
      </c>
    </row>
    <row r="258" spans="1:8" x14ac:dyDescent="0.2">
      <c r="A258" t="str">
        <f>INDEX('ei names mapping'!$B$4:$R$33,MATCH(B226,'ei names mapping'!$A$4:$A$33,0),MATCH(G258,'ei names mapping'!$B$3:$R$3,0))</f>
        <v>road construction</v>
      </c>
      <c r="B258" s="7">
        <f>INDEX('vehicles specifications'!$B$3:$CW$166,MATCH(B229,'vehicles specifications'!$A$3:$A$166,0),MATCH(G258,'vehicles specifications'!$B$2:$CW$2,0))*INDEX('ei names mapping'!$B$137:$BL$300,MATCH(B229,'ei names mapping'!$A$137:$A$300,0),MATCH(G258,'ei names mapping'!$B$136:$BL$136,0))</f>
        <v>9.3031670000000004E-5</v>
      </c>
      <c r="C258" t="str">
        <f>INDEX('ei names mapping'!$B$38:$R$67,MATCH(B226,'ei names mapping'!$A$4:$A$33,0),MATCH(G258,'ei names mapping'!$B$3:$R$3,0))</f>
        <v>CH</v>
      </c>
      <c r="D258" t="str">
        <f>INDEX('ei names mapping'!$B$104:$R$133,MATCH(B226,'ei names mapping'!$A$104:$A$133,0),MATCH(G258,'ei names mapping'!$B$3:$R$3,0))</f>
        <v>meter-year</v>
      </c>
      <c r="F258" t="s">
        <v>89</v>
      </c>
      <c r="G258" t="s">
        <v>105</v>
      </c>
      <c r="H258" t="str">
        <f>INDEX('ei names mapping'!$B$71:$R$100,MATCH(B226,'ei names mapping'!$A$4:$A$33,0),MATCH(G258,'ei names mapping'!$B$3:$R$3,0))</f>
        <v>road</v>
      </c>
    </row>
    <row r="259" spans="1:8" x14ac:dyDescent="0.2">
      <c r="A259" t="str">
        <f>INDEX('ei names mapping'!$B$4:$BL$33,MATCH(B226,'ei names mapping'!$A$4:$A$33,0),MATCH(G259,'ei names mapping'!$B$3:$BL$3,0))</f>
        <v>treatment of road wear emissions, passenger car</v>
      </c>
      <c r="B259" s="7">
        <f>INDEX('vehicles specifications'!$B$3:$CW$166,MATCH(B229,'vehicles specifications'!$A$3:$A$166,0),MATCH(G259,'vehicles specifications'!$B$2:$CW$2,0))*INDEX('ei names mapping'!$B$137:$BL$300,MATCH(B229,'ei names mapping'!$A$137:$A$300,0),MATCH(G259,'ei names mapping'!$B$136:$BL$136,0))</f>
        <v>-6.501908451097096E-6</v>
      </c>
      <c r="C259" t="str">
        <f>INDEX('ei names mapping'!$B$38:$BL$67,MATCH(B226,'ei names mapping'!$A$4:$A$33,0),MATCH(G259,'ei names mapping'!$B$3:$BL$3,0))</f>
        <v>RER</v>
      </c>
      <c r="D259" t="str">
        <f>INDEX('ei names mapping'!$B$104:$BL$133,MATCH(B226,'ei names mapping'!$A$4:$A$33,0),MATCH(G259,'ei names mapping'!$B$3:$BL$3,0))</f>
        <v>kilogram</v>
      </c>
      <c r="F259" t="s">
        <v>89</v>
      </c>
      <c r="G259" t="s">
        <v>29</v>
      </c>
      <c r="H259" t="str">
        <f>INDEX('ei names mapping'!$B$71:$BL$100,MATCH(B226,'ei names mapping'!$A$4:$A$33,0),MATCH(G259,'ei names mapping'!$B$3:$BL$3,0))</f>
        <v>road wear emissions, passenger car</v>
      </c>
    </row>
    <row r="260" spans="1:8" x14ac:dyDescent="0.2">
      <c r="A260" t="str">
        <f>INDEX('ei names mapping'!$B$4:$BL$33,MATCH(B226,'ei names mapping'!$A$4:$A$33,0),MATCH(G260,'ei names mapping'!$B$3:$BL$3,0))</f>
        <v>treatment of tyre wear emissions, passenger car</v>
      </c>
      <c r="B260" s="7">
        <f>INDEX('vehicles specifications'!$B$3:$CW$166,MATCH(B229,'vehicles specifications'!$A$3:$A$166,0),MATCH(G260,'vehicles specifications'!$B$2:$CW$2,0))*INDEX('ei names mapping'!$B$137:$BL$300,MATCH(B229,'ei names mapping'!$A$137:$A$300,0),MATCH(G260,'ei names mapping'!$B$136:$BL$136,0))</f>
        <v>-4.686296851333388E-6</v>
      </c>
      <c r="C260" t="str">
        <f>INDEX('ei names mapping'!$B$38:$BL$67,MATCH(B226,'ei names mapping'!$A$4:$A$33,0),MATCH(G260,'ei names mapping'!$B$3:$BL$3,0))</f>
        <v>RER</v>
      </c>
      <c r="D260" t="str">
        <f>INDEX('ei names mapping'!$B$104:$BL$133,MATCH(B226,'ei names mapping'!$A$4:$A$33,0),MATCH(G260,'ei names mapping'!$B$3:$BL$3,0))</f>
        <v>kilogram</v>
      </c>
      <c r="F260" t="s">
        <v>89</v>
      </c>
      <c r="G260" t="s">
        <v>30</v>
      </c>
      <c r="H260" t="str">
        <f>INDEX('ei names mapping'!$B$71:$BL$100,MATCH(B226,'ei names mapping'!$A$4:$A$33,0),MATCH(G260,'ei names mapping'!$B$3:$BL$3,0))</f>
        <v>tyre wear emissions, passenger car</v>
      </c>
    </row>
    <row r="261" spans="1:8" x14ac:dyDescent="0.2">
      <c r="A261" t="str">
        <f>INDEX('ei names mapping'!$B$4:$BL$33,MATCH(B226,'ei names mapping'!$A$4:$A$33,0),MATCH(G261,'ei names mapping'!$B$3:$BL$3,0))</f>
        <v>treatment of brake wear emissions, passenger car</v>
      </c>
      <c r="B261" s="7">
        <f>INDEX('vehicles specifications'!$B$3:$CW$166,MATCH(B229,'vehicles specifications'!$A$3:$A$166,0),MATCH(G261,'vehicles specifications'!$B$2:$CW$2,0))*INDEX('ei names mapping'!$B$137:$BL$300,MATCH(B229,'ei names mapping'!$A$137:$A$300,0),MATCH(G261,'ei names mapping'!$B$136:$BL$136,0))</f>
        <v>-2.5024215495221934E-6</v>
      </c>
      <c r="C261" t="str">
        <f>INDEX('ei names mapping'!$B$38:$BL$67,MATCH(B226,'ei names mapping'!$A$4:$A$33,0),MATCH(G261,'ei names mapping'!$B$3:$BL$3,0))</f>
        <v>RER</v>
      </c>
      <c r="D261" t="str">
        <f>INDEX('ei names mapping'!$B$104:$BL$133,MATCH(B226,'ei names mapping'!$A$4:$A$33,0),MATCH(G261,'ei names mapping'!$B$3:$BL$3,0))</f>
        <v>kilogram</v>
      </c>
      <c r="F261" t="s">
        <v>89</v>
      </c>
      <c r="G261" t="s">
        <v>31</v>
      </c>
      <c r="H261" t="str">
        <f>INDEX('ei names mapping'!$B$71:$BL$100,MATCH(B226,'ei names mapping'!$A$4:$A$33,0),MATCH(G261,'ei names mapping'!$B$3:$BL$3,0))</f>
        <v>brake wear emissions, passenger car</v>
      </c>
    </row>
    <row r="263" spans="1:8" ht="16" x14ac:dyDescent="0.2">
      <c r="A263" s="10" t="s">
        <v>71</v>
      </c>
      <c r="B263" s="8" t="str">
        <f>"transport, "&amp;B265&amp;", "&amp;B280&amp;" battery, "&amp;B267</f>
        <v>transport, Motorbike, electric, &lt;4kW, LFP battery, 2040</v>
      </c>
    </row>
    <row r="264" spans="1:8" x14ac:dyDescent="0.2">
      <c r="A264" t="s">
        <v>72</v>
      </c>
      <c r="B264" t="s">
        <v>37</v>
      </c>
    </row>
    <row r="265" spans="1:8" x14ac:dyDescent="0.2">
      <c r="A265" t="s">
        <v>86</v>
      </c>
      <c r="B265" t="s">
        <v>492</v>
      </c>
    </row>
    <row r="266" spans="1:8" x14ac:dyDescent="0.2">
      <c r="A266" t="s">
        <v>87</v>
      </c>
    </row>
    <row r="267" spans="1:8" x14ac:dyDescent="0.2">
      <c r="A267" t="s">
        <v>88</v>
      </c>
      <c r="B267">
        <v>2040</v>
      </c>
    </row>
    <row r="268" spans="1:8" x14ac:dyDescent="0.2">
      <c r="A268" t="s">
        <v>126</v>
      </c>
      <c r="B268" t="str">
        <f>B265&amp;" - "&amp;B267&amp;" - "&amp;B280&amp;" - "&amp;B264</f>
        <v>Motorbike, electric, &lt;4kW - 2040 - LFP - CH</v>
      </c>
    </row>
    <row r="269" spans="1:8" x14ac:dyDescent="0.2">
      <c r="A269" t="s">
        <v>73</v>
      </c>
      <c r="B269" t="str">
        <f>"transport, "&amp;B265</f>
        <v>transport, Motorbike, electric, &lt;4kW</v>
      </c>
    </row>
    <row r="270" spans="1:8" x14ac:dyDescent="0.2">
      <c r="A270" t="s">
        <v>74</v>
      </c>
      <c r="B270" t="s">
        <v>75</v>
      </c>
    </row>
    <row r="271" spans="1:8" x14ac:dyDescent="0.2">
      <c r="A271" t="s">
        <v>76</v>
      </c>
      <c r="B271" t="s">
        <v>166</v>
      </c>
    </row>
    <row r="272" spans="1:8" x14ac:dyDescent="0.2">
      <c r="A272" t="s">
        <v>78</v>
      </c>
      <c r="B272" t="s">
        <v>1143</v>
      </c>
    </row>
    <row r="273" spans="1:2" x14ac:dyDescent="0.2">
      <c r="A273" t="s">
        <v>127</v>
      </c>
      <c r="B273">
        <f>INDEX('vehicles specifications'!$B$3:$CW$166,MATCH(B268,'vehicles specifications'!$A$3:$A$166,0),MATCH("Lifetime [km]",'vehicles specifications'!$B$2:$CW$2,0))</f>
        <v>25000</v>
      </c>
    </row>
    <row r="274" spans="1:2" x14ac:dyDescent="0.2">
      <c r="A274" t="s">
        <v>128</v>
      </c>
      <c r="B274">
        <f>INDEX('vehicles specifications'!$B$3:$CW$166,MATCH(B268,'vehicles specifications'!$A$3:$A$166,0),MATCH("Passengers [unit]",'vehicles specifications'!$B$2:$CW$2,0))</f>
        <v>1.1000000000000001</v>
      </c>
    </row>
    <row r="275" spans="1:2" x14ac:dyDescent="0.2">
      <c r="A275" t="s">
        <v>129</v>
      </c>
      <c r="B275">
        <f>INDEX('vehicles specifications'!$B$3:$CW$166,MATCH(B268,'vehicles specifications'!$A$3:$A$166,0),MATCH("Servicing [unit]",'vehicles specifications'!$B$2:$CW$2,0))</f>
        <v>1</v>
      </c>
    </row>
    <row r="276" spans="1:2" x14ac:dyDescent="0.2">
      <c r="A276" t="s">
        <v>130</v>
      </c>
      <c r="B276">
        <f>INDEX('vehicles specifications'!$B$3:$CW$166,MATCH(B268,'vehicles specifications'!$A$3:$A$166,0),MATCH("Energy battery replacement [unit]",'vehicles specifications'!$B$2:$CW$2,0))</f>
        <v>0.25</v>
      </c>
    </row>
    <row r="277" spans="1:2" x14ac:dyDescent="0.2">
      <c r="A277" t="s">
        <v>131</v>
      </c>
      <c r="B277">
        <f>INDEX('vehicles specifications'!$B$3:$CW$166,MATCH(B268,'vehicles specifications'!$A$3:$A$166,0),MATCH("Annual kilometers [km]",'vehicles specifications'!$B$2:$CW$2,0))</f>
        <v>1776</v>
      </c>
    </row>
    <row r="278" spans="1:2" x14ac:dyDescent="0.2">
      <c r="A278" t="s">
        <v>132</v>
      </c>
      <c r="B278" s="2">
        <f>INDEX('vehicles specifications'!$B$3:$CW$166,MATCH(B268,'vehicles specifications'!$A$3:$A$166,0),MATCH("Curb mass [kg]",'vehicles specifications'!$B$2:$CW$2,0))</f>
        <v>92.35</v>
      </c>
    </row>
    <row r="279" spans="1:2" x14ac:dyDescent="0.2">
      <c r="A279" t="s">
        <v>133</v>
      </c>
      <c r="B279">
        <f>INDEX('vehicles specifications'!$B$3:$CW$166,MATCH(B268,'vehicles specifications'!$A$3:$A$166,0),MATCH("Power [kW]",'vehicles specifications'!$B$2:$CW$2,0))</f>
        <v>2.5</v>
      </c>
    </row>
    <row r="280" spans="1:2" x14ac:dyDescent="0.2">
      <c r="A280" t="s">
        <v>652</v>
      </c>
      <c r="B280" s="20" t="s">
        <v>44</v>
      </c>
    </row>
    <row r="281" spans="1:2" x14ac:dyDescent="0.2">
      <c r="A281" t="s">
        <v>134</v>
      </c>
      <c r="B281">
        <f>INDEX('vehicles specifications'!$B$3:$CW$166,MATCH(B268,'vehicles specifications'!$A$3:$A$166,0),MATCH("Energy battery mass [kg]",'vehicles specifications'!$B$2:$CW$2,0))</f>
        <v>30</v>
      </c>
    </row>
    <row r="282" spans="1:2" x14ac:dyDescent="0.2">
      <c r="A282" t="s">
        <v>135</v>
      </c>
      <c r="B282">
        <f>INDEX('vehicles specifications'!$B$3:$CW$166,MATCH(B268,'vehicles specifications'!$A$3:$A$166,0),MATCH("Electric energy stored [kWh]",'vehicles specifications'!$B$2:$CW$2,0))</f>
        <v>4.5</v>
      </c>
    </row>
    <row r="283" spans="1:2" x14ac:dyDescent="0.2">
      <c r="A283" t="s">
        <v>588</v>
      </c>
      <c r="B283">
        <f>INDEX('vehicles specifications'!$B$3:$CW$166,MATCH(B268,'vehicles specifications'!$A$3:$A$166,0),MATCH("Electric energy available [kWh]",'vehicles specifications'!$B$2:$CW$2,0))</f>
        <v>3.6</v>
      </c>
    </row>
    <row r="284" spans="1:2" x14ac:dyDescent="0.2">
      <c r="A284" t="s">
        <v>138</v>
      </c>
      <c r="B284" s="2">
        <f>INDEX('vehicles specifications'!$B$3:$CW$166,MATCH(B268,'vehicles specifications'!$A$3:$A$166,0),MATCH("Oxydation energy stored [kWh]",'vehicles specifications'!$B$2:$CW$2,0))</f>
        <v>0</v>
      </c>
    </row>
    <row r="285" spans="1:2" x14ac:dyDescent="0.2">
      <c r="A285" t="s">
        <v>139</v>
      </c>
      <c r="B285">
        <f>INDEX('vehicles specifications'!$B$3:$CW$166,MATCH(B268,'vehicles specifications'!$A$3:$A$166,0),MATCH("Fuel mass [kg]",'vehicles specifications'!$B$2:$CW$2,0))</f>
        <v>0</v>
      </c>
    </row>
    <row r="286" spans="1:2" x14ac:dyDescent="0.2">
      <c r="A286" t="s">
        <v>136</v>
      </c>
      <c r="B286" s="2">
        <f>INDEX('vehicles specifications'!$B$3:$CW$166,MATCH(B268,'vehicles specifications'!$A$3:$A$166,0),MATCH("Range [km]",'vehicles specifications'!$B$2:$CW$2,0))</f>
        <v>107.10743801652892</v>
      </c>
    </row>
    <row r="287" spans="1:2" x14ac:dyDescent="0.2">
      <c r="A287" t="s">
        <v>137</v>
      </c>
      <c r="B287" t="str">
        <f>INDEX('vehicles specifications'!$B$3:$CW$166,MATCH(B268,'vehicles specifications'!$A$3:$A$166,0),MATCH("Emission standard",'vehicles specifications'!$B$2:$CW$2,0))</f>
        <v>None</v>
      </c>
    </row>
    <row r="288" spans="1:2" x14ac:dyDescent="0.2">
      <c r="A288" t="s">
        <v>1174</v>
      </c>
      <c r="B288" s="6">
        <f>INDEX('vehicles specifications'!$B$3:$CW$166,MATCH(B268,'vehicles specifications'!$A$3:$A$166,0),MATCH("Lightweighting rate [%]",'vehicles specifications'!$B$2:$CW$2,0))</f>
        <v>0.05</v>
      </c>
    </row>
    <row r="289" spans="1:8" x14ac:dyDescent="0.2">
      <c r="A289" t="s">
        <v>83</v>
      </c>
      <c r="B289"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92.4 kg. Lightweighting of glider: 5%. Emission standard: None. Service visits throughout lifetime: 1. Range: 107 km. Battery capacity: 4.5 kWh. Available battery capacity: 3.6 kWh. Battery mass: 30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8" ht="16" x14ac:dyDescent="0.2">
      <c r="A290" s="10" t="s">
        <v>79</v>
      </c>
    </row>
    <row r="291" spans="1:8" x14ac:dyDescent="0.2">
      <c r="A291" t="s">
        <v>80</v>
      </c>
      <c r="B291" t="s">
        <v>81</v>
      </c>
      <c r="C291" t="s">
        <v>72</v>
      </c>
      <c r="D291" t="s">
        <v>76</v>
      </c>
      <c r="E291" t="s">
        <v>82</v>
      </c>
      <c r="F291" t="s">
        <v>74</v>
      </c>
      <c r="G291" t="s">
        <v>83</v>
      </c>
      <c r="H291" t="s">
        <v>73</v>
      </c>
    </row>
    <row r="292" spans="1:8" x14ac:dyDescent="0.2">
      <c r="A292" t="str">
        <f>B263</f>
        <v>transport, Motorbike, electric, &lt;4kW, LFP battery, 2040</v>
      </c>
      <c r="B292">
        <v>1</v>
      </c>
      <c r="C292" t="str">
        <f>B264</f>
        <v>CH</v>
      </c>
      <c r="D292" t="s">
        <v>166</v>
      </c>
      <c r="F292" t="s">
        <v>84</v>
      </c>
      <c r="G292" t="s">
        <v>85</v>
      </c>
      <c r="H292" t="str">
        <f>B269</f>
        <v>transport, Motorbike, electric, &lt;4kW</v>
      </c>
    </row>
    <row r="293" spans="1:8" x14ac:dyDescent="0.2">
      <c r="A293" t="str">
        <f>RIGHT(A292,LEN(A292)-11)</f>
        <v>Motorbike, electric, &lt;4kW, LFP battery, 2040</v>
      </c>
      <c r="B293" s="7">
        <f>1/B273</f>
        <v>4.0000000000000003E-5</v>
      </c>
      <c r="C293" t="str">
        <f>B264</f>
        <v>CH</v>
      </c>
      <c r="D293" t="s">
        <v>76</v>
      </c>
      <c r="F293" t="s">
        <v>89</v>
      </c>
      <c r="H293" t="str">
        <f>RIGHT(H292,LEN(H292)-11)</f>
        <v>Motorbike, electric, &lt;4kW</v>
      </c>
    </row>
    <row r="294" spans="1:8" x14ac:dyDescent="0.2">
      <c r="A294" t="str">
        <f>INDEX('ei names mapping'!$B$4:$R$33,MATCH(B265,'ei names mapping'!$A$4:$A$33,0),MATCH(G294,'ei names mapping'!$B$3:$R$3,0))</f>
        <v>road maintenance</v>
      </c>
      <c r="B294" s="7">
        <f>INDEX('vehicles specifications'!$B$3:$CW$166,MATCH(B268,'vehicles specifications'!$A$3:$A$166,0),MATCH(G294,'vehicles specifications'!$B$2:$CW$2,0))*INDEX('ei names mapping'!$B$137:$BL$300,MATCH(B268,'ei names mapping'!$A$137:$A$300,0),MATCH(G294,'ei names mapping'!$B$136:$BL$136,0))</f>
        <v>1.2899999999999999E-3</v>
      </c>
      <c r="C294" t="str">
        <f>INDEX('ei names mapping'!$B$38:$R$67,MATCH(B265,'ei names mapping'!$A$4:$A$33,0),MATCH(G294,'ei names mapping'!$B$3:$R$3,0))</f>
        <v>CH</v>
      </c>
      <c r="D294" t="str">
        <f>INDEX('ei names mapping'!$B$104:$BL$133,MATCH(B265,'ei names mapping'!$A$4:$A$33,0),MATCH(G294,'ei names mapping'!$B$3:$BL$3,0))</f>
        <v>meter-year</v>
      </c>
      <c r="F294" t="s">
        <v>89</v>
      </c>
      <c r="G294" t="s">
        <v>112</v>
      </c>
      <c r="H294" t="str">
        <f>INDEX('ei names mapping'!$B$71:$BL$100,MATCH(B265,'ei names mapping'!$A$4:$A$33,0),MATCH(G294,'ei names mapping'!$B$3:$BL$3,0))</f>
        <v>road maintenance</v>
      </c>
    </row>
    <row r="295" spans="1:8" x14ac:dyDescent="0.2">
      <c r="A295" t="str">
        <f>INDEX('ei names mapping'!$B$4:$R$33,MATCH(B265,'ei names mapping'!$A$4:$A$33,0),MATCH(G295,'ei names mapping'!$B$3:$R$3,0))</f>
        <v>market for electricity, low voltage</v>
      </c>
      <c r="B295" s="7">
        <f>INDEX('vehicles specifications'!$B$3:$CW$166,MATCH(B268,'vehicles specifications'!$A$3:$A$166,0),MATCH(G295,'vehicles specifications'!$B$2:$CW$2,0))*INDEX('ei names mapping'!$B$137:$BL$300,MATCH(B268,'ei names mapping'!$A$137:$A$300,0),MATCH(G295,'ei names mapping'!$B$136:$BL$136,0))</f>
        <v>3.6972222222222226E-2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mapping'!$B$71:$R$100,MATCH(B265,'ei names mapping'!$A$4:$A$33,0),MATCH(G295,'ei names mapping'!$B$3:$R$3,0))</f>
        <v>electricity, low voltage</v>
      </c>
    </row>
    <row r="296" spans="1:8" x14ac:dyDescent="0.2">
      <c r="A296" t="str">
        <f>INDEX('ei names mapping'!$B$4:$R$33,MATCH(B265,'ei names mapping'!$A$4:$A$33,0),MATCH(G296,'ei names mapping'!$B$3:$R$3,0))</f>
        <v>market for maintenance, electric scooter, without battery</v>
      </c>
      <c r="B296" s="7">
        <f>INDEX('vehicles specifications'!$B$3:$CW$166,MATCH(B268,'vehicles specifications'!$A$3:$A$166,0),MATCH(G296,'vehicles specifications'!$B$2:$CW$2,0))*INDEX('ei names mapping'!$B$137:$BL$300,MATCH(B268,'ei names mapping'!$A$137:$A$300,0),MATCH(G296,'ei names mapping'!$B$136:$BL$136,0))</f>
        <v>4.0000000000000003E-5</v>
      </c>
      <c r="C296" t="str">
        <f>INDEX('ei names mapping'!$B$38:$BL$67,MATCH(B265,'ei names mapping'!$A$4:$A$33,0),MATCH(G296,'ei names mapping'!$B$3:$BL$3,0))</f>
        <v>GLO</v>
      </c>
      <c r="D296" t="str">
        <f>INDEX('ei names mapping'!$B$104:$BL$133,MATCH(B265,'ei names mapping'!$A$4:$A$33,0),MATCH(G296,'ei names mapping'!$B$3:$BL$3,0))</f>
        <v>unit</v>
      </c>
      <c r="F296" t="s">
        <v>89</v>
      </c>
      <c r="G296" t="s">
        <v>118</v>
      </c>
      <c r="H296" t="str">
        <f>INDEX('ei names mapping'!$B$71:$BL$100,MATCH(B265,'ei names mapping'!$A$4:$A$33,0),MATCH(G296,'ei names mapping'!$B$3:$BL$3,0))</f>
        <v>maintenance, electric scooter, without battery</v>
      </c>
    </row>
    <row r="297" spans="1:8" x14ac:dyDescent="0.2">
      <c r="A297" t="str">
        <f>INDEX('ei names mapping'!$B$4:$R$33,MATCH(B265,'ei names mapping'!$A$4:$A$33,0),MATCH(G297,'ei names mapping'!$B$3:$R$3,0))</f>
        <v>road construction</v>
      </c>
      <c r="B297" s="7">
        <f>INDEX('vehicles specifications'!$B$3:$CW$166,MATCH(B268,'vehicles specifications'!$A$3:$A$166,0),MATCH(G297,'vehicles specifications'!$B$2:$CW$2,0))*INDEX('ei names mapping'!$B$137:$BL$300,MATCH(B268,'ei names mapping'!$A$137:$A$300,0),MATCH(G297,'ei names mapping'!$B$136:$BL$136,0))</f>
        <v>9.7116450000000001E-5</v>
      </c>
      <c r="C297" t="str">
        <f>INDEX('ei names mapping'!$B$38:$R$67,MATCH(B265,'ei names mapping'!$A$4:$A$33,0),MATCH(G297,'ei names mapping'!$B$3:$R$3,0))</f>
        <v>CH</v>
      </c>
      <c r="D297" t="str">
        <f>INDEX('ei names mapping'!$B$104:$R$133,MATCH(B265,'ei names mapping'!$A$104:$A$133,0),MATCH(G297,'ei names mapping'!$B$3:$R$3,0))</f>
        <v>meter-year</v>
      </c>
      <c r="F297" t="s">
        <v>89</v>
      </c>
      <c r="G297" t="s">
        <v>105</v>
      </c>
      <c r="H297" t="str">
        <f>INDEX('ei names mapping'!$B$71:$R$100,MATCH(B265,'ei names mapping'!$A$4:$A$33,0),MATCH(G297,'ei names mapping'!$B$3:$R$3,0))</f>
        <v>road</v>
      </c>
    </row>
    <row r="298" spans="1:8" x14ac:dyDescent="0.2">
      <c r="A298" t="str">
        <f>INDEX('ei names mapping'!$B$4:$BL$33,MATCH(B265,'ei names mapping'!$A$4:$A$33,0),MATCH(G298,'ei names mapping'!$B$3:$BL$3,0))</f>
        <v>treatment of road wear emissions, passenger car</v>
      </c>
      <c r="B298" s="7">
        <f>INDEX('vehicles specifications'!$B$3:$CW$166,MATCH(B268,'vehicles specifications'!$A$3:$A$166,0),MATCH(G298,'vehicles specifications'!$B$2:$CW$2,0))*INDEX('ei names mapping'!$B$137:$BL$300,MATCH(B268,'ei names mapping'!$A$137:$A$300,0),MATCH(G298,'ei names mapping'!$B$136:$BL$136,0))</f>
        <v>-6.7267696246259231E-6</v>
      </c>
      <c r="C298" t="str">
        <f>INDEX('ei names mapping'!$B$38:$BL$67,MATCH(B265,'ei names mapping'!$A$4:$A$33,0),MATCH(G298,'ei names mapping'!$B$3:$BL$3,0))</f>
        <v>RER</v>
      </c>
      <c r="D298" t="str">
        <f>INDEX('ei names mapping'!$B$104:$BL$133,MATCH(B265,'ei names mapping'!$A$4:$A$33,0),MATCH(G298,'ei names mapping'!$B$3:$BL$3,0))</f>
        <v>kilogram</v>
      </c>
      <c r="F298" t="s">
        <v>89</v>
      </c>
      <c r="G298" t="s">
        <v>29</v>
      </c>
      <c r="H298" t="str">
        <f>INDEX('ei names mapping'!$B$71:$BL$100,MATCH(B265,'ei names mapping'!$A$4:$A$33,0),MATCH(G298,'ei names mapping'!$B$3:$BL$3,0))</f>
        <v>road wear emissions, passenger car</v>
      </c>
    </row>
    <row r="299" spans="1:8" x14ac:dyDescent="0.2">
      <c r="A299" t="str">
        <f>INDEX('ei names mapping'!$B$4:$BL$33,MATCH(B265,'ei names mapping'!$A$4:$A$33,0),MATCH(G299,'ei names mapping'!$B$3:$BL$3,0))</f>
        <v>treatment of tyre wear emissions, passenger car</v>
      </c>
      <c r="B299" s="7">
        <f>INDEX('vehicles specifications'!$B$3:$CW$166,MATCH(B268,'vehicles specifications'!$A$3:$A$166,0),MATCH(G299,'vehicles specifications'!$B$2:$CW$2,0))*INDEX('ei names mapping'!$B$137:$BL$300,MATCH(B268,'ei names mapping'!$A$137:$A$300,0),MATCH(G299,'ei names mapping'!$B$136:$BL$136,0))</f>
        <v>-4.8052573201008543E-6</v>
      </c>
      <c r="C299" t="str">
        <f>INDEX('ei names mapping'!$B$38:$BL$67,MATCH(B265,'ei names mapping'!$A$4:$A$33,0),MATCH(G299,'ei names mapping'!$B$3:$BL$3,0))</f>
        <v>RER</v>
      </c>
      <c r="D299" t="str">
        <f>INDEX('ei names mapping'!$B$104:$BL$133,MATCH(B265,'ei names mapping'!$A$4:$A$33,0),MATCH(G299,'ei names mapping'!$B$3:$BL$3,0))</f>
        <v>kilogram</v>
      </c>
      <c r="F299" t="s">
        <v>89</v>
      </c>
      <c r="G299" t="s">
        <v>30</v>
      </c>
      <c r="H299" t="str">
        <f>INDEX('ei names mapping'!$B$71:$BL$100,MATCH(B265,'ei names mapping'!$A$4:$A$33,0),MATCH(G299,'ei names mapping'!$B$3:$BL$3,0))</f>
        <v>tyre wear emissions, passenger car</v>
      </c>
    </row>
    <row r="300" spans="1:8" x14ac:dyDescent="0.2">
      <c r="A300" t="str">
        <f>INDEX('ei names mapping'!$B$4:$BL$33,MATCH(B265,'ei names mapping'!$A$4:$A$33,0),MATCH(G300,'ei names mapping'!$B$3:$BL$3,0))</f>
        <v>treatment of brake wear emissions, passenger car</v>
      </c>
      <c r="B300" s="7">
        <f>INDEX('vehicles specifications'!$B$3:$CW$166,MATCH(B268,'vehicles specifications'!$A$3:$A$166,0),MATCH(G300,'vehicles specifications'!$B$2:$CW$2,0))*INDEX('ei names mapping'!$B$137:$BL$300,MATCH(B268,'ei names mapping'!$A$137:$A$300,0),MATCH(G300,'ei names mapping'!$B$136:$BL$136,0))</f>
        <v>-2.5773238231468531E-6</v>
      </c>
      <c r="C300" t="str">
        <f>INDEX('ei names mapping'!$B$38:$BL$67,MATCH(B265,'ei names mapping'!$A$4:$A$33,0),MATCH(G300,'ei names mapping'!$B$3:$BL$3,0))</f>
        <v>RER</v>
      </c>
      <c r="D300" t="str">
        <f>INDEX('ei names mapping'!$B$104:$BL$133,MATCH(B265,'ei names mapping'!$A$4:$A$33,0),MATCH(G300,'ei names mapping'!$B$3:$BL$3,0))</f>
        <v>kilogram</v>
      </c>
      <c r="F300" t="s">
        <v>89</v>
      </c>
      <c r="G300" t="s">
        <v>31</v>
      </c>
      <c r="H300" t="str">
        <f>INDEX('ei names mapping'!$B$71:$BL$100,MATCH(B265,'ei names mapping'!$A$4:$A$33,0),MATCH(G300,'ei names mapping'!$B$3:$BL$3,0))</f>
        <v>brake wear emissions, passenger car</v>
      </c>
    </row>
    <row r="302" spans="1:8" ht="16" x14ac:dyDescent="0.2">
      <c r="A302" s="10" t="s">
        <v>71</v>
      </c>
      <c r="B302" s="8" t="str">
        <f>"transport, "&amp;B304&amp;", "&amp;B319&amp;" battery, "&amp;B306</f>
        <v>transport, Motorbike, electric, &lt;4kW, LFP battery, 2050</v>
      </c>
    </row>
    <row r="303" spans="1:8" x14ac:dyDescent="0.2">
      <c r="A303" t="s">
        <v>72</v>
      </c>
      <c r="B303" t="s">
        <v>37</v>
      </c>
    </row>
    <row r="304" spans="1:8" x14ac:dyDescent="0.2">
      <c r="A304" t="s">
        <v>86</v>
      </c>
      <c r="B304" t="s">
        <v>492</v>
      </c>
    </row>
    <row r="305" spans="1:2" x14ac:dyDescent="0.2">
      <c r="A305" t="s">
        <v>87</v>
      </c>
    </row>
    <row r="306" spans="1:2" x14ac:dyDescent="0.2">
      <c r="A306" t="s">
        <v>88</v>
      </c>
      <c r="B306">
        <v>2050</v>
      </c>
    </row>
    <row r="307" spans="1:2" x14ac:dyDescent="0.2">
      <c r="A307" t="s">
        <v>126</v>
      </c>
      <c r="B307" t="str">
        <f>B304&amp;" - "&amp;B306&amp;" - "&amp;B319&amp;" - "&amp;B303</f>
        <v>Motorbike, electric, &lt;4kW - 2050 - LFP - CH</v>
      </c>
    </row>
    <row r="308" spans="1:2" x14ac:dyDescent="0.2">
      <c r="A308" t="s">
        <v>73</v>
      </c>
      <c r="B308" t="str">
        <f>"transport, "&amp;B304</f>
        <v>transport, Motorbike, electric, &lt;4kW</v>
      </c>
    </row>
    <row r="309" spans="1:2" x14ac:dyDescent="0.2">
      <c r="A309" t="s">
        <v>74</v>
      </c>
      <c r="B309" t="s">
        <v>75</v>
      </c>
    </row>
    <row r="310" spans="1:2" x14ac:dyDescent="0.2">
      <c r="A310" t="s">
        <v>76</v>
      </c>
      <c r="B310" t="s">
        <v>166</v>
      </c>
    </row>
    <row r="311" spans="1:2" x14ac:dyDescent="0.2">
      <c r="A311" t="s">
        <v>78</v>
      </c>
      <c r="B311" t="s">
        <v>1143</v>
      </c>
    </row>
    <row r="312" spans="1:2" x14ac:dyDescent="0.2">
      <c r="A312" t="s">
        <v>127</v>
      </c>
      <c r="B312">
        <f>INDEX('vehicles specifications'!$B$3:$CW$166,MATCH(B307,'vehicles specifications'!$A$3:$A$166,0),MATCH("Lifetime [km]",'vehicles specifications'!$B$2:$CW$2,0))</f>
        <v>25000</v>
      </c>
    </row>
    <row r="313" spans="1:2" x14ac:dyDescent="0.2">
      <c r="A313" t="s">
        <v>128</v>
      </c>
      <c r="B313">
        <f>INDEX('vehicles specifications'!$B$3:$CW$166,MATCH(B307,'vehicles specifications'!$A$3:$A$166,0),MATCH("Passengers [unit]",'vehicles specifications'!$B$2:$CW$2,0))</f>
        <v>1.1000000000000001</v>
      </c>
    </row>
    <row r="314" spans="1:2" x14ac:dyDescent="0.2">
      <c r="A314" t="s">
        <v>129</v>
      </c>
      <c r="B314">
        <f>INDEX('vehicles specifications'!$B$3:$CW$166,MATCH(B307,'vehicles specifications'!$A$3:$A$166,0),MATCH("Servicing [unit]",'vehicles specifications'!$B$2:$CW$2,0))</f>
        <v>1</v>
      </c>
    </row>
    <row r="315" spans="1:2" x14ac:dyDescent="0.2">
      <c r="A315" t="s">
        <v>130</v>
      </c>
      <c r="B315">
        <f>INDEX('vehicles specifications'!$B$3:$CW$166,MATCH(B307,'vehicles specifications'!$A$3:$A$166,0),MATCH("Energy battery replacement [unit]",'vehicles specifications'!$B$2:$CW$2,0))</f>
        <v>0</v>
      </c>
    </row>
    <row r="316" spans="1:2" x14ac:dyDescent="0.2">
      <c r="A316" t="s">
        <v>131</v>
      </c>
      <c r="B316">
        <f>INDEX('vehicles specifications'!$B$3:$CW$166,MATCH(B307,'vehicles specifications'!$A$3:$A$166,0),MATCH("Annual kilometers [km]",'vehicles specifications'!$B$2:$CW$2,0))</f>
        <v>1776</v>
      </c>
    </row>
    <row r="317" spans="1:2" x14ac:dyDescent="0.2">
      <c r="A317" t="s">
        <v>132</v>
      </c>
      <c r="B317" s="2">
        <f>INDEX('vehicles specifications'!$B$3:$CW$166,MATCH(B307,'vehicles specifications'!$A$3:$A$166,0),MATCH("Curb mass [kg]",'vehicles specifications'!$B$2:$CW$2,0))</f>
        <v>97.289999999999992</v>
      </c>
    </row>
    <row r="318" spans="1:2" x14ac:dyDescent="0.2">
      <c r="A318" t="s">
        <v>133</v>
      </c>
      <c r="B318">
        <f>INDEX('vehicles specifications'!$B$3:$CW$166,MATCH(B307,'vehicles specifications'!$A$3:$A$166,0),MATCH("Power [kW]",'vehicles specifications'!$B$2:$CW$2,0))</f>
        <v>2.5</v>
      </c>
    </row>
    <row r="319" spans="1:2" x14ac:dyDescent="0.2">
      <c r="A319" t="s">
        <v>652</v>
      </c>
      <c r="B319" s="20" t="s">
        <v>44</v>
      </c>
    </row>
    <row r="320" spans="1:2" x14ac:dyDescent="0.2">
      <c r="A320" t="s">
        <v>134</v>
      </c>
      <c r="B320">
        <f>INDEX('vehicles specifications'!$B$3:$CW$166,MATCH(B307,'vehicles specifications'!$A$3:$A$166,0),MATCH("Energy battery mass [kg]",'vehicles specifications'!$B$2:$CW$2,0))</f>
        <v>36</v>
      </c>
    </row>
    <row r="321" spans="1:8" x14ac:dyDescent="0.2">
      <c r="A321" t="s">
        <v>135</v>
      </c>
      <c r="B321">
        <f>INDEX('vehicles specifications'!$B$3:$CW$166,MATCH(B307,'vehicles specifications'!$A$3:$A$166,0),MATCH("Electric energy stored [kWh]",'vehicles specifications'!$B$2:$CW$2,0))</f>
        <v>6</v>
      </c>
    </row>
    <row r="322" spans="1:8" x14ac:dyDescent="0.2">
      <c r="A322" t="s">
        <v>588</v>
      </c>
      <c r="B322">
        <f>INDEX('vehicles specifications'!$B$3:$CW$166,MATCH(B307,'vehicles specifications'!$A$3:$A$166,0),MATCH("Electric energy available [kWh]",'vehicles specifications'!$B$2:$CW$2,0))</f>
        <v>4.8000000000000007</v>
      </c>
    </row>
    <row r="323" spans="1:8" x14ac:dyDescent="0.2">
      <c r="A323" t="s">
        <v>138</v>
      </c>
      <c r="B323" s="2">
        <f>INDEX('vehicles specifications'!$B$3:$CW$166,MATCH(B307,'vehicles specifications'!$A$3:$A$166,0),MATCH("Oxydation energy stored [kWh]",'vehicles specifications'!$B$2:$CW$2,0))</f>
        <v>0</v>
      </c>
    </row>
    <row r="324" spans="1:8" x14ac:dyDescent="0.2">
      <c r="A324" t="s">
        <v>139</v>
      </c>
      <c r="B324">
        <f>INDEX('vehicles specifications'!$B$3:$CW$166,MATCH(B307,'vehicles specifications'!$A$3:$A$166,0),MATCH("Fuel mass [kg]",'vehicles specifications'!$B$2:$CW$2,0))</f>
        <v>0</v>
      </c>
    </row>
    <row r="325" spans="1:8" x14ac:dyDescent="0.2">
      <c r="A325" t="s">
        <v>136</v>
      </c>
      <c r="B325" s="2">
        <f>INDEX('vehicles specifications'!$B$3:$CW$166,MATCH(B307,'vehicles specifications'!$A$3:$A$166,0),MATCH("Range [km]",'vehicles specifications'!$B$2:$CW$2,0))</f>
        <v>142.80991735537191</v>
      </c>
    </row>
    <row r="326" spans="1:8" x14ac:dyDescent="0.2">
      <c r="A326" t="s">
        <v>137</v>
      </c>
      <c r="B326" t="str">
        <f>INDEX('vehicles specifications'!$B$3:$CW$166,MATCH(B307,'vehicles specifications'!$A$3:$A$166,0),MATCH("Emission standard",'vehicles specifications'!$B$2:$CW$2,0))</f>
        <v>None</v>
      </c>
    </row>
    <row r="327" spans="1:8" x14ac:dyDescent="0.2">
      <c r="A327" t="s">
        <v>1174</v>
      </c>
      <c r="B327" s="6">
        <f>INDEX('vehicles specifications'!$B$3:$CW$166,MATCH(B307,'vehicles specifications'!$A$3:$A$166,0),MATCH("Lightweighting rate [%]",'vehicles specifications'!$B$2:$CW$2,0))</f>
        <v>7.0000000000000007E-2</v>
      </c>
    </row>
    <row r="328" spans="1:8" x14ac:dyDescent="0.2">
      <c r="A328" t="s">
        <v>83</v>
      </c>
      <c r="B328"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97.3 kg. Lightweighting of glider: 7%. Emission standard: None. Service visits throughout lifetime: 1. Range: 143 km. Battery capacity: 6 kWh. Available battery capacity: 4.8 kWh. Battery mass: 36 kg. Battery replacement throughout lifetime: 0. Fuel tank capacity: 0 kWh. Fuel mass: 0 kg. Documentation: Life-cycle inventories for on-road vehicles, Sacchi R. (PSI), Bauer C. (PSI), 2021. 1785</v>
      </c>
    </row>
    <row r="329" spans="1:8" ht="16" x14ac:dyDescent="0.2">
      <c r="A329" s="10" t="s">
        <v>79</v>
      </c>
    </row>
    <row r="330" spans="1:8" x14ac:dyDescent="0.2">
      <c r="A330" t="s">
        <v>80</v>
      </c>
      <c r="B330" t="s">
        <v>81</v>
      </c>
      <c r="C330" t="s">
        <v>72</v>
      </c>
      <c r="D330" t="s">
        <v>76</v>
      </c>
      <c r="E330" t="s">
        <v>82</v>
      </c>
      <c r="F330" t="s">
        <v>74</v>
      </c>
      <c r="G330" t="s">
        <v>83</v>
      </c>
      <c r="H330" t="s">
        <v>73</v>
      </c>
    </row>
    <row r="331" spans="1:8" x14ac:dyDescent="0.2">
      <c r="A331" t="str">
        <f>B302</f>
        <v>transport, Motorbike, electric, &lt;4kW, LFP battery, 2050</v>
      </c>
      <c r="B331">
        <v>1</v>
      </c>
      <c r="C331" t="str">
        <f>B303</f>
        <v>CH</v>
      </c>
      <c r="D331" t="s">
        <v>166</v>
      </c>
      <c r="F331" t="s">
        <v>84</v>
      </c>
      <c r="G331" t="s">
        <v>85</v>
      </c>
      <c r="H331" t="str">
        <f>B308</f>
        <v>transport, Motorbike, electric, &lt;4kW</v>
      </c>
    </row>
    <row r="332" spans="1:8" x14ac:dyDescent="0.2">
      <c r="A332" t="str">
        <f>RIGHT(A331,LEN(A331)-11)</f>
        <v>Motorbike, electric, &lt;4kW, LFP battery, 2050</v>
      </c>
      <c r="B332" s="7">
        <f>1/B312</f>
        <v>4.0000000000000003E-5</v>
      </c>
      <c r="C332" t="str">
        <f>B303</f>
        <v>CH</v>
      </c>
      <c r="D332" t="s">
        <v>76</v>
      </c>
      <c r="F332" t="s">
        <v>89</v>
      </c>
      <c r="H332" t="str">
        <f>RIGHT(H331,LEN(H331)-11)</f>
        <v>Motorbike, electric, &lt;4kW</v>
      </c>
    </row>
    <row r="333" spans="1:8" x14ac:dyDescent="0.2">
      <c r="A333" t="str">
        <f>INDEX('ei names mapping'!$B$4:$R$33,MATCH(B304,'ei names mapping'!$A$4:$A$33,0),MATCH(G333,'ei names mapping'!$B$3:$R$3,0))</f>
        <v>road maintenance</v>
      </c>
      <c r="B333" s="7">
        <f>INDEX('vehicles specifications'!$B$3:$CW$166,MATCH(B307,'vehicles specifications'!$A$3:$A$166,0),MATCH(G333,'vehicles specifications'!$B$2:$CW$2,0))*INDEX('ei names mapping'!$B$137:$BL$300,MATCH(B307,'ei names mapping'!$A$137:$A$300,0),MATCH(G333,'ei names mapping'!$B$136:$BL$136,0))</f>
        <v>1.2899999999999999E-3</v>
      </c>
      <c r="C333" t="str">
        <f>INDEX('ei names mapping'!$B$38:$R$67,MATCH(B304,'ei names mapping'!$A$4:$A$33,0),MATCH(G333,'ei names mapping'!$B$3:$R$3,0))</f>
        <v>CH</v>
      </c>
      <c r="D333" t="str">
        <f>INDEX('ei names mapping'!$B$104:$BL$133,MATCH(B304,'ei names mapping'!$A$4:$A$33,0),MATCH(G333,'ei names mapping'!$B$3:$BL$3,0))</f>
        <v>meter-year</v>
      </c>
      <c r="F333" t="s">
        <v>89</v>
      </c>
      <c r="G333" t="s">
        <v>112</v>
      </c>
      <c r="H333" t="str">
        <f>INDEX('ei names mapping'!$B$71:$BL$100,MATCH(B304,'ei names mapping'!$A$4:$A$33,0),MATCH(G333,'ei names mapping'!$B$3:$BL$3,0))</f>
        <v>road maintenance</v>
      </c>
    </row>
    <row r="334" spans="1:8" x14ac:dyDescent="0.2">
      <c r="A334" t="str">
        <f>INDEX('ei names mapping'!$B$4:$R$33,MATCH(B304,'ei names mapping'!$A$4:$A$33,0),MATCH(G334,'ei names mapping'!$B$3:$R$3,0))</f>
        <v>market for electricity, low voltage</v>
      </c>
      <c r="B334" s="7">
        <f>INDEX('vehicles specifications'!$B$3:$CW$166,MATCH(B307,'vehicles specifications'!$A$3:$A$166,0),MATCH(G334,'vehicles specifications'!$B$2:$CW$2,0))*INDEX('ei names mapping'!$B$137:$BL$300,MATCH(B307,'ei names mapping'!$A$137:$A$300,0),MATCH(G334,'ei names mapping'!$B$136:$BL$136,0))</f>
        <v>3.6972222222222226E-2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mapping'!$B$71:$R$100,MATCH(B304,'ei names mapping'!$A$4:$A$33,0),MATCH(G334,'ei names mapping'!$B$3:$R$3,0))</f>
        <v>electricity, low voltage</v>
      </c>
    </row>
    <row r="335" spans="1:8" x14ac:dyDescent="0.2">
      <c r="A335" t="str">
        <f>INDEX('ei names mapping'!$B$4:$R$33,MATCH(B304,'ei names mapping'!$A$4:$A$33,0),MATCH(G335,'ei names mapping'!$B$3:$R$3,0))</f>
        <v>market for maintenance, electric scooter, without battery</v>
      </c>
      <c r="B335" s="7">
        <f>INDEX('vehicles specifications'!$B$3:$CW$166,MATCH(B307,'vehicles specifications'!$A$3:$A$166,0),MATCH(G335,'vehicles specifications'!$B$2:$CW$2,0))*INDEX('ei names mapping'!$B$137:$BL$300,MATCH(B307,'ei names mapping'!$A$137:$A$300,0),MATCH(G335,'ei names mapping'!$B$136:$BL$136,0))</f>
        <v>4.0000000000000003E-5</v>
      </c>
      <c r="C335" t="str">
        <f>INDEX('ei names mapping'!$B$38:$BL$67,MATCH(B304,'ei names mapping'!$A$4:$A$33,0),MATCH(G335,'ei names mapping'!$B$3:$BL$3,0))</f>
        <v>GLO</v>
      </c>
      <c r="D335" t="str">
        <f>INDEX('ei names mapping'!$B$104:$BL$133,MATCH(B304,'ei names mapping'!$A$4:$A$33,0),MATCH(G335,'ei names mapping'!$B$3:$BL$3,0))</f>
        <v>unit</v>
      </c>
      <c r="F335" t="s">
        <v>89</v>
      </c>
      <c r="G335" t="s">
        <v>118</v>
      </c>
      <c r="H335" t="str">
        <f>INDEX('ei names mapping'!$B$71:$BL$100,MATCH(B304,'ei names mapping'!$A$4:$A$33,0),MATCH(G335,'ei names mapping'!$B$3:$BL$3,0))</f>
        <v>maintenance, electric scooter, without battery</v>
      </c>
    </row>
    <row r="336" spans="1:8" x14ac:dyDescent="0.2">
      <c r="A336" t="str">
        <f>INDEX('ei names mapping'!$B$4:$R$33,MATCH(B304,'ei names mapping'!$A$4:$A$33,0),MATCH(G336,'ei names mapping'!$B$3:$R$3,0))</f>
        <v>road construction</v>
      </c>
      <c r="B336" s="7">
        <f>INDEX('vehicles specifications'!$B$3:$CW$166,MATCH(B307,'vehicles specifications'!$A$3:$A$166,0),MATCH(G336,'vehicles specifications'!$B$2:$CW$2,0))*INDEX('ei names mapping'!$B$137:$BL$300,MATCH(B307,'ei names mapping'!$A$137:$A$300,0),MATCH(G336,'ei names mapping'!$B$136:$BL$136,0))</f>
        <v>9.9769230000000002E-5</v>
      </c>
      <c r="C336" t="str">
        <f>INDEX('ei names mapping'!$B$38:$R$67,MATCH(B304,'ei names mapping'!$A$4:$A$33,0),MATCH(G336,'ei names mapping'!$B$3:$R$3,0))</f>
        <v>CH</v>
      </c>
      <c r="D336" t="str">
        <f>INDEX('ei names mapping'!$B$104:$R$133,MATCH(B304,'ei names mapping'!$A$104:$A$133,0),MATCH(G336,'ei names mapping'!$B$3:$R$3,0))</f>
        <v>meter-year</v>
      </c>
      <c r="F336" t="s">
        <v>89</v>
      </c>
      <c r="G336" t="s">
        <v>105</v>
      </c>
      <c r="H336" t="str">
        <f>INDEX('ei names mapping'!$B$71:$R$100,MATCH(B304,'ei names mapping'!$A$4:$A$33,0),MATCH(G336,'ei names mapping'!$B$3:$R$3,0))</f>
        <v>road</v>
      </c>
    </row>
    <row r="337" spans="1:8" x14ac:dyDescent="0.2">
      <c r="A337" t="str">
        <f>INDEX('ei names mapping'!$B$4:$BL$33,MATCH(B304,'ei names mapping'!$A$4:$A$33,0),MATCH(G337,'ei names mapping'!$B$3:$BL$3,0))</f>
        <v>treatment of road wear emissions, passenger car</v>
      </c>
      <c r="B337" s="7">
        <f>INDEX('vehicles specifications'!$B$3:$CW$166,MATCH(B307,'vehicles specifications'!$A$3:$A$166,0),MATCH(G337,'vehicles specifications'!$B$2:$CW$2,0))*INDEX('ei names mapping'!$B$137:$BL$300,MATCH(B307,'ei names mapping'!$A$137:$A$300,0),MATCH(G337,'ei names mapping'!$B$136:$BL$136,0))</f>
        <v>-6.8718368549638702E-6</v>
      </c>
      <c r="C337" t="str">
        <f>INDEX('ei names mapping'!$B$38:$BL$67,MATCH(B304,'ei names mapping'!$A$4:$A$33,0),MATCH(G337,'ei names mapping'!$B$3:$BL$3,0))</f>
        <v>RER</v>
      </c>
      <c r="D337" t="str">
        <f>INDEX('ei names mapping'!$B$104:$BL$133,MATCH(B304,'ei names mapping'!$A$4:$A$33,0),MATCH(G337,'ei names mapping'!$B$3:$BL$3,0))</f>
        <v>kilogram</v>
      </c>
      <c r="F337" t="s">
        <v>89</v>
      </c>
      <c r="G337" t="s">
        <v>29</v>
      </c>
      <c r="H337" t="str">
        <f>INDEX('ei names mapping'!$B$71:$BL$100,MATCH(B304,'ei names mapping'!$A$4:$A$33,0),MATCH(G337,'ei names mapping'!$B$3:$BL$3,0))</f>
        <v>road wear emissions, passenger car</v>
      </c>
    </row>
    <row r="338" spans="1:8" x14ac:dyDescent="0.2">
      <c r="A338" t="str">
        <f>INDEX('ei names mapping'!$B$4:$BL$33,MATCH(B304,'ei names mapping'!$A$4:$A$33,0),MATCH(G338,'ei names mapping'!$B$3:$BL$3,0))</f>
        <v>treatment of tyre wear emissions, passenger car</v>
      </c>
      <c r="B338" s="7">
        <f>INDEX('vehicles specifications'!$B$3:$CW$166,MATCH(B307,'vehicles specifications'!$A$3:$A$166,0),MATCH(G338,'vehicles specifications'!$B$2:$CW$2,0))*INDEX('ei names mapping'!$B$137:$BL$300,MATCH(B307,'ei names mapping'!$A$137:$A$300,0),MATCH(G338,'ei names mapping'!$B$136:$BL$136,0))</f>
        <v>-4.8802737401109593E-6</v>
      </c>
      <c r="C338" t="str">
        <f>INDEX('ei names mapping'!$B$38:$BL$67,MATCH(B304,'ei names mapping'!$A$4:$A$33,0),MATCH(G338,'ei names mapping'!$B$3:$BL$3,0))</f>
        <v>RER</v>
      </c>
      <c r="D338" t="str">
        <f>INDEX('ei names mapping'!$B$104:$BL$133,MATCH(B304,'ei names mapping'!$A$4:$A$33,0),MATCH(G338,'ei names mapping'!$B$3:$BL$3,0))</f>
        <v>kilogram</v>
      </c>
      <c r="F338" t="s">
        <v>89</v>
      </c>
      <c r="G338" t="s">
        <v>30</v>
      </c>
      <c r="H338" t="str">
        <f>INDEX('ei names mapping'!$B$71:$BL$100,MATCH(B304,'ei names mapping'!$A$4:$A$33,0),MATCH(G338,'ei names mapping'!$B$3:$BL$3,0))</f>
        <v>tyre wear emissions, passenger car</v>
      </c>
    </row>
    <row r="339" spans="1:8" x14ac:dyDescent="0.2">
      <c r="A339" t="str">
        <f>INDEX('ei names mapping'!$B$4:$BL$33,MATCH(B304,'ei names mapping'!$A$4:$A$33,0),MATCH(G339,'ei names mapping'!$B$3:$BL$3,0))</f>
        <v>treatment of brake wear emissions, passenger car</v>
      </c>
      <c r="B339" s="7">
        <f>INDEX('vehicles specifications'!$B$3:$CW$166,MATCH(B307,'vehicles specifications'!$A$3:$A$166,0),MATCH(G339,'vehicles specifications'!$B$2:$CW$2,0))*INDEX('ei names mapping'!$B$137:$BL$300,MATCH(B307,'ei names mapping'!$A$137:$A$300,0),MATCH(G339,'ei names mapping'!$B$136:$BL$136,0))</f>
        <v>-2.6250234133342519E-6</v>
      </c>
      <c r="C339" t="str">
        <f>INDEX('ei names mapping'!$B$38:$BL$67,MATCH(B304,'ei names mapping'!$A$4:$A$33,0),MATCH(G339,'ei names mapping'!$B$3:$BL$3,0))</f>
        <v>RER</v>
      </c>
      <c r="D339" t="str">
        <f>INDEX('ei names mapping'!$B$104:$BL$133,MATCH(B304,'ei names mapping'!$A$4:$A$33,0),MATCH(G339,'ei names mapping'!$B$3:$BL$3,0))</f>
        <v>kilogram</v>
      </c>
      <c r="F339" t="s">
        <v>89</v>
      </c>
      <c r="G339" t="s">
        <v>31</v>
      </c>
      <c r="H339" t="str">
        <f>INDEX('ei names mapping'!$B$71:$BL$100,MATCH(B304,'ei names mapping'!$A$4:$A$33,0),MATCH(G339,'ei names mapping'!$B$3:$BL$3,0))</f>
        <v>brake wear emissions, passenger car</v>
      </c>
    </row>
    <row r="341" spans="1:8" ht="16" x14ac:dyDescent="0.2">
      <c r="A341" s="10"/>
      <c r="B341" s="8"/>
    </row>
    <row r="356" spans="1:2" x14ac:dyDescent="0.2">
      <c r="B356" s="2"/>
    </row>
    <row r="360" spans="1:2" x14ac:dyDescent="0.2">
      <c r="B360" s="2"/>
    </row>
    <row r="362" spans="1:2" x14ac:dyDescent="0.2">
      <c r="B362" s="2"/>
    </row>
    <row r="364" spans="1:2" x14ac:dyDescent="0.2">
      <c r="B364" s="6"/>
    </row>
    <row r="366" spans="1:2" ht="16" x14ac:dyDescent="0.2">
      <c r="A366" s="10"/>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x14ac:dyDescent="0.2">
      <c r="B379" s="11"/>
    </row>
    <row r="380" spans="1:2" ht="16" x14ac:dyDescent="0.2">
      <c r="A380" s="10"/>
      <c r="B380" s="8"/>
    </row>
    <row r="395" spans="2:2" x14ac:dyDescent="0.2">
      <c r="B395" s="2"/>
    </row>
    <row r="399" spans="2:2" x14ac:dyDescent="0.2">
      <c r="B399" s="2"/>
    </row>
    <row r="401" spans="1:2" x14ac:dyDescent="0.2">
      <c r="B401" s="2"/>
    </row>
    <row r="403" spans="1:2" x14ac:dyDescent="0.2">
      <c r="B403" s="6"/>
    </row>
    <row r="405" spans="1:2" ht="16" x14ac:dyDescent="0.2">
      <c r="A405" s="10"/>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7" spans="1:2" x14ac:dyDescent="0.2">
      <c r="B417" s="11"/>
    </row>
    <row r="419" spans="1:2" ht="16" x14ac:dyDescent="0.2">
      <c r="A419" s="10"/>
      <c r="B419" s="8"/>
    </row>
    <row r="434" spans="1:2" x14ac:dyDescent="0.2">
      <c r="B434" s="2"/>
    </row>
    <row r="438" spans="1:2" x14ac:dyDescent="0.2">
      <c r="B438" s="2"/>
    </row>
    <row r="440" spans="1:2" x14ac:dyDescent="0.2">
      <c r="B440" s="2"/>
    </row>
    <row r="442" spans="1:2" x14ac:dyDescent="0.2">
      <c r="B442" s="6"/>
    </row>
    <row r="444" spans="1:2" ht="16" x14ac:dyDescent="0.2">
      <c r="A444" s="10"/>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6" spans="1:2" x14ac:dyDescent="0.2">
      <c r="B456" s="11"/>
    </row>
    <row r="458" spans="1:2" ht="16" x14ac:dyDescent="0.2">
      <c r="A458" s="10"/>
      <c r="B458" s="8"/>
    </row>
    <row r="473" spans="2:2" x14ac:dyDescent="0.2">
      <c r="B473" s="2"/>
    </row>
    <row r="477" spans="2:2" x14ac:dyDescent="0.2">
      <c r="B477" s="2"/>
    </row>
    <row r="479" spans="2:2" x14ac:dyDescent="0.2">
      <c r="B479" s="2"/>
    </row>
    <row r="481" spans="1:2" x14ac:dyDescent="0.2">
      <c r="B481" s="6"/>
    </row>
    <row r="483" spans="1:2" ht="16" x14ac:dyDescent="0.2">
      <c r="A483" s="10"/>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11"/>
    </row>
    <row r="496" spans="1:2" x14ac:dyDescent="0.2">
      <c r="B496" s="2"/>
    </row>
    <row r="497" spans="1:2" ht="16" x14ac:dyDescent="0.2">
      <c r="A497" s="10"/>
      <c r="B497" s="8"/>
    </row>
    <row r="512" spans="1:2" x14ac:dyDescent="0.2">
      <c r="B512" s="2"/>
    </row>
    <row r="516" spans="1:2" x14ac:dyDescent="0.2">
      <c r="B516" s="2"/>
    </row>
    <row r="518" spans="1:2" x14ac:dyDescent="0.2">
      <c r="B518" s="2"/>
    </row>
    <row r="520" spans="1:2" x14ac:dyDescent="0.2">
      <c r="B520" s="6"/>
    </row>
    <row r="522" spans="1:2" ht="16" x14ac:dyDescent="0.2">
      <c r="A522" s="10"/>
    </row>
    <row r="525" spans="1:2" x14ac:dyDescent="0.2">
      <c r="B525" s="7"/>
    </row>
    <row r="526" spans="1:2" x14ac:dyDescent="0.2">
      <c r="B526" s="11"/>
    </row>
    <row r="527" spans="1:2" x14ac:dyDescent="0.2">
      <c r="B527" s="4"/>
    </row>
    <row r="528" spans="1:2" x14ac:dyDescent="0.2">
      <c r="B528" s="11"/>
    </row>
    <row r="529" spans="1:2" x14ac:dyDescent="0.2">
      <c r="B529" s="11"/>
    </row>
    <row r="530" spans="1:2" x14ac:dyDescent="0.2">
      <c r="B530" s="11"/>
    </row>
    <row r="531" spans="1:2" x14ac:dyDescent="0.2">
      <c r="B531" s="11"/>
    </row>
    <row r="532" spans="1:2" x14ac:dyDescent="0.2">
      <c r="B532" s="6"/>
    </row>
    <row r="533" spans="1:2" ht="16" x14ac:dyDescent="0.2">
      <c r="A533" s="10"/>
      <c r="B533" s="8"/>
    </row>
    <row r="548" spans="1:2" x14ac:dyDescent="0.2">
      <c r="B548" s="2"/>
    </row>
    <row r="552" spans="1:2" x14ac:dyDescent="0.2">
      <c r="B552" s="2"/>
    </row>
    <row r="554" spans="1:2" x14ac:dyDescent="0.2">
      <c r="B554" s="2"/>
    </row>
    <row r="556" spans="1:2" x14ac:dyDescent="0.2">
      <c r="B556" s="6"/>
    </row>
    <row r="558" spans="1:2" ht="16" x14ac:dyDescent="0.2">
      <c r="A558" s="10"/>
    </row>
    <row r="562" spans="1:2" x14ac:dyDescent="0.2">
      <c r="B562" s="11"/>
    </row>
    <row r="563" spans="1:2" x14ac:dyDescent="0.2">
      <c r="B563" s="4"/>
    </row>
    <row r="564" spans="1:2" x14ac:dyDescent="0.2">
      <c r="B564" s="11"/>
    </row>
    <row r="565" spans="1:2" x14ac:dyDescent="0.2">
      <c r="B565" s="11"/>
    </row>
    <row r="566" spans="1:2" x14ac:dyDescent="0.2">
      <c r="B566" s="11"/>
    </row>
    <row r="567" spans="1:2" x14ac:dyDescent="0.2">
      <c r="B567" s="11"/>
    </row>
    <row r="569" spans="1:2" ht="16" x14ac:dyDescent="0.2">
      <c r="A569" s="10"/>
      <c r="B569" s="8"/>
    </row>
    <row r="584" spans="2:2" x14ac:dyDescent="0.2">
      <c r="B584" s="2"/>
    </row>
    <row r="588" spans="2:2" x14ac:dyDescent="0.2">
      <c r="B588" s="2"/>
    </row>
    <row r="590" spans="2:2" x14ac:dyDescent="0.2">
      <c r="B590" s="2"/>
    </row>
    <row r="592" spans="2:2" x14ac:dyDescent="0.2">
      <c r="B592" s="6"/>
    </row>
    <row r="594" spans="1:2" ht="16" x14ac:dyDescent="0.2">
      <c r="A594" s="10"/>
    </row>
    <row r="598" spans="1:2" x14ac:dyDescent="0.2">
      <c r="B598" s="11"/>
    </row>
    <row r="599" spans="1:2" x14ac:dyDescent="0.2">
      <c r="B599" s="4"/>
    </row>
    <row r="600" spans="1:2" x14ac:dyDescent="0.2">
      <c r="B600" s="11"/>
    </row>
    <row r="601" spans="1:2" x14ac:dyDescent="0.2">
      <c r="B601" s="11"/>
    </row>
    <row r="602" spans="1:2" x14ac:dyDescent="0.2">
      <c r="B602" s="11"/>
    </row>
    <row r="603" spans="1:2" x14ac:dyDescent="0.2">
      <c r="B603" s="11"/>
    </row>
    <row r="605" spans="1:2" ht="16" x14ac:dyDescent="0.2">
      <c r="A605" s="10"/>
      <c r="B605" s="8"/>
    </row>
    <row r="620" spans="2:2" x14ac:dyDescent="0.2">
      <c r="B620" s="2"/>
    </row>
    <row r="624" spans="2:2" x14ac:dyDescent="0.2">
      <c r="B624" s="2"/>
    </row>
    <row r="626" spans="1:2" x14ac:dyDescent="0.2">
      <c r="B626" s="2"/>
    </row>
    <row r="628" spans="1:2" x14ac:dyDescent="0.2">
      <c r="B628" s="6"/>
    </row>
    <row r="630" spans="1:2" ht="16" x14ac:dyDescent="0.2">
      <c r="A630" s="10"/>
    </row>
    <row r="634" spans="1:2" x14ac:dyDescent="0.2">
      <c r="B634" s="11"/>
    </row>
    <row r="635" spans="1:2" x14ac:dyDescent="0.2">
      <c r="B635" s="4"/>
    </row>
    <row r="636" spans="1:2" x14ac:dyDescent="0.2">
      <c r="B636" s="11"/>
    </row>
    <row r="637" spans="1:2" x14ac:dyDescent="0.2">
      <c r="B637" s="11"/>
    </row>
    <row r="638" spans="1:2" x14ac:dyDescent="0.2">
      <c r="B638" s="11"/>
    </row>
    <row r="639" spans="1:2" x14ac:dyDescent="0.2">
      <c r="B639" s="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39"/>
  <sheetViews>
    <sheetView topLeftCell="A323" workbookViewId="0">
      <selection activeCell="A352" sqref="A352"/>
    </sheetView>
  </sheetViews>
  <sheetFormatPr baseColWidth="10" defaultColWidth="8.6640625" defaultRowHeight="15" x14ac:dyDescent="0.2"/>
  <cols>
    <col min="1" max="1" width="67.6640625" customWidth="1"/>
    <col min="2" max="2" width="15.6640625" bestFit="1" customWidth="1"/>
    <col min="7" max="7" width="32" bestFit="1" customWidth="1"/>
  </cols>
  <sheetData>
    <row r="1" spans="1:2" ht="16" x14ac:dyDescent="0.2">
      <c r="A1" s="10" t="s">
        <v>71</v>
      </c>
      <c r="B1" s="8" t="str">
        <f>B3&amp;", "&amp;B18&amp;" battery, "&amp;B5</f>
        <v>Motorbike, electric, &lt;4kW, NCA battery, 2020</v>
      </c>
    </row>
    <row r="2" spans="1:2" x14ac:dyDescent="0.2">
      <c r="A2" t="s">
        <v>72</v>
      </c>
      <c r="B2" t="s">
        <v>37</v>
      </c>
    </row>
    <row r="3" spans="1:2" x14ac:dyDescent="0.2">
      <c r="A3" t="s">
        <v>86</v>
      </c>
      <c r="B3" t="s">
        <v>492</v>
      </c>
    </row>
    <row r="4" spans="1:2" x14ac:dyDescent="0.2">
      <c r="A4" t="s">
        <v>87</v>
      </c>
    </row>
    <row r="5" spans="1:2" x14ac:dyDescent="0.2">
      <c r="A5" t="s">
        <v>88</v>
      </c>
      <c r="B5">
        <v>2020</v>
      </c>
    </row>
    <row r="6" spans="1:2" x14ac:dyDescent="0.2">
      <c r="A6" t="s">
        <v>126</v>
      </c>
      <c r="B6" t="str">
        <f>B3&amp;" - "&amp;B5&amp;" - "&amp;B18&amp;" - "&amp;B2</f>
        <v>Motorbike, electric, &lt;4kW - 2020 - NCA - CH</v>
      </c>
    </row>
    <row r="7" spans="1:2" x14ac:dyDescent="0.2">
      <c r="A7" t="s">
        <v>73</v>
      </c>
      <c r="B7" t="str">
        <f>B3</f>
        <v>Motorbike,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75.173913043478265</v>
      </c>
    </row>
    <row r="17" spans="1:8" x14ac:dyDescent="0.2">
      <c r="A17" t="s">
        <v>133</v>
      </c>
      <c r="B17">
        <f>INDEX('vehicles specifications'!$B$3:$CW$166,MATCH(B6,'vehicles specifications'!$A$3:$A$166,0),MATCH("Power [kW]",'vehicles specifications'!$B$2:$CW$2,0))</f>
        <v>2.5</v>
      </c>
    </row>
    <row r="18" spans="1:8" x14ac:dyDescent="0.2">
      <c r="A18" t="s">
        <v>652</v>
      </c>
      <c r="B18" s="20" t="s">
        <v>45</v>
      </c>
    </row>
    <row r="19" spans="1:8" x14ac:dyDescent="0.2">
      <c r="A19" t="s">
        <v>134</v>
      </c>
      <c r="B19">
        <f>INDEX('vehicles specifications'!$B$3:$CW$166,MATCH(B6,'vehicles specifications'!$A$3:$A$166,0),MATCH("Energy battery mass [kg]",'vehicles specifications'!$B$2:$CW$2,0))</f>
        <v>10.173913043478262</v>
      </c>
    </row>
    <row r="20" spans="1:8" x14ac:dyDescent="0.2">
      <c r="A20" t="s">
        <v>135</v>
      </c>
      <c r="B20">
        <f>INDEX('vehicles specifications'!$B$3:$CW$166,MATCH(B6,'vehicles specifications'!$A$3:$A$166,0),MATCH("Electric energy stored [kWh]",'vehicles specifications'!$B$2:$CW$2,0))</f>
        <v>1.8</v>
      </c>
    </row>
    <row r="21" spans="1:8" x14ac:dyDescent="0.2">
      <c r="A21" t="s">
        <v>588</v>
      </c>
      <c r="B21">
        <f>INDEX('vehicles specifications'!$B$3:$CW$166,MATCH(B6,'vehicles specifications'!$A$3:$A$166,0),MATCH("Electric energy available [kWh]",'vehicles specifications'!$B$2:$CW$2,0))</f>
        <v>1.4400000000000002</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42.842975206611577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&lt;4kW, NCA battery, 2020</v>
      </c>
      <c r="B33">
        <v>1</v>
      </c>
      <c r="C33" t="str">
        <f>B2</f>
        <v>CH</v>
      </c>
      <c r="D33" t="str">
        <f>B9</f>
        <v>unit</v>
      </c>
      <c r="F33" t="s">
        <v>84</v>
      </c>
      <c r="G33" t="s">
        <v>85</v>
      </c>
      <c r="H33" t="str">
        <f>B3</f>
        <v>Motorbike, electric, &lt;4kW</v>
      </c>
    </row>
    <row r="34" spans="1:8" x14ac:dyDescent="0.2">
      <c r="A34" t="str">
        <f>INDEX('ei names mapping'!$B$4:$R$33,MATCH(B3,'ei names mapping'!$A$4:$A$33,0),MATCH(G34,'ei names mapping'!$B$3:$R$3,0))</f>
        <v>market for glider, for electric scooter</v>
      </c>
      <c r="B34" s="11">
        <f>INDEX('vehicles specifications'!$B$3:$CW$166,MATCH(B6,'vehicles specifications'!$A$3:$A$166,0),MATCH(G34,'vehicles specifications'!$B$2:$CW$2,0))*INDEX('ei names mapping'!$B$137:$BL$300,MATCH(B6,'ei names mapping'!$A$137:$A$300,0),MATCH(G34,'ei names mapping'!$B$136:$BL$136,0))</f>
        <v>53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Glider lightweighting</v>
      </c>
      <c r="B35" s="11">
        <f>INDEX('vehicles specifications'!$B$3:$CW$166,MATCH(B6,'vehicles specifications'!$A$3:$A$166,0),MATCH(G35,'vehicles specifications'!$B$2:$CW$2,0))*INDEX('ei names mapping'!$B$137:$BL$300,MATCH(B6,'ei names mapping'!$A$137:$A$300,0),MATCH(G35,'ei names mapping'!$B$136:$BL$136,0))</f>
        <v>0</v>
      </c>
      <c r="C35" t="str">
        <f>INDEX('ei names mapping'!$B$38:$R$67,MATCH(B3,'ei names mapping'!$A$4:$A$33,0),MATCH(G35,'ei names mapping'!$B$3:$R$3,0))</f>
        <v>GLO</v>
      </c>
      <c r="D35" t="str">
        <f>INDEX('ei names mapping'!$B$104:$R$133,MATCH(B3,'ei names mapping'!$A$104:$A$133,0),MATCH(G35,'ei names mapping'!$B$3:$R$3,0))</f>
        <v>kilogram</v>
      </c>
      <c r="F35" t="s">
        <v>89</v>
      </c>
      <c r="G35" t="s">
        <v>14</v>
      </c>
      <c r="H35" t="str">
        <f>INDEX('ei names mapping'!$B$71:$R$100,MATCH(B3,'ei names mapping'!$A$4:$A$33,0),MATCH(G35,'ei names mapping'!$B$3:$R$3,0))</f>
        <v>Glider lightweighting</v>
      </c>
    </row>
    <row r="36" spans="1:8" x14ac:dyDescent="0.2">
      <c r="A36" t="str">
        <f>INDEX('ei names mapping'!$B$4:$R$33,MATCH(B3,'ei names mapping'!$A$4:$A$33,0),MATCH(G36,'ei names mapping'!$B$3:$R$3,0))</f>
        <v>market for glider, for electric scooter</v>
      </c>
      <c r="B36" s="11">
        <f>INDEX('vehicles specifications'!$B$3:$CW$166,MATCH(B6,'vehicles specifications'!$A$3:$A$166,0),MATCH(G36,'vehicles specifications'!$B$2:$CW$2,0))*INDEX('ei names mapping'!$B$137:$BL$300,MATCH(B6,'ei names mapping'!$A$137:$A$300,0),MATCH(G36,'ei names mapping'!$B$136:$BL$136,0))</f>
        <v>4.5</v>
      </c>
      <c r="C36" t="str">
        <f>INDEX('ei names mapping'!$B$38:$R$67,MATCH(B3,'ei names mapping'!$A$4:$A$33,0),MATCH(G36,'ei names mapping'!$B$3:$R$3,0))</f>
        <v>GLO</v>
      </c>
      <c r="D36" t="str">
        <f>INDEX('ei names mapping'!$B$104:$R$133,MATCH(B3,'ei names mapping'!$A$104:$A$133,0),MATCH(G36,'ei names mapping'!$B$3:$R$3,0))</f>
        <v>kilogram</v>
      </c>
      <c r="F36" t="s">
        <v>89</v>
      </c>
      <c r="G36" t="s">
        <v>16</v>
      </c>
      <c r="H36" t="str">
        <f>INDEX('ei names mapping'!$B$71:$R$100,MATCH(B3,'ei names mapping'!$A$4:$A$33,0),MATCH(G36,'ei names mapping'!$B$3:$R$3,0))</f>
        <v>glider, for electric scooter</v>
      </c>
    </row>
    <row r="37" spans="1:8" x14ac:dyDescent="0.2">
      <c r="A37" t="str">
        <f>INDEX('ei names mapping'!$B$4:$R$33,MATCH(B3,'ei names mapping'!$A$4:$A$33,0),MATCH(G37,'ei names mapping'!$B$3:$R$3,0))</f>
        <v>market for electric powertrain, for electric scooter</v>
      </c>
      <c r="B37" s="11">
        <f>INDEX('vehicles specifications'!$B$3:$CW$166,MATCH(B6,'vehicles specifications'!$A$3:$A$166,0),MATCH(G37,'vehicles specifications'!$B$2:$CW$2,0))*INDEX('ei names mapping'!$B$137:$BL$300,MATCH(B6,'ei names mapping'!$A$137:$A$300,0),MATCH(G37,'ei names mapping'!$B$136:$BL$136,0))</f>
        <v>7.5</v>
      </c>
      <c r="C37" t="str">
        <f>INDEX('ei names mapping'!$B$38:$R$67,MATCH(B3,'ei names mapping'!$A$4:$A$33,0),MATCH(G37,'ei names mapping'!$B$3:$R$3,0))</f>
        <v>GLO</v>
      </c>
      <c r="D37" t="str">
        <f>INDEX('ei names mapping'!$B$104:$R$133,MATCH(B3,'ei names mapping'!$A$104:$A$133,0),MATCH(G37,'ei names mapping'!$B$3:$R$3,0))</f>
        <v>kilogram</v>
      </c>
      <c r="F37" t="s">
        <v>89</v>
      </c>
      <c r="G37" t="s">
        <v>501</v>
      </c>
      <c r="H37" t="str">
        <f>INDEX('ei names mapping'!$B$71:$R$100,MATCH(B3,'ei names mapping'!$A$4:$A$33,0),MATCH(G37,'ei names mapping'!$B$3:$R$3,0))</f>
        <v>powertrain, for electric scooter</v>
      </c>
    </row>
    <row r="38" spans="1:8" x14ac:dyDescent="0.2">
      <c r="A38" t="s">
        <v>760</v>
      </c>
      <c r="B38" s="11">
        <f>INDEX('vehicles specifications'!$B$3:$CW$166,MATCH(B6,'vehicles specifications'!$A$3:$A$166,0),MATCH(G38,'vehicles specifications'!$B$2:$CW$2,0))*INDEX('ei names mapping'!$B$137:$BL$300,MATCH(B6,'ei names mapping'!$A$137:$A$300,0),MATCH(G38,'ei names mapping'!$B$136:$BL$136,0))</f>
        <v>15.652173913043478</v>
      </c>
      <c r="C38" t="str">
        <f>INDEX('ei names mapping'!$B$38:$R$67,MATCH(B3,'ei names mapping'!$A$4:$A$33,0),MATCH(G38,'ei names mapping'!$B$3:$R$3,0))</f>
        <v>GLO</v>
      </c>
      <c r="D38" t="str">
        <f>INDEX('ei names mapping'!$B$104:$R$133,MATCH(B3,'ei names mapping'!$A$104:$A$133,0),MATCH(G38,'ei names mapping'!$B$3:$R$3,0))</f>
        <v>kilogram</v>
      </c>
      <c r="F38" t="s">
        <v>89</v>
      </c>
      <c r="G38" t="s">
        <v>19</v>
      </c>
      <c r="H38" t="str">
        <f>INDEX('ei names mapping'!$B$71:$R$100,MATCH(B3,'ei names mapping'!$A$4:$A$33,0),MATCH(G38,'ei names mapping'!$B$3:$R$3,0))</f>
        <v>Battery cell</v>
      </c>
    </row>
    <row r="39" spans="1:8" x14ac:dyDescent="0.2">
      <c r="A39" t="str">
        <f>INDEX('ei names mapping'!$B$4:$R$33,MATCH(B3,'ei names mapping'!$A$4:$A$33,0),MATCH(G39,'ei names mapping'!$B$3:$R$3,0))</f>
        <v>Battery BoP</v>
      </c>
      <c r="B39" s="11">
        <f>INDEX('vehicles specifications'!$B$3:$CW$166,MATCH(B6,'vehicles specifications'!$A$3:$A$166,0),MATCH(G39,'vehicles specifications'!$B$2:$CW$2,0))*INDEX('ei names mapping'!$B$137:$BL$300,MATCH(B6,'ei names mapping'!$A$137:$A$300,0),MATCH(G39,'ei names mapping'!$B$136:$BL$136,0))</f>
        <v>4.695652173913043</v>
      </c>
      <c r="C39" t="str">
        <f>INDEX('ei names mapping'!$B$38:$R$67,MATCH(B3,'ei names mapping'!$A$4:$A$33,0),MATCH(G39,'ei names mapping'!$B$3:$R$3,0))</f>
        <v>GLO</v>
      </c>
      <c r="D39" t="str">
        <f>INDEX('ei names mapping'!$B$104:$R$133,MATCH(B3,'ei names mapping'!$A$104:$A$133,0),MATCH(G39,'ei names mapping'!$B$3:$R$3,0))</f>
        <v>kilogram</v>
      </c>
      <c r="F39" t="s">
        <v>89</v>
      </c>
      <c r="G39" t="s">
        <v>20</v>
      </c>
      <c r="H39" t="str">
        <f>INDEX('ei names mapping'!$B$71:$R$100,MATCH(B3,'ei names mapping'!$A$4:$A$33,0),MATCH(G39,'ei names mapping'!$B$3:$R$3,0))</f>
        <v>Battery BoP</v>
      </c>
    </row>
    <row r="40" spans="1:8" x14ac:dyDescent="0.2">
      <c r="A40" t="str">
        <f>INDEX('ei names mapping'!$B$4:$R$33,MATCH(B3,'ei names mapping'!$A$4:$A$33,0),MATCH(G40,'ei names mapping'!$B$3:$R$3,0))</f>
        <v>charging station, 3kW</v>
      </c>
      <c r="B40" s="11">
        <f>INDEX('vehicles specifications'!$B$3:$CW$166,MATCH(B6,'vehicles specifications'!$A$3:$A$166,0),MATCH(G40,'vehicles specifications'!$B$2:$CW$2,0))*INDEX('ei names mapping'!$B$137:$BL$300,MATCH(B6,'ei names mapping'!$A$137:$A$300,0),MATCH(G40,'ei names mapping'!$B$136:$BL$136,0))</f>
        <v>1</v>
      </c>
      <c r="C40" t="str">
        <f>INDEX('ei names mapping'!$B$38:$R$67,MATCH(B3,'ei names mapping'!$A$4:$A$33,0),MATCH(G40,'ei names mapping'!$B$3:$R$3,0))</f>
        <v>GLO</v>
      </c>
      <c r="D40" t="str">
        <f>INDEX('ei names mapping'!$B$104:$R$133,MATCH(B3,'ei names mapping'!$A$104:$A$133,0),MATCH(G40,'ei names mapping'!$B$3:$R$3,0))</f>
        <v>unit</v>
      </c>
      <c r="F40" t="s">
        <v>89</v>
      </c>
      <c r="G40" t="s">
        <v>52</v>
      </c>
      <c r="H40" t="str">
        <f>INDEX('ei names mapping'!$B$71:$R$100,MATCH(B3,'ei names mapping'!$A$4:$A$33,0),MATCH(G40,'ei names mapping'!$B$3:$R$3,0))</f>
        <v>charging station, 3kW</v>
      </c>
    </row>
    <row r="41" spans="1:8" x14ac:dyDescent="0.2">
      <c r="A41" t="str">
        <f>INDEX('ei names mapping'!$B$4:$R$33,MATCH(B3,'ei names mapping'!$A$4:$A$33,0),MATCH(G41,'ei names mapping'!$B$3:$R$3,0))</f>
        <v>manual dismantling of used electric scooter</v>
      </c>
      <c r="B41" s="11">
        <f>INDEX('vehicles specifications'!$B$3:$CW$166,MATCH(B6,'vehicles specifications'!$A$3:$A$166,0),MATCH(G41,'vehicles specifications'!$B$2:$CW$2,0))*INDEX('ei names mapping'!$B$137:$BL$300,MATCH(B6,'ei names mapping'!$A$137:$A$300,0),MATCH(G41,'ei names mapping'!$B$136:$BL$136,0))</f>
        <v>53</v>
      </c>
      <c r="C41" t="str">
        <f>INDEX('ei names mapping'!$B$38:$R$67,MATCH(B3,'ei names mapping'!$A$4:$A$33,0),MATCH(G41,'ei names mapping'!$B$3:$R$3,0))</f>
        <v>GLO</v>
      </c>
      <c r="D41" t="str">
        <f>INDEX('ei names mapping'!$B$104:$R$133,MATCH(B3,'ei names mapping'!$A$104:$A$133,0),MATCH(G41,'ei names mapping'!$B$3:$R$3,0))</f>
        <v>unit</v>
      </c>
      <c r="F41" t="s">
        <v>89</v>
      </c>
      <c r="G41" t="s">
        <v>144</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manual dismantling of used electric scooter</v>
      </c>
      <c r="B42" s="11">
        <f>INDEX('vehicles specifications'!$B$3:$CW$166,MATCH(B6,'vehicles specifications'!$A$3:$A$166,0),MATCH(G42,'vehicles specifications'!$B$2:$CW$2,0))*INDEX('ei names mapping'!$B$137:$BL$300,MATCH(B6,'ei names mapping'!$A$137:$A$300,0),MATCH(G42,'ei names mapping'!$B$136:$BL$136,0))</f>
        <v>12</v>
      </c>
      <c r="C42" t="str">
        <f>INDEX('ei names mapping'!$B$38:$R$67,MATCH(B3,'ei names mapping'!$A$4:$A$33,0),MATCH(G42,'ei names mapping'!$B$3:$R$3,0))</f>
        <v>GLO</v>
      </c>
      <c r="D42" t="str">
        <f>INDEX('ei names mapping'!$B$104:$R$133,MATCH(B3,'ei names mapping'!$A$104:$A$133,0),MATCH(G42,'ei names mapping'!$B$3:$R$3,0))</f>
        <v>unit</v>
      </c>
      <c r="F42" t="s">
        <v>89</v>
      </c>
      <c r="G42" t="s">
        <v>145</v>
      </c>
      <c r="H42" t="str">
        <f>INDEX('ei names mapping'!$B$71:$R$100,MATCH(B3,'ei names mapping'!$A$4:$A$33,0),MATCH(G42,'ei names mapping'!$B$3:$R$3,0))</f>
        <v>manual dismantling of electric scooter</v>
      </c>
    </row>
    <row r="43" spans="1:8" x14ac:dyDescent="0.2">
      <c r="A43" t="str">
        <f>INDEX('ei names mapping'!$B$4:$R$33,MATCH(B3,'ei names mapping'!$A$4:$A$33,0),MATCH(G43,'ei names mapping'!$B$3:$R$3,0))</f>
        <v>market for used Li-ion battery</v>
      </c>
      <c r="B43" s="11">
        <f>INDEX('vehicles specifications'!$B$3:$CW$166,MATCH(B6,'vehicles specifications'!$A$3:$A$166,0),MATCH(G43,'vehicles specifications'!$B$2:$CW$2,0))*INDEX('ei names mapping'!$B$137:$BL$300,MATCH(B6,'ei names mapping'!$A$137:$A$300,0),MATCH(G43,'ei names mapping'!$B$136:$BL$136,0))</f>
        <v>-20.347826086956523</v>
      </c>
      <c r="C43" t="str">
        <f>INDEX('ei names mapping'!$B$38:$R$67,MATCH(B3,'ei names mapping'!$A$4:$A$33,0),MATCH(G43,'ei names mapping'!$B$3:$R$3,0))</f>
        <v>GLO</v>
      </c>
      <c r="D43" t="str">
        <f>INDEX('ei names mapping'!$B$104:$R$133,MATCH(B7,'ei names mapping'!$A$104:$A$133,0),MATCH(G43,'ei names mapping'!$B$3:$R$3,0))</f>
        <v>kilogram</v>
      </c>
      <c r="F43" t="s">
        <v>89</v>
      </c>
      <c r="G43" t="s">
        <v>146</v>
      </c>
      <c r="H43" t="str">
        <f>INDEX('ei names mapping'!$B$71:$R$100,MATCH(B3,'ei names mapping'!$A$4:$A$33,0),MATCH(G43,'ei names mapping'!$B$3:$R$3,0))</f>
        <v>used Li-ion battery</v>
      </c>
    </row>
    <row r="44" spans="1:8" x14ac:dyDescent="0.2">
      <c r="A44" s="13" t="s">
        <v>840</v>
      </c>
      <c r="B44">
        <f>(B16/1000)*B29</f>
        <v>75.173913043478265</v>
      </c>
      <c r="C44" t="s">
        <v>92</v>
      </c>
      <c r="D44" t="s">
        <v>233</v>
      </c>
      <c r="F44" t="s">
        <v>89</v>
      </c>
      <c r="H44" s="13" t="s">
        <v>841</v>
      </c>
    </row>
    <row r="45" spans="1:8" x14ac:dyDescent="0.2">
      <c r="A45" s="13" t="s">
        <v>441</v>
      </c>
      <c r="B45" s="2">
        <f>(B16/1000)*B28</f>
        <v>1195.2652173913045</v>
      </c>
      <c r="C45" t="s">
        <v>95</v>
      </c>
      <c r="D45" t="s">
        <v>233</v>
      </c>
      <c r="F45" t="s">
        <v>89</v>
      </c>
      <c r="H45" s="13" t="s">
        <v>441</v>
      </c>
    </row>
    <row r="46" spans="1:8" x14ac:dyDescent="0.2">
      <c r="B46" s="11"/>
    </row>
    <row r="47" spans="1:8" ht="16" x14ac:dyDescent="0.2">
      <c r="A47" s="10" t="s">
        <v>71</v>
      </c>
      <c r="B47" s="8" t="str">
        <f>B49&amp;", "&amp;B64&amp;" battery, "&amp;B51</f>
        <v>Motorbike, electric, &lt;4kW, NCA battery, 2030</v>
      </c>
    </row>
    <row r="48" spans="1:8" x14ac:dyDescent="0.2">
      <c r="A48" t="s">
        <v>72</v>
      </c>
      <c r="B48" t="s">
        <v>37</v>
      </c>
    </row>
    <row r="49" spans="1:2" x14ac:dyDescent="0.2">
      <c r="A49" t="s">
        <v>86</v>
      </c>
      <c r="B49" t="s">
        <v>492</v>
      </c>
    </row>
    <row r="50" spans="1:2" x14ac:dyDescent="0.2">
      <c r="A50" t="s">
        <v>87</v>
      </c>
    </row>
    <row r="51" spans="1:2" x14ac:dyDescent="0.2">
      <c r="A51" t="s">
        <v>88</v>
      </c>
      <c r="B51">
        <v>2030</v>
      </c>
    </row>
    <row r="52" spans="1:2" x14ac:dyDescent="0.2">
      <c r="A52" t="s">
        <v>126</v>
      </c>
      <c r="B52" t="str">
        <f>B49&amp;" - "&amp;B51&amp;" - "&amp;B64&amp;" - "&amp;B48</f>
        <v>Motorbike, electric, &lt;4kW - 2030 - NCA - CH</v>
      </c>
    </row>
    <row r="53" spans="1:2" x14ac:dyDescent="0.2">
      <c r="A53" t="s">
        <v>73</v>
      </c>
      <c r="B53" t="str">
        <f>B49</f>
        <v>Motorbike, electric, &lt;4kW</v>
      </c>
    </row>
    <row r="54" spans="1:2" x14ac:dyDescent="0.2">
      <c r="A54" t="s">
        <v>74</v>
      </c>
      <c r="B54" t="s">
        <v>75</v>
      </c>
    </row>
    <row r="55" spans="1:2" x14ac:dyDescent="0.2">
      <c r="A55" t="s">
        <v>76</v>
      </c>
      <c r="B55" t="s">
        <v>76</v>
      </c>
    </row>
    <row r="56" spans="1:2" x14ac:dyDescent="0.2">
      <c r="A56" t="s">
        <v>78</v>
      </c>
      <c r="B56" t="s">
        <v>1143</v>
      </c>
    </row>
    <row r="57" spans="1:2" x14ac:dyDescent="0.2">
      <c r="A57" t="s">
        <v>127</v>
      </c>
      <c r="B57">
        <f>INDEX('vehicles specifications'!$B$3:$CW$166,MATCH(B52,'vehicles specifications'!$A$3:$A$166,0),MATCH("Lifetime [km]",'vehicles specifications'!$B$2:$CW$2,0))</f>
        <v>25000</v>
      </c>
    </row>
    <row r="58" spans="1:2" x14ac:dyDescent="0.2">
      <c r="A58" t="s">
        <v>128</v>
      </c>
      <c r="B58">
        <f>INDEX('vehicles specifications'!$B$3:$CW$166,MATCH(B52,'vehicles specifications'!$A$3:$A$166,0),MATCH("Passengers [unit]",'vehicles specifications'!$B$2:$CW$2,0))</f>
        <v>1.1000000000000001</v>
      </c>
    </row>
    <row r="59" spans="1:2" x14ac:dyDescent="0.2">
      <c r="A59" t="s">
        <v>129</v>
      </c>
      <c r="B59">
        <f>INDEX('vehicles specifications'!$B$3:$CW$166,MATCH(B52,'vehicles specifications'!$A$3:$A$166,0),MATCH("Servicing [unit]",'vehicles specifications'!$B$2:$CW$2,0))</f>
        <v>1</v>
      </c>
    </row>
    <row r="60" spans="1:2" x14ac:dyDescent="0.2">
      <c r="A60" t="s">
        <v>130</v>
      </c>
      <c r="B60">
        <f>INDEX('vehicles specifications'!$B$3:$CW$166,MATCH(B52,'vehicles specifications'!$A$3:$A$166,0),MATCH("Energy battery replacement [unit]",'vehicles specifications'!$B$2:$CW$2,0))</f>
        <v>0.5</v>
      </c>
    </row>
    <row r="61" spans="1:2" x14ac:dyDescent="0.2">
      <c r="A61" t="s">
        <v>131</v>
      </c>
      <c r="B61">
        <f>INDEX('vehicles specifications'!$B$3:$CW$166,MATCH(B52,'vehicles specifications'!$A$3:$A$166,0),MATCH("Annual kilometers [km]",'vehicles specifications'!$B$2:$CW$2,0))</f>
        <v>1776</v>
      </c>
    </row>
    <row r="62" spans="1:2" x14ac:dyDescent="0.2">
      <c r="A62" t="s">
        <v>132</v>
      </c>
      <c r="B62" s="2">
        <f>INDEX('vehicles specifications'!$B$3:$CW$166,MATCH(B52,'vehicles specifications'!$A$3:$A$166,0),MATCH("Curb mass [kg]",'vehicles specifications'!$B$2:$CW$2,0))</f>
        <v>77.276666666666671</v>
      </c>
    </row>
    <row r="63" spans="1:2" x14ac:dyDescent="0.2">
      <c r="A63" t="s">
        <v>133</v>
      </c>
      <c r="B63">
        <f>INDEX('vehicles specifications'!$B$3:$CW$166,MATCH(B52,'vehicles specifications'!$A$3:$A$166,0),MATCH("Power [kW]",'vehicles specifications'!$B$2:$CW$2,0))</f>
        <v>2.5</v>
      </c>
    </row>
    <row r="64" spans="1:2" x14ac:dyDescent="0.2">
      <c r="A64" t="s">
        <v>652</v>
      </c>
      <c r="B64" s="20" t="s">
        <v>45</v>
      </c>
    </row>
    <row r="65" spans="1:8" x14ac:dyDescent="0.2">
      <c r="A65" t="s">
        <v>134</v>
      </c>
      <c r="B65">
        <f>INDEX('vehicles specifications'!$B$3:$CW$166,MATCH(B52,'vehicles specifications'!$A$3:$A$166,0),MATCH("Energy battery mass [kg]",'vehicles specifications'!$B$2:$CW$2,0))</f>
        <v>13.866666666666667</v>
      </c>
    </row>
    <row r="66" spans="1:8" x14ac:dyDescent="0.2">
      <c r="A66" t="s">
        <v>135</v>
      </c>
      <c r="B66">
        <f>INDEX('vehicles specifications'!$B$3:$CW$166,MATCH(B52,'vehicles specifications'!$A$3:$A$166,0),MATCH("Electric energy stored [kWh]",'vehicles specifications'!$B$2:$CW$2,0))</f>
        <v>3.2</v>
      </c>
    </row>
    <row r="67" spans="1:8" x14ac:dyDescent="0.2">
      <c r="A67" t="s">
        <v>588</v>
      </c>
      <c r="B67">
        <f>INDEX('vehicles specifications'!$B$3:$CW$166,MATCH(B52,'vehicles specifications'!$A$3:$A$166,0),MATCH("Electric energy available [kWh]",'vehicles specifications'!$B$2:$CW$2,0))</f>
        <v>2.5600000000000005</v>
      </c>
    </row>
    <row r="68" spans="1:8" x14ac:dyDescent="0.2">
      <c r="A68" t="s">
        <v>138</v>
      </c>
      <c r="B68" s="2">
        <f>INDEX('vehicles specifications'!$B$3:$CW$166,MATCH(B52,'vehicles specifications'!$A$3:$A$166,0),MATCH("Oxydation energy stored [kWh]",'vehicles specifications'!$B$2:$CW$2,0))</f>
        <v>0</v>
      </c>
    </row>
    <row r="69" spans="1:8" x14ac:dyDescent="0.2">
      <c r="A69" t="s">
        <v>139</v>
      </c>
      <c r="B69">
        <f>INDEX('vehicles specifications'!$B$3:$CW$166,MATCH(B52,'vehicles specifications'!$A$3:$A$166,0),MATCH("Fuel mass [kg]",'vehicles specifications'!$B$2:$CW$2,0))</f>
        <v>0</v>
      </c>
    </row>
    <row r="70" spans="1:8" x14ac:dyDescent="0.2">
      <c r="A70" t="s">
        <v>136</v>
      </c>
      <c r="B70" s="2">
        <f>INDEX('vehicles specifications'!$B$3:$CW$166,MATCH(B52,'vehicles specifications'!$A$3:$A$166,0),MATCH("Range [km]",'vehicles specifications'!$B$2:$CW$2,0))</f>
        <v>76.165289256198363</v>
      </c>
    </row>
    <row r="71" spans="1:8" x14ac:dyDescent="0.2">
      <c r="A71" t="s">
        <v>137</v>
      </c>
      <c r="B71" t="str">
        <f>INDEX('vehicles specifications'!$B$3:$CW$166,MATCH(B52,'vehicles specifications'!$A$3:$A$166,0),MATCH("Emission standard",'vehicles specifications'!$B$2:$CW$2,0))</f>
        <v>None</v>
      </c>
    </row>
    <row r="72" spans="1:8" x14ac:dyDescent="0.2">
      <c r="A72" t="s">
        <v>1174</v>
      </c>
      <c r="B72" s="6">
        <f>INDEX('vehicles specifications'!$B$3:$CW$166,MATCH(B52,'vehicles specifications'!$A$3:$A$166,0),MATCH("Lightweighting rate [%]",'vehicles specifications'!$B$2:$CW$2,0))</f>
        <v>0.03</v>
      </c>
    </row>
    <row r="73" spans="1:8" x14ac:dyDescent="0.2">
      <c r="A73" t="s">
        <v>485</v>
      </c>
      <c r="B73" s="6" t="s">
        <v>486</v>
      </c>
    </row>
    <row r="74" spans="1:8" x14ac:dyDescent="0.2">
      <c r="A74" t="s">
        <v>487</v>
      </c>
      <c r="B74" s="2">
        <v>15900</v>
      </c>
    </row>
    <row r="75" spans="1:8" x14ac:dyDescent="0.2">
      <c r="A75" t="s">
        <v>488</v>
      </c>
      <c r="B75" s="2">
        <v>1000</v>
      </c>
    </row>
    <row r="76" spans="1:8" x14ac:dyDescent="0.2">
      <c r="A76" t="s">
        <v>83</v>
      </c>
      <c r="B76" t="str">
        <f>"Power: "&amp;B63&amp;" kW. Lifetime: "&amp;B57&amp;" km. Annual kilometers: "&amp;ROUND(B61,0)&amp;" km. Number of passengers: "&amp;ROUND(B58,1)&amp;". Curb mass: "&amp;ROUND(B62,1)&amp;" kg. Lightweighting of glider: "&amp;ROUND(B72*100,0)&amp;"%. Emission standard: "&amp;B71&amp;". Service visits throughout lifetime: "&amp;ROUND(B59,1)&amp;". Range: "&amp;ROUND(B70,0)&amp;" km. Battery capacity: "&amp;ROUND(B66,1)&amp;" kWh. Available battery capacity: "&amp;B67&amp;" kWh. Battery mass: "&amp;ROUND(B65,1)&amp; " kg. Battery replacement throughout lifetime: "&amp;ROUND(B60,1)&amp;". Fuel tank capacity: "&amp;ROUND(B68,1)&amp;" kWh. Fuel mass: "&amp;ROUND(B69,1)&amp;" kg. Origin of manufacture: "&amp;B73&amp;". Shipping distance: "&amp;B74&amp;" km. Lorry distribution distance: "&amp;B75&amp;" km. Documentation: "&amp;Readmefirst!$B$2&amp;", "&amp;Readmefirst!$B$3&amp;". "&amp;'lci-kick scooter - NMC'!B57</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7" spans="1:8" ht="16" x14ac:dyDescent="0.2">
      <c r="A77" s="10" t="s">
        <v>79</v>
      </c>
    </row>
    <row r="78" spans="1:8" x14ac:dyDescent="0.2">
      <c r="A78" t="s">
        <v>80</v>
      </c>
      <c r="B78" t="s">
        <v>81</v>
      </c>
      <c r="C78" t="s">
        <v>72</v>
      </c>
      <c r="D78" t="s">
        <v>76</v>
      </c>
      <c r="E78" t="s">
        <v>82</v>
      </c>
      <c r="F78" t="s">
        <v>74</v>
      </c>
      <c r="G78" t="s">
        <v>83</v>
      </c>
      <c r="H78" t="s">
        <v>73</v>
      </c>
    </row>
    <row r="79" spans="1:8" x14ac:dyDescent="0.2">
      <c r="A79" t="str">
        <f>B47</f>
        <v>Motorbike, electric, &lt;4kW, NCA battery, 2030</v>
      </c>
      <c r="B79">
        <v>1</v>
      </c>
      <c r="C79" t="str">
        <f>B48</f>
        <v>CH</v>
      </c>
      <c r="D79" t="str">
        <f>B55</f>
        <v>unit</v>
      </c>
      <c r="F79" t="s">
        <v>84</v>
      </c>
      <c r="G79" t="s">
        <v>85</v>
      </c>
      <c r="H79" t="str">
        <f>B49</f>
        <v>Motorbike, electric, &lt;4kW</v>
      </c>
    </row>
    <row r="80" spans="1:8" x14ac:dyDescent="0.2">
      <c r="A80" t="str">
        <f>INDEX('ei names mapping'!$B$4:$R$33,MATCH(B49,'ei names mapping'!$A$4:$A$33,0),MATCH(G80,'ei names mapping'!$B$3:$R$3,0))</f>
        <v>market for glider, for electric scooter</v>
      </c>
      <c r="B80" s="11">
        <f>INDEX('vehicles specifications'!$B$3:$CW$166,MATCH(B52,'vehicles specifications'!$A$3:$A$166,0),MATCH(G80,'vehicles specifications'!$B$2:$CW$2,0))*INDEX('ei names mapping'!$B$137:$BL$300,MATCH(B52,'ei names mapping'!$A$137:$A$300,0),MATCH(G80,'ei names mapping'!$B$136:$BL$136,0))</f>
        <v>53</v>
      </c>
      <c r="C80" t="str">
        <f>INDEX('ei names mapping'!$B$38:$R$67,MATCH(B49,'ei names mapping'!$A$4:$A$33,0),MATCH(G80,'ei names mapping'!$B$3:$R$3,0))</f>
        <v>GLO</v>
      </c>
      <c r="D80" t="str">
        <f>INDEX('ei names mapping'!$B$104:$R$133,MATCH(B49,'ei names mapping'!$A$104:$A$133,0),MATCH(G80,'ei names mapping'!$B$3:$R$3,0))</f>
        <v>kilogram</v>
      </c>
      <c r="F80" t="s">
        <v>89</v>
      </c>
      <c r="G80" t="s">
        <v>15</v>
      </c>
      <c r="H80" t="str">
        <f>INDEX('ei names mapping'!$B$71:$R$100,MATCH(B49,'ei names mapping'!$A$4:$A$33,0),MATCH(G80,'ei names mapping'!$B$3:$R$3,0))</f>
        <v>glider, for electric scooter</v>
      </c>
    </row>
    <row r="81" spans="1:8" x14ac:dyDescent="0.2">
      <c r="A81" t="str">
        <f>INDEX('ei names mapping'!$B$4:$R$33,MATCH(B49,'ei names mapping'!$A$4:$A$33,0),MATCH(G81,'ei names mapping'!$B$3:$R$3,0))</f>
        <v>Glider lightweighting</v>
      </c>
      <c r="B81" s="11">
        <f>INDEX('vehicles specifications'!$B$3:$CW$166,MATCH(B52,'vehicles specifications'!$A$3:$A$166,0),MATCH(G81,'vehicles specifications'!$B$2:$CW$2,0))*INDEX('ei names mapping'!$B$137:$BL$300,MATCH(B52,'ei names mapping'!$A$137:$A$300,0),MATCH(G81,'ei names mapping'!$B$136:$BL$136,0))</f>
        <v>1.5899999999999999</v>
      </c>
      <c r="C81" t="str">
        <f>INDEX('ei names mapping'!$B$38:$R$67,MATCH(B49,'ei names mapping'!$A$4:$A$33,0),MATCH(G81,'ei names mapping'!$B$3:$R$3,0))</f>
        <v>GLO</v>
      </c>
      <c r="D81" t="str">
        <f>INDEX('ei names mapping'!$B$104:$R$133,MATCH(B49,'ei names mapping'!$A$104:$A$133,0),MATCH(G81,'ei names mapping'!$B$3:$R$3,0))</f>
        <v>kilogram</v>
      </c>
      <c r="F81" t="s">
        <v>89</v>
      </c>
      <c r="G81" t="s">
        <v>14</v>
      </c>
      <c r="H81" t="str">
        <f>INDEX('ei names mapping'!$B$71:$R$100,MATCH(B49,'ei names mapping'!$A$4:$A$33,0),MATCH(G81,'ei names mapping'!$B$3:$R$3,0))</f>
        <v>Glider lightweighting</v>
      </c>
    </row>
    <row r="82" spans="1:8" x14ac:dyDescent="0.2">
      <c r="A82" t="str">
        <f>INDEX('ei names mapping'!$B$4:$R$33,MATCH(B49,'ei names mapping'!$A$4:$A$33,0),MATCH(G82,'ei names mapping'!$B$3:$R$3,0))</f>
        <v>market for glider, for electric scooter</v>
      </c>
      <c r="B82" s="11">
        <f>INDEX('vehicles specifications'!$B$3:$CW$166,MATCH(B52,'vehicles specifications'!$A$3:$A$166,0),MATCH(G82,'vehicles specifications'!$B$2:$CW$2,0))*INDEX('ei names mapping'!$B$137:$BL$300,MATCH(B52,'ei names mapping'!$A$137:$A$300,0),MATCH(G82,'ei names mapping'!$B$136:$BL$136,0))</f>
        <v>4.5</v>
      </c>
      <c r="C82" t="str">
        <f>INDEX('ei names mapping'!$B$38:$R$67,MATCH(B49,'ei names mapping'!$A$4:$A$33,0),MATCH(G82,'ei names mapping'!$B$3:$R$3,0))</f>
        <v>GLO</v>
      </c>
      <c r="D82" t="str">
        <f>INDEX('ei names mapping'!$B$104:$R$133,MATCH(B49,'ei names mapping'!$A$104:$A$133,0),MATCH(G82,'ei names mapping'!$B$3:$R$3,0))</f>
        <v>kilogram</v>
      </c>
      <c r="F82" t="s">
        <v>89</v>
      </c>
      <c r="G82" t="s">
        <v>16</v>
      </c>
      <c r="H82" t="str">
        <f>INDEX('ei names mapping'!$B$71:$R$100,MATCH(B49,'ei names mapping'!$A$4:$A$33,0),MATCH(G82,'ei names mapping'!$B$3:$R$3,0))</f>
        <v>glider, for electric scooter</v>
      </c>
    </row>
    <row r="83" spans="1:8" x14ac:dyDescent="0.2">
      <c r="A83" t="str">
        <f>INDEX('ei names mapping'!$B$4:$R$33,MATCH(B49,'ei names mapping'!$A$4:$A$33,0),MATCH(G83,'ei names mapping'!$B$3:$R$3,0))</f>
        <v>market for electric powertrain, for electric scooter</v>
      </c>
      <c r="B83" s="11">
        <f>INDEX('vehicles specifications'!$B$3:$CW$166,MATCH(B52,'vehicles specifications'!$A$3:$A$166,0),MATCH(G83,'vehicles specifications'!$B$2:$CW$2,0))*INDEX('ei names mapping'!$B$137:$BL$300,MATCH(B52,'ei names mapping'!$A$137:$A$300,0),MATCH(G83,'ei names mapping'!$B$136:$BL$136,0))</f>
        <v>7.5</v>
      </c>
      <c r="C83" t="str">
        <f>INDEX('ei names mapping'!$B$38:$R$67,MATCH(B49,'ei names mapping'!$A$4:$A$33,0),MATCH(G83,'ei names mapping'!$B$3:$R$3,0))</f>
        <v>GLO</v>
      </c>
      <c r="D83" t="str">
        <f>INDEX('ei names mapping'!$B$104:$R$133,MATCH(B49,'ei names mapping'!$A$104:$A$133,0),MATCH(G83,'ei names mapping'!$B$3:$R$3,0))</f>
        <v>kilogram</v>
      </c>
      <c r="F83" t="s">
        <v>89</v>
      </c>
      <c r="G83" t="s">
        <v>501</v>
      </c>
      <c r="H83" t="str">
        <f>INDEX('ei names mapping'!$B$71:$R$100,MATCH(B49,'ei names mapping'!$A$4:$A$33,0),MATCH(G83,'ei names mapping'!$B$3:$R$3,0))</f>
        <v>powertrain, for electric scooter</v>
      </c>
    </row>
    <row r="84" spans="1:8" x14ac:dyDescent="0.2">
      <c r="A84" t="s">
        <v>760</v>
      </c>
      <c r="B84" s="11">
        <f>INDEX('vehicles specifications'!$B$3:$CW$166,MATCH(B52,'vehicles specifications'!$A$3:$A$166,0),MATCH(G84,'vehicles specifications'!$B$2:$CW$2,0))*INDEX('ei names mapping'!$B$137:$BL$300,MATCH(B52,'ei names mapping'!$A$137:$A$300,0),MATCH(G84,'ei names mapping'!$B$136:$BL$136,0))</f>
        <v>16</v>
      </c>
      <c r="C84" t="str">
        <f>INDEX('ei names mapping'!$B$38:$R$67,MATCH(B49,'ei names mapping'!$A$4:$A$33,0),MATCH(G84,'ei names mapping'!$B$3:$R$3,0))</f>
        <v>GLO</v>
      </c>
      <c r="D84" t="str">
        <f>INDEX('ei names mapping'!$B$104:$R$133,MATCH(B49,'ei names mapping'!$A$104:$A$133,0),MATCH(G84,'ei names mapping'!$B$3:$R$3,0))</f>
        <v>kilogram</v>
      </c>
      <c r="F84" t="s">
        <v>89</v>
      </c>
      <c r="G84" t="s">
        <v>19</v>
      </c>
      <c r="H84" t="str">
        <f>INDEX('ei names mapping'!$B$71:$R$100,MATCH(B49,'ei names mapping'!$A$4:$A$33,0),MATCH(G84,'ei names mapping'!$B$3:$R$3,0))</f>
        <v>Battery cell</v>
      </c>
    </row>
    <row r="85" spans="1:8" x14ac:dyDescent="0.2">
      <c r="A85" t="str">
        <f>INDEX('ei names mapping'!$B$4:$R$33,MATCH(B49,'ei names mapping'!$A$4:$A$33,0),MATCH(G85,'ei names mapping'!$B$3:$R$3,0))</f>
        <v>Battery BoP</v>
      </c>
      <c r="B85" s="11">
        <f>INDEX('vehicles specifications'!$B$3:$CW$166,MATCH(B52,'vehicles specifications'!$A$3:$A$166,0),MATCH(G85,'vehicles specifications'!$B$2:$CW$2,0))*INDEX('ei names mapping'!$B$137:$BL$300,MATCH(B52,'ei names mapping'!$A$137:$A$300,0),MATCH(G85,'ei names mapping'!$B$136:$BL$136,0))</f>
        <v>4.8000000000000007</v>
      </c>
      <c r="C85" t="str">
        <f>INDEX('ei names mapping'!$B$38:$R$67,MATCH(B49,'ei names mapping'!$A$4:$A$33,0),MATCH(G85,'ei names mapping'!$B$3:$R$3,0))</f>
        <v>GLO</v>
      </c>
      <c r="D85" t="str">
        <f>INDEX('ei names mapping'!$B$104:$R$133,MATCH(B49,'ei names mapping'!$A$104:$A$133,0),MATCH(G85,'ei names mapping'!$B$3:$R$3,0))</f>
        <v>kilogram</v>
      </c>
      <c r="F85" t="s">
        <v>89</v>
      </c>
      <c r="G85" t="s">
        <v>20</v>
      </c>
      <c r="H85" t="str">
        <f>INDEX('ei names mapping'!$B$71:$R$100,MATCH(B49,'ei names mapping'!$A$4:$A$33,0),MATCH(G85,'ei names mapping'!$B$3:$R$3,0))</f>
        <v>Battery BoP</v>
      </c>
    </row>
    <row r="86" spans="1:8" x14ac:dyDescent="0.2">
      <c r="A86" t="str">
        <f>INDEX('ei names mapping'!$B$4:$R$33,MATCH(B49,'ei names mapping'!$A$4:$A$33,0),MATCH(G86,'ei names mapping'!$B$3:$R$3,0))</f>
        <v>charging station, 3kW</v>
      </c>
      <c r="B86" s="11">
        <f>INDEX('vehicles specifications'!$B$3:$CW$166,MATCH(B52,'vehicles specifications'!$A$3:$A$166,0),MATCH(G86,'vehicles specifications'!$B$2:$CW$2,0))*INDEX('ei names mapping'!$B$137:$BL$300,MATCH(B52,'ei names mapping'!$A$137:$A$300,0),MATCH(G86,'ei names mapping'!$B$136:$BL$136,0))</f>
        <v>1</v>
      </c>
      <c r="C86" t="str">
        <f>INDEX('ei names mapping'!$B$38:$R$67,MATCH(B49,'ei names mapping'!$A$4:$A$33,0),MATCH(G86,'ei names mapping'!$B$3:$R$3,0))</f>
        <v>GLO</v>
      </c>
      <c r="D86" t="str">
        <f>INDEX('ei names mapping'!$B$104:$R$133,MATCH(B49,'ei names mapping'!$A$104:$A$133,0),MATCH(G86,'ei names mapping'!$B$3:$R$3,0))</f>
        <v>unit</v>
      </c>
      <c r="F86" t="s">
        <v>89</v>
      </c>
      <c r="G86" t="s">
        <v>52</v>
      </c>
      <c r="H86" t="str">
        <f>INDEX('ei names mapping'!$B$71:$R$100,MATCH(B49,'ei names mapping'!$A$4:$A$33,0),MATCH(G86,'ei names mapping'!$B$3:$R$3,0))</f>
        <v>charging station, 3kW</v>
      </c>
    </row>
    <row r="87" spans="1:8" x14ac:dyDescent="0.2">
      <c r="A87" t="str">
        <f>INDEX('ei names mapping'!$B$4:$R$33,MATCH(B49,'ei names mapping'!$A$4:$A$33,0),MATCH(G87,'ei names mapping'!$B$3:$R$3,0))</f>
        <v>manual dismantling of used electric scooter</v>
      </c>
      <c r="B87" s="11">
        <f>INDEX('vehicles specifications'!$B$3:$CW$166,MATCH(B52,'vehicles specifications'!$A$3:$A$166,0),MATCH(G87,'vehicles specifications'!$B$2:$CW$2,0))*INDEX('ei names mapping'!$B$137:$BL$300,MATCH(B52,'ei names mapping'!$A$137:$A$300,0),MATCH(G87,'ei names mapping'!$B$136:$BL$136,0))</f>
        <v>51.41</v>
      </c>
      <c r="C87" t="str">
        <f>INDEX('ei names mapping'!$B$38:$R$67,MATCH(B49,'ei names mapping'!$A$4:$A$33,0),MATCH(G87,'ei names mapping'!$B$3:$R$3,0))</f>
        <v>GLO</v>
      </c>
      <c r="D87" t="str">
        <f>INDEX('ei names mapping'!$B$104:$R$133,MATCH(B49,'ei names mapping'!$A$104:$A$133,0),MATCH(G87,'ei names mapping'!$B$3:$R$3,0))</f>
        <v>unit</v>
      </c>
      <c r="F87" t="s">
        <v>89</v>
      </c>
      <c r="G87" t="s">
        <v>144</v>
      </c>
      <c r="H87" t="str">
        <f>INDEX('ei names mapping'!$B$71:$R$100,MATCH(B49,'ei names mapping'!$A$4:$A$33,0),MATCH(G87,'ei names mapping'!$B$3:$R$3,0))</f>
        <v>manual dismantling of electric scooter</v>
      </c>
    </row>
    <row r="88" spans="1:8" x14ac:dyDescent="0.2">
      <c r="A88" t="str">
        <f>INDEX('ei names mapping'!$B$4:$R$33,MATCH(B49,'ei names mapping'!$A$4:$A$33,0),MATCH(G88,'ei names mapping'!$B$3:$R$3,0))</f>
        <v>manual dismantling of used electric scooter</v>
      </c>
      <c r="B88" s="11">
        <f>INDEX('vehicles specifications'!$B$3:$CW$166,MATCH(B52,'vehicles specifications'!$A$3:$A$166,0),MATCH(G88,'vehicles specifications'!$B$2:$CW$2,0))*INDEX('ei names mapping'!$B$137:$BL$300,MATCH(B52,'ei names mapping'!$A$137:$A$300,0),MATCH(G88,'ei names mapping'!$B$136:$BL$136,0))</f>
        <v>12</v>
      </c>
      <c r="C88" t="str">
        <f>INDEX('ei names mapping'!$B$38:$R$67,MATCH(B49,'ei names mapping'!$A$4:$A$33,0),MATCH(G88,'ei names mapping'!$B$3:$R$3,0))</f>
        <v>GLO</v>
      </c>
      <c r="D88" t="str">
        <f>INDEX('ei names mapping'!$B$104:$R$133,MATCH(B49,'ei names mapping'!$A$104:$A$133,0),MATCH(G88,'ei names mapping'!$B$3:$R$3,0))</f>
        <v>unit</v>
      </c>
      <c r="F88" t="s">
        <v>89</v>
      </c>
      <c r="G88" t="s">
        <v>145</v>
      </c>
      <c r="H88" t="str">
        <f>INDEX('ei names mapping'!$B$71:$R$100,MATCH(B49,'ei names mapping'!$A$4:$A$33,0),MATCH(G88,'ei names mapping'!$B$3:$R$3,0))</f>
        <v>manual dismantling of electric scooter</v>
      </c>
    </row>
    <row r="89" spans="1:8" x14ac:dyDescent="0.2">
      <c r="A89" t="str">
        <f>INDEX('ei names mapping'!$B$4:$R$33,MATCH(B49,'ei names mapping'!$A$4:$A$33,0),MATCH(G89,'ei names mapping'!$B$3:$R$3,0))</f>
        <v>market for used Li-ion battery</v>
      </c>
      <c r="B89" s="11">
        <f>INDEX('vehicles specifications'!$B$3:$CW$166,MATCH(B52,'vehicles specifications'!$A$3:$A$166,0),MATCH(G89,'vehicles specifications'!$B$2:$CW$2,0))*INDEX('ei names mapping'!$B$137:$BL$300,MATCH(B52,'ei names mapping'!$A$137:$A$300,0),MATCH(G89,'ei names mapping'!$B$136:$BL$136,0))</f>
        <v>-20.8</v>
      </c>
      <c r="C89" t="str">
        <f>INDEX('ei names mapping'!$B$38:$R$67,MATCH(B49,'ei names mapping'!$A$4:$A$33,0),MATCH(G89,'ei names mapping'!$B$3:$R$3,0))</f>
        <v>GLO</v>
      </c>
      <c r="D89" t="str">
        <f>INDEX('ei names mapping'!$B$104:$R$133,MATCH(B53,'ei names mapping'!$A$104:$A$133,0),MATCH(G89,'ei names mapping'!$B$3:$R$3,0))</f>
        <v>kilogram</v>
      </c>
      <c r="F89" t="s">
        <v>89</v>
      </c>
      <c r="G89" t="s">
        <v>146</v>
      </c>
      <c r="H89" t="str">
        <f>INDEX('ei names mapping'!$B$71:$R$100,MATCH(B49,'ei names mapping'!$A$4:$A$33,0),MATCH(G89,'ei names mapping'!$B$3:$R$3,0))</f>
        <v>used Li-ion battery</v>
      </c>
    </row>
    <row r="90" spans="1:8" x14ac:dyDescent="0.2">
      <c r="A90" s="13" t="s">
        <v>840</v>
      </c>
      <c r="B90">
        <f>(B62/1000)*B75</f>
        <v>77.276666666666671</v>
      </c>
      <c r="C90" t="s">
        <v>92</v>
      </c>
      <c r="D90" t="s">
        <v>233</v>
      </c>
      <c r="F90" t="s">
        <v>89</v>
      </c>
      <c r="H90" s="13" t="s">
        <v>841</v>
      </c>
    </row>
    <row r="91" spans="1:8" x14ac:dyDescent="0.2">
      <c r="A91" s="13" t="s">
        <v>441</v>
      </c>
      <c r="B91" s="2">
        <f>(B62/1000)*B74</f>
        <v>1228.6990000000001</v>
      </c>
      <c r="C91" t="s">
        <v>95</v>
      </c>
      <c r="D91" t="s">
        <v>233</v>
      </c>
      <c r="F91" t="s">
        <v>89</v>
      </c>
      <c r="H91" s="13" t="s">
        <v>441</v>
      </c>
    </row>
    <row r="93" spans="1:8" ht="16" x14ac:dyDescent="0.2">
      <c r="A93" s="10" t="s">
        <v>71</v>
      </c>
      <c r="B93" s="8" t="str">
        <f>B95&amp;", "&amp;B110&amp;" battery, "&amp;B97</f>
        <v>Motorbike, electric, &lt;4kW, NCA battery, 2040</v>
      </c>
    </row>
    <row r="94" spans="1:8" x14ac:dyDescent="0.2">
      <c r="A94" t="s">
        <v>72</v>
      </c>
      <c r="B94" t="s">
        <v>37</v>
      </c>
    </row>
    <row r="95" spans="1:8" x14ac:dyDescent="0.2">
      <c r="A95" t="s">
        <v>86</v>
      </c>
      <c r="B95" t="s">
        <v>492</v>
      </c>
    </row>
    <row r="96" spans="1:8" x14ac:dyDescent="0.2">
      <c r="A96" t="s">
        <v>87</v>
      </c>
    </row>
    <row r="97" spans="1:2" x14ac:dyDescent="0.2">
      <c r="A97" t="s">
        <v>88</v>
      </c>
      <c r="B97">
        <v>2040</v>
      </c>
    </row>
    <row r="98" spans="1:2" x14ac:dyDescent="0.2">
      <c r="A98" t="s">
        <v>126</v>
      </c>
      <c r="B98" t="str">
        <f>B95&amp;" - "&amp;B97&amp;" - "&amp;B110&amp;" - "&amp;B94</f>
        <v>Motorbike, electric, &lt;4kW - 2040 - NCA - CH</v>
      </c>
    </row>
    <row r="99" spans="1:2" x14ac:dyDescent="0.2">
      <c r="A99" t="s">
        <v>73</v>
      </c>
      <c r="B99" t="str">
        <f>B95</f>
        <v>Motorbike, electric, &lt;4kW</v>
      </c>
    </row>
    <row r="100" spans="1:2" x14ac:dyDescent="0.2">
      <c r="A100" t="s">
        <v>74</v>
      </c>
      <c r="B100" t="s">
        <v>75</v>
      </c>
    </row>
    <row r="101" spans="1:2" x14ac:dyDescent="0.2">
      <c r="A101" t="s">
        <v>76</v>
      </c>
      <c r="B101" t="s">
        <v>76</v>
      </c>
    </row>
    <row r="102" spans="1:2" x14ac:dyDescent="0.2">
      <c r="A102" t="s">
        <v>78</v>
      </c>
      <c r="B102" t="s">
        <v>1143</v>
      </c>
    </row>
    <row r="103" spans="1:2" x14ac:dyDescent="0.2">
      <c r="A103" t="s">
        <v>127</v>
      </c>
      <c r="B103">
        <f>INDEX('vehicles specifications'!$B$3:$CW$166,MATCH(B98,'vehicles specifications'!$A$3:$A$166,0),MATCH("Lifetime [km]",'vehicles specifications'!$B$2:$CW$2,0))</f>
        <v>25000</v>
      </c>
    </row>
    <row r="104" spans="1:2" x14ac:dyDescent="0.2">
      <c r="A104" t="s">
        <v>128</v>
      </c>
      <c r="B104">
        <f>INDEX('vehicles specifications'!$B$3:$CW$166,MATCH(B98,'vehicles specifications'!$A$3:$A$166,0),MATCH("Passengers [unit]",'vehicles specifications'!$B$2:$CW$2,0))</f>
        <v>1.1000000000000001</v>
      </c>
    </row>
    <row r="105" spans="1:2" x14ac:dyDescent="0.2">
      <c r="A105" t="s">
        <v>129</v>
      </c>
      <c r="B105">
        <f>INDEX('vehicles specifications'!$B$3:$CW$166,MATCH(B98,'vehicles specifications'!$A$3:$A$166,0),MATCH("Servicing [unit]",'vehicles specifications'!$B$2:$CW$2,0))</f>
        <v>1</v>
      </c>
    </row>
    <row r="106" spans="1:2" x14ac:dyDescent="0.2">
      <c r="A106" t="s">
        <v>130</v>
      </c>
      <c r="B106">
        <f>INDEX('vehicles specifications'!$B$3:$CW$166,MATCH(B98,'vehicles specifications'!$A$3:$A$166,0),MATCH("Energy battery replacement [unit]",'vehicles specifications'!$B$2:$CW$2,0))</f>
        <v>0.25</v>
      </c>
    </row>
    <row r="107" spans="1:2" x14ac:dyDescent="0.2">
      <c r="A107" t="s">
        <v>131</v>
      </c>
      <c r="B107">
        <f>INDEX('vehicles specifications'!$B$3:$CW$166,MATCH(B98,'vehicles specifications'!$A$3:$A$166,0),MATCH("Annual kilometers [km]",'vehicles specifications'!$B$2:$CW$2,0))</f>
        <v>1776</v>
      </c>
    </row>
    <row r="108" spans="1:2" x14ac:dyDescent="0.2">
      <c r="A108" t="s">
        <v>132</v>
      </c>
      <c r="B108" s="2">
        <f>INDEX('vehicles specifications'!$B$3:$CW$166,MATCH(B98,'vehicles specifications'!$A$3:$A$166,0),MATCH("Curb mass [kg]",'vehicles specifications'!$B$2:$CW$2,0))</f>
        <v>76.974999999999994</v>
      </c>
    </row>
    <row r="109" spans="1:2" x14ac:dyDescent="0.2">
      <c r="A109" t="s">
        <v>133</v>
      </c>
      <c r="B109">
        <f>INDEX('vehicles specifications'!$B$3:$CW$166,MATCH(B98,'vehicles specifications'!$A$3:$A$166,0),MATCH("Power [kW]",'vehicles specifications'!$B$2:$CW$2,0))</f>
        <v>2.5</v>
      </c>
    </row>
    <row r="110" spans="1:2" x14ac:dyDescent="0.2">
      <c r="A110" t="s">
        <v>652</v>
      </c>
      <c r="B110" s="20" t="s">
        <v>45</v>
      </c>
    </row>
    <row r="111" spans="1:2" x14ac:dyDescent="0.2">
      <c r="A111" t="s">
        <v>134</v>
      </c>
      <c r="B111">
        <f>INDEX('vehicles specifications'!$B$3:$CW$166,MATCH(B98,'vehicles specifications'!$A$3:$A$166,0),MATCH("Energy battery mass [kg]",'vehicles specifications'!$B$2:$CW$2,0))</f>
        <v>14.625</v>
      </c>
    </row>
    <row r="112" spans="1:2" x14ac:dyDescent="0.2">
      <c r="A112" t="s">
        <v>135</v>
      </c>
      <c r="B112">
        <f>INDEX('vehicles specifications'!$B$3:$CW$166,MATCH(B98,'vehicles specifications'!$A$3:$A$166,0),MATCH("Electric energy stored [kWh]",'vehicles specifications'!$B$2:$CW$2,0))</f>
        <v>4.5</v>
      </c>
    </row>
    <row r="113" spans="1:8" x14ac:dyDescent="0.2">
      <c r="A113" t="s">
        <v>588</v>
      </c>
      <c r="B113">
        <f>INDEX('vehicles specifications'!$B$3:$CW$166,MATCH(B98,'vehicles specifications'!$A$3:$A$166,0),MATCH("Electric energy available [kWh]",'vehicles specifications'!$B$2:$CW$2,0))</f>
        <v>3.6</v>
      </c>
    </row>
    <row r="114" spans="1:8" x14ac:dyDescent="0.2">
      <c r="A114" t="s">
        <v>138</v>
      </c>
      <c r="B114" s="2">
        <f>INDEX('vehicles specifications'!$B$3:$CW$166,MATCH(B98,'vehicles specifications'!$A$3:$A$166,0),MATCH("Oxydation energy stored [kWh]",'vehicles specifications'!$B$2:$CW$2,0))</f>
        <v>0</v>
      </c>
    </row>
    <row r="115" spans="1:8" x14ac:dyDescent="0.2">
      <c r="A115" t="s">
        <v>139</v>
      </c>
      <c r="B115">
        <f>INDEX('vehicles specifications'!$B$3:$CW$166,MATCH(B98,'vehicles specifications'!$A$3:$A$166,0),MATCH("Fuel mass [kg]",'vehicles specifications'!$B$2:$CW$2,0))</f>
        <v>0</v>
      </c>
    </row>
    <row r="116" spans="1:8" x14ac:dyDescent="0.2">
      <c r="A116" t="s">
        <v>136</v>
      </c>
      <c r="B116" s="2">
        <f>INDEX('vehicles specifications'!$B$3:$CW$166,MATCH(B98,'vehicles specifications'!$A$3:$A$166,0),MATCH("Range [km]",'vehicles specifications'!$B$2:$CW$2,0))</f>
        <v>107.10743801652892</v>
      </c>
    </row>
    <row r="117" spans="1:8" x14ac:dyDescent="0.2">
      <c r="A117" t="s">
        <v>137</v>
      </c>
      <c r="B117" t="str">
        <f>INDEX('vehicles specifications'!$B$3:$CW$166,MATCH(B98,'vehicles specifications'!$A$3:$A$166,0),MATCH("Emission standard",'vehicles specifications'!$B$2:$CW$2,0))</f>
        <v>None</v>
      </c>
    </row>
    <row r="118" spans="1:8" x14ac:dyDescent="0.2">
      <c r="A118" t="s">
        <v>1174</v>
      </c>
      <c r="B118" s="6">
        <f>INDEX('vehicles specifications'!$B$3:$CW$166,MATCH(B98,'vehicles specifications'!$A$3:$A$166,0),MATCH("Lightweighting rate [%]",'vehicles specifications'!$B$2:$CW$2,0))</f>
        <v>0.05</v>
      </c>
    </row>
    <row r="119" spans="1:8" x14ac:dyDescent="0.2">
      <c r="A119" t="s">
        <v>485</v>
      </c>
      <c r="B119" s="6" t="s">
        <v>486</v>
      </c>
    </row>
    <row r="120" spans="1:8" x14ac:dyDescent="0.2">
      <c r="A120" t="s">
        <v>487</v>
      </c>
      <c r="B120" s="2">
        <v>15900</v>
      </c>
    </row>
    <row r="121" spans="1:8" x14ac:dyDescent="0.2">
      <c r="A121" t="s">
        <v>488</v>
      </c>
      <c r="B121" s="2">
        <v>1000</v>
      </c>
    </row>
    <row r="122" spans="1:8" x14ac:dyDescent="0.2">
      <c r="A122" t="s">
        <v>83</v>
      </c>
      <c r="B122"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NMC'!B104</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3" spans="1:8" ht="16" x14ac:dyDescent="0.2">
      <c r="A123" s="10" t="s">
        <v>79</v>
      </c>
    </row>
    <row r="124" spans="1:8" x14ac:dyDescent="0.2">
      <c r="A124" t="s">
        <v>80</v>
      </c>
      <c r="B124" t="s">
        <v>81</v>
      </c>
      <c r="C124" t="s">
        <v>72</v>
      </c>
      <c r="D124" t="s">
        <v>76</v>
      </c>
      <c r="E124" t="s">
        <v>82</v>
      </c>
      <c r="F124" t="s">
        <v>74</v>
      </c>
      <c r="G124" t="s">
        <v>83</v>
      </c>
      <c r="H124" t="s">
        <v>73</v>
      </c>
    </row>
    <row r="125" spans="1:8" x14ac:dyDescent="0.2">
      <c r="A125" t="str">
        <f>B93</f>
        <v>Motorbike, electric, &lt;4kW, NCA battery, 2040</v>
      </c>
      <c r="B125">
        <v>1</v>
      </c>
      <c r="C125" t="str">
        <f>B94</f>
        <v>CH</v>
      </c>
      <c r="D125" t="str">
        <f>B101</f>
        <v>unit</v>
      </c>
      <c r="F125" t="s">
        <v>84</v>
      </c>
      <c r="G125" t="s">
        <v>85</v>
      </c>
      <c r="H125" t="str">
        <f>B95</f>
        <v>Motorbike, electric, &lt;4kW</v>
      </c>
    </row>
    <row r="126" spans="1:8" x14ac:dyDescent="0.2">
      <c r="A126" t="str">
        <f>INDEX('ei names mapping'!$B$4:$R$33,MATCH(B95,'ei names mapping'!$A$4:$A$33,0),MATCH(G126,'ei names mapping'!$B$3:$R$3,0))</f>
        <v>market for glider, for electric scooter</v>
      </c>
      <c r="B126" s="11">
        <f>INDEX('vehicles specifications'!$B$3:$CW$166,MATCH(B98,'vehicles specifications'!$A$3:$A$166,0),MATCH(G126,'vehicles specifications'!$B$2:$CW$2,0))*INDEX('ei names mapping'!$B$137:$BL$300,MATCH(B98,'ei names mapping'!$A$137:$A$300,0),MATCH(G126,'ei names mapping'!$B$136:$BL$136,0))</f>
        <v>53</v>
      </c>
      <c r="C126" t="str">
        <f>INDEX('ei names mapping'!$B$38:$R$67,MATCH(B95,'ei names mapping'!$A$4:$A$33,0),MATCH(G126,'ei names mapping'!$B$3:$R$3,0))</f>
        <v>GLO</v>
      </c>
      <c r="D126" t="str">
        <f>INDEX('ei names mapping'!$B$104:$R$133,MATCH(B95,'ei names mapping'!$A$104:$A$133,0),MATCH(G126,'ei names mapping'!$B$3:$R$3,0))</f>
        <v>kilogram</v>
      </c>
      <c r="F126" t="s">
        <v>89</v>
      </c>
      <c r="G126" t="s">
        <v>15</v>
      </c>
      <c r="H126" t="str">
        <f>INDEX('ei names mapping'!$B$71:$R$100,MATCH(B95,'ei names mapping'!$A$4:$A$33,0),MATCH(G126,'ei names mapping'!$B$3:$R$3,0))</f>
        <v>glider, for electric scooter</v>
      </c>
    </row>
    <row r="127" spans="1:8" x14ac:dyDescent="0.2">
      <c r="A127" t="str">
        <f>INDEX('ei names mapping'!$B$4:$R$33,MATCH(B95,'ei names mapping'!$A$4:$A$33,0),MATCH(G127,'ei names mapping'!$B$3:$R$3,0))</f>
        <v>Glider lightweighting</v>
      </c>
      <c r="B127" s="11">
        <f>INDEX('vehicles specifications'!$B$3:$CW$166,MATCH(B98,'vehicles specifications'!$A$3:$A$166,0),MATCH(G127,'vehicles specifications'!$B$2:$CW$2,0))*INDEX('ei names mapping'!$B$137:$BL$300,MATCH(B98,'ei names mapping'!$A$137:$A$300,0),MATCH(G127,'ei names mapping'!$B$136:$BL$136,0))</f>
        <v>2.6500000000000004</v>
      </c>
      <c r="C127" t="str">
        <f>INDEX('ei names mapping'!$B$38:$R$67,MATCH(B95,'ei names mapping'!$A$4:$A$33,0),MATCH(G127,'ei names mapping'!$B$3:$R$3,0))</f>
        <v>GLO</v>
      </c>
      <c r="D127" t="str">
        <f>INDEX('ei names mapping'!$B$104:$R$133,MATCH(B95,'ei names mapping'!$A$104:$A$133,0),MATCH(G127,'ei names mapping'!$B$3:$R$3,0))</f>
        <v>kilogram</v>
      </c>
      <c r="F127" t="s">
        <v>89</v>
      </c>
      <c r="G127" t="s">
        <v>14</v>
      </c>
      <c r="H127" t="str">
        <f>INDEX('ei names mapping'!$B$71:$R$100,MATCH(B95,'ei names mapping'!$A$4:$A$33,0),MATCH(G127,'ei names mapping'!$B$3:$R$3,0))</f>
        <v>Glider lightweighting</v>
      </c>
    </row>
    <row r="128" spans="1:8" x14ac:dyDescent="0.2">
      <c r="A128" t="str">
        <f>INDEX('ei names mapping'!$B$4:$R$33,MATCH(B95,'ei names mapping'!$A$4:$A$33,0),MATCH(G128,'ei names mapping'!$B$3:$R$3,0))</f>
        <v>market for glider, for electric scooter</v>
      </c>
      <c r="B128" s="11">
        <f>INDEX('vehicles specifications'!$B$3:$CW$166,MATCH(B98,'vehicles specifications'!$A$3:$A$166,0),MATCH(G128,'vehicles specifications'!$B$2:$CW$2,0))*INDEX('ei names mapping'!$B$137:$BL$300,MATCH(B98,'ei names mapping'!$A$137:$A$300,0),MATCH(G128,'ei names mapping'!$B$136:$BL$136,0))</f>
        <v>4.5</v>
      </c>
      <c r="C128" t="str">
        <f>INDEX('ei names mapping'!$B$38:$R$67,MATCH(B95,'ei names mapping'!$A$4:$A$33,0),MATCH(G128,'ei names mapping'!$B$3:$R$3,0))</f>
        <v>GLO</v>
      </c>
      <c r="D128" t="str">
        <f>INDEX('ei names mapping'!$B$104:$R$133,MATCH(B95,'ei names mapping'!$A$104:$A$133,0),MATCH(G128,'ei names mapping'!$B$3:$R$3,0))</f>
        <v>kilogram</v>
      </c>
      <c r="F128" t="s">
        <v>89</v>
      </c>
      <c r="G128" t="s">
        <v>16</v>
      </c>
      <c r="H128" t="str">
        <f>INDEX('ei names mapping'!$B$71:$R$100,MATCH(B95,'ei names mapping'!$A$4:$A$33,0),MATCH(G128,'ei names mapping'!$B$3:$R$3,0))</f>
        <v>glider, for electric scooter</v>
      </c>
    </row>
    <row r="129" spans="1:8" x14ac:dyDescent="0.2">
      <c r="A129" t="str">
        <f>INDEX('ei names mapping'!$B$4:$R$33,MATCH(B95,'ei names mapping'!$A$4:$A$33,0),MATCH(G129,'ei names mapping'!$B$3:$R$3,0))</f>
        <v>market for electric powertrain, for electric scooter</v>
      </c>
      <c r="B129" s="11">
        <f>INDEX('vehicles specifications'!$B$3:$CW$166,MATCH(B98,'vehicles specifications'!$A$3:$A$166,0),MATCH(G129,'vehicles specifications'!$B$2:$CW$2,0))*INDEX('ei names mapping'!$B$137:$BL$300,MATCH(B98,'ei names mapping'!$A$137:$A$300,0),MATCH(G129,'ei names mapping'!$B$136:$BL$136,0))</f>
        <v>7.5</v>
      </c>
      <c r="C129" t="str">
        <f>INDEX('ei names mapping'!$B$38:$R$67,MATCH(B95,'ei names mapping'!$A$4:$A$33,0),MATCH(G129,'ei names mapping'!$B$3:$R$3,0))</f>
        <v>GLO</v>
      </c>
      <c r="D129" t="str">
        <f>INDEX('ei names mapping'!$B$104:$R$133,MATCH(B95,'ei names mapping'!$A$104:$A$133,0),MATCH(G129,'ei names mapping'!$B$3:$R$3,0))</f>
        <v>kilogram</v>
      </c>
      <c r="F129" t="s">
        <v>89</v>
      </c>
      <c r="G129" t="s">
        <v>501</v>
      </c>
      <c r="H129" t="str">
        <f>INDEX('ei names mapping'!$B$71:$R$100,MATCH(B95,'ei names mapping'!$A$4:$A$33,0),MATCH(G129,'ei names mapping'!$B$3:$R$3,0))</f>
        <v>powertrain, for electric scooter</v>
      </c>
    </row>
    <row r="130" spans="1:8" x14ac:dyDescent="0.2">
      <c r="A130" t="s">
        <v>760</v>
      </c>
      <c r="B130" s="11">
        <f>INDEX('vehicles specifications'!$B$3:$CW$166,MATCH(B98,'vehicles specifications'!$A$3:$A$166,0),MATCH(G130,'vehicles specifications'!$B$2:$CW$2,0))*INDEX('ei names mapping'!$B$137:$BL$300,MATCH(B98,'ei names mapping'!$A$137:$A$300,0),MATCH(G130,'ei names mapping'!$B$136:$BL$136,0))</f>
        <v>14.0625</v>
      </c>
      <c r="C130" t="str">
        <f>INDEX('ei names mapping'!$B$38:$R$67,MATCH(B95,'ei names mapping'!$A$4:$A$33,0),MATCH(G130,'ei names mapping'!$B$3:$R$3,0))</f>
        <v>GLO</v>
      </c>
      <c r="D130" t="str">
        <f>INDEX('ei names mapping'!$B$104:$R$133,MATCH(B95,'ei names mapping'!$A$104:$A$133,0),MATCH(G130,'ei names mapping'!$B$3:$R$3,0))</f>
        <v>kilogram</v>
      </c>
      <c r="F130" t="s">
        <v>89</v>
      </c>
      <c r="G130" t="s">
        <v>19</v>
      </c>
      <c r="H130" t="str">
        <f>INDEX('ei names mapping'!$B$71:$R$100,MATCH(B95,'ei names mapping'!$A$4:$A$33,0),MATCH(G130,'ei names mapping'!$B$3:$R$3,0))</f>
        <v>Battery cell</v>
      </c>
    </row>
    <row r="131" spans="1:8" x14ac:dyDescent="0.2">
      <c r="A131" t="str">
        <f>INDEX('ei names mapping'!$B$4:$R$33,MATCH(B95,'ei names mapping'!$A$4:$A$33,0),MATCH(G131,'ei names mapping'!$B$3:$R$3,0))</f>
        <v>Battery BoP</v>
      </c>
      <c r="B131" s="11">
        <f>INDEX('vehicles specifications'!$B$3:$CW$166,MATCH(B98,'vehicles specifications'!$A$3:$A$166,0),MATCH(G131,'vehicles specifications'!$B$2:$CW$2,0))*INDEX('ei names mapping'!$B$137:$BL$300,MATCH(B98,'ei names mapping'!$A$137:$A$300,0),MATCH(G131,'ei names mapping'!$B$136:$BL$136,0))</f>
        <v>4.21875</v>
      </c>
      <c r="C131" t="str">
        <f>INDEX('ei names mapping'!$B$38:$R$67,MATCH(B95,'ei names mapping'!$A$4:$A$33,0),MATCH(G131,'ei names mapping'!$B$3:$R$3,0))</f>
        <v>GLO</v>
      </c>
      <c r="D131" t="str">
        <f>INDEX('ei names mapping'!$B$104:$R$133,MATCH(B95,'ei names mapping'!$A$104:$A$133,0),MATCH(G131,'ei names mapping'!$B$3:$R$3,0))</f>
        <v>kilogram</v>
      </c>
      <c r="F131" t="s">
        <v>89</v>
      </c>
      <c r="G131" t="s">
        <v>20</v>
      </c>
      <c r="H131" t="str">
        <f>INDEX('ei names mapping'!$B$71:$R$100,MATCH(B95,'ei names mapping'!$A$4:$A$33,0),MATCH(G131,'ei names mapping'!$B$3:$R$3,0))</f>
        <v>Battery BoP</v>
      </c>
    </row>
    <row r="132" spans="1:8" x14ac:dyDescent="0.2">
      <c r="A132" t="str">
        <f>INDEX('ei names mapping'!$B$4:$R$33,MATCH(B95,'ei names mapping'!$A$4:$A$33,0),MATCH(G132,'ei names mapping'!$B$3:$R$3,0))</f>
        <v>charging station, 3kW</v>
      </c>
      <c r="B132" s="11">
        <f>INDEX('vehicles specifications'!$B$3:$CW$166,MATCH(B98,'vehicles specifications'!$A$3:$A$166,0),MATCH(G132,'vehicles specifications'!$B$2:$CW$2,0))*INDEX('ei names mapping'!$B$137:$BL$300,MATCH(B98,'ei names mapping'!$A$137:$A$300,0),MATCH(G132,'ei names mapping'!$B$136:$BL$136,0))</f>
        <v>1</v>
      </c>
      <c r="C132" t="str">
        <f>INDEX('ei names mapping'!$B$38:$R$67,MATCH(B95,'ei names mapping'!$A$4:$A$33,0),MATCH(G132,'ei names mapping'!$B$3:$R$3,0))</f>
        <v>GLO</v>
      </c>
      <c r="D132" t="str">
        <f>INDEX('ei names mapping'!$B$104:$R$133,MATCH(B95,'ei names mapping'!$A$104:$A$133,0),MATCH(G132,'ei names mapping'!$B$3:$R$3,0))</f>
        <v>unit</v>
      </c>
      <c r="F132" t="s">
        <v>89</v>
      </c>
      <c r="G132" t="s">
        <v>52</v>
      </c>
      <c r="H132" t="str">
        <f>INDEX('ei names mapping'!$B$71:$R$100,MATCH(B95,'ei names mapping'!$A$4:$A$33,0),MATCH(G132,'ei names mapping'!$B$3:$R$3,0))</f>
        <v>charging station, 3kW</v>
      </c>
    </row>
    <row r="133" spans="1:8" x14ac:dyDescent="0.2">
      <c r="A133" t="str">
        <f>INDEX('ei names mapping'!$B$4:$R$33,MATCH(B95,'ei names mapping'!$A$4:$A$33,0),MATCH(G133,'ei names mapping'!$B$3:$R$3,0))</f>
        <v>manual dismantling of used electric scooter</v>
      </c>
      <c r="B133" s="11">
        <f>INDEX('vehicles specifications'!$B$3:$CW$166,MATCH(B98,'vehicles specifications'!$A$3:$A$166,0),MATCH(G133,'vehicles specifications'!$B$2:$CW$2,0))*INDEX('ei names mapping'!$B$137:$BL$300,MATCH(B98,'ei names mapping'!$A$137:$A$300,0),MATCH(G133,'ei names mapping'!$B$136:$BL$136,0))</f>
        <v>50.349999999999994</v>
      </c>
      <c r="C133" t="str">
        <f>INDEX('ei names mapping'!$B$38:$R$67,MATCH(B95,'ei names mapping'!$A$4:$A$33,0),MATCH(G133,'ei names mapping'!$B$3:$R$3,0))</f>
        <v>GLO</v>
      </c>
      <c r="D133" t="str">
        <f>INDEX('ei names mapping'!$B$104:$R$133,MATCH(B95,'ei names mapping'!$A$104:$A$133,0),MATCH(G133,'ei names mapping'!$B$3:$R$3,0))</f>
        <v>unit</v>
      </c>
      <c r="F133" t="s">
        <v>89</v>
      </c>
      <c r="G133" t="s">
        <v>144</v>
      </c>
      <c r="H133" t="str">
        <f>INDEX('ei names mapping'!$B$71:$R$100,MATCH(B95,'ei names mapping'!$A$4:$A$33,0),MATCH(G133,'ei names mapping'!$B$3:$R$3,0))</f>
        <v>manual dismantling of electric scooter</v>
      </c>
    </row>
    <row r="134" spans="1:8" x14ac:dyDescent="0.2">
      <c r="A134" t="str">
        <f>INDEX('ei names mapping'!$B$4:$R$33,MATCH(B95,'ei names mapping'!$A$4:$A$33,0),MATCH(G134,'ei names mapping'!$B$3:$R$3,0))</f>
        <v>manual dismantling of used electric scooter</v>
      </c>
      <c r="B134" s="11">
        <f>INDEX('vehicles specifications'!$B$3:$CW$166,MATCH(B98,'vehicles specifications'!$A$3:$A$166,0),MATCH(G134,'vehicles specifications'!$B$2:$CW$2,0))*INDEX('ei names mapping'!$B$137:$BL$300,MATCH(B98,'ei names mapping'!$A$137:$A$300,0),MATCH(G134,'ei names mapping'!$B$136:$BL$136,0))</f>
        <v>12</v>
      </c>
      <c r="C134" t="str">
        <f>INDEX('ei names mapping'!$B$38:$R$67,MATCH(B95,'ei names mapping'!$A$4:$A$33,0),MATCH(G134,'ei names mapping'!$B$3:$R$3,0))</f>
        <v>GLO</v>
      </c>
      <c r="D134" t="str">
        <f>INDEX('ei names mapping'!$B$104:$R$133,MATCH(B95,'ei names mapping'!$A$104:$A$133,0),MATCH(G134,'ei names mapping'!$B$3:$R$3,0))</f>
        <v>unit</v>
      </c>
      <c r="F134" t="s">
        <v>89</v>
      </c>
      <c r="G134" t="s">
        <v>145</v>
      </c>
      <c r="H134" t="str">
        <f>INDEX('ei names mapping'!$B$71:$R$100,MATCH(B95,'ei names mapping'!$A$4:$A$33,0),MATCH(G134,'ei names mapping'!$B$3:$R$3,0))</f>
        <v>manual dismantling of electric scooter</v>
      </c>
    </row>
    <row r="135" spans="1:8" x14ac:dyDescent="0.2">
      <c r="A135" t="str">
        <f>INDEX('ei names mapping'!$B$4:$R$33,MATCH(B95,'ei names mapping'!$A$4:$A$33,0),MATCH(G135,'ei names mapping'!$B$3:$R$3,0))</f>
        <v>market for used Li-ion battery</v>
      </c>
      <c r="B135" s="11">
        <f>INDEX('vehicles specifications'!$B$3:$CW$166,MATCH(B98,'vehicles specifications'!$A$3:$A$166,0),MATCH(G135,'vehicles specifications'!$B$2:$CW$2,0))*INDEX('ei names mapping'!$B$137:$BL$300,MATCH(B98,'ei names mapping'!$A$137:$A$300,0),MATCH(G135,'ei names mapping'!$B$136:$BL$136,0))</f>
        <v>-18.28125</v>
      </c>
      <c r="C135" t="str">
        <f>INDEX('ei names mapping'!$B$38:$R$67,MATCH(B95,'ei names mapping'!$A$4:$A$33,0),MATCH(G135,'ei names mapping'!$B$3:$R$3,0))</f>
        <v>GLO</v>
      </c>
      <c r="D135" t="str">
        <f>INDEX('ei names mapping'!$B$104:$R$133,MATCH(B99,'ei names mapping'!$A$104:$A$133,0),MATCH(G135,'ei names mapping'!$B$3:$R$3,0))</f>
        <v>kilogram</v>
      </c>
      <c r="F135" t="s">
        <v>89</v>
      </c>
      <c r="G135" t="s">
        <v>146</v>
      </c>
      <c r="H135" t="str">
        <f>INDEX('ei names mapping'!$B$71:$R$100,MATCH(B95,'ei names mapping'!$A$4:$A$33,0),MATCH(G135,'ei names mapping'!$B$3:$R$3,0))</f>
        <v>used Li-ion battery</v>
      </c>
    </row>
    <row r="136" spans="1:8" x14ac:dyDescent="0.2">
      <c r="A136" s="13" t="s">
        <v>840</v>
      </c>
      <c r="B136">
        <f>(B108/1000)*B121</f>
        <v>76.974999999999994</v>
      </c>
      <c r="C136" t="s">
        <v>92</v>
      </c>
      <c r="D136" t="s">
        <v>233</v>
      </c>
      <c r="F136" t="s">
        <v>89</v>
      </c>
      <c r="H136" s="13" t="s">
        <v>841</v>
      </c>
    </row>
    <row r="137" spans="1:8" x14ac:dyDescent="0.2">
      <c r="A137" s="13" t="s">
        <v>441</v>
      </c>
      <c r="B137" s="2">
        <f>(B108/1000)*B120</f>
        <v>1223.9024999999999</v>
      </c>
      <c r="C137" t="s">
        <v>95</v>
      </c>
      <c r="D137" t="s">
        <v>233</v>
      </c>
      <c r="F137" t="s">
        <v>89</v>
      </c>
      <c r="H137" s="13" t="s">
        <v>441</v>
      </c>
    </row>
    <row r="139" spans="1:8" ht="16" x14ac:dyDescent="0.2">
      <c r="A139" s="10" t="s">
        <v>71</v>
      </c>
      <c r="B139" s="8" t="str">
        <f>B141&amp;", "&amp;B156&amp;" battery, "&amp;B143</f>
        <v>Motorbike, electric, &lt;4kW, NCA battery, 2050</v>
      </c>
    </row>
    <row r="140" spans="1:8" x14ac:dyDescent="0.2">
      <c r="A140" t="s">
        <v>72</v>
      </c>
      <c r="B140" t="s">
        <v>37</v>
      </c>
    </row>
    <row r="141" spans="1:8" x14ac:dyDescent="0.2">
      <c r="A141" t="s">
        <v>86</v>
      </c>
      <c r="B141" t="s">
        <v>492</v>
      </c>
    </row>
    <row r="142" spans="1:8" x14ac:dyDescent="0.2">
      <c r="A142" t="s">
        <v>87</v>
      </c>
    </row>
    <row r="143" spans="1:8" x14ac:dyDescent="0.2">
      <c r="A143" t="s">
        <v>88</v>
      </c>
      <c r="B143">
        <v>2050</v>
      </c>
    </row>
    <row r="144" spans="1:8" x14ac:dyDescent="0.2">
      <c r="A144" t="s">
        <v>126</v>
      </c>
      <c r="B144" t="str">
        <f>B141&amp;" - "&amp;B143&amp;" - "&amp;B156&amp;" - "&amp;B140</f>
        <v>Motorbike, electric, &lt;4kW - 2050 - NCA - CH</v>
      </c>
    </row>
    <row r="145" spans="1:2" x14ac:dyDescent="0.2">
      <c r="A145" t="s">
        <v>73</v>
      </c>
      <c r="B145" t="str">
        <f>B141</f>
        <v>Motorbike, electric, &lt;4kW</v>
      </c>
    </row>
    <row r="146" spans="1:2" x14ac:dyDescent="0.2">
      <c r="A146" t="s">
        <v>74</v>
      </c>
      <c r="B146" t="s">
        <v>75</v>
      </c>
    </row>
    <row r="147" spans="1:2" x14ac:dyDescent="0.2">
      <c r="A147" t="s">
        <v>76</v>
      </c>
      <c r="B147" t="s">
        <v>76</v>
      </c>
    </row>
    <row r="148" spans="1:2" x14ac:dyDescent="0.2">
      <c r="A148" t="s">
        <v>78</v>
      </c>
      <c r="B148" t="s">
        <v>1143</v>
      </c>
    </row>
    <row r="149" spans="1:2" x14ac:dyDescent="0.2">
      <c r="A149" t="s">
        <v>127</v>
      </c>
      <c r="B149">
        <f>INDEX('vehicles specifications'!$B$3:$CW$166,MATCH(B144,'vehicles specifications'!$A$3:$A$166,0),MATCH("Lifetime [km]",'vehicles specifications'!$B$2:$CW$2,0))</f>
        <v>25000</v>
      </c>
    </row>
    <row r="150" spans="1:2" x14ac:dyDescent="0.2">
      <c r="A150" t="s">
        <v>128</v>
      </c>
      <c r="B150">
        <f>INDEX('vehicles specifications'!$B$3:$CW$166,MATCH(B144,'vehicles specifications'!$A$3:$A$166,0),MATCH("Passengers [unit]",'vehicles specifications'!$B$2:$CW$2,0))</f>
        <v>1.1000000000000001</v>
      </c>
    </row>
    <row r="151" spans="1:2" x14ac:dyDescent="0.2">
      <c r="A151" t="s">
        <v>129</v>
      </c>
      <c r="B151">
        <f>INDEX('vehicles specifications'!$B$3:$CW$166,MATCH(B144,'vehicles specifications'!$A$3:$A$166,0),MATCH("Servicing [unit]",'vehicles specifications'!$B$2:$CW$2,0))</f>
        <v>1</v>
      </c>
    </row>
    <row r="152" spans="1:2" x14ac:dyDescent="0.2">
      <c r="A152" t="s">
        <v>130</v>
      </c>
      <c r="B152">
        <f>INDEX('vehicles specifications'!$B$3:$CW$166,MATCH(B144,'vehicles specifications'!$A$3:$A$166,0),MATCH("Energy battery replacement [unit]",'vehicles specifications'!$B$2:$CW$2,0))</f>
        <v>0</v>
      </c>
    </row>
    <row r="153" spans="1:2" x14ac:dyDescent="0.2">
      <c r="A153" t="s">
        <v>131</v>
      </c>
      <c r="B153">
        <f>INDEX('vehicles specifications'!$B$3:$CW$166,MATCH(B144,'vehicles specifications'!$A$3:$A$166,0),MATCH("Annual kilometers [km]",'vehicles specifications'!$B$2:$CW$2,0))</f>
        <v>1776</v>
      </c>
    </row>
    <row r="154" spans="1:2" x14ac:dyDescent="0.2">
      <c r="A154" t="s">
        <v>132</v>
      </c>
      <c r="B154" s="2">
        <f>INDEX('vehicles specifications'!$B$3:$CW$166,MATCH(B144,'vehicles specifications'!$A$3:$A$166,0),MATCH("Curb mass [kg]",'vehicles specifications'!$B$2:$CW$2,0))</f>
        <v>76.89</v>
      </c>
    </row>
    <row r="155" spans="1:2" x14ac:dyDescent="0.2">
      <c r="A155" t="s">
        <v>133</v>
      </c>
      <c r="B155">
        <f>INDEX('vehicles specifications'!$B$3:$CW$166,MATCH(B144,'vehicles specifications'!$A$3:$A$166,0),MATCH("Power [kW]",'vehicles specifications'!$B$2:$CW$2,0))</f>
        <v>2.5</v>
      </c>
    </row>
    <row r="156" spans="1:2" x14ac:dyDescent="0.2">
      <c r="A156" t="s">
        <v>652</v>
      </c>
      <c r="B156" s="20" t="s">
        <v>45</v>
      </c>
    </row>
    <row r="157" spans="1:2" x14ac:dyDescent="0.2">
      <c r="A157" t="s">
        <v>134</v>
      </c>
      <c r="B157">
        <f>INDEX('vehicles specifications'!$B$3:$CW$166,MATCH(B144,'vehicles specifications'!$A$3:$A$166,0),MATCH("Energy battery mass [kg]",'vehicles specifications'!$B$2:$CW$2,0))</f>
        <v>15.6</v>
      </c>
    </row>
    <row r="158" spans="1:2" x14ac:dyDescent="0.2">
      <c r="A158" t="s">
        <v>135</v>
      </c>
      <c r="B158">
        <f>INDEX('vehicles specifications'!$B$3:$CW$166,MATCH(B144,'vehicles specifications'!$A$3:$A$166,0),MATCH("Electric energy stored [kWh]",'vehicles specifications'!$B$2:$CW$2,0))</f>
        <v>6</v>
      </c>
    </row>
    <row r="159" spans="1:2" x14ac:dyDescent="0.2">
      <c r="A159" t="s">
        <v>588</v>
      </c>
      <c r="B159">
        <f>INDEX('vehicles specifications'!$B$3:$CW$166,MATCH(B144,'vehicles specifications'!$A$3:$A$166,0),MATCH("Electric energy available [kWh]",'vehicles specifications'!$B$2:$CW$2,0))</f>
        <v>4.8000000000000007</v>
      </c>
    </row>
    <row r="160" spans="1:2" x14ac:dyDescent="0.2">
      <c r="A160" t="s">
        <v>138</v>
      </c>
      <c r="B160" s="2">
        <f>INDEX('vehicles specifications'!$B$3:$CW$166,MATCH(B144,'vehicles specifications'!$A$3:$A$166,0),MATCH("Oxydation energy stored [kWh]",'vehicles specifications'!$B$2:$CW$2,0))</f>
        <v>0</v>
      </c>
    </row>
    <row r="161" spans="1:8" x14ac:dyDescent="0.2">
      <c r="A161" t="s">
        <v>139</v>
      </c>
      <c r="B161">
        <f>INDEX('vehicles specifications'!$B$3:$CW$166,MATCH(B144,'vehicles specifications'!$A$3:$A$166,0),MATCH("Fuel mass [kg]",'vehicles specifications'!$B$2:$CW$2,0))</f>
        <v>0</v>
      </c>
    </row>
    <row r="162" spans="1:8" x14ac:dyDescent="0.2">
      <c r="A162" t="s">
        <v>136</v>
      </c>
      <c r="B162" s="2">
        <f>INDEX('vehicles specifications'!$B$3:$CW$166,MATCH(B144,'vehicles specifications'!$A$3:$A$166,0),MATCH("Range [km]",'vehicles specifications'!$B$2:$CW$2,0))</f>
        <v>142.80991735537191</v>
      </c>
    </row>
    <row r="163" spans="1:8" x14ac:dyDescent="0.2">
      <c r="A163" t="s">
        <v>137</v>
      </c>
      <c r="B163" t="str">
        <f>INDEX('vehicles specifications'!$B$3:$CW$166,MATCH(B144,'vehicles specifications'!$A$3:$A$166,0),MATCH("Emission standard",'vehicles specifications'!$B$2:$CW$2,0))</f>
        <v>None</v>
      </c>
    </row>
    <row r="164" spans="1:8" x14ac:dyDescent="0.2">
      <c r="A164" t="s">
        <v>1174</v>
      </c>
      <c r="B164" s="6">
        <f>INDEX('vehicles specifications'!$B$3:$CW$166,MATCH(B144,'vehicles specifications'!$A$3:$A$166,0),MATCH("Lightweighting rate [%]",'vehicles specifications'!$B$2:$CW$2,0))</f>
        <v>7.0000000000000007E-2</v>
      </c>
    </row>
    <row r="165" spans="1:8" x14ac:dyDescent="0.2">
      <c r="A165" t="s">
        <v>485</v>
      </c>
      <c r="B165" s="6" t="s">
        <v>486</v>
      </c>
    </row>
    <row r="166" spans="1:8" x14ac:dyDescent="0.2">
      <c r="A166" t="s">
        <v>487</v>
      </c>
      <c r="B166" s="2">
        <v>15900</v>
      </c>
    </row>
    <row r="167" spans="1:8" x14ac:dyDescent="0.2">
      <c r="A167" t="s">
        <v>488</v>
      </c>
      <c r="B167" s="2">
        <v>1000</v>
      </c>
    </row>
    <row r="168" spans="1:8" x14ac:dyDescent="0.2">
      <c r="A168" t="s">
        <v>83</v>
      </c>
      <c r="B168" t="str">
        <f>"Power: "&amp;B155&amp;" kW. Lifetime: "&amp;B149&amp;" km. Annual kilometers: "&amp;ROUND(B153,0)&amp;" km. Number of passengers: "&amp;ROUND(B150,1)&amp;". Curb mass: "&amp;ROUND(B154,1)&amp;" kg. Lightweighting of glider: "&amp;ROUND(B164*100,0)&amp;"%. Emission standard: "&amp;B163&amp;". Service visits throughout lifetime: "&amp;ROUND(B151,1)&amp;". Range: "&amp;ROUND(B162,0)&amp;" km. Battery capacity: "&amp;ROUND(B158,1)&amp;" kWh. Available battery capacity: "&amp;B159&amp;" kWh. Battery mass: "&amp;ROUND(B157,1)&amp; " kg. Battery replacement throughout lifetime: "&amp;ROUND(B152,1)&amp;". Fuel tank capacity: "&amp;ROUND(B160,1)&amp;" kWh. Fuel mass: "&amp;ROUND(B161,1)&amp;" kg. Origin of manufacture: "&amp;B165&amp;". Shipping distance: "&amp;B166&amp;" km. Lorry distribution distance: "&amp;B167&amp;" km. Documentation: "&amp;Readmefirst!$B$2&amp;", "&amp;Readmefirst!$B$3&amp;". "&amp;'lci-kick scooter - NMC'!B151</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Origin of manufacture: China. Shipping distance: 15900 km. Lorry distribution distance: 1000 km. Documentation: Life-cycle inventories for on-road vehicles, Sacchi R. (PSI), Bauer C. (PSI), 2021. 0</v>
      </c>
    </row>
    <row r="169" spans="1:8" ht="16" x14ac:dyDescent="0.2">
      <c r="A169" s="10" t="s">
        <v>79</v>
      </c>
    </row>
    <row r="170" spans="1:8" x14ac:dyDescent="0.2">
      <c r="A170" t="s">
        <v>80</v>
      </c>
      <c r="B170" t="s">
        <v>81</v>
      </c>
      <c r="C170" t="s">
        <v>72</v>
      </c>
      <c r="D170" t="s">
        <v>76</v>
      </c>
      <c r="E170" t="s">
        <v>82</v>
      </c>
      <c r="F170" t="s">
        <v>74</v>
      </c>
      <c r="G170" t="s">
        <v>83</v>
      </c>
      <c r="H170" t="s">
        <v>73</v>
      </c>
    </row>
    <row r="171" spans="1:8" x14ac:dyDescent="0.2">
      <c r="A171" t="str">
        <f>B139</f>
        <v>Motorbike, electric, &lt;4kW, NCA battery, 2050</v>
      </c>
      <c r="B171">
        <v>1</v>
      </c>
      <c r="C171" t="str">
        <f>B140</f>
        <v>CH</v>
      </c>
      <c r="D171" t="str">
        <f>B147</f>
        <v>unit</v>
      </c>
      <c r="F171" t="s">
        <v>84</v>
      </c>
      <c r="G171" t="s">
        <v>85</v>
      </c>
      <c r="H171" t="str">
        <f>B141</f>
        <v>Motorbike, electric, &lt;4kW</v>
      </c>
    </row>
    <row r="172" spans="1:8" x14ac:dyDescent="0.2">
      <c r="A172" t="str">
        <f>INDEX('ei names mapping'!$B$4:$R$33,MATCH(B141,'ei names mapping'!$A$4:$A$33,0),MATCH(G172,'ei names mapping'!$B$3:$R$3,0))</f>
        <v>market for glider, for electric scooter</v>
      </c>
      <c r="B172" s="11">
        <f>INDEX('vehicles specifications'!$B$3:$CW$166,MATCH(B144,'vehicles specifications'!$A$3:$A$166,0),MATCH(G172,'vehicles specifications'!$B$2:$CW$2,0))*INDEX('ei names mapping'!$B$137:$BL$300,MATCH(B144,'ei names mapping'!$A$137:$A$300,0),MATCH(G172,'ei names mapping'!$B$136:$BL$136,0))</f>
        <v>53</v>
      </c>
      <c r="C172" t="str">
        <f>INDEX('ei names mapping'!$B$38:$R$67,MATCH(B141,'ei names mapping'!$A$4:$A$33,0),MATCH(G172,'ei names mapping'!$B$3:$R$3,0))</f>
        <v>GLO</v>
      </c>
      <c r="D172" t="str">
        <f>INDEX('ei names mapping'!$B$104:$R$133,MATCH(B141,'ei names mapping'!$A$104:$A$133,0),MATCH(G172,'ei names mapping'!$B$3:$R$3,0))</f>
        <v>kilogram</v>
      </c>
      <c r="F172" t="s">
        <v>89</v>
      </c>
      <c r="G172" t="s">
        <v>15</v>
      </c>
      <c r="H172" t="str">
        <f>INDEX('ei names mapping'!$B$71:$R$100,MATCH(B141,'ei names mapping'!$A$4:$A$33,0),MATCH(G172,'ei names mapping'!$B$3:$R$3,0))</f>
        <v>glider, for electric scooter</v>
      </c>
    </row>
    <row r="173" spans="1:8" x14ac:dyDescent="0.2">
      <c r="A173" t="str">
        <f>INDEX('ei names mapping'!$B$4:$R$33,MATCH(B141,'ei names mapping'!$A$4:$A$33,0),MATCH(G173,'ei names mapping'!$B$3:$R$3,0))</f>
        <v>Glider lightweighting</v>
      </c>
      <c r="B173" s="11">
        <f>INDEX('vehicles specifications'!$B$3:$CW$166,MATCH(B144,'vehicles specifications'!$A$3:$A$166,0),MATCH(G173,'vehicles specifications'!$B$2:$CW$2,0))*INDEX('ei names mapping'!$B$137:$BL$300,MATCH(B144,'ei names mapping'!$A$137:$A$300,0),MATCH(G173,'ei names mapping'!$B$136:$BL$136,0))</f>
        <v>3.7100000000000004</v>
      </c>
      <c r="C173" t="str">
        <f>INDEX('ei names mapping'!$B$38:$R$67,MATCH(B141,'ei names mapping'!$A$4:$A$33,0),MATCH(G173,'ei names mapping'!$B$3:$R$3,0))</f>
        <v>GLO</v>
      </c>
      <c r="D173" t="str">
        <f>INDEX('ei names mapping'!$B$104:$R$133,MATCH(B141,'ei names mapping'!$A$104:$A$133,0),MATCH(G173,'ei names mapping'!$B$3:$R$3,0))</f>
        <v>kilogram</v>
      </c>
      <c r="F173" t="s">
        <v>89</v>
      </c>
      <c r="G173" t="s">
        <v>14</v>
      </c>
      <c r="H173" t="str">
        <f>INDEX('ei names mapping'!$B$71:$R$100,MATCH(B141,'ei names mapping'!$A$4:$A$33,0),MATCH(G173,'ei names mapping'!$B$3:$R$3,0))</f>
        <v>Glider lightweighting</v>
      </c>
    </row>
    <row r="174" spans="1:8" x14ac:dyDescent="0.2">
      <c r="A174" t="str">
        <f>INDEX('ei names mapping'!$B$4:$R$33,MATCH(B141,'ei names mapping'!$A$4:$A$33,0),MATCH(G174,'ei names mapping'!$B$3:$R$3,0))</f>
        <v>market for glider, for electric scooter</v>
      </c>
      <c r="B174" s="11">
        <f>INDEX('vehicles specifications'!$B$3:$CW$166,MATCH(B144,'vehicles specifications'!$A$3:$A$166,0),MATCH(G174,'vehicles specifications'!$B$2:$CW$2,0))*INDEX('ei names mapping'!$B$137:$BL$300,MATCH(B144,'ei names mapping'!$A$137:$A$300,0),MATCH(G174,'ei names mapping'!$B$136:$BL$136,0))</f>
        <v>4.5</v>
      </c>
      <c r="C174" t="str">
        <f>INDEX('ei names mapping'!$B$38:$R$67,MATCH(B141,'ei names mapping'!$A$4:$A$33,0),MATCH(G174,'ei names mapping'!$B$3:$R$3,0))</f>
        <v>GLO</v>
      </c>
      <c r="D174" t="str">
        <f>INDEX('ei names mapping'!$B$104:$R$133,MATCH(B141,'ei names mapping'!$A$104:$A$133,0),MATCH(G174,'ei names mapping'!$B$3:$R$3,0))</f>
        <v>kilogram</v>
      </c>
      <c r="F174" t="s">
        <v>89</v>
      </c>
      <c r="G174" t="s">
        <v>16</v>
      </c>
      <c r="H174" t="str">
        <f>INDEX('ei names mapping'!$B$71:$R$100,MATCH(B141,'ei names mapping'!$A$4:$A$33,0),MATCH(G174,'ei names mapping'!$B$3:$R$3,0))</f>
        <v>glider, for electric scooter</v>
      </c>
    </row>
    <row r="175" spans="1:8" x14ac:dyDescent="0.2">
      <c r="A175" t="str">
        <f>INDEX('ei names mapping'!$B$4:$R$33,MATCH(B141,'ei names mapping'!$A$4:$A$33,0),MATCH(G175,'ei names mapping'!$B$3:$R$3,0))</f>
        <v>market for electric powertrain, for electric scooter</v>
      </c>
      <c r="B175" s="11">
        <f>INDEX('vehicles specifications'!$B$3:$CW$166,MATCH(B144,'vehicles specifications'!$A$3:$A$166,0),MATCH(G175,'vehicles specifications'!$B$2:$CW$2,0))*INDEX('ei names mapping'!$B$137:$BL$300,MATCH(B144,'ei names mapping'!$A$137:$A$300,0),MATCH(G175,'ei names mapping'!$B$136:$BL$136,0))</f>
        <v>7.5</v>
      </c>
      <c r="C175" t="str">
        <f>INDEX('ei names mapping'!$B$38:$R$67,MATCH(B141,'ei names mapping'!$A$4:$A$33,0),MATCH(G175,'ei names mapping'!$B$3:$R$3,0))</f>
        <v>GLO</v>
      </c>
      <c r="D175" t="str">
        <f>INDEX('ei names mapping'!$B$104:$R$133,MATCH(B141,'ei names mapping'!$A$104:$A$133,0),MATCH(G175,'ei names mapping'!$B$3:$R$3,0))</f>
        <v>kilogram</v>
      </c>
      <c r="F175" t="s">
        <v>89</v>
      </c>
      <c r="G175" t="s">
        <v>501</v>
      </c>
      <c r="H175" t="str">
        <f>INDEX('ei names mapping'!$B$71:$R$100,MATCH(B141,'ei names mapping'!$A$4:$A$33,0),MATCH(G175,'ei names mapping'!$B$3:$R$3,0))</f>
        <v>powertrain, for electric scooter</v>
      </c>
    </row>
    <row r="176" spans="1:8" x14ac:dyDescent="0.2">
      <c r="A176" t="s">
        <v>760</v>
      </c>
      <c r="B176" s="11">
        <f>INDEX('vehicles specifications'!$B$3:$CW$166,MATCH(B144,'vehicles specifications'!$A$3:$A$166,0),MATCH(G176,'vehicles specifications'!$B$2:$CW$2,0))*INDEX('ei names mapping'!$B$137:$BL$300,MATCH(B144,'ei names mapping'!$A$137:$A$300,0),MATCH(G176,'ei names mapping'!$B$136:$BL$136,0))</f>
        <v>12</v>
      </c>
      <c r="C176" t="str">
        <f>INDEX('ei names mapping'!$B$38:$R$67,MATCH(B141,'ei names mapping'!$A$4:$A$33,0),MATCH(G176,'ei names mapping'!$B$3:$R$3,0))</f>
        <v>GLO</v>
      </c>
      <c r="D176" t="str">
        <f>INDEX('ei names mapping'!$B$104:$R$133,MATCH(B141,'ei names mapping'!$A$104:$A$133,0),MATCH(G176,'ei names mapping'!$B$3:$R$3,0))</f>
        <v>kilogram</v>
      </c>
      <c r="F176" t="s">
        <v>89</v>
      </c>
      <c r="G176" t="s">
        <v>19</v>
      </c>
      <c r="H176" t="str">
        <f>INDEX('ei names mapping'!$B$71:$R$100,MATCH(B141,'ei names mapping'!$A$4:$A$33,0),MATCH(G176,'ei names mapping'!$B$3:$R$3,0))</f>
        <v>Battery cell</v>
      </c>
    </row>
    <row r="177" spans="1:8" x14ac:dyDescent="0.2">
      <c r="A177" t="str">
        <f>INDEX('ei names mapping'!$B$4:$R$33,MATCH(B141,'ei names mapping'!$A$4:$A$33,0),MATCH(G177,'ei names mapping'!$B$3:$R$3,0))</f>
        <v>Battery BoP</v>
      </c>
      <c r="B177" s="11">
        <f>INDEX('vehicles specifications'!$B$3:$CW$166,MATCH(B144,'vehicles specifications'!$A$3:$A$166,0),MATCH(G177,'vehicles specifications'!$B$2:$CW$2,0))*INDEX('ei names mapping'!$B$137:$BL$300,MATCH(B144,'ei names mapping'!$A$137:$A$300,0),MATCH(G177,'ei names mapping'!$B$136:$BL$136,0))</f>
        <v>3.5999999999999996</v>
      </c>
      <c r="C177" t="str">
        <f>INDEX('ei names mapping'!$B$38:$R$67,MATCH(B141,'ei names mapping'!$A$4:$A$33,0),MATCH(G177,'ei names mapping'!$B$3:$R$3,0))</f>
        <v>GLO</v>
      </c>
      <c r="D177" t="str">
        <f>INDEX('ei names mapping'!$B$104:$R$133,MATCH(B141,'ei names mapping'!$A$104:$A$133,0),MATCH(G177,'ei names mapping'!$B$3:$R$3,0))</f>
        <v>kilogram</v>
      </c>
      <c r="F177" t="s">
        <v>89</v>
      </c>
      <c r="G177" t="s">
        <v>20</v>
      </c>
      <c r="H177" t="str">
        <f>INDEX('ei names mapping'!$B$71:$R$100,MATCH(B141,'ei names mapping'!$A$4:$A$33,0),MATCH(G177,'ei names mapping'!$B$3:$R$3,0))</f>
        <v>Battery BoP</v>
      </c>
    </row>
    <row r="178" spans="1:8" x14ac:dyDescent="0.2">
      <c r="A178" t="str">
        <f>INDEX('ei names mapping'!$B$4:$R$33,MATCH(B141,'ei names mapping'!$A$4:$A$33,0),MATCH(G178,'ei names mapping'!$B$3:$R$3,0))</f>
        <v>charging station, 3kW</v>
      </c>
      <c r="B178" s="11">
        <f>INDEX('vehicles specifications'!$B$3:$CW$166,MATCH(B144,'vehicles specifications'!$A$3:$A$166,0),MATCH(G178,'vehicles specifications'!$B$2:$CW$2,0))*INDEX('ei names mapping'!$B$137:$BL$300,MATCH(B144,'ei names mapping'!$A$137:$A$300,0),MATCH(G178,'ei names mapping'!$B$136:$BL$136,0))</f>
        <v>1</v>
      </c>
      <c r="C178" t="str">
        <f>INDEX('ei names mapping'!$B$38:$R$67,MATCH(B141,'ei names mapping'!$A$4:$A$33,0),MATCH(G178,'ei names mapping'!$B$3:$R$3,0))</f>
        <v>GLO</v>
      </c>
      <c r="D178" t="str">
        <f>INDEX('ei names mapping'!$B$104:$R$133,MATCH(B141,'ei names mapping'!$A$104:$A$133,0),MATCH(G178,'ei names mapping'!$B$3:$R$3,0))</f>
        <v>unit</v>
      </c>
      <c r="F178" t="s">
        <v>89</v>
      </c>
      <c r="G178" t="s">
        <v>52</v>
      </c>
      <c r="H178" t="str">
        <f>INDEX('ei names mapping'!$B$71:$R$100,MATCH(B141,'ei names mapping'!$A$4:$A$33,0),MATCH(G178,'ei names mapping'!$B$3:$R$3,0))</f>
        <v>charging station, 3kW</v>
      </c>
    </row>
    <row r="179" spans="1:8" x14ac:dyDescent="0.2">
      <c r="A179" t="str">
        <f>INDEX('ei names mapping'!$B$4:$R$33,MATCH(B141,'ei names mapping'!$A$4:$A$33,0),MATCH(G179,'ei names mapping'!$B$3:$R$3,0))</f>
        <v>manual dismantling of used electric scooter</v>
      </c>
      <c r="B179" s="11">
        <f>INDEX('vehicles specifications'!$B$3:$CW$166,MATCH(B144,'vehicles specifications'!$A$3:$A$166,0),MATCH(G179,'vehicles specifications'!$B$2:$CW$2,0))*INDEX('ei names mapping'!$B$137:$BL$300,MATCH(B144,'ei names mapping'!$A$137:$A$300,0),MATCH(G179,'ei names mapping'!$B$136:$BL$136,0))</f>
        <v>49.29</v>
      </c>
      <c r="C179" t="str">
        <f>INDEX('ei names mapping'!$B$38:$R$67,MATCH(B141,'ei names mapping'!$A$4:$A$33,0),MATCH(G179,'ei names mapping'!$B$3:$R$3,0))</f>
        <v>GLO</v>
      </c>
      <c r="D179" t="str">
        <f>INDEX('ei names mapping'!$B$104:$R$133,MATCH(B141,'ei names mapping'!$A$104:$A$133,0),MATCH(G179,'ei names mapping'!$B$3:$R$3,0))</f>
        <v>unit</v>
      </c>
      <c r="F179" t="s">
        <v>89</v>
      </c>
      <c r="G179" t="s">
        <v>144</v>
      </c>
      <c r="H179" t="str">
        <f>INDEX('ei names mapping'!$B$71:$R$100,MATCH(B141,'ei names mapping'!$A$4:$A$33,0),MATCH(G179,'ei names mapping'!$B$3:$R$3,0))</f>
        <v>manual dismantling of electric scooter</v>
      </c>
    </row>
    <row r="180" spans="1:8" x14ac:dyDescent="0.2">
      <c r="A180" t="str">
        <f>INDEX('ei names mapping'!$B$4:$R$33,MATCH(B141,'ei names mapping'!$A$4:$A$33,0),MATCH(G180,'ei names mapping'!$B$3:$R$3,0))</f>
        <v>manual dismantling of used electric scooter</v>
      </c>
      <c r="B180" s="11">
        <f>INDEX('vehicles specifications'!$B$3:$CW$166,MATCH(B144,'vehicles specifications'!$A$3:$A$166,0),MATCH(G180,'vehicles specifications'!$B$2:$CW$2,0))*INDEX('ei names mapping'!$B$137:$BL$300,MATCH(B144,'ei names mapping'!$A$137:$A$300,0),MATCH(G180,'ei names mapping'!$B$136:$BL$136,0))</f>
        <v>12</v>
      </c>
      <c r="C180" t="str">
        <f>INDEX('ei names mapping'!$B$38:$R$67,MATCH(B141,'ei names mapping'!$A$4:$A$33,0),MATCH(G180,'ei names mapping'!$B$3:$R$3,0))</f>
        <v>GLO</v>
      </c>
      <c r="D180" t="str">
        <f>INDEX('ei names mapping'!$B$104:$R$133,MATCH(B141,'ei names mapping'!$A$104:$A$133,0),MATCH(G180,'ei names mapping'!$B$3:$R$3,0))</f>
        <v>unit</v>
      </c>
      <c r="F180" t="s">
        <v>89</v>
      </c>
      <c r="G180" t="s">
        <v>145</v>
      </c>
      <c r="H180" t="str">
        <f>INDEX('ei names mapping'!$B$71:$R$100,MATCH(B141,'ei names mapping'!$A$4:$A$33,0),MATCH(G180,'ei names mapping'!$B$3:$R$3,0))</f>
        <v>manual dismantling of electric scooter</v>
      </c>
    </row>
    <row r="181" spans="1:8" x14ac:dyDescent="0.2">
      <c r="A181" t="str">
        <f>INDEX('ei names mapping'!$B$4:$R$33,MATCH(B141,'ei names mapping'!$A$4:$A$33,0),MATCH(G181,'ei names mapping'!$B$3:$R$3,0))</f>
        <v>market for used Li-ion battery</v>
      </c>
      <c r="B181" s="11">
        <f>INDEX('vehicles specifications'!$B$3:$CW$166,MATCH(B144,'vehicles specifications'!$A$3:$A$166,0),MATCH(G181,'vehicles specifications'!$B$2:$CW$2,0))*INDEX('ei names mapping'!$B$137:$BL$300,MATCH(B144,'ei names mapping'!$A$137:$A$300,0),MATCH(G181,'ei names mapping'!$B$136:$BL$136,0))</f>
        <v>-15.6</v>
      </c>
      <c r="C181" t="str">
        <f>INDEX('ei names mapping'!$B$38:$R$67,MATCH(B141,'ei names mapping'!$A$4:$A$33,0),MATCH(G181,'ei names mapping'!$B$3:$R$3,0))</f>
        <v>GLO</v>
      </c>
      <c r="D181" t="str">
        <f>INDEX('ei names mapping'!$B$104:$R$133,MATCH(B145,'ei names mapping'!$A$104:$A$133,0),MATCH(G181,'ei names mapping'!$B$3:$R$3,0))</f>
        <v>kilogram</v>
      </c>
      <c r="F181" t="s">
        <v>89</v>
      </c>
      <c r="G181" t="s">
        <v>146</v>
      </c>
      <c r="H181" t="str">
        <f>INDEX('ei names mapping'!$B$71:$R$100,MATCH(B141,'ei names mapping'!$A$4:$A$33,0),MATCH(G181,'ei names mapping'!$B$3:$R$3,0))</f>
        <v>used Li-ion battery</v>
      </c>
    </row>
    <row r="182" spans="1:8" x14ac:dyDescent="0.2">
      <c r="A182" s="13" t="s">
        <v>840</v>
      </c>
      <c r="B182">
        <f>(B154/1000)*B167</f>
        <v>76.89</v>
      </c>
      <c r="C182" t="s">
        <v>92</v>
      </c>
      <c r="D182" t="s">
        <v>233</v>
      </c>
      <c r="F182" t="s">
        <v>89</v>
      </c>
      <c r="H182" s="13" t="s">
        <v>841</v>
      </c>
    </row>
    <row r="183" spans="1:8" x14ac:dyDescent="0.2">
      <c r="A183" s="13" t="s">
        <v>441</v>
      </c>
      <c r="B183" s="2">
        <f>(B154/1000)*B166</f>
        <v>1222.5509999999999</v>
      </c>
      <c r="C183" t="s">
        <v>95</v>
      </c>
      <c r="D183" t="s">
        <v>233</v>
      </c>
      <c r="F183" t="s">
        <v>89</v>
      </c>
      <c r="H183" s="13" t="s">
        <v>441</v>
      </c>
    </row>
    <row r="184" spans="1:8" x14ac:dyDescent="0.2">
      <c r="B184" s="2"/>
    </row>
    <row r="185" spans="1:8" ht="16" x14ac:dyDescent="0.2">
      <c r="A185" s="10" t="s">
        <v>71</v>
      </c>
      <c r="B185" s="8" t="str">
        <f>"transport, "&amp;B187&amp;", "&amp;B202&amp;" battery, "&amp;B189</f>
        <v>transport, Motorbike, electric, &lt;4kW, NCA battery, 2020</v>
      </c>
    </row>
    <row r="186" spans="1:8" x14ac:dyDescent="0.2">
      <c r="A186" t="s">
        <v>72</v>
      </c>
      <c r="B186" t="s">
        <v>37</v>
      </c>
    </row>
    <row r="187" spans="1:8" x14ac:dyDescent="0.2">
      <c r="A187" t="s">
        <v>86</v>
      </c>
      <c r="B187" t="s">
        <v>492</v>
      </c>
    </row>
    <row r="188" spans="1:8" x14ac:dyDescent="0.2">
      <c r="A188" t="s">
        <v>87</v>
      </c>
    </row>
    <row r="189" spans="1:8" x14ac:dyDescent="0.2">
      <c r="A189" t="s">
        <v>88</v>
      </c>
      <c r="B189">
        <v>2020</v>
      </c>
    </row>
    <row r="190" spans="1:8" x14ac:dyDescent="0.2">
      <c r="A190" t="s">
        <v>126</v>
      </c>
      <c r="B190" t="str">
        <f>B187&amp;" - "&amp;B189&amp;" - "&amp;B202&amp;" - "&amp;B186</f>
        <v>Motorbike, electric, &lt;4kW - 2020 - NCA - CH</v>
      </c>
    </row>
    <row r="191" spans="1:8" x14ac:dyDescent="0.2">
      <c r="A191" t="s">
        <v>73</v>
      </c>
      <c r="B191" t="str">
        <f>"transport, "&amp;B187</f>
        <v>transport, Motorbike, electric, &lt;4kW</v>
      </c>
    </row>
    <row r="192" spans="1:8" x14ac:dyDescent="0.2">
      <c r="A192" t="s">
        <v>74</v>
      </c>
      <c r="B192" t="s">
        <v>75</v>
      </c>
    </row>
    <row r="193" spans="1:2" x14ac:dyDescent="0.2">
      <c r="A193" t="s">
        <v>76</v>
      </c>
      <c r="B193" t="s">
        <v>166</v>
      </c>
    </row>
    <row r="194" spans="1:2" x14ac:dyDescent="0.2">
      <c r="A194" t="s">
        <v>78</v>
      </c>
      <c r="B194" t="s">
        <v>1143</v>
      </c>
    </row>
    <row r="195" spans="1:2" x14ac:dyDescent="0.2">
      <c r="A195" t="s">
        <v>127</v>
      </c>
      <c r="B195">
        <f>INDEX('vehicles specifications'!$B$3:$CW$166,MATCH(B190,'vehicles specifications'!$A$3:$A$166,0),MATCH("Lifetime [km]",'vehicles specifications'!$B$2:$CW$2,0))</f>
        <v>25000</v>
      </c>
    </row>
    <row r="196" spans="1:2" x14ac:dyDescent="0.2">
      <c r="A196" t="s">
        <v>128</v>
      </c>
      <c r="B196">
        <f>INDEX('vehicles specifications'!$B$3:$CW$166,MATCH(B190,'vehicles specifications'!$A$3:$A$166,0),MATCH("Passengers [unit]",'vehicles specifications'!$B$2:$CW$2,0))</f>
        <v>1.1000000000000001</v>
      </c>
    </row>
    <row r="197" spans="1:2" x14ac:dyDescent="0.2">
      <c r="A197" t="s">
        <v>129</v>
      </c>
      <c r="B197">
        <f>INDEX('vehicles specifications'!$B$3:$CW$166,MATCH(B190,'vehicles specifications'!$A$3:$A$166,0),MATCH("Servicing [unit]",'vehicles specifications'!$B$2:$CW$2,0))</f>
        <v>1</v>
      </c>
    </row>
    <row r="198" spans="1:2" x14ac:dyDescent="0.2">
      <c r="A198" t="s">
        <v>130</v>
      </c>
      <c r="B198">
        <f>INDEX('vehicles specifications'!$B$3:$CW$166,MATCH(B190,'vehicles specifications'!$A$3:$A$166,0),MATCH("Energy battery replacement [unit]",'vehicles specifications'!$B$2:$CW$2,0))</f>
        <v>1</v>
      </c>
    </row>
    <row r="199" spans="1:2" x14ac:dyDescent="0.2">
      <c r="A199" t="s">
        <v>131</v>
      </c>
      <c r="B199">
        <f>INDEX('vehicles specifications'!$B$3:$CW$166,MATCH(B190,'vehicles specifications'!$A$3:$A$166,0),MATCH("Annual kilometers [km]",'vehicles specifications'!$B$2:$CW$2,0))</f>
        <v>1776</v>
      </c>
    </row>
    <row r="200" spans="1:2" x14ac:dyDescent="0.2">
      <c r="A200" t="s">
        <v>132</v>
      </c>
      <c r="B200" s="2">
        <f>INDEX('vehicles specifications'!$B$3:$CW$166,MATCH(B190,'vehicles specifications'!$A$3:$A$166,0),MATCH("Curb mass [kg]",'vehicles specifications'!$B$2:$CW$2,0))</f>
        <v>75.173913043478265</v>
      </c>
    </row>
    <row r="201" spans="1:2" x14ac:dyDescent="0.2">
      <c r="A201" t="s">
        <v>133</v>
      </c>
      <c r="B201">
        <f>INDEX('vehicles specifications'!$B$3:$CW$166,MATCH(B190,'vehicles specifications'!$A$3:$A$166,0),MATCH("Power [kW]",'vehicles specifications'!$B$2:$CW$2,0))</f>
        <v>2.5</v>
      </c>
    </row>
    <row r="202" spans="1:2" x14ac:dyDescent="0.2">
      <c r="A202" t="s">
        <v>652</v>
      </c>
      <c r="B202" s="20" t="s">
        <v>45</v>
      </c>
    </row>
    <row r="203" spans="1:2" x14ac:dyDescent="0.2">
      <c r="A203" t="s">
        <v>134</v>
      </c>
      <c r="B203">
        <f>INDEX('vehicles specifications'!$B$3:$CW$166,MATCH(B190,'vehicles specifications'!$A$3:$A$166,0),MATCH("Energy battery mass [kg]",'vehicles specifications'!$B$2:$CW$2,0))</f>
        <v>10.173913043478262</v>
      </c>
    </row>
    <row r="204" spans="1:2" x14ac:dyDescent="0.2">
      <c r="A204" t="s">
        <v>135</v>
      </c>
      <c r="B204">
        <f>INDEX('vehicles specifications'!$B$3:$CW$166,MATCH(B190,'vehicles specifications'!$A$3:$A$166,0),MATCH("Electric energy stored [kWh]",'vehicles specifications'!$B$2:$CW$2,0))</f>
        <v>1.8</v>
      </c>
    </row>
    <row r="205" spans="1:2" x14ac:dyDescent="0.2">
      <c r="A205" t="s">
        <v>588</v>
      </c>
      <c r="B205">
        <f>INDEX('vehicles specifications'!$B$3:$CW$166,MATCH(B190,'vehicles specifications'!$A$3:$A$166,0),MATCH("Electric energy available [kWh]",'vehicles specifications'!$B$2:$CW$2,0))</f>
        <v>1.4400000000000002</v>
      </c>
    </row>
    <row r="206" spans="1:2" x14ac:dyDescent="0.2">
      <c r="A206" t="s">
        <v>138</v>
      </c>
      <c r="B206" s="2">
        <f>INDEX('vehicles specifications'!$B$3:$CW$166,MATCH(B190,'vehicles specifications'!$A$3:$A$166,0),MATCH("Oxydation energy stored [kWh]",'vehicles specifications'!$B$2:$CW$2,0))</f>
        <v>0</v>
      </c>
    </row>
    <row r="207" spans="1:2" x14ac:dyDescent="0.2">
      <c r="A207" t="s">
        <v>139</v>
      </c>
      <c r="B207">
        <f>INDEX('vehicles specifications'!$B$3:$CW$166,MATCH(B190,'vehicles specifications'!$A$3:$A$166,0),MATCH("Fuel mass [kg]",'vehicles specifications'!$B$2:$CW$2,0))</f>
        <v>0</v>
      </c>
    </row>
    <row r="208" spans="1:2" x14ac:dyDescent="0.2">
      <c r="A208" t="s">
        <v>136</v>
      </c>
      <c r="B208" s="2">
        <f>INDEX('vehicles specifications'!$B$3:$CW$166,MATCH(B190,'vehicles specifications'!$A$3:$A$166,0),MATCH("Range [km]",'vehicles specifications'!$B$2:$CW$2,0))</f>
        <v>42.842975206611577</v>
      </c>
    </row>
    <row r="209" spans="1:8" x14ac:dyDescent="0.2">
      <c r="A209" t="s">
        <v>137</v>
      </c>
      <c r="B209" t="str">
        <f>INDEX('vehicles specifications'!$B$3:$CW$166,MATCH(B190,'vehicles specifications'!$A$3:$A$166,0),MATCH("Emission standard",'vehicles specifications'!$B$2:$CW$2,0))</f>
        <v>None</v>
      </c>
    </row>
    <row r="210" spans="1:8" x14ac:dyDescent="0.2">
      <c r="A210" t="s">
        <v>1174</v>
      </c>
      <c r="B210" s="6">
        <f>INDEX('vehicles specifications'!$B$3:$CW$166,MATCH(B190,'vehicles specifications'!$A$3:$A$166,0),MATCH("Lightweighting rate [%]",'vehicles specifications'!$B$2:$CW$2,0))</f>
        <v>0</v>
      </c>
    </row>
    <row r="211" spans="1:8" x14ac:dyDescent="0.2">
      <c r="A211" t="s">
        <v>83</v>
      </c>
      <c r="B211" t="str">
        <f>"Power: "&amp;B201&amp;" kW. Lifetime: "&amp;B195&amp;" km. Annual kilometers: "&amp;B199&amp;" km. Number of passengers: "&amp;B196&amp;". Curb mass: "&amp;ROUND(B200,1)&amp;" kg. Lightweighting of glider: "&amp;ROUND(B210*100,0)&amp;"%. Emission standard: "&amp;B209&amp;". Service visits throughout lifetime: "&amp;ROUND(B197,1)&amp;". Range: "&amp;ROUND(B208,0)&amp;" km. Battery capacity: "&amp;ROUND(B204,1)&amp;" kWh. Available battery capacity: "&amp;B205&amp;" kWh. Battery mass: "&amp;ROUND(B203,1)&amp; " kg. Battery replacement throughout lifetime: "&amp;ROUND(B198,1)&amp;". Fuel tank capacity: "&amp;ROUND(B206,1)&amp;" kWh. Fuel mass: "&amp;ROUND(B207,1)&amp;" kg. Documentation: "&amp;Readmefirst!$B$2&amp;", "&amp;Readmefirst!$B$3&amp;". "&amp;'lci-kick scooter - NMC'!B151</f>
        <v>Power: 2.5 kW. Lifetime: 25000 km. Annual kilometers: 1776 km. Number of passengers: 1.1. Curb mass: 75.2 kg. Lightweighting of glider: 0%. Emission standard: None. Service visits throughout lifetime: 1. Range: 43 km. Battery capacity: 1.8 kWh. Available battery capacity: 1.44 kWh. Battery mass: 10.2 kg. Battery replacement throughout lifetime: 1. Fuel tank capacity: 0 kWh. Fuel mass: 0 kg. Documentation: Life-cycle inventories for on-road vehicles, Sacchi R. (PSI), Bauer C. (PSI), 2021. 0</v>
      </c>
    </row>
    <row r="212" spans="1:8" ht="16" x14ac:dyDescent="0.2">
      <c r="A212" s="10" t="s">
        <v>79</v>
      </c>
    </row>
    <row r="213" spans="1:8" x14ac:dyDescent="0.2">
      <c r="A213" t="s">
        <v>80</v>
      </c>
      <c r="B213" t="s">
        <v>81</v>
      </c>
      <c r="C213" t="s">
        <v>72</v>
      </c>
      <c r="D213" t="s">
        <v>76</v>
      </c>
      <c r="E213" t="s">
        <v>82</v>
      </c>
      <c r="F213" t="s">
        <v>74</v>
      </c>
      <c r="G213" t="s">
        <v>83</v>
      </c>
      <c r="H213" t="s">
        <v>73</v>
      </c>
    </row>
    <row r="214" spans="1:8" x14ac:dyDescent="0.2">
      <c r="A214" t="str">
        <f>B185</f>
        <v>transport, Motorbike, electric, &lt;4kW, NCA battery, 2020</v>
      </c>
      <c r="B214">
        <v>1</v>
      </c>
      <c r="C214" t="str">
        <f>B186</f>
        <v>CH</v>
      </c>
      <c r="D214" t="s">
        <v>166</v>
      </c>
      <c r="F214" t="s">
        <v>84</v>
      </c>
      <c r="G214" t="s">
        <v>85</v>
      </c>
      <c r="H214" t="str">
        <f>B191</f>
        <v>transport, Motorbike, electric, &lt;4kW</v>
      </c>
    </row>
    <row r="215" spans="1:8" x14ac:dyDescent="0.2">
      <c r="A215" t="str">
        <f>RIGHT(A214,LEN(A214)-11)</f>
        <v>Motorbike, electric, &lt;4kW, NCA battery, 2020</v>
      </c>
      <c r="B215" s="7">
        <f>1/B195</f>
        <v>4.0000000000000003E-5</v>
      </c>
      <c r="C215" t="str">
        <f>B186</f>
        <v>CH</v>
      </c>
      <c r="D215" t="s">
        <v>76</v>
      </c>
      <c r="F215" t="s">
        <v>89</v>
      </c>
      <c r="H215" t="str">
        <f>RIGHT(H214,LEN(H214)-11)</f>
        <v>Motorbike, electric, &lt;4kW</v>
      </c>
    </row>
    <row r="216" spans="1:8" x14ac:dyDescent="0.2">
      <c r="A216" t="str">
        <f>INDEX('ei names mapping'!$B$4:$R$33,MATCH(B187,'ei names mapping'!$A$4:$A$33,0),MATCH(G216,'ei names mapping'!$B$3:$R$3,0))</f>
        <v>road maintenance</v>
      </c>
      <c r="B216" s="7">
        <f>INDEX('vehicles specifications'!$B$3:$CW$166,MATCH(B190,'vehicles specifications'!$A$3:$A$166,0),MATCH(G216,'vehicles specifications'!$B$2:$CW$2,0))*INDEX('ei names mapping'!$B$137:$BL$300,MATCH(B190,'ei names mapping'!$A$137:$A$300,0),MATCH(G216,'ei names mapping'!$B$136:$BL$136,0))</f>
        <v>1.2899999999999999E-3</v>
      </c>
      <c r="C216" t="str">
        <f>INDEX('ei names mapping'!$B$38:$R$67,MATCH(B187,'ei names mapping'!$A$4:$A$33,0),MATCH(G216,'ei names mapping'!$B$3:$R$3,0))</f>
        <v>CH</v>
      </c>
      <c r="D216" t="str">
        <f>INDEX('ei names mapping'!$B$104:$BL$133,MATCH(B187,'ei names mapping'!$A$4:$A$33,0),MATCH(G216,'ei names mapping'!$B$3:$BL$3,0))</f>
        <v>meter-year</v>
      </c>
      <c r="F216" t="s">
        <v>89</v>
      </c>
      <c r="G216" t="s">
        <v>112</v>
      </c>
      <c r="H216" t="str">
        <f>INDEX('ei names mapping'!$B$71:$BL$100,MATCH(B187,'ei names mapping'!$A$4:$A$33,0),MATCH(G216,'ei names mapping'!$B$3:$BL$3,0))</f>
        <v>road maintenance</v>
      </c>
    </row>
    <row r="217" spans="1:8" x14ac:dyDescent="0.2">
      <c r="A217" t="str">
        <f>INDEX('ei names mapping'!$B$4:$R$33,MATCH(B187,'ei names mapping'!$A$4:$A$33,0),MATCH(G217,'ei names mapping'!$B$3:$R$3,0))</f>
        <v>market for electricity, low voltage</v>
      </c>
      <c r="B217" s="7">
        <f>INDEX('vehicles specifications'!$B$3:$CW$166,MATCH(B190,'vehicles specifications'!$A$3:$A$166,0),MATCH(G217,'vehicles specifications'!$B$2:$CW$2,0))*INDEX('ei names mapping'!$B$137:$BL$300,MATCH(B190,'ei names mapping'!$A$137:$A$300,0),MATCH(G217,'ei names mapping'!$B$136:$BL$136,0))</f>
        <v>3.6972222222222226E-2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mapping'!$B$71:$R$100,MATCH(B187,'ei names mapping'!$A$4:$A$33,0),MATCH(G217,'ei names mapping'!$B$3:$R$3,0))</f>
        <v>electricity, low voltage</v>
      </c>
    </row>
    <row r="218" spans="1:8" x14ac:dyDescent="0.2">
      <c r="A218" t="str">
        <f>INDEX('ei names mapping'!$B$4:$R$33,MATCH(B187,'ei names mapping'!$A$4:$A$33,0),MATCH(G218,'ei names mapping'!$B$3:$R$3,0))</f>
        <v>market for maintenance, electric scooter, without battery</v>
      </c>
      <c r="B218" s="7">
        <f>INDEX('vehicles specifications'!$B$3:$CW$166,MATCH(B190,'vehicles specifications'!$A$3:$A$166,0),MATCH(G218,'vehicles specifications'!$B$2:$CW$2,0))*INDEX('ei names mapping'!$B$137:$BL$300,MATCH(B190,'ei names mapping'!$A$137:$A$300,0),MATCH(G218,'ei names mapping'!$B$136:$BL$136,0))</f>
        <v>4.0000000000000003E-5</v>
      </c>
      <c r="C218" t="str">
        <f>INDEX('ei names mapping'!$B$38:$BL$67,MATCH(B187,'ei names mapping'!$A$4:$A$33,0),MATCH(G218,'ei names mapping'!$B$3:$BL$3,0))</f>
        <v>GLO</v>
      </c>
      <c r="D218" t="str">
        <f>INDEX('ei names mapping'!$B$104:$BL$133,MATCH(B187,'ei names mapping'!$A$4:$A$33,0),MATCH(G218,'ei names mapping'!$B$3:$BL$3,0))</f>
        <v>unit</v>
      </c>
      <c r="F218" t="s">
        <v>89</v>
      </c>
      <c r="G218" t="s">
        <v>118</v>
      </c>
      <c r="H218" t="str">
        <f>INDEX('ei names mapping'!$B$71:$BL$100,MATCH(B187,'ei names mapping'!$A$4:$A$33,0),MATCH(G218,'ei names mapping'!$B$3:$BL$3,0))</f>
        <v>maintenance, electric scooter, without battery</v>
      </c>
    </row>
    <row r="219" spans="1:8" x14ac:dyDescent="0.2">
      <c r="A219" t="str">
        <f>INDEX('ei names mapping'!$B$4:$R$33,MATCH(B187,'ei names mapping'!$A$4:$A$33,0),MATCH(G219,'ei names mapping'!$B$3:$R$3,0))</f>
        <v>road construction</v>
      </c>
      <c r="B219" s="7">
        <f>INDEX('vehicles specifications'!$B$3:$CW$166,MATCH(B190,'vehicles specifications'!$A$3:$A$166,0),MATCH(G219,'vehicles specifications'!$B$2:$CW$2,0))*INDEX('ei names mapping'!$B$137:$BL$300,MATCH(B190,'ei names mapping'!$A$137:$A$300,0),MATCH(G219,'ei names mapping'!$B$136:$BL$136,0))</f>
        <v>8.7892891304347824E-5</v>
      </c>
      <c r="C219" t="str">
        <f>INDEX('ei names mapping'!$B$38:$R$67,MATCH(B187,'ei names mapping'!$A$4:$A$33,0),MATCH(G219,'ei names mapping'!$B$3:$R$3,0))</f>
        <v>CH</v>
      </c>
      <c r="D219" t="str">
        <f>INDEX('ei names mapping'!$B$104:$R$133,MATCH(B187,'ei names mapping'!$A$104:$A$133,0),MATCH(G219,'ei names mapping'!$B$3:$R$3,0))</f>
        <v>meter-year</v>
      </c>
      <c r="F219" t="s">
        <v>89</v>
      </c>
      <c r="G219" t="s">
        <v>105</v>
      </c>
      <c r="H219" t="str">
        <f>INDEX('ei names mapping'!$B$71:$R$100,MATCH(B187,'ei names mapping'!$A$4:$A$33,0),MATCH(G219,'ei names mapping'!$B$3:$R$3,0))</f>
        <v>road</v>
      </c>
    </row>
    <row r="220" spans="1:8" x14ac:dyDescent="0.2">
      <c r="A220" t="str">
        <f>INDEX('ei names mapping'!$B$4:$BL$33,MATCH(B187,'ei names mapping'!$A$4:$A$33,0),MATCH(G220,'ei names mapping'!$B$3:$BL$3,0))</f>
        <v>treatment of road wear emissions, passenger car</v>
      </c>
      <c r="B220" s="7">
        <f>INDEX('vehicles specifications'!$B$3:$CW$166,MATCH(B190,'vehicles specifications'!$A$3:$A$166,0),MATCH(G220,'vehicles specifications'!$B$2:$CW$2,0))*INDEX('ei names mapping'!$B$137:$BL$300,MATCH(B190,'ei names mapping'!$A$137:$A$300,0),MATCH(G220,'ei names mapping'!$B$136:$BL$136,0))</f>
        <v>-6.2163288381961753E-6</v>
      </c>
      <c r="C220" t="str">
        <f>INDEX('ei names mapping'!$B$38:$BL$67,MATCH(B187,'ei names mapping'!$A$4:$A$33,0),MATCH(G220,'ei names mapping'!$B$3:$BL$3,0))</f>
        <v>RER</v>
      </c>
      <c r="D220" t="str">
        <f>INDEX('ei names mapping'!$B$104:$BL$133,MATCH(B187,'ei names mapping'!$A$4:$A$33,0),MATCH(G220,'ei names mapping'!$B$3:$BL$3,0))</f>
        <v>kilogram</v>
      </c>
      <c r="F220" t="s">
        <v>89</v>
      </c>
      <c r="G220" t="s">
        <v>29</v>
      </c>
      <c r="H220" t="str">
        <f>INDEX('ei names mapping'!$B$71:$BL$100,MATCH(B187,'ei names mapping'!$A$4:$A$33,0),MATCH(G220,'ei names mapping'!$B$3:$BL$3,0))</f>
        <v>road wear emissions, passenger car</v>
      </c>
    </row>
    <row r="221" spans="1:8" x14ac:dyDescent="0.2">
      <c r="A221" t="str">
        <f>INDEX('ei names mapping'!$B$4:$BL$33,MATCH(B187,'ei names mapping'!$A$4:$A$33,0),MATCH(G221,'ei names mapping'!$B$3:$BL$3,0))</f>
        <v>treatment of tyre wear emissions, passenger car</v>
      </c>
      <c r="B221" s="7">
        <f>INDEX('vehicles specifications'!$B$3:$CW$166,MATCH(B190,'vehicles specifications'!$A$3:$A$166,0),MATCH(G221,'vehicles specifications'!$B$2:$CW$2,0))*INDEX('ei names mapping'!$B$137:$BL$300,MATCH(B190,'ei names mapping'!$A$137:$A$300,0),MATCH(G221,'ei names mapping'!$B$136:$BL$136,0))</f>
        <v>-4.5299988090951134E-6</v>
      </c>
      <c r="C221" t="str">
        <f>INDEX('ei names mapping'!$B$38:$BL$67,MATCH(B187,'ei names mapping'!$A$4:$A$33,0),MATCH(G221,'ei names mapping'!$B$3:$BL$3,0))</f>
        <v>RER</v>
      </c>
      <c r="D221" t="str">
        <f>INDEX('ei names mapping'!$B$104:$BL$133,MATCH(B187,'ei names mapping'!$A$4:$A$33,0),MATCH(G221,'ei names mapping'!$B$3:$BL$3,0))</f>
        <v>kilogram</v>
      </c>
      <c r="F221" t="s">
        <v>89</v>
      </c>
      <c r="G221" t="s">
        <v>30</v>
      </c>
      <c r="H221" t="str">
        <f>INDEX('ei names mapping'!$B$71:$BL$100,MATCH(B187,'ei names mapping'!$A$4:$A$33,0),MATCH(G221,'ei names mapping'!$B$3:$BL$3,0))</f>
        <v>tyre wear emissions, passenger car</v>
      </c>
    </row>
    <row r="222" spans="1:8" x14ac:dyDescent="0.2">
      <c r="A222" t="str">
        <f>INDEX('ei names mapping'!$B$4:$BL$33,MATCH(B187,'ei names mapping'!$A$4:$A$33,0),MATCH(G222,'ei names mapping'!$B$3:$BL$3,0))</f>
        <v>treatment of brake wear emissions, passenger car</v>
      </c>
      <c r="B222" s="7">
        <f>INDEX('vehicles specifications'!$B$3:$CW$166,MATCH(B190,'vehicles specifications'!$A$3:$A$166,0),MATCH(G222,'vehicles specifications'!$B$2:$CW$2,0))*INDEX('ei names mapping'!$B$137:$BL$300,MATCH(B190,'ei names mapping'!$A$137:$A$300,0),MATCH(G222,'ei names mapping'!$B$136:$BL$136,0))</f>
        <v>-2.4054461768958204E-6</v>
      </c>
      <c r="C222" t="str">
        <f>INDEX('ei names mapping'!$B$38:$BL$67,MATCH(B187,'ei names mapping'!$A$4:$A$33,0),MATCH(G222,'ei names mapping'!$B$3:$BL$3,0))</f>
        <v>RER</v>
      </c>
      <c r="D222" t="str">
        <f>INDEX('ei names mapping'!$B$104:$BL$133,MATCH(B187,'ei names mapping'!$A$4:$A$33,0),MATCH(G222,'ei names mapping'!$B$3:$BL$3,0))</f>
        <v>kilogram</v>
      </c>
      <c r="F222" t="s">
        <v>89</v>
      </c>
      <c r="G222" t="s">
        <v>31</v>
      </c>
      <c r="H222" t="str">
        <f>INDEX('ei names mapping'!$B$71:$BL$100,MATCH(B187,'ei names mapping'!$A$4:$A$33,0),MATCH(G222,'ei names mapping'!$B$3:$BL$3,0))</f>
        <v>brake wear emissions, passenger car</v>
      </c>
    </row>
    <row r="223" spans="1:8" x14ac:dyDescent="0.2">
      <c r="B223" s="6"/>
    </row>
    <row r="224" spans="1:8" ht="16" x14ac:dyDescent="0.2">
      <c r="A224" s="10" t="s">
        <v>71</v>
      </c>
      <c r="B224" s="8" t="str">
        <f>"transport, "&amp;B226&amp;", "&amp;B241&amp;" battery, "&amp;B228</f>
        <v>transport, Motorbike, electric, &lt;4kW, NCA battery, 2030</v>
      </c>
    </row>
    <row r="225" spans="1:2" x14ac:dyDescent="0.2">
      <c r="A225" t="s">
        <v>72</v>
      </c>
      <c r="B225" t="s">
        <v>37</v>
      </c>
    </row>
    <row r="226" spans="1:2" x14ac:dyDescent="0.2">
      <c r="A226" t="s">
        <v>86</v>
      </c>
      <c r="B226" t="s">
        <v>492</v>
      </c>
    </row>
    <row r="227" spans="1:2" x14ac:dyDescent="0.2">
      <c r="A227" t="s">
        <v>87</v>
      </c>
    </row>
    <row r="228" spans="1:2" x14ac:dyDescent="0.2">
      <c r="A228" t="s">
        <v>88</v>
      </c>
      <c r="B228">
        <v>2030</v>
      </c>
    </row>
    <row r="229" spans="1:2" x14ac:dyDescent="0.2">
      <c r="A229" t="s">
        <v>126</v>
      </c>
      <c r="B229" t="str">
        <f>B226&amp;" - "&amp;B228&amp;" - "&amp;B241&amp;" - "&amp;B225</f>
        <v>Motorbike, electric, &lt;4kW - 2030 - NCA - CH</v>
      </c>
    </row>
    <row r="230" spans="1:2" x14ac:dyDescent="0.2">
      <c r="A230" t="s">
        <v>73</v>
      </c>
      <c r="B230" t="str">
        <f>"transport, "&amp;B226</f>
        <v>transport, Motorbike, electric, &lt;4kW</v>
      </c>
    </row>
    <row r="231" spans="1:2" x14ac:dyDescent="0.2">
      <c r="A231" t="s">
        <v>74</v>
      </c>
      <c r="B231" t="s">
        <v>75</v>
      </c>
    </row>
    <row r="232" spans="1:2" x14ac:dyDescent="0.2">
      <c r="A232" t="s">
        <v>76</v>
      </c>
      <c r="B232" t="s">
        <v>166</v>
      </c>
    </row>
    <row r="233" spans="1:2" x14ac:dyDescent="0.2">
      <c r="A233" t="s">
        <v>78</v>
      </c>
      <c r="B233" t="s">
        <v>1143</v>
      </c>
    </row>
    <row r="234" spans="1:2" x14ac:dyDescent="0.2">
      <c r="A234" t="s">
        <v>127</v>
      </c>
      <c r="B234">
        <f>INDEX('vehicles specifications'!$B$3:$CW$166,MATCH(B229,'vehicles specifications'!$A$3:$A$166,0),MATCH("Lifetime [km]",'vehicles specifications'!$B$2:$CW$2,0))</f>
        <v>25000</v>
      </c>
    </row>
    <row r="235" spans="1:2" x14ac:dyDescent="0.2">
      <c r="A235" t="s">
        <v>128</v>
      </c>
      <c r="B235">
        <f>INDEX('vehicles specifications'!$B$3:$CW$166,MATCH(B229,'vehicles specifications'!$A$3:$A$166,0),MATCH("Passengers [unit]",'vehicles specifications'!$B$2:$CW$2,0))</f>
        <v>1.1000000000000001</v>
      </c>
    </row>
    <row r="236" spans="1:2" x14ac:dyDescent="0.2">
      <c r="A236" t="s">
        <v>129</v>
      </c>
      <c r="B236">
        <f>INDEX('vehicles specifications'!$B$3:$CW$166,MATCH(B229,'vehicles specifications'!$A$3:$A$166,0),MATCH("Servicing [unit]",'vehicles specifications'!$B$2:$CW$2,0))</f>
        <v>1</v>
      </c>
    </row>
    <row r="237" spans="1:2" x14ac:dyDescent="0.2">
      <c r="A237" t="s">
        <v>130</v>
      </c>
      <c r="B237">
        <f>INDEX('vehicles specifications'!$B$3:$CW$166,MATCH(B229,'vehicles specifications'!$A$3:$A$166,0),MATCH("Energy battery replacement [unit]",'vehicles specifications'!$B$2:$CW$2,0))</f>
        <v>0.5</v>
      </c>
    </row>
    <row r="238" spans="1:2" x14ac:dyDescent="0.2">
      <c r="A238" t="s">
        <v>131</v>
      </c>
      <c r="B238">
        <f>INDEX('vehicles specifications'!$B$3:$CW$166,MATCH(B229,'vehicles specifications'!$A$3:$A$166,0),MATCH("Annual kilometers [km]",'vehicles specifications'!$B$2:$CW$2,0))</f>
        <v>1776</v>
      </c>
    </row>
    <row r="239" spans="1:2" x14ac:dyDescent="0.2">
      <c r="A239" t="s">
        <v>132</v>
      </c>
      <c r="B239" s="2">
        <f>INDEX('vehicles specifications'!$B$3:$CW$166,MATCH(B229,'vehicles specifications'!$A$3:$A$166,0),MATCH("Curb mass [kg]",'vehicles specifications'!$B$2:$CW$2,0))</f>
        <v>77.276666666666671</v>
      </c>
    </row>
    <row r="240" spans="1:2" x14ac:dyDescent="0.2">
      <c r="A240" t="s">
        <v>133</v>
      </c>
      <c r="B240">
        <f>INDEX('vehicles specifications'!$B$3:$CW$166,MATCH(B229,'vehicles specifications'!$A$3:$A$166,0),MATCH("Power [kW]",'vehicles specifications'!$B$2:$CW$2,0))</f>
        <v>2.5</v>
      </c>
    </row>
    <row r="241" spans="1:8" x14ac:dyDescent="0.2">
      <c r="A241" t="s">
        <v>652</v>
      </c>
      <c r="B241" s="20" t="s">
        <v>45</v>
      </c>
    </row>
    <row r="242" spans="1:8" x14ac:dyDescent="0.2">
      <c r="A242" t="s">
        <v>134</v>
      </c>
      <c r="B242">
        <f>INDEX('vehicles specifications'!$B$3:$CW$166,MATCH(B229,'vehicles specifications'!$A$3:$A$166,0),MATCH("Energy battery mass [kg]",'vehicles specifications'!$B$2:$CW$2,0))</f>
        <v>13.866666666666667</v>
      </c>
    </row>
    <row r="243" spans="1:8" x14ac:dyDescent="0.2">
      <c r="A243" t="s">
        <v>135</v>
      </c>
      <c r="B243">
        <f>INDEX('vehicles specifications'!$B$3:$CW$166,MATCH(B229,'vehicles specifications'!$A$3:$A$166,0),MATCH("Electric energy stored [kWh]",'vehicles specifications'!$B$2:$CW$2,0))</f>
        <v>3.2</v>
      </c>
    </row>
    <row r="244" spans="1:8" x14ac:dyDescent="0.2">
      <c r="A244" t="s">
        <v>588</v>
      </c>
      <c r="B244">
        <f>INDEX('vehicles specifications'!$B$3:$CW$166,MATCH(B229,'vehicles specifications'!$A$3:$A$166,0),MATCH("Electric energy available [kWh]",'vehicles specifications'!$B$2:$CW$2,0))</f>
        <v>2.5600000000000005</v>
      </c>
    </row>
    <row r="245" spans="1:8" x14ac:dyDescent="0.2">
      <c r="A245" t="s">
        <v>138</v>
      </c>
      <c r="B245" s="2">
        <f>INDEX('vehicles specifications'!$B$3:$CW$166,MATCH(B229,'vehicles specifications'!$A$3:$A$166,0),MATCH("Oxydation energy stored [kWh]",'vehicles specifications'!$B$2:$CW$2,0))</f>
        <v>0</v>
      </c>
    </row>
    <row r="246" spans="1:8" x14ac:dyDescent="0.2">
      <c r="A246" t="s">
        <v>139</v>
      </c>
      <c r="B246">
        <f>INDEX('vehicles specifications'!$B$3:$CW$166,MATCH(B229,'vehicles specifications'!$A$3:$A$166,0),MATCH("Fuel mass [kg]",'vehicles specifications'!$B$2:$CW$2,0))</f>
        <v>0</v>
      </c>
    </row>
    <row r="247" spans="1:8" x14ac:dyDescent="0.2">
      <c r="A247" t="s">
        <v>136</v>
      </c>
      <c r="B247" s="2">
        <f>INDEX('vehicles specifications'!$B$3:$CW$166,MATCH(B229,'vehicles specifications'!$A$3:$A$166,0),MATCH("Range [km]",'vehicles specifications'!$B$2:$CW$2,0))</f>
        <v>76.165289256198363</v>
      </c>
    </row>
    <row r="248" spans="1:8" x14ac:dyDescent="0.2">
      <c r="A248" t="s">
        <v>137</v>
      </c>
      <c r="B248" t="str">
        <f>INDEX('vehicles specifications'!$B$3:$CW$166,MATCH(B229,'vehicles specifications'!$A$3:$A$166,0),MATCH("Emission standard",'vehicles specifications'!$B$2:$CW$2,0))</f>
        <v>None</v>
      </c>
    </row>
    <row r="249" spans="1:8" x14ac:dyDescent="0.2">
      <c r="A249" t="s">
        <v>1174</v>
      </c>
      <c r="B249" s="6">
        <f>INDEX('vehicles specifications'!$B$3:$CW$166,MATCH(B229,'vehicles specifications'!$A$3:$A$166,0),MATCH("Lightweighting rate [%]",'vehicles specifications'!$B$2:$CW$2,0))</f>
        <v>0.03</v>
      </c>
    </row>
    <row r="250" spans="1:8" x14ac:dyDescent="0.2">
      <c r="A250" t="s">
        <v>83</v>
      </c>
      <c r="B250" t="str">
        <f>"Power: "&amp;B240&amp;" kW. Lifetime: "&amp;B234&amp;" km. Annual kilometers: "&amp;B238&amp;" km. Number of passengers: "&amp;B235&amp;". Curb mass: "&amp;ROUND(B239,1)&amp;" kg. Lightweighting of glider: "&amp;ROUND(B249*100,0)&amp;"%. Emission standard: "&amp;B248&amp;". Service visits throughout lifetime: "&amp;ROUND(B236,1)&amp;". Range: "&amp;ROUND(B247,0)&amp;" km. Battery capacity: "&amp;ROUND(B243,1)&amp;" kWh. Available battery capacity: "&amp;B244&amp;" kWh. Battery mass: "&amp;ROUND(B242,1)&amp; " kg. Battery replacement throughout lifetime: "&amp;ROUND(B237,1)&amp;". Fuel tank capacity: "&amp;ROUND(B245,1)&amp;" kWh. Fuel mass: "&amp;ROUND(B246,1)&amp;" kg. Documentation: "&amp;Readmefirst!$B$2&amp;", "&amp;Readmefirst!$B$3&amp;". "&amp;'lci-kick scooter - NMC'!B191</f>
        <v>Power: 2.5 kW. Lifetime: 25000 km. Annual kilometers: 1776 km. Number of passengers: 1.1. Curb mass: 77.3 kg. Lightweighting of glider: 3%. Emission standard: None. Service visits throughout lifetime: 1. Range: 76 km. Battery capacity: 3.2 kWh. Available battery capacity: 2.56 kWh. Battery mass: 13.9 kg. Battery replacement throughout lifetime: 0.5. Fuel tank capacity: 0 kWh. Fuel mass: 0 kg. Documentation: Life-cycle inventories for on-road vehicles, Sacchi R. (PSI), Bauer C. (PSI), 2021. kilometer</v>
      </c>
    </row>
    <row r="251" spans="1:8" ht="16" x14ac:dyDescent="0.2">
      <c r="A251" s="10" t="s">
        <v>79</v>
      </c>
    </row>
    <row r="252" spans="1:8" x14ac:dyDescent="0.2">
      <c r="A252" t="s">
        <v>80</v>
      </c>
      <c r="B252" t="s">
        <v>81</v>
      </c>
      <c r="C252" t="s">
        <v>72</v>
      </c>
      <c r="D252" t="s">
        <v>76</v>
      </c>
      <c r="E252" t="s">
        <v>82</v>
      </c>
      <c r="F252" t="s">
        <v>74</v>
      </c>
      <c r="G252" t="s">
        <v>83</v>
      </c>
      <c r="H252" t="s">
        <v>73</v>
      </c>
    </row>
    <row r="253" spans="1:8" x14ac:dyDescent="0.2">
      <c r="A253" t="str">
        <f>B224</f>
        <v>transport, Motorbike, electric, &lt;4kW, NCA battery, 2030</v>
      </c>
      <c r="B253">
        <v>1</v>
      </c>
      <c r="C253" t="str">
        <f>B225</f>
        <v>CH</v>
      </c>
      <c r="D253" t="s">
        <v>166</v>
      </c>
      <c r="F253" t="s">
        <v>84</v>
      </c>
      <c r="G253" t="s">
        <v>85</v>
      </c>
      <c r="H253" t="str">
        <f>B230</f>
        <v>transport, Motorbike, electric, &lt;4kW</v>
      </c>
    </row>
    <row r="254" spans="1:8" x14ac:dyDescent="0.2">
      <c r="A254" t="str">
        <f>RIGHT(A253,LEN(A253)-11)</f>
        <v>Motorbike, electric, &lt;4kW, NCA battery, 2030</v>
      </c>
      <c r="B254" s="7">
        <f>1/B234</f>
        <v>4.0000000000000003E-5</v>
      </c>
      <c r="C254" t="str">
        <f>B225</f>
        <v>CH</v>
      </c>
      <c r="D254" t="s">
        <v>76</v>
      </c>
      <c r="F254" t="s">
        <v>89</v>
      </c>
      <c r="H254" t="str">
        <f>RIGHT(H253,LEN(H253)-11)</f>
        <v>Motorbike, electric, &lt;4kW</v>
      </c>
    </row>
    <row r="255" spans="1:8" x14ac:dyDescent="0.2">
      <c r="A255" t="str">
        <f>INDEX('ei names mapping'!$B$4:$R$33,MATCH(B226,'ei names mapping'!$A$4:$A$33,0),MATCH(G255,'ei names mapping'!$B$3:$R$3,0))</f>
        <v>road maintenance</v>
      </c>
      <c r="B255" s="7">
        <f>INDEX('vehicles specifications'!$B$3:$CW$166,MATCH(B229,'vehicles specifications'!$A$3:$A$166,0),MATCH(G255,'vehicles specifications'!$B$2:$CW$2,0))*INDEX('ei names mapping'!$B$137:$BL$300,MATCH(B229,'ei names mapping'!$A$137:$A$300,0),MATCH(G255,'ei names mapping'!$B$136:$BL$136,0))</f>
        <v>1.2899999999999999E-3</v>
      </c>
      <c r="C255" t="str">
        <f>INDEX('ei names mapping'!$B$38:$R$67,MATCH(B226,'ei names mapping'!$A$4:$A$33,0),MATCH(G255,'ei names mapping'!$B$3:$R$3,0))</f>
        <v>CH</v>
      </c>
      <c r="D255" t="str">
        <f>INDEX('ei names mapping'!$B$104:$BL$133,MATCH(B226,'ei names mapping'!$A$4:$A$33,0),MATCH(G255,'ei names mapping'!$B$3:$BL$3,0))</f>
        <v>meter-year</v>
      </c>
      <c r="F255" t="s">
        <v>89</v>
      </c>
      <c r="G255" t="s">
        <v>112</v>
      </c>
      <c r="H255" t="str">
        <f>INDEX('ei names mapping'!$B$71:$BL$100,MATCH(B226,'ei names mapping'!$A$4:$A$33,0),MATCH(G255,'ei names mapping'!$B$3:$BL$3,0))</f>
        <v>road maintenance</v>
      </c>
    </row>
    <row r="256" spans="1:8" x14ac:dyDescent="0.2">
      <c r="A256" t="str">
        <f>INDEX('ei names mapping'!$B$4:$R$33,MATCH(B226,'ei names mapping'!$A$4:$A$33,0),MATCH(G256,'ei names mapping'!$B$3:$R$3,0))</f>
        <v>market for electricity, low voltage</v>
      </c>
      <c r="B256" s="7">
        <f>INDEX('vehicles specifications'!$B$3:$CW$166,MATCH(B229,'vehicles specifications'!$A$3:$A$166,0),MATCH(G256,'vehicles specifications'!$B$2:$CW$2,0))*INDEX('ei names mapping'!$B$137:$BL$300,MATCH(B229,'ei names mapping'!$A$137:$A$300,0),MATCH(G256,'ei names mapping'!$B$136:$BL$136,0))</f>
        <v>3.6972222222222226E-2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mapping'!$B$71:$R$100,MATCH(B226,'ei names mapping'!$A$4:$A$33,0),MATCH(G256,'ei names mapping'!$B$3:$R$3,0))</f>
        <v>electricity, low voltage</v>
      </c>
    </row>
    <row r="257" spans="1:8" x14ac:dyDescent="0.2">
      <c r="A257" t="str">
        <f>INDEX('ei names mapping'!$B$4:$R$33,MATCH(B226,'ei names mapping'!$A$4:$A$33,0),MATCH(G257,'ei names mapping'!$B$3:$R$3,0))</f>
        <v>market for maintenance, electric scooter, without battery</v>
      </c>
      <c r="B257" s="7">
        <f>INDEX('vehicles specifications'!$B$3:$CW$166,MATCH(B229,'vehicles specifications'!$A$3:$A$166,0),MATCH(G257,'vehicles specifications'!$B$2:$CW$2,0))*INDEX('ei names mapping'!$B$137:$BL$300,MATCH(B229,'ei names mapping'!$A$137:$A$300,0),MATCH(G257,'ei names mapping'!$B$136:$BL$136,0))</f>
        <v>4.0000000000000003E-5</v>
      </c>
      <c r="C257" t="str">
        <f>INDEX('ei names mapping'!$B$38:$BL$67,MATCH(B226,'ei names mapping'!$A$4:$A$33,0),MATCH(G257,'ei names mapping'!$B$3:$BL$3,0))</f>
        <v>GLO</v>
      </c>
      <c r="D257" t="str">
        <f>INDEX('ei names mapping'!$B$104:$BL$133,MATCH(B226,'ei names mapping'!$A$4:$A$33,0),MATCH(G257,'ei names mapping'!$B$3:$BL$3,0))</f>
        <v>unit</v>
      </c>
      <c r="F257" t="s">
        <v>89</v>
      </c>
      <c r="G257" t="s">
        <v>118</v>
      </c>
      <c r="H257" t="str">
        <f>INDEX('ei names mapping'!$B$71:$BL$100,MATCH(B226,'ei names mapping'!$A$4:$A$33,0),MATCH(G257,'ei names mapping'!$B$3:$BL$3,0))</f>
        <v>maintenance, electric scooter, without battery</v>
      </c>
    </row>
    <row r="258" spans="1:8" x14ac:dyDescent="0.2">
      <c r="A258" t="str">
        <f>INDEX('ei names mapping'!$B$4:$R$33,MATCH(B226,'ei names mapping'!$A$4:$A$33,0),MATCH(G258,'ei names mapping'!$B$3:$R$3,0))</f>
        <v>road construction</v>
      </c>
      <c r="B258" s="7">
        <f>INDEX('vehicles specifications'!$B$3:$CW$166,MATCH(B229,'vehicles specifications'!$A$3:$A$166,0),MATCH(G258,'vehicles specifications'!$B$2:$CW$2,0))*INDEX('ei names mapping'!$B$137:$BL$300,MATCH(B229,'ei names mapping'!$A$137:$A$300,0),MATCH(G258,'ei names mapping'!$B$136:$BL$136,0))</f>
        <v>8.9022070000000007E-5</v>
      </c>
      <c r="C258" t="str">
        <f>INDEX('ei names mapping'!$B$38:$R$67,MATCH(B226,'ei names mapping'!$A$4:$A$33,0),MATCH(G258,'ei names mapping'!$B$3:$R$3,0))</f>
        <v>CH</v>
      </c>
      <c r="D258" t="str">
        <f>INDEX('ei names mapping'!$B$104:$R$133,MATCH(B226,'ei names mapping'!$A$104:$A$133,0),MATCH(G258,'ei names mapping'!$B$3:$R$3,0))</f>
        <v>meter-year</v>
      </c>
      <c r="F258" t="s">
        <v>89</v>
      </c>
      <c r="G258" t="s">
        <v>105</v>
      </c>
      <c r="H258" t="str">
        <f>INDEX('ei names mapping'!$B$71:$R$100,MATCH(B226,'ei names mapping'!$A$4:$A$33,0),MATCH(G258,'ei names mapping'!$B$3:$R$3,0))</f>
        <v>road</v>
      </c>
    </row>
    <row r="259" spans="1:8" x14ac:dyDescent="0.2">
      <c r="A259" t="str">
        <f>INDEX('ei names mapping'!$B$4:$BL$33,MATCH(B226,'ei names mapping'!$A$4:$A$33,0),MATCH(G259,'ei names mapping'!$B$3:$BL$3,0))</f>
        <v>treatment of road wear emissions, passenger car</v>
      </c>
      <c r="B259" s="7">
        <f>INDEX('vehicles specifications'!$B$3:$CW$166,MATCH(B229,'vehicles specifications'!$A$3:$A$166,0),MATCH(G259,'vehicles specifications'!$B$2:$CW$2,0))*INDEX('ei names mapping'!$B$137:$BL$300,MATCH(B229,'ei names mapping'!$A$137:$A$300,0),MATCH(G259,'ei names mapping'!$B$136:$BL$136,0))</f>
        <v>-6.279348553390259E-6</v>
      </c>
      <c r="C259" t="str">
        <f>INDEX('ei names mapping'!$B$38:$BL$67,MATCH(B226,'ei names mapping'!$A$4:$A$33,0),MATCH(G259,'ei names mapping'!$B$3:$BL$3,0))</f>
        <v>RER</v>
      </c>
      <c r="D259" t="str">
        <f>INDEX('ei names mapping'!$B$104:$BL$133,MATCH(B226,'ei names mapping'!$A$4:$A$33,0),MATCH(G259,'ei names mapping'!$B$3:$BL$3,0))</f>
        <v>kilogram</v>
      </c>
      <c r="F259" t="s">
        <v>89</v>
      </c>
      <c r="G259" t="s">
        <v>29</v>
      </c>
      <c r="H259" t="str">
        <f>INDEX('ei names mapping'!$B$71:$BL$100,MATCH(B226,'ei names mapping'!$A$4:$A$33,0),MATCH(G259,'ei names mapping'!$B$3:$BL$3,0))</f>
        <v>road wear emissions, passenger car</v>
      </c>
    </row>
    <row r="260" spans="1:8" x14ac:dyDescent="0.2">
      <c r="A260" t="str">
        <f>INDEX('ei names mapping'!$B$4:$BL$33,MATCH(B226,'ei names mapping'!$A$4:$A$33,0),MATCH(G260,'ei names mapping'!$B$3:$BL$3,0))</f>
        <v>treatment of tyre wear emissions, passenger car</v>
      </c>
      <c r="B260" s="7">
        <f>INDEX('vehicles specifications'!$B$3:$CW$166,MATCH(B229,'vehicles specifications'!$A$3:$A$166,0),MATCH(G260,'vehicles specifications'!$B$2:$CW$2,0))*INDEX('ei names mapping'!$B$137:$BL$300,MATCH(B229,'ei names mapping'!$A$137:$A$300,0),MATCH(G260,'ei names mapping'!$B$136:$BL$136,0))</f>
        <v>-4.5650299796219703E-6</v>
      </c>
      <c r="C260" t="str">
        <f>INDEX('ei names mapping'!$B$38:$BL$67,MATCH(B226,'ei names mapping'!$A$4:$A$33,0),MATCH(G260,'ei names mapping'!$B$3:$BL$3,0))</f>
        <v>RER</v>
      </c>
      <c r="D260" t="str">
        <f>INDEX('ei names mapping'!$B$104:$BL$133,MATCH(B226,'ei names mapping'!$A$4:$A$33,0),MATCH(G260,'ei names mapping'!$B$3:$BL$3,0))</f>
        <v>kilogram</v>
      </c>
      <c r="F260" t="s">
        <v>89</v>
      </c>
      <c r="G260" t="s">
        <v>30</v>
      </c>
      <c r="H260" t="str">
        <f>INDEX('ei names mapping'!$B$71:$BL$100,MATCH(B226,'ei names mapping'!$A$4:$A$33,0),MATCH(G260,'ei names mapping'!$B$3:$BL$3,0))</f>
        <v>tyre wear emissions, passenger car</v>
      </c>
    </row>
    <row r="261" spans="1:8" x14ac:dyDescent="0.2">
      <c r="A261" t="str">
        <f>INDEX('ei names mapping'!$B$4:$BL$33,MATCH(B226,'ei names mapping'!$A$4:$A$33,0),MATCH(G261,'ei names mapping'!$B$3:$BL$3,0))</f>
        <v>treatment of brake wear emissions, passenger car</v>
      </c>
      <c r="B261" s="7">
        <f>INDEX('vehicles specifications'!$B$3:$CW$166,MATCH(B229,'vehicles specifications'!$A$3:$A$166,0),MATCH(G261,'vehicles specifications'!$B$2:$CW$2,0))*INDEX('ei names mapping'!$B$137:$BL$300,MATCH(B229,'ei names mapping'!$A$137:$A$300,0),MATCH(G261,'ei names mapping'!$B$136:$BL$136,0))</f>
        <v>-2.4270352948224213E-6</v>
      </c>
      <c r="C261" t="str">
        <f>INDEX('ei names mapping'!$B$38:$BL$67,MATCH(B226,'ei names mapping'!$A$4:$A$33,0),MATCH(G261,'ei names mapping'!$B$3:$BL$3,0))</f>
        <v>RER</v>
      </c>
      <c r="D261" t="str">
        <f>INDEX('ei names mapping'!$B$104:$BL$133,MATCH(B226,'ei names mapping'!$A$4:$A$33,0),MATCH(G261,'ei names mapping'!$B$3:$BL$3,0))</f>
        <v>kilogram</v>
      </c>
      <c r="F261" t="s">
        <v>89</v>
      </c>
      <c r="G261" t="s">
        <v>31</v>
      </c>
      <c r="H261" t="str">
        <f>INDEX('ei names mapping'!$B$71:$BL$100,MATCH(B226,'ei names mapping'!$A$4:$A$33,0),MATCH(G261,'ei names mapping'!$B$3:$BL$3,0))</f>
        <v>brake wear emissions, passenger car</v>
      </c>
    </row>
    <row r="263" spans="1:8" ht="16" x14ac:dyDescent="0.2">
      <c r="A263" s="10" t="s">
        <v>71</v>
      </c>
      <c r="B263" s="8" t="str">
        <f>"transport, "&amp;B265&amp;", "&amp;B280&amp;" battery, "&amp;B267</f>
        <v>transport, Motorbike, electric, &lt;4kW, NCA battery, 2040</v>
      </c>
    </row>
    <row r="264" spans="1:8" x14ac:dyDescent="0.2">
      <c r="A264" t="s">
        <v>72</v>
      </c>
      <c r="B264" t="s">
        <v>37</v>
      </c>
    </row>
    <row r="265" spans="1:8" x14ac:dyDescent="0.2">
      <c r="A265" t="s">
        <v>86</v>
      </c>
      <c r="B265" t="s">
        <v>492</v>
      </c>
    </row>
    <row r="266" spans="1:8" x14ac:dyDescent="0.2">
      <c r="A266" t="s">
        <v>87</v>
      </c>
    </row>
    <row r="267" spans="1:8" x14ac:dyDescent="0.2">
      <c r="A267" t="s">
        <v>88</v>
      </c>
      <c r="B267">
        <v>2040</v>
      </c>
    </row>
    <row r="268" spans="1:8" x14ac:dyDescent="0.2">
      <c r="A268" t="s">
        <v>126</v>
      </c>
      <c r="B268" t="str">
        <f>B265&amp;" - "&amp;B267&amp;" - "&amp;B280&amp;" - "&amp;B264</f>
        <v>Motorbike, electric, &lt;4kW - 2040 - NCA - CH</v>
      </c>
    </row>
    <row r="269" spans="1:8" x14ac:dyDescent="0.2">
      <c r="A269" t="s">
        <v>73</v>
      </c>
      <c r="B269" t="str">
        <f>"transport, "&amp;B265</f>
        <v>transport, Motorbike, electric, &lt;4kW</v>
      </c>
    </row>
    <row r="270" spans="1:8" x14ac:dyDescent="0.2">
      <c r="A270" t="s">
        <v>74</v>
      </c>
      <c r="B270" t="s">
        <v>75</v>
      </c>
    </row>
    <row r="271" spans="1:8" x14ac:dyDescent="0.2">
      <c r="A271" t="s">
        <v>76</v>
      </c>
      <c r="B271" t="s">
        <v>166</v>
      </c>
    </row>
    <row r="272" spans="1:8" x14ac:dyDescent="0.2">
      <c r="A272" t="s">
        <v>78</v>
      </c>
      <c r="B272" t="s">
        <v>1143</v>
      </c>
    </row>
    <row r="273" spans="1:2" x14ac:dyDescent="0.2">
      <c r="A273" t="s">
        <v>127</v>
      </c>
      <c r="B273">
        <f>INDEX('vehicles specifications'!$B$3:$CW$166,MATCH(B268,'vehicles specifications'!$A$3:$A$166,0),MATCH("Lifetime [km]",'vehicles specifications'!$B$2:$CW$2,0))</f>
        <v>25000</v>
      </c>
    </row>
    <row r="274" spans="1:2" x14ac:dyDescent="0.2">
      <c r="A274" t="s">
        <v>128</v>
      </c>
      <c r="B274">
        <f>INDEX('vehicles specifications'!$B$3:$CW$166,MATCH(B268,'vehicles specifications'!$A$3:$A$166,0),MATCH("Passengers [unit]",'vehicles specifications'!$B$2:$CW$2,0))</f>
        <v>1.1000000000000001</v>
      </c>
    </row>
    <row r="275" spans="1:2" x14ac:dyDescent="0.2">
      <c r="A275" t="s">
        <v>129</v>
      </c>
      <c r="B275">
        <f>INDEX('vehicles specifications'!$B$3:$CW$166,MATCH(B268,'vehicles specifications'!$A$3:$A$166,0),MATCH("Servicing [unit]",'vehicles specifications'!$B$2:$CW$2,0))</f>
        <v>1</v>
      </c>
    </row>
    <row r="276" spans="1:2" x14ac:dyDescent="0.2">
      <c r="A276" t="s">
        <v>130</v>
      </c>
      <c r="B276">
        <f>INDEX('vehicles specifications'!$B$3:$CW$166,MATCH(B268,'vehicles specifications'!$A$3:$A$166,0),MATCH("Energy battery replacement [unit]",'vehicles specifications'!$B$2:$CW$2,0))</f>
        <v>0.25</v>
      </c>
    </row>
    <row r="277" spans="1:2" x14ac:dyDescent="0.2">
      <c r="A277" t="s">
        <v>131</v>
      </c>
      <c r="B277">
        <f>INDEX('vehicles specifications'!$B$3:$CW$166,MATCH(B268,'vehicles specifications'!$A$3:$A$166,0),MATCH("Annual kilometers [km]",'vehicles specifications'!$B$2:$CW$2,0))</f>
        <v>1776</v>
      </c>
    </row>
    <row r="278" spans="1:2" x14ac:dyDescent="0.2">
      <c r="A278" t="s">
        <v>132</v>
      </c>
      <c r="B278" s="2">
        <f>INDEX('vehicles specifications'!$B$3:$CW$166,MATCH(B268,'vehicles specifications'!$A$3:$A$166,0),MATCH("Curb mass [kg]",'vehicles specifications'!$B$2:$CW$2,0))</f>
        <v>76.974999999999994</v>
      </c>
    </row>
    <row r="279" spans="1:2" x14ac:dyDescent="0.2">
      <c r="A279" t="s">
        <v>133</v>
      </c>
      <c r="B279">
        <f>INDEX('vehicles specifications'!$B$3:$CW$166,MATCH(B268,'vehicles specifications'!$A$3:$A$166,0),MATCH("Power [kW]",'vehicles specifications'!$B$2:$CW$2,0))</f>
        <v>2.5</v>
      </c>
    </row>
    <row r="280" spans="1:2" x14ac:dyDescent="0.2">
      <c r="A280" t="s">
        <v>652</v>
      </c>
      <c r="B280" s="20" t="s">
        <v>45</v>
      </c>
    </row>
    <row r="281" spans="1:2" x14ac:dyDescent="0.2">
      <c r="A281" t="s">
        <v>134</v>
      </c>
      <c r="B281">
        <f>INDEX('vehicles specifications'!$B$3:$CW$166,MATCH(B268,'vehicles specifications'!$A$3:$A$166,0),MATCH("Energy battery mass [kg]",'vehicles specifications'!$B$2:$CW$2,0))</f>
        <v>14.625</v>
      </c>
    </row>
    <row r="282" spans="1:2" x14ac:dyDescent="0.2">
      <c r="A282" t="s">
        <v>135</v>
      </c>
      <c r="B282">
        <f>INDEX('vehicles specifications'!$B$3:$CW$166,MATCH(B268,'vehicles specifications'!$A$3:$A$166,0),MATCH("Electric energy stored [kWh]",'vehicles specifications'!$B$2:$CW$2,0))</f>
        <v>4.5</v>
      </c>
    </row>
    <row r="283" spans="1:2" x14ac:dyDescent="0.2">
      <c r="A283" t="s">
        <v>588</v>
      </c>
      <c r="B283">
        <f>INDEX('vehicles specifications'!$B$3:$CW$166,MATCH(B268,'vehicles specifications'!$A$3:$A$166,0),MATCH("Electric energy available [kWh]",'vehicles specifications'!$B$2:$CW$2,0))</f>
        <v>3.6</v>
      </c>
    </row>
    <row r="284" spans="1:2" x14ac:dyDescent="0.2">
      <c r="A284" t="s">
        <v>138</v>
      </c>
      <c r="B284" s="2">
        <f>INDEX('vehicles specifications'!$B$3:$CW$166,MATCH(B268,'vehicles specifications'!$A$3:$A$166,0),MATCH("Oxydation energy stored [kWh]",'vehicles specifications'!$B$2:$CW$2,0))</f>
        <v>0</v>
      </c>
    </row>
    <row r="285" spans="1:2" x14ac:dyDescent="0.2">
      <c r="A285" t="s">
        <v>139</v>
      </c>
      <c r="B285">
        <f>INDEX('vehicles specifications'!$B$3:$CW$166,MATCH(B268,'vehicles specifications'!$A$3:$A$166,0),MATCH("Fuel mass [kg]",'vehicles specifications'!$B$2:$CW$2,0))</f>
        <v>0</v>
      </c>
    </row>
    <row r="286" spans="1:2" x14ac:dyDescent="0.2">
      <c r="A286" t="s">
        <v>136</v>
      </c>
      <c r="B286" s="2">
        <f>INDEX('vehicles specifications'!$B$3:$CW$166,MATCH(B268,'vehicles specifications'!$A$3:$A$166,0),MATCH("Range [km]",'vehicles specifications'!$B$2:$CW$2,0))</f>
        <v>107.10743801652892</v>
      </c>
    </row>
    <row r="287" spans="1:2" x14ac:dyDescent="0.2">
      <c r="A287" t="s">
        <v>137</v>
      </c>
      <c r="B287" t="str">
        <f>INDEX('vehicles specifications'!$B$3:$CW$166,MATCH(B268,'vehicles specifications'!$A$3:$A$166,0),MATCH("Emission standard",'vehicles specifications'!$B$2:$CW$2,0))</f>
        <v>None</v>
      </c>
    </row>
    <row r="288" spans="1:2" x14ac:dyDescent="0.2">
      <c r="A288" t="s">
        <v>1174</v>
      </c>
      <c r="B288" s="6">
        <f>INDEX('vehicles specifications'!$B$3:$CW$166,MATCH(B268,'vehicles specifications'!$A$3:$A$166,0),MATCH("Lightweighting rate [%]",'vehicles specifications'!$B$2:$CW$2,0))</f>
        <v>0.05</v>
      </c>
    </row>
    <row r="289" spans="1:8" x14ac:dyDescent="0.2">
      <c r="A289" t="s">
        <v>83</v>
      </c>
      <c r="B289" t="str">
        <f>"Power: "&amp;B279&amp;" kW. Lifetime: "&amp;B273&amp;" km. Annual kilometers: "&amp;B277&amp;" km. Number of passengers: "&amp;B274&amp;". Curb mass: "&amp;ROUND(B278,1)&amp;" kg. Lightweighting of glider: "&amp;ROUND(B288*100,0)&amp;"%. Emission standard: "&amp;B287&amp;". Service visits throughout lifetime: "&amp;ROUND(B275,1)&amp;". Range: "&amp;ROUND(B286,0)&amp;" km. Battery capacity: "&amp;ROUND(B282,1)&amp;" kWh. Available battery capacity: "&amp;B283&amp;" kWh. Battery mass: "&amp;ROUND(B281,1)&amp; " kg. Battery replacement throughout lifetime: "&amp;ROUND(B276,1)&amp;". Fuel tank capacity: "&amp;ROUND(B284,1)&amp;" kWh. Fuel mass: "&amp;ROUND(B285,1)&amp;" kg. Documentation: "&amp;Readmefirst!$B$2&amp;", "&amp;Readmefirst!$B$3&amp;". "&amp;'lci-kick scooter - NMC'!B229</f>
        <v>Power: 2.5 kW. Lifetime: 25000 km. Annual kilometers: 1776 km. Number of passengers: 1.1. Curb mass: 77 kg. Lightweighting of glider: 5%. Emission standard: None. Service visits throughout lifetime: 1. Range: 107 km. Battery capacity: 4.5 kWh. Available battery capacity: 3.6 kWh. Battery mass: 14.6 kg. Battery replacement throughout lifetime: 0.3. Fuel tank capacity: 0 kWh. Fuel mass: 0 kg. Documentation: Life-cycle inventories for on-road vehicles, Sacchi R. (PSI), Bauer C. (PSI), 2021. Sacchi R., Bauer C. Life cycle inventories for on-road vehicles. Paul Scherrer Institut, 2021.</v>
      </c>
    </row>
    <row r="290" spans="1:8" ht="16" x14ac:dyDescent="0.2">
      <c r="A290" s="10" t="s">
        <v>79</v>
      </c>
    </row>
    <row r="291" spans="1:8" x14ac:dyDescent="0.2">
      <c r="A291" t="s">
        <v>80</v>
      </c>
      <c r="B291" t="s">
        <v>81</v>
      </c>
      <c r="C291" t="s">
        <v>72</v>
      </c>
      <c r="D291" t="s">
        <v>76</v>
      </c>
      <c r="E291" t="s">
        <v>82</v>
      </c>
      <c r="F291" t="s">
        <v>74</v>
      </c>
      <c r="G291" t="s">
        <v>83</v>
      </c>
      <c r="H291" t="s">
        <v>73</v>
      </c>
    </row>
    <row r="292" spans="1:8" x14ac:dyDescent="0.2">
      <c r="A292" t="str">
        <f>B263</f>
        <v>transport, Motorbike, electric, &lt;4kW, NCA battery, 2040</v>
      </c>
      <c r="B292">
        <v>1</v>
      </c>
      <c r="C292" t="str">
        <f>B264</f>
        <v>CH</v>
      </c>
      <c r="D292" t="s">
        <v>166</v>
      </c>
      <c r="F292" t="s">
        <v>84</v>
      </c>
      <c r="G292" t="s">
        <v>85</v>
      </c>
      <c r="H292" t="str">
        <f>B269</f>
        <v>transport, Motorbike, electric, &lt;4kW</v>
      </c>
    </row>
    <row r="293" spans="1:8" x14ac:dyDescent="0.2">
      <c r="A293" t="str">
        <f>RIGHT(A292,LEN(A292)-11)</f>
        <v>Motorbike, electric, &lt;4kW, NCA battery, 2040</v>
      </c>
      <c r="B293" s="7">
        <f>1/B273</f>
        <v>4.0000000000000003E-5</v>
      </c>
      <c r="C293" t="str">
        <f>B264</f>
        <v>CH</v>
      </c>
      <c r="D293" t="s">
        <v>76</v>
      </c>
      <c r="F293" t="s">
        <v>89</v>
      </c>
      <c r="H293" t="str">
        <f>RIGHT(H292,LEN(H292)-11)</f>
        <v>Motorbike, electric, &lt;4kW</v>
      </c>
    </row>
    <row r="294" spans="1:8" x14ac:dyDescent="0.2">
      <c r="A294" t="str">
        <f>INDEX('ei names mapping'!$B$4:$R$33,MATCH(B265,'ei names mapping'!$A$4:$A$33,0),MATCH(G294,'ei names mapping'!$B$3:$R$3,0))</f>
        <v>road maintenance</v>
      </c>
      <c r="B294" s="7">
        <f>INDEX('vehicles specifications'!$B$3:$CW$166,MATCH(B268,'vehicles specifications'!$A$3:$A$166,0),MATCH(G294,'vehicles specifications'!$B$2:$CW$2,0))*INDEX('ei names mapping'!$B$137:$BL$300,MATCH(B268,'ei names mapping'!$A$137:$A$300,0),MATCH(G294,'ei names mapping'!$B$136:$BL$136,0))</f>
        <v>1.2899999999999999E-3</v>
      </c>
      <c r="C294" t="str">
        <f>INDEX('ei names mapping'!$B$38:$R$67,MATCH(B265,'ei names mapping'!$A$4:$A$33,0),MATCH(G294,'ei names mapping'!$B$3:$R$3,0))</f>
        <v>CH</v>
      </c>
      <c r="D294" t="str">
        <f>INDEX('ei names mapping'!$B$104:$BL$133,MATCH(B265,'ei names mapping'!$A$4:$A$33,0),MATCH(G294,'ei names mapping'!$B$3:$BL$3,0))</f>
        <v>meter-year</v>
      </c>
      <c r="F294" t="s">
        <v>89</v>
      </c>
      <c r="G294" t="s">
        <v>112</v>
      </c>
      <c r="H294" t="str">
        <f>INDEX('ei names mapping'!$B$71:$BL$100,MATCH(B265,'ei names mapping'!$A$4:$A$33,0),MATCH(G294,'ei names mapping'!$B$3:$BL$3,0))</f>
        <v>road maintenance</v>
      </c>
    </row>
    <row r="295" spans="1:8" x14ac:dyDescent="0.2">
      <c r="A295" t="str">
        <f>INDEX('ei names mapping'!$B$4:$R$33,MATCH(B265,'ei names mapping'!$A$4:$A$33,0),MATCH(G295,'ei names mapping'!$B$3:$R$3,0))</f>
        <v>market for electricity, low voltage</v>
      </c>
      <c r="B295" s="7">
        <f>INDEX('vehicles specifications'!$B$3:$CW$166,MATCH(B268,'vehicles specifications'!$A$3:$A$166,0),MATCH(G295,'vehicles specifications'!$B$2:$CW$2,0))*INDEX('ei names mapping'!$B$137:$BL$300,MATCH(B268,'ei names mapping'!$A$137:$A$300,0),MATCH(G295,'ei names mapping'!$B$136:$BL$136,0))</f>
        <v>3.6972222222222226E-2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mapping'!$B$71:$R$100,MATCH(B265,'ei names mapping'!$A$4:$A$33,0),MATCH(G295,'ei names mapping'!$B$3:$R$3,0))</f>
        <v>electricity, low voltage</v>
      </c>
    </row>
    <row r="296" spans="1:8" x14ac:dyDescent="0.2">
      <c r="A296" t="str">
        <f>INDEX('ei names mapping'!$B$4:$R$33,MATCH(B265,'ei names mapping'!$A$4:$A$33,0),MATCH(G296,'ei names mapping'!$B$3:$R$3,0))</f>
        <v>market for maintenance, electric scooter, without battery</v>
      </c>
      <c r="B296" s="7">
        <f>INDEX('vehicles specifications'!$B$3:$CW$166,MATCH(B268,'vehicles specifications'!$A$3:$A$166,0),MATCH(G296,'vehicles specifications'!$B$2:$CW$2,0))*INDEX('ei names mapping'!$B$137:$BL$300,MATCH(B268,'ei names mapping'!$A$137:$A$300,0),MATCH(G296,'ei names mapping'!$B$136:$BL$136,0))</f>
        <v>4.0000000000000003E-5</v>
      </c>
      <c r="C296" t="str">
        <f>INDEX('ei names mapping'!$B$38:$BL$67,MATCH(B265,'ei names mapping'!$A$4:$A$33,0),MATCH(G296,'ei names mapping'!$B$3:$BL$3,0))</f>
        <v>GLO</v>
      </c>
      <c r="D296" t="str">
        <f>INDEX('ei names mapping'!$B$104:$BL$133,MATCH(B265,'ei names mapping'!$A$4:$A$33,0),MATCH(G296,'ei names mapping'!$B$3:$BL$3,0))</f>
        <v>unit</v>
      </c>
      <c r="F296" t="s">
        <v>89</v>
      </c>
      <c r="G296" t="s">
        <v>118</v>
      </c>
      <c r="H296" t="str">
        <f>INDEX('ei names mapping'!$B$71:$BL$100,MATCH(B265,'ei names mapping'!$A$4:$A$33,0),MATCH(G296,'ei names mapping'!$B$3:$BL$3,0))</f>
        <v>maintenance, electric scooter, without battery</v>
      </c>
    </row>
    <row r="297" spans="1:8" x14ac:dyDescent="0.2">
      <c r="A297" t="str">
        <f>INDEX('ei names mapping'!$B$4:$R$33,MATCH(B265,'ei names mapping'!$A$4:$A$33,0),MATCH(G297,'ei names mapping'!$B$3:$R$3,0))</f>
        <v>road construction</v>
      </c>
      <c r="B297" s="7">
        <f>INDEX('vehicles specifications'!$B$3:$CW$166,MATCH(B268,'vehicles specifications'!$A$3:$A$166,0),MATCH(G297,'vehicles specifications'!$B$2:$CW$2,0))*INDEX('ei names mapping'!$B$137:$BL$300,MATCH(B268,'ei names mapping'!$A$137:$A$300,0),MATCH(G297,'ei names mapping'!$B$136:$BL$136,0))</f>
        <v>8.8860074999999998E-5</v>
      </c>
      <c r="C297" t="str">
        <f>INDEX('ei names mapping'!$B$38:$R$67,MATCH(B265,'ei names mapping'!$A$4:$A$33,0),MATCH(G297,'ei names mapping'!$B$3:$R$3,0))</f>
        <v>CH</v>
      </c>
      <c r="D297" t="str">
        <f>INDEX('ei names mapping'!$B$104:$R$133,MATCH(B265,'ei names mapping'!$A$104:$A$133,0),MATCH(G297,'ei names mapping'!$B$3:$R$3,0))</f>
        <v>meter-year</v>
      </c>
      <c r="F297" t="s">
        <v>89</v>
      </c>
      <c r="G297" t="s">
        <v>105</v>
      </c>
      <c r="H297" t="str">
        <f>INDEX('ei names mapping'!$B$71:$R$100,MATCH(B265,'ei names mapping'!$A$4:$A$33,0),MATCH(G297,'ei names mapping'!$B$3:$R$3,0))</f>
        <v>road</v>
      </c>
    </row>
    <row r="298" spans="1:8" x14ac:dyDescent="0.2">
      <c r="A298" t="str">
        <f>INDEX('ei names mapping'!$B$4:$BL$33,MATCH(B265,'ei names mapping'!$A$4:$A$33,0),MATCH(G298,'ei names mapping'!$B$3:$BL$3,0))</f>
        <v>treatment of road wear emissions, passenger car</v>
      </c>
      <c r="B298" s="7">
        <f>INDEX('vehicles specifications'!$B$3:$CW$166,MATCH(B268,'vehicles specifications'!$A$3:$A$166,0),MATCH(G298,'vehicles specifications'!$B$2:$CW$2,0))*INDEX('ei names mapping'!$B$137:$BL$300,MATCH(B268,'ei names mapping'!$A$137:$A$300,0),MATCH(G298,'ei names mapping'!$B$136:$BL$136,0))</f>
        <v>-6.2703170110420856E-6</v>
      </c>
      <c r="C298" t="str">
        <f>INDEX('ei names mapping'!$B$38:$BL$67,MATCH(B265,'ei names mapping'!$A$4:$A$33,0),MATCH(G298,'ei names mapping'!$B$3:$BL$3,0))</f>
        <v>RER</v>
      </c>
      <c r="D298" t="str">
        <f>INDEX('ei names mapping'!$B$104:$BL$133,MATCH(B265,'ei names mapping'!$A$4:$A$33,0),MATCH(G298,'ei names mapping'!$B$3:$BL$3,0))</f>
        <v>kilogram</v>
      </c>
      <c r="F298" t="s">
        <v>89</v>
      </c>
      <c r="G298" t="s">
        <v>29</v>
      </c>
      <c r="H298" t="str">
        <f>INDEX('ei names mapping'!$B$71:$BL$100,MATCH(B265,'ei names mapping'!$A$4:$A$33,0),MATCH(G298,'ei names mapping'!$B$3:$BL$3,0))</f>
        <v>road wear emissions, passenger car</v>
      </c>
    </row>
    <row r="299" spans="1:8" x14ac:dyDescent="0.2">
      <c r="A299" t="str">
        <f>INDEX('ei names mapping'!$B$4:$BL$33,MATCH(B265,'ei names mapping'!$A$4:$A$33,0),MATCH(G299,'ei names mapping'!$B$3:$BL$3,0))</f>
        <v>treatment of tyre wear emissions, passenger car</v>
      </c>
      <c r="B299" s="7">
        <f>INDEX('vehicles specifications'!$B$3:$CW$166,MATCH(B268,'vehicles specifications'!$A$3:$A$166,0),MATCH(G299,'vehicles specifications'!$B$2:$CW$2,0))*INDEX('ei names mapping'!$B$137:$BL$300,MATCH(B268,'ei names mapping'!$A$137:$A$300,0),MATCH(G299,'ei names mapping'!$B$136:$BL$136,0))</f>
        <v>-4.5600291174985831E-6</v>
      </c>
      <c r="C299" t="str">
        <f>INDEX('ei names mapping'!$B$38:$BL$67,MATCH(B265,'ei names mapping'!$A$4:$A$33,0),MATCH(G299,'ei names mapping'!$B$3:$BL$3,0))</f>
        <v>RER</v>
      </c>
      <c r="D299" t="str">
        <f>INDEX('ei names mapping'!$B$104:$BL$133,MATCH(B265,'ei names mapping'!$A$4:$A$33,0),MATCH(G299,'ei names mapping'!$B$3:$BL$3,0))</f>
        <v>kilogram</v>
      </c>
      <c r="F299" t="s">
        <v>89</v>
      </c>
      <c r="G299" t="s">
        <v>30</v>
      </c>
      <c r="H299" t="str">
        <f>INDEX('ei names mapping'!$B$71:$BL$100,MATCH(B265,'ei names mapping'!$A$4:$A$33,0),MATCH(G299,'ei names mapping'!$B$3:$BL$3,0))</f>
        <v>tyre wear emissions, passenger car</v>
      </c>
    </row>
    <row r="300" spans="1:8" x14ac:dyDescent="0.2">
      <c r="A300" t="str">
        <f>INDEX('ei names mapping'!$B$4:$BL$33,MATCH(B265,'ei names mapping'!$A$4:$A$33,0),MATCH(G300,'ei names mapping'!$B$3:$BL$3,0))</f>
        <v>treatment of brake wear emissions, passenger car</v>
      </c>
      <c r="B300" s="7">
        <f>INDEX('vehicles specifications'!$B$3:$CW$166,MATCH(B268,'vehicles specifications'!$A$3:$A$166,0),MATCH(G300,'vehicles specifications'!$B$2:$CW$2,0))*INDEX('ei names mapping'!$B$137:$BL$300,MATCH(B268,'ei names mapping'!$A$137:$A$300,0),MATCH(G300,'ei names mapping'!$B$136:$BL$136,0))</f>
        <v>-2.4239481022645517E-6</v>
      </c>
      <c r="C300" t="str">
        <f>INDEX('ei names mapping'!$B$38:$BL$67,MATCH(B265,'ei names mapping'!$A$4:$A$33,0),MATCH(G300,'ei names mapping'!$B$3:$BL$3,0))</f>
        <v>RER</v>
      </c>
      <c r="D300" t="str">
        <f>INDEX('ei names mapping'!$B$104:$BL$133,MATCH(B265,'ei names mapping'!$A$4:$A$33,0),MATCH(G300,'ei names mapping'!$B$3:$BL$3,0))</f>
        <v>kilogram</v>
      </c>
      <c r="F300" t="s">
        <v>89</v>
      </c>
      <c r="G300" t="s">
        <v>31</v>
      </c>
      <c r="H300" t="str">
        <f>INDEX('ei names mapping'!$B$71:$BL$100,MATCH(B265,'ei names mapping'!$A$4:$A$33,0),MATCH(G300,'ei names mapping'!$B$3:$BL$3,0))</f>
        <v>brake wear emissions, passenger car</v>
      </c>
    </row>
    <row r="302" spans="1:8" ht="16" x14ac:dyDescent="0.2">
      <c r="A302" s="10" t="s">
        <v>71</v>
      </c>
      <c r="B302" s="8" t="str">
        <f>"transport, "&amp;B304&amp;", "&amp;B319&amp;" battery, "&amp;B306</f>
        <v>transport, Motorbike, electric, &lt;4kW, NCA battery, 2050</v>
      </c>
    </row>
    <row r="303" spans="1:8" x14ac:dyDescent="0.2">
      <c r="A303" t="s">
        <v>72</v>
      </c>
      <c r="B303" t="s">
        <v>37</v>
      </c>
    </row>
    <row r="304" spans="1:8" x14ac:dyDescent="0.2">
      <c r="A304" t="s">
        <v>86</v>
      </c>
      <c r="B304" t="s">
        <v>492</v>
      </c>
    </row>
    <row r="305" spans="1:2" x14ac:dyDescent="0.2">
      <c r="A305" t="s">
        <v>87</v>
      </c>
    </row>
    <row r="306" spans="1:2" x14ac:dyDescent="0.2">
      <c r="A306" t="s">
        <v>88</v>
      </c>
      <c r="B306">
        <v>2050</v>
      </c>
    </row>
    <row r="307" spans="1:2" x14ac:dyDescent="0.2">
      <c r="A307" t="s">
        <v>126</v>
      </c>
      <c r="B307" t="str">
        <f>B304&amp;" - "&amp;B306&amp;" - "&amp;B319&amp;" - "&amp;B303</f>
        <v>Motorbike, electric, &lt;4kW - 2050 - NCA - CH</v>
      </c>
    </row>
    <row r="308" spans="1:2" x14ac:dyDescent="0.2">
      <c r="A308" t="s">
        <v>73</v>
      </c>
      <c r="B308" t="str">
        <f>"transport, "&amp;B304</f>
        <v>transport, Motorbike, electric, &lt;4kW</v>
      </c>
    </row>
    <row r="309" spans="1:2" x14ac:dyDescent="0.2">
      <c r="A309" t="s">
        <v>74</v>
      </c>
      <c r="B309" t="s">
        <v>75</v>
      </c>
    </row>
    <row r="310" spans="1:2" x14ac:dyDescent="0.2">
      <c r="A310" t="s">
        <v>76</v>
      </c>
      <c r="B310" t="s">
        <v>166</v>
      </c>
    </row>
    <row r="311" spans="1:2" x14ac:dyDescent="0.2">
      <c r="A311" t="s">
        <v>78</v>
      </c>
      <c r="B311" t="s">
        <v>1143</v>
      </c>
    </row>
    <row r="312" spans="1:2" x14ac:dyDescent="0.2">
      <c r="A312" t="s">
        <v>127</v>
      </c>
      <c r="B312">
        <f>INDEX('vehicles specifications'!$B$3:$CW$166,MATCH(B307,'vehicles specifications'!$A$3:$A$166,0),MATCH("Lifetime [km]",'vehicles specifications'!$B$2:$CW$2,0))</f>
        <v>25000</v>
      </c>
    </row>
    <row r="313" spans="1:2" x14ac:dyDescent="0.2">
      <c r="A313" t="s">
        <v>128</v>
      </c>
      <c r="B313">
        <f>INDEX('vehicles specifications'!$B$3:$CW$166,MATCH(B307,'vehicles specifications'!$A$3:$A$166,0),MATCH("Passengers [unit]",'vehicles specifications'!$B$2:$CW$2,0))</f>
        <v>1.1000000000000001</v>
      </c>
    </row>
    <row r="314" spans="1:2" x14ac:dyDescent="0.2">
      <c r="A314" t="s">
        <v>129</v>
      </c>
      <c r="B314">
        <f>INDEX('vehicles specifications'!$B$3:$CW$166,MATCH(B307,'vehicles specifications'!$A$3:$A$166,0),MATCH("Servicing [unit]",'vehicles specifications'!$B$2:$CW$2,0))</f>
        <v>1</v>
      </c>
    </row>
    <row r="315" spans="1:2" x14ac:dyDescent="0.2">
      <c r="A315" t="s">
        <v>130</v>
      </c>
      <c r="B315">
        <f>INDEX('vehicles specifications'!$B$3:$CW$166,MATCH(B307,'vehicles specifications'!$A$3:$A$166,0),MATCH("Energy battery replacement [unit]",'vehicles specifications'!$B$2:$CW$2,0))</f>
        <v>0</v>
      </c>
    </row>
    <row r="316" spans="1:2" x14ac:dyDescent="0.2">
      <c r="A316" t="s">
        <v>131</v>
      </c>
      <c r="B316">
        <f>INDEX('vehicles specifications'!$B$3:$CW$166,MATCH(B307,'vehicles specifications'!$A$3:$A$166,0),MATCH("Annual kilometers [km]",'vehicles specifications'!$B$2:$CW$2,0))</f>
        <v>1776</v>
      </c>
    </row>
    <row r="317" spans="1:2" x14ac:dyDescent="0.2">
      <c r="A317" t="s">
        <v>132</v>
      </c>
      <c r="B317" s="2">
        <f>INDEX('vehicles specifications'!$B$3:$CW$166,MATCH(B307,'vehicles specifications'!$A$3:$A$166,0),MATCH("Curb mass [kg]",'vehicles specifications'!$B$2:$CW$2,0))</f>
        <v>76.89</v>
      </c>
    </row>
    <row r="318" spans="1:2" x14ac:dyDescent="0.2">
      <c r="A318" t="s">
        <v>133</v>
      </c>
      <c r="B318">
        <f>INDEX('vehicles specifications'!$B$3:$CW$166,MATCH(B307,'vehicles specifications'!$A$3:$A$166,0),MATCH("Power [kW]",'vehicles specifications'!$B$2:$CW$2,0))</f>
        <v>2.5</v>
      </c>
    </row>
    <row r="319" spans="1:2" x14ac:dyDescent="0.2">
      <c r="A319" t="s">
        <v>652</v>
      </c>
      <c r="B319" s="20" t="s">
        <v>45</v>
      </c>
    </row>
    <row r="320" spans="1:2" x14ac:dyDescent="0.2">
      <c r="A320" t="s">
        <v>134</v>
      </c>
      <c r="B320">
        <f>INDEX('vehicles specifications'!$B$3:$CW$166,MATCH(B307,'vehicles specifications'!$A$3:$A$166,0),MATCH("Energy battery mass [kg]",'vehicles specifications'!$B$2:$CW$2,0))</f>
        <v>15.6</v>
      </c>
    </row>
    <row r="321" spans="1:8" x14ac:dyDescent="0.2">
      <c r="A321" t="s">
        <v>135</v>
      </c>
      <c r="B321">
        <f>INDEX('vehicles specifications'!$B$3:$CW$166,MATCH(B307,'vehicles specifications'!$A$3:$A$166,0),MATCH("Electric energy stored [kWh]",'vehicles specifications'!$B$2:$CW$2,0))</f>
        <v>6</v>
      </c>
    </row>
    <row r="322" spans="1:8" x14ac:dyDescent="0.2">
      <c r="A322" t="s">
        <v>588</v>
      </c>
      <c r="B322">
        <f>INDEX('vehicles specifications'!$B$3:$CW$166,MATCH(B307,'vehicles specifications'!$A$3:$A$166,0),MATCH("Electric energy available [kWh]",'vehicles specifications'!$B$2:$CW$2,0))</f>
        <v>4.8000000000000007</v>
      </c>
    </row>
    <row r="323" spans="1:8" x14ac:dyDescent="0.2">
      <c r="A323" t="s">
        <v>138</v>
      </c>
      <c r="B323" s="2">
        <f>INDEX('vehicles specifications'!$B$3:$CW$166,MATCH(B307,'vehicles specifications'!$A$3:$A$166,0),MATCH("Oxydation energy stored [kWh]",'vehicles specifications'!$B$2:$CW$2,0))</f>
        <v>0</v>
      </c>
    </row>
    <row r="324" spans="1:8" x14ac:dyDescent="0.2">
      <c r="A324" t="s">
        <v>139</v>
      </c>
      <c r="B324">
        <f>INDEX('vehicles specifications'!$B$3:$CW$166,MATCH(B307,'vehicles specifications'!$A$3:$A$166,0),MATCH("Fuel mass [kg]",'vehicles specifications'!$B$2:$CW$2,0))</f>
        <v>0</v>
      </c>
    </row>
    <row r="325" spans="1:8" x14ac:dyDescent="0.2">
      <c r="A325" t="s">
        <v>136</v>
      </c>
      <c r="B325" s="2">
        <f>INDEX('vehicles specifications'!$B$3:$CW$166,MATCH(B307,'vehicles specifications'!$A$3:$A$166,0),MATCH("Range [km]",'vehicles specifications'!$B$2:$CW$2,0))</f>
        <v>142.80991735537191</v>
      </c>
    </row>
    <row r="326" spans="1:8" x14ac:dyDescent="0.2">
      <c r="A326" t="s">
        <v>137</v>
      </c>
      <c r="B326" t="str">
        <f>INDEX('vehicles specifications'!$B$3:$CW$166,MATCH(B307,'vehicles specifications'!$A$3:$A$166,0),MATCH("Emission standard",'vehicles specifications'!$B$2:$CW$2,0))</f>
        <v>None</v>
      </c>
    </row>
    <row r="327" spans="1:8" x14ac:dyDescent="0.2">
      <c r="A327" t="s">
        <v>1174</v>
      </c>
      <c r="B327" s="6">
        <f>INDEX('vehicles specifications'!$B$3:$CW$166,MATCH(B307,'vehicles specifications'!$A$3:$A$166,0),MATCH("Lightweighting rate [%]",'vehicles specifications'!$B$2:$CW$2,0))</f>
        <v>7.0000000000000007E-2</v>
      </c>
    </row>
    <row r="328" spans="1:8" x14ac:dyDescent="0.2">
      <c r="A328" t="s">
        <v>83</v>
      </c>
      <c r="B328" t="str">
        <f>"Power: "&amp;B318&amp;" kW. Lifetime: "&amp;B312&amp;" km. Annual kilometers: "&amp;B316&amp;" km. Number of passengers: "&amp;B313&amp;". Curb mass: "&amp;ROUND(B317,1)&amp;" kg. Lightweighting of glider: "&amp;ROUND(B327*100,0)&amp;"%. Emission standard: "&amp;B326&amp;". Service visits throughout lifetime: "&amp;ROUND(B314,1)&amp;". Range: "&amp;ROUND(B325,0)&amp;" km. Battery capacity: "&amp;ROUND(B321,1)&amp;" kWh. Available battery capacity: "&amp;B322&amp;" kWh. Battery mass: "&amp;ROUND(B320,1)&amp; " kg. Battery replacement throughout lifetime: "&amp;ROUND(B315,1)&amp;". Fuel tank capacity: "&amp;ROUND(B323,1)&amp;" kWh. Fuel mass: "&amp;ROUND(B324,1)&amp;" kg. Documentation: "&amp;Readmefirst!$B$2&amp;", "&amp;Readmefirst!$B$3&amp;". "&amp;'lci-kick scooter - NMC'!B267</f>
        <v>Power: 2.5 kW. Lifetime: 25000 km. Annual kilometers: 1776 km. Number of passengers: 1.1. Curb mass: 76.9 kg. Lightweighting of glider: 7%. Emission standard: None. Service visits throughout lifetime: 1. Range: 143 km. Battery capacity: 6 kWh. Available battery capacity: 4.8 kWh. Battery mass: 15.6 kg. Battery replacement throughout lifetime: 0. Fuel tank capacity: 0 kWh. Fuel mass: 0 kg. Documentation: Life-cycle inventories for on-road vehicles, Sacchi R. (PSI), Bauer C. (PSI), 2021. 1785</v>
      </c>
    </row>
    <row r="329" spans="1:8" ht="16" x14ac:dyDescent="0.2">
      <c r="A329" s="10" t="s">
        <v>79</v>
      </c>
    </row>
    <row r="330" spans="1:8" x14ac:dyDescent="0.2">
      <c r="A330" t="s">
        <v>80</v>
      </c>
      <c r="B330" t="s">
        <v>81</v>
      </c>
      <c r="C330" t="s">
        <v>72</v>
      </c>
      <c r="D330" t="s">
        <v>76</v>
      </c>
      <c r="E330" t="s">
        <v>82</v>
      </c>
      <c r="F330" t="s">
        <v>74</v>
      </c>
      <c r="G330" t="s">
        <v>83</v>
      </c>
      <c r="H330" t="s">
        <v>73</v>
      </c>
    </row>
    <row r="331" spans="1:8" x14ac:dyDescent="0.2">
      <c r="A331" t="str">
        <f>B302</f>
        <v>transport, Motorbike, electric, &lt;4kW, NCA battery, 2050</v>
      </c>
      <c r="B331">
        <v>1</v>
      </c>
      <c r="C331" t="str">
        <f>B303</f>
        <v>CH</v>
      </c>
      <c r="D331" t="s">
        <v>166</v>
      </c>
      <c r="F331" t="s">
        <v>84</v>
      </c>
      <c r="G331" t="s">
        <v>85</v>
      </c>
      <c r="H331" t="str">
        <f>B308</f>
        <v>transport, Motorbike, electric, &lt;4kW</v>
      </c>
    </row>
    <row r="332" spans="1:8" x14ac:dyDescent="0.2">
      <c r="A332" t="str">
        <f>RIGHT(A331,LEN(A331)-11)</f>
        <v>Motorbike, electric, &lt;4kW, NCA battery, 2050</v>
      </c>
      <c r="B332" s="7">
        <f>1/B312</f>
        <v>4.0000000000000003E-5</v>
      </c>
      <c r="C332" t="str">
        <f>B303</f>
        <v>CH</v>
      </c>
      <c r="D332" t="s">
        <v>76</v>
      </c>
      <c r="F332" t="s">
        <v>89</v>
      </c>
      <c r="H332" t="str">
        <f>RIGHT(H331,LEN(H331)-11)</f>
        <v>Motorbike, electric, &lt;4kW</v>
      </c>
    </row>
    <row r="333" spans="1:8" x14ac:dyDescent="0.2">
      <c r="A333" t="str">
        <f>INDEX('ei names mapping'!$B$4:$R$33,MATCH(B304,'ei names mapping'!$A$4:$A$33,0),MATCH(G333,'ei names mapping'!$B$3:$R$3,0))</f>
        <v>road maintenance</v>
      </c>
      <c r="B333" s="7">
        <f>INDEX('vehicles specifications'!$B$3:$CW$166,MATCH(B307,'vehicles specifications'!$A$3:$A$166,0),MATCH(G333,'vehicles specifications'!$B$2:$CW$2,0))*INDEX('ei names mapping'!$B$137:$BL$300,MATCH(B307,'ei names mapping'!$A$137:$A$300,0),MATCH(G333,'ei names mapping'!$B$136:$BL$136,0))</f>
        <v>1.2899999999999999E-3</v>
      </c>
      <c r="C333" t="str">
        <f>INDEX('ei names mapping'!$B$38:$R$67,MATCH(B304,'ei names mapping'!$A$4:$A$33,0),MATCH(G333,'ei names mapping'!$B$3:$R$3,0))</f>
        <v>CH</v>
      </c>
      <c r="D333" t="str">
        <f>INDEX('ei names mapping'!$B$104:$BL$133,MATCH(B304,'ei names mapping'!$A$4:$A$33,0),MATCH(G333,'ei names mapping'!$B$3:$BL$3,0))</f>
        <v>meter-year</v>
      </c>
      <c r="F333" t="s">
        <v>89</v>
      </c>
      <c r="G333" t="s">
        <v>112</v>
      </c>
      <c r="H333" t="str">
        <f>INDEX('ei names mapping'!$B$71:$BL$100,MATCH(B304,'ei names mapping'!$A$4:$A$33,0),MATCH(G333,'ei names mapping'!$B$3:$BL$3,0))</f>
        <v>road maintenance</v>
      </c>
    </row>
    <row r="334" spans="1:8" x14ac:dyDescent="0.2">
      <c r="A334" t="str">
        <f>INDEX('ei names mapping'!$B$4:$R$33,MATCH(B304,'ei names mapping'!$A$4:$A$33,0),MATCH(G334,'ei names mapping'!$B$3:$R$3,0))</f>
        <v>market for electricity, low voltage</v>
      </c>
      <c r="B334" s="7">
        <f>INDEX('vehicles specifications'!$B$3:$CW$166,MATCH(B307,'vehicles specifications'!$A$3:$A$166,0),MATCH(G334,'vehicles specifications'!$B$2:$CW$2,0))*INDEX('ei names mapping'!$B$137:$BL$300,MATCH(B307,'ei names mapping'!$A$137:$A$300,0),MATCH(G334,'ei names mapping'!$B$136:$BL$136,0))</f>
        <v>3.6972222222222226E-2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mapping'!$B$71:$R$100,MATCH(B304,'ei names mapping'!$A$4:$A$33,0),MATCH(G334,'ei names mapping'!$B$3:$R$3,0))</f>
        <v>electricity, low voltage</v>
      </c>
    </row>
    <row r="335" spans="1:8" x14ac:dyDescent="0.2">
      <c r="A335" t="str">
        <f>INDEX('ei names mapping'!$B$4:$R$33,MATCH(B304,'ei names mapping'!$A$4:$A$33,0),MATCH(G335,'ei names mapping'!$B$3:$R$3,0))</f>
        <v>market for maintenance, electric scooter, without battery</v>
      </c>
      <c r="B335" s="7">
        <f>INDEX('vehicles specifications'!$B$3:$CW$166,MATCH(B307,'vehicles specifications'!$A$3:$A$166,0),MATCH(G335,'vehicles specifications'!$B$2:$CW$2,0))*INDEX('ei names mapping'!$B$137:$BL$300,MATCH(B307,'ei names mapping'!$A$137:$A$300,0),MATCH(G335,'ei names mapping'!$B$136:$BL$136,0))</f>
        <v>4.0000000000000003E-5</v>
      </c>
      <c r="C335" t="str">
        <f>INDEX('ei names mapping'!$B$38:$BL$67,MATCH(B304,'ei names mapping'!$A$4:$A$33,0),MATCH(G335,'ei names mapping'!$B$3:$BL$3,0))</f>
        <v>GLO</v>
      </c>
      <c r="D335" t="str">
        <f>INDEX('ei names mapping'!$B$104:$BL$133,MATCH(B304,'ei names mapping'!$A$4:$A$33,0),MATCH(G335,'ei names mapping'!$B$3:$BL$3,0))</f>
        <v>unit</v>
      </c>
      <c r="F335" t="s">
        <v>89</v>
      </c>
      <c r="G335" t="s">
        <v>118</v>
      </c>
      <c r="H335" t="str">
        <f>INDEX('ei names mapping'!$B$71:$BL$100,MATCH(B304,'ei names mapping'!$A$4:$A$33,0),MATCH(G335,'ei names mapping'!$B$3:$BL$3,0))</f>
        <v>maintenance, electric scooter, without battery</v>
      </c>
    </row>
    <row r="336" spans="1:8" x14ac:dyDescent="0.2">
      <c r="A336" t="str">
        <f>INDEX('ei names mapping'!$B$4:$R$33,MATCH(B304,'ei names mapping'!$A$4:$A$33,0),MATCH(G336,'ei names mapping'!$B$3:$R$3,0))</f>
        <v>road construction</v>
      </c>
      <c r="B336" s="7">
        <f>INDEX('vehicles specifications'!$B$3:$CW$166,MATCH(B307,'vehicles specifications'!$A$3:$A$166,0),MATCH(G336,'vehicles specifications'!$B$2:$CW$2,0))*INDEX('ei names mapping'!$B$137:$BL$300,MATCH(B307,'ei names mapping'!$A$137:$A$300,0),MATCH(G336,'ei names mapping'!$B$136:$BL$136,0))</f>
        <v>8.8814429999999997E-5</v>
      </c>
      <c r="C336" t="str">
        <f>INDEX('ei names mapping'!$B$38:$R$67,MATCH(B304,'ei names mapping'!$A$4:$A$33,0),MATCH(G336,'ei names mapping'!$B$3:$R$3,0))</f>
        <v>CH</v>
      </c>
      <c r="D336" t="str">
        <f>INDEX('ei names mapping'!$B$104:$R$133,MATCH(B304,'ei names mapping'!$A$104:$A$133,0),MATCH(G336,'ei names mapping'!$B$3:$R$3,0))</f>
        <v>meter-year</v>
      </c>
      <c r="F336" t="s">
        <v>89</v>
      </c>
      <c r="G336" t="s">
        <v>105</v>
      </c>
      <c r="H336" t="str">
        <f>INDEX('ei names mapping'!$B$71:$R$100,MATCH(B304,'ei names mapping'!$A$4:$A$33,0),MATCH(G336,'ei names mapping'!$B$3:$R$3,0))</f>
        <v>road</v>
      </c>
    </row>
    <row r="337" spans="1:8" x14ac:dyDescent="0.2">
      <c r="A337" t="str">
        <f>INDEX('ei names mapping'!$B$4:$BL$33,MATCH(B304,'ei names mapping'!$A$4:$A$33,0),MATCH(G337,'ei names mapping'!$B$3:$BL$3,0))</f>
        <v>treatment of road wear emissions, passenger car</v>
      </c>
      <c r="B337" s="7">
        <f>INDEX('vehicles specifications'!$B$3:$CW$166,MATCH(B307,'vehicles specifications'!$A$3:$A$166,0),MATCH(G337,'vehicles specifications'!$B$2:$CW$2,0))*INDEX('ei names mapping'!$B$137:$BL$300,MATCH(B307,'ei names mapping'!$A$137:$A$300,0),MATCH(G337,'ei names mapping'!$B$136:$BL$136,0))</f>
        <v>-6.267771643595028E-6</v>
      </c>
      <c r="C337" t="str">
        <f>INDEX('ei names mapping'!$B$38:$BL$67,MATCH(B304,'ei names mapping'!$A$4:$A$33,0),MATCH(G337,'ei names mapping'!$B$3:$BL$3,0))</f>
        <v>RER</v>
      </c>
      <c r="D337" t="str">
        <f>INDEX('ei names mapping'!$B$104:$BL$133,MATCH(B304,'ei names mapping'!$A$4:$A$33,0),MATCH(G337,'ei names mapping'!$B$3:$BL$3,0))</f>
        <v>kilogram</v>
      </c>
      <c r="F337" t="s">
        <v>89</v>
      </c>
      <c r="G337" t="s">
        <v>29</v>
      </c>
      <c r="H337" t="str">
        <f>INDEX('ei names mapping'!$B$71:$BL$100,MATCH(B304,'ei names mapping'!$A$4:$A$33,0),MATCH(G337,'ei names mapping'!$B$3:$BL$3,0))</f>
        <v>road wear emissions, passenger car</v>
      </c>
    </row>
    <row r="338" spans="1:8" x14ac:dyDescent="0.2">
      <c r="A338" t="str">
        <f>INDEX('ei names mapping'!$B$4:$BL$33,MATCH(B304,'ei names mapping'!$A$4:$A$33,0),MATCH(G338,'ei names mapping'!$B$3:$BL$3,0))</f>
        <v>treatment of tyre wear emissions, passenger car</v>
      </c>
      <c r="B338" s="7">
        <f>INDEX('vehicles specifications'!$B$3:$CW$166,MATCH(B307,'vehicles specifications'!$A$3:$A$166,0),MATCH(G338,'vehicles specifications'!$B$2:$CW$2,0))*INDEX('ei names mapping'!$B$137:$BL$300,MATCH(B307,'ei names mapping'!$A$137:$A$300,0),MATCH(G338,'ei names mapping'!$B$136:$BL$136,0))</f>
        <v>-4.5586185491029798E-6</v>
      </c>
      <c r="C338" t="str">
        <f>INDEX('ei names mapping'!$B$38:$BL$67,MATCH(B304,'ei names mapping'!$A$4:$A$33,0),MATCH(G338,'ei names mapping'!$B$3:$BL$3,0))</f>
        <v>RER</v>
      </c>
      <c r="D338" t="str">
        <f>INDEX('ei names mapping'!$B$104:$BL$133,MATCH(B304,'ei names mapping'!$A$4:$A$33,0),MATCH(G338,'ei names mapping'!$B$3:$BL$3,0))</f>
        <v>kilogram</v>
      </c>
      <c r="F338" t="s">
        <v>89</v>
      </c>
      <c r="G338" t="s">
        <v>30</v>
      </c>
      <c r="H338" t="str">
        <f>INDEX('ei names mapping'!$B$71:$BL$100,MATCH(B304,'ei names mapping'!$A$4:$A$33,0),MATCH(G338,'ei names mapping'!$B$3:$BL$3,0))</f>
        <v>tyre wear emissions, passenger car</v>
      </c>
    </row>
    <row r="339" spans="1:8" x14ac:dyDescent="0.2">
      <c r="A339" t="str">
        <f>INDEX('ei names mapping'!$B$4:$BL$33,MATCH(B304,'ei names mapping'!$A$4:$A$33,0),MATCH(G339,'ei names mapping'!$B$3:$BL$3,0))</f>
        <v>treatment of brake wear emissions, passenger car</v>
      </c>
      <c r="B339" s="7">
        <f>INDEX('vehicles specifications'!$B$3:$CW$166,MATCH(B307,'vehicles specifications'!$A$3:$A$166,0),MATCH(G339,'vehicles specifications'!$B$2:$CW$2,0))*INDEX('ei names mapping'!$B$137:$BL$300,MATCH(B307,'ei names mapping'!$A$137:$A$300,0),MATCH(G339,'ei names mapping'!$B$136:$BL$136,0))</f>
        <v>-2.4230776278866842E-6</v>
      </c>
      <c r="C339" t="str">
        <f>INDEX('ei names mapping'!$B$38:$BL$67,MATCH(B304,'ei names mapping'!$A$4:$A$33,0),MATCH(G339,'ei names mapping'!$B$3:$BL$3,0))</f>
        <v>RER</v>
      </c>
      <c r="D339" t="str">
        <f>INDEX('ei names mapping'!$B$104:$BL$133,MATCH(B304,'ei names mapping'!$A$4:$A$33,0),MATCH(G339,'ei names mapping'!$B$3:$BL$3,0))</f>
        <v>kilogram</v>
      </c>
      <c r="F339" t="s">
        <v>89</v>
      </c>
      <c r="G339" t="s">
        <v>31</v>
      </c>
      <c r="H339" t="str">
        <f>INDEX('ei names mapping'!$B$71:$BL$100,MATCH(B304,'ei names mapping'!$A$4:$A$33,0),MATCH(G339,'ei names mapping'!$B$3:$BL$3,0))</f>
        <v>brake wear emissions, passenger car</v>
      </c>
    </row>
    <row r="341" spans="1:8" ht="16" x14ac:dyDescent="0.2">
      <c r="A341" s="10"/>
      <c r="B341" s="8"/>
    </row>
    <row r="356" spans="1:2" x14ac:dyDescent="0.2">
      <c r="B356" s="2"/>
    </row>
    <row r="360" spans="1:2" x14ac:dyDescent="0.2">
      <c r="B360" s="2"/>
    </row>
    <row r="362" spans="1:2" x14ac:dyDescent="0.2">
      <c r="B362" s="2"/>
    </row>
    <row r="364" spans="1:2" x14ac:dyDescent="0.2">
      <c r="B364" s="6"/>
    </row>
    <row r="366" spans="1:2" ht="16" x14ac:dyDescent="0.2">
      <c r="A366" s="10"/>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x14ac:dyDescent="0.2">
      <c r="B379" s="11"/>
    </row>
    <row r="380" spans="1:2" ht="16" x14ac:dyDescent="0.2">
      <c r="A380" s="10"/>
      <c r="B380" s="8"/>
    </row>
    <row r="395" spans="2:2" x14ac:dyDescent="0.2">
      <c r="B395" s="2"/>
    </row>
    <row r="399" spans="2:2" x14ac:dyDescent="0.2">
      <c r="B399" s="2"/>
    </row>
    <row r="401" spans="1:2" x14ac:dyDescent="0.2">
      <c r="B401" s="2"/>
    </row>
    <row r="403" spans="1:2" x14ac:dyDescent="0.2">
      <c r="B403" s="6"/>
    </row>
    <row r="405" spans="1:2" ht="16" x14ac:dyDescent="0.2">
      <c r="A405" s="10"/>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7" spans="1:2" x14ac:dyDescent="0.2">
      <c r="B417" s="11"/>
    </row>
    <row r="419" spans="1:2" ht="16" x14ac:dyDescent="0.2">
      <c r="A419" s="10"/>
      <c r="B419" s="8"/>
    </row>
    <row r="434" spans="1:2" x14ac:dyDescent="0.2">
      <c r="B434" s="2"/>
    </row>
    <row r="438" spans="1:2" x14ac:dyDescent="0.2">
      <c r="B438" s="2"/>
    </row>
    <row r="440" spans="1:2" x14ac:dyDescent="0.2">
      <c r="B440" s="2"/>
    </row>
    <row r="442" spans="1:2" x14ac:dyDescent="0.2">
      <c r="B442" s="6"/>
    </row>
    <row r="444" spans="1:2" ht="16" x14ac:dyDescent="0.2">
      <c r="A444" s="10"/>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6" spans="1:2" x14ac:dyDescent="0.2">
      <c r="B456" s="11"/>
    </row>
    <row r="458" spans="1:2" ht="16" x14ac:dyDescent="0.2">
      <c r="A458" s="10"/>
      <c r="B458" s="8"/>
    </row>
    <row r="473" spans="2:2" x14ac:dyDescent="0.2">
      <c r="B473" s="2"/>
    </row>
    <row r="477" spans="2:2" x14ac:dyDescent="0.2">
      <c r="B477" s="2"/>
    </row>
    <row r="479" spans="2:2" x14ac:dyDescent="0.2">
      <c r="B479" s="2"/>
    </row>
    <row r="481" spans="1:2" x14ac:dyDescent="0.2">
      <c r="B481" s="6"/>
    </row>
    <row r="483" spans="1:2" ht="16" x14ac:dyDescent="0.2">
      <c r="A483" s="10"/>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11"/>
    </row>
    <row r="496" spans="1:2" x14ac:dyDescent="0.2">
      <c r="B496" s="2"/>
    </row>
    <row r="497" spans="1:2" ht="16" x14ac:dyDescent="0.2">
      <c r="A497" s="10"/>
      <c r="B497" s="8"/>
    </row>
    <row r="512" spans="1:2" x14ac:dyDescent="0.2">
      <c r="B512" s="2"/>
    </row>
    <row r="516" spans="1:2" x14ac:dyDescent="0.2">
      <c r="B516" s="2"/>
    </row>
    <row r="518" spans="1:2" x14ac:dyDescent="0.2">
      <c r="B518" s="2"/>
    </row>
    <row r="520" spans="1:2" x14ac:dyDescent="0.2">
      <c r="B520" s="6"/>
    </row>
    <row r="522" spans="1:2" ht="16" x14ac:dyDescent="0.2">
      <c r="A522" s="10"/>
    </row>
    <row r="525" spans="1:2" x14ac:dyDescent="0.2">
      <c r="B525" s="7"/>
    </row>
    <row r="526" spans="1:2" x14ac:dyDescent="0.2">
      <c r="B526" s="11"/>
    </row>
    <row r="527" spans="1:2" x14ac:dyDescent="0.2">
      <c r="B527" s="4"/>
    </row>
    <row r="528" spans="1:2" x14ac:dyDescent="0.2">
      <c r="B528" s="11"/>
    </row>
    <row r="529" spans="1:2" x14ac:dyDescent="0.2">
      <c r="B529" s="11"/>
    </row>
    <row r="530" spans="1:2" x14ac:dyDescent="0.2">
      <c r="B530" s="11"/>
    </row>
    <row r="531" spans="1:2" x14ac:dyDescent="0.2">
      <c r="B531" s="11"/>
    </row>
    <row r="532" spans="1:2" x14ac:dyDescent="0.2">
      <c r="B532" s="6"/>
    </row>
    <row r="533" spans="1:2" ht="16" x14ac:dyDescent="0.2">
      <c r="A533" s="10"/>
      <c r="B533" s="8"/>
    </row>
    <row r="548" spans="1:2" x14ac:dyDescent="0.2">
      <c r="B548" s="2"/>
    </row>
    <row r="552" spans="1:2" x14ac:dyDescent="0.2">
      <c r="B552" s="2"/>
    </row>
    <row r="554" spans="1:2" x14ac:dyDescent="0.2">
      <c r="B554" s="2"/>
    </row>
    <row r="556" spans="1:2" x14ac:dyDescent="0.2">
      <c r="B556" s="6"/>
    </row>
    <row r="558" spans="1:2" ht="16" x14ac:dyDescent="0.2">
      <c r="A558" s="10"/>
    </row>
    <row r="562" spans="1:2" x14ac:dyDescent="0.2">
      <c r="B562" s="11"/>
    </row>
    <row r="563" spans="1:2" x14ac:dyDescent="0.2">
      <c r="B563" s="4"/>
    </row>
    <row r="564" spans="1:2" x14ac:dyDescent="0.2">
      <c r="B564" s="11"/>
    </row>
    <row r="565" spans="1:2" x14ac:dyDescent="0.2">
      <c r="B565" s="11"/>
    </row>
    <row r="566" spans="1:2" x14ac:dyDescent="0.2">
      <c r="B566" s="11"/>
    </row>
    <row r="567" spans="1:2" x14ac:dyDescent="0.2">
      <c r="B567" s="11"/>
    </row>
    <row r="569" spans="1:2" ht="16" x14ac:dyDescent="0.2">
      <c r="A569" s="10"/>
      <c r="B569" s="8"/>
    </row>
    <row r="584" spans="2:2" x14ac:dyDescent="0.2">
      <c r="B584" s="2"/>
    </row>
    <row r="588" spans="2:2" x14ac:dyDescent="0.2">
      <c r="B588" s="2"/>
    </row>
    <row r="590" spans="2:2" x14ac:dyDescent="0.2">
      <c r="B590" s="2"/>
    </row>
    <row r="592" spans="2:2" x14ac:dyDescent="0.2">
      <c r="B592" s="6"/>
    </row>
    <row r="594" spans="1:2" ht="16" x14ac:dyDescent="0.2">
      <c r="A594" s="10"/>
    </row>
    <row r="598" spans="1:2" x14ac:dyDescent="0.2">
      <c r="B598" s="11"/>
    </row>
    <row r="599" spans="1:2" x14ac:dyDescent="0.2">
      <c r="B599" s="4"/>
    </row>
    <row r="600" spans="1:2" x14ac:dyDescent="0.2">
      <c r="B600" s="11"/>
    </row>
    <row r="601" spans="1:2" x14ac:dyDescent="0.2">
      <c r="B601" s="11"/>
    </row>
    <row r="602" spans="1:2" x14ac:dyDescent="0.2">
      <c r="B602" s="11"/>
    </row>
    <row r="603" spans="1:2" x14ac:dyDescent="0.2">
      <c r="B603" s="11"/>
    </row>
    <row r="605" spans="1:2" ht="16" x14ac:dyDescent="0.2">
      <c r="A605" s="10"/>
      <c r="B605" s="8"/>
    </row>
    <row r="620" spans="2:2" x14ac:dyDescent="0.2">
      <c r="B620" s="2"/>
    </row>
    <row r="624" spans="2:2" x14ac:dyDescent="0.2">
      <c r="B624" s="2"/>
    </row>
    <row r="626" spans="1:2" x14ac:dyDescent="0.2">
      <c r="B626" s="2"/>
    </row>
    <row r="628" spans="1:2" x14ac:dyDescent="0.2">
      <c r="B628" s="6"/>
    </row>
    <row r="630" spans="1:2" ht="16" x14ac:dyDescent="0.2">
      <c r="A630" s="10"/>
    </row>
    <row r="634" spans="1:2" x14ac:dyDescent="0.2">
      <c r="B634" s="11"/>
    </row>
    <row r="635" spans="1:2" x14ac:dyDescent="0.2">
      <c r="B635" s="4"/>
    </row>
    <row r="636" spans="1:2" x14ac:dyDescent="0.2">
      <c r="B636" s="11"/>
    </row>
    <row r="637" spans="1:2" x14ac:dyDescent="0.2">
      <c r="B637" s="11"/>
    </row>
    <row r="638" spans="1:2" x14ac:dyDescent="0.2">
      <c r="B638" s="11"/>
    </row>
    <row r="639" spans="1:2" x14ac:dyDescent="0.2">
      <c r="B639"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38"/>
  <sheetViews>
    <sheetView topLeftCell="A322" workbookViewId="0">
      <selection activeCell="A349" sqref="A34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4-11kW, NMC battery, 2020</v>
      </c>
    </row>
    <row r="2" spans="1:2" x14ac:dyDescent="0.2">
      <c r="A2" t="s">
        <v>72</v>
      </c>
      <c r="B2" t="s">
        <v>37</v>
      </c>
    </row>
    <row r="3" spans="1:2" x14ac:dyDescent="0.2">
      <c r="A3" t="s">
        <v>86</v>
      </c>
      <c r="B3" t="s">
        <v>493</v>
      </c>
    </row>
    <row r="4" spans="1:2" x14ac:dyDescent="0.2">
      <c r="A4" t="s">
        <v>87</v>
      </c>
    </row>
    <row r="5" spans="1:2" x14ac:dyDescent="0.2">
      <c r="A5" t="s">
        <v>88</v>
      </c>
      <c r="B5">
        <v>2020</v>
      </c>
    </row>
    <row r="6" spans="1:2" x14ac:dyDescent="0.2">
      <c r="A6" t="s">
        <v>126</v>
      </c>
      <c r="B6" t="str">
        <f>B3&amp;" - "&amp;B5&amp;" - "&amp;B18&amp;" - "&amp;B2</f>
        <v>Motorbike, electric, 4-11kW - 2020 - NMC - CH</v>
      </c>
    </row>
    <row r="7" spans="1:2" x14ac:dyDescent="0.2">
      <c r="A7" t="s">
        <v>73</v>
      </c>
      <c r="B7" t="str">
        <f>B3</f>
        <v>Motorbike,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117.00074044049273</v>
      </c>
    </row>
    <row r="17" spans="1:8" x14ac:dyDescent="0.2">
      <c r="A17" t="s">
        <v>133</v>
      </c>
      <c r="B17">
        <f>INDEX('vehicles specifications'!$B$3:$CW$166,MATCH(B6,'vehicles specifications'!$A$3:$A$166,0),MATCH("Power [kW]",'vehicles specifications'!$B$2:$CW$2,0))</f>
        <v>4.7</v>
      </c>
    </row>
    <row r="18" spans="1:8" x14ac:dyDescent="0.2">
      <c r="A18" t="s">
        <v>652</v>
      </c>
      <c r="B18" s="20" t="s">
        <v>43</v>
      </c>
    </row>
    <row r="19" spans="1:8" x14ac:dyDescent="0.2">
      <c r="A19" t="s">
        <v>134</v>
      </c>
      <c r="B19">
        <f>INDEX('vehicles specifications'!$B$3:$CW$166,MATCH(B6,'vehicles specifications'!$A$3:$A$166,0),MATCH("Energy battery mass [kg]",'vehicles specifications'!$B$2:$CW$2,0))</f>
        <v>18.849999999999998</v>
      </c>
    </row>
    <row r="20" spans="1:8" x14ac:dyDescent="0.2">
      <c r="A20" t="s">
        <v>135</v>
      </c>
      <c r="B20">
        <f>INDEX('vehicles specifications'!$B$3:$CW$166,MATCH(B6,'vehicles specifications'!$A$3:$A$166,0),MATCH("Electric energy stored [kWh]",'vehicles specifications'!$B$2:$CW$2,0))</f>
        <v>2.9</v>
      </c>
    </row>
    <row r="21" spans="1:8" x14ac:dyDescent="0.2">
      <c r="A21" t="s">
        <v>588</v>
      </c>
      <c r="B21">
        <f>INDEX('vehicles specifications'!$B$3:$CW$166,MATCH(B6,'vehicles specifications'!$A$3:$A$166,0),MATCH("Electric energy available [kWh]",'vehicles specifications'!$B$2:$CW$2,0))</f>
        <v>2.3199999999999998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45.890109890109891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4-11kW, NMC battery, 2020</v>
      </c>
      <c r="B33" s="3">
        <v>1</v>
      </c>
      <c r="C33" t="str">
        <f>B2</f>
        <v>CH</v>
      </c>
      <c r="D33" t="str">
        <f>B9</f>
        <v>unit</v>
      </c>
      <c r="F33" t="s">
        <v>84</v>
      </c>
      <c r="G33" t="s">
        <v>85</v>
      </c>
      <c r="H33" t="str">
        <f>B3</f>
        <v>Motorbike,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65.433826960328489</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13.086765392065699</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19.630148088098547</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tr">
        <f>INDEX('ei names mapping'!$B$4:$R$33,MATCH(B3,'ei names mapping'!$A$4:$A$33,0),MATCH(G37,'ei names mapping'!$B$3:$R$3,0))</f>
        <v>Battery cell, NMC-622</v>
      </c>
      <c r="B37" s="3">
        <f>INDEX('vehicles specifications'!$B$3:$CW$166,MATCH(B6,'vehicles specifications'!$A$3:$A$166,0),MATCH(G37,'vehicles specifications'!$B$2:$CW$2,0))*INDEX('ei names mapping'!$B$137:$BL$300,MATCH(B6,'ei names mapping'!$A$137:$A$300,0),MATCH(G37,'ei names mapping'!$B$136:$BL$136,0))</f>
        <v>21.749999999999996</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6.5249999999999995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65.433826960328489</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32.716913480164244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-28.274999999999999</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117.00074044049273</v>
      </c>
      <c r="C43" t="s">
        <v>92</v>
      </c>
      <c r="D43" t="s">
        <v>233</v>
      </c>
      <c r="F43" t="s">
        <v>89</v>
      </c>
      <c r="H43" s="13" t="s">
        <v>841</v>
      </c>
    </row>
    <row r="44" spans="1:8" x14ac:dyDescent="0.2">
      <c r="A44" s="13" t="s">
        <v>441</v>
      </c>
      <c r="B44" s="3">
        <f>(B16/1000)*B28</f>
        <v>1860.3117730038343</v>
      </c>
      <c r="C44" t="s">
        <v>95</v>
      </c>
      <c r="D44" t="s">
        <v>233</v>
      </c>
      <c r="F44" t="s">
        <v>89</v>
      </c>
      <c r="H44" s="13" t="s">
        <v>441</v>
      </c>
    </row>
    <row r="45" spans="1:8" x14ac:dyDescent="0.2">
      <c r="B45" s="11"/>
    </row>
    <row r="46" spans="1:8" ht="16" x14ac:dyDescent="0.2">
      <c r="A46" s="10" t="s">
        <v>71</v>
      </c>
      <c r="B46" s="8" t="str">
        <f>B48&amp;", "&amp;B63&amp;" battery, "&amp;B50</f>
        <v>Motorbike, electric, 4-11kW, NMC battery, 2030</v>
      </c>
    </row>
    <row r="47" spans="1:8" x14ac:dyDescent="0.2">
      <c r="A47" t="s">
        <v>72</v>
      </c>
      <c r="B47" t="s">
        <v>37</v>
      </c>
    </row>
    <row r="48" spans="1:8" x14ac:dyDescent="0.2">
      <c r="A48" t="s">
        <v>86</v>
      </c>
      <c r="B48" t="s">
        <v>493</v>
      </c>
    </row>
    <row r="49" spans="1:2" x14ac:dyDescent="0.2">
      <c r="A49" t="s">
        <v>87</v>
      </c>
    </row>
    <row r="50" spans="1:2" x14ac:dyDescent="0.2">
      <c r="A50" t="s">
        <v>88</v>
      </c>
      <c r="B50">
        <v>2030</v>
      </c>
    </row>
    <row r="51" spans="1:2" x14ac:dyDescent="0.2">
      <c r="A51" t="s">
        <v>126</v>
      </c>
      <c r="B51" t="str">
        <f>B48&amp;" - "&amp;B50&amp;" - "&amp;B63&amp;" - "&amp;B47</f>
        <v>Motorbike, electric, 4-11kW - 2030 - NMC - CH</v>
      </c>
    </row>
    <row r="52" spans="1:2" x14ac:dyDescent="0.2">
      <c r="A52" t="s">
        <v>73</v>
      </c>
      <c r="B52" t="str">
        <f>B48</f>
        <v>Motorbike,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1776</v>
      </c>
    </row>
    <row r="61" spans="1:2" x14ac:dyDescent="0.2">
      <c r="A61" t="s">
        <v>132</v>
      </c>
      <c r="B61" s="2">
        <f>INDEX('vehicles specifications'!$B$3:$CW$166,MATCH(B51,'vehicles specifications'!$A$3:$A$166,0),MATCH("Curb mass [kg]",'vehicles specifications'!$B$2:$CW$2,0))</f>
        <v>117.26548785570658</v>
      </c>
    </row>
    <row r="62" spans="1:2" x14ac:dyDescent="0.2">
      <c r="A62" t="s">
        <v>133</v>
      </c>
      <c r="B62">
        <f>INDEX('vehicles specifications'!$B$3:$CW$166,MATCH(B51,'vehicles specifications'!$A$3:$A$166,0),MATCH("Power [kW]",'vehicles specifications'!$B$2:$CW$2,0))</f>
        <v>4.7</v>
      </c>
    </row>
    <row r="63" spans="1:2" x14ac:dyDescent="0.2">
      <c r="A63" t="s">
        <v>652</v>
      </c>
      <c r="B63" s="20" t="s">
        <v>43</v>
      </c>
    </row>
    <row r="64" spans="1:2" x14ac:dyDescent="0.2">
      <c r="A64" t="s">
        <v>134</v>
      </c>
      <c r="B64">
        <f>INDEX('vehicles specifications'!$B$3:$CW$166,MATCH(B51,'vehicles specifications'!$A$3:$A$166,0),MATCH("Energy battery mass [kg]",'vehicles specifications'!$B$2:$CW$2,0))</f>
        <v>21.666666666666668</v>
      </c>
    </row>
    <row r="65" spans="1:8" x14ac:dyDescent="0.2">
      <c r="A65" t="s">
        <v>135</v>
      </c>
      <c r="B65">
        <f>INDEX('vehicles specifications'!$B$3:$CW$166,MATCH(B51,'vehicles specifications'!$A$3:$A$166,0),MATCH("Electric energy stored [kWh]",'vehicles specifications'!$B$2:$CW$2,0))</f>
        <v>5</v>
      </c>
    </row>
    <row r="66" spans="1:8" x14ac:dyDescent="0.2">
      <c r="A66" t="s">
        <v>588</v>
      </c>
      <c r="B66">
        <f>INDEX('vehicles specifications'!$B$3:$CW$166,MATCH(B51,'vehicles specifications'!$A$3:$A$166,0),MATCH("Electric energy available [kWh]",'vehicles specifications'!$B$2:$CW$2,0))</f>
        <v>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79.120879120879124</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4-11kW, NMC battery, 2030</v>
      </c>
      <c r="B78">
        <v>1</v>
      </c>
      <c r="C78" t="str">
        <f>B47</f>
        <v>CH</v>
      </c>
      <c r="D78" t="str">
        <f>B54</f>
        <v>unit</v>
      </c>
      <c r="F78" t="s">
        <v>84</v>
      </c>
      <c r="G78" t="s">
        <v>85</v>
      </c>
      <c r="H78" t="str">
        <f>B48</f>
        <v>Motorbike,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65.433826960328489</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1.9630148088098547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13.086765392065699</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19.041243645455587</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tr">
        <f>INDEX('ei names mapping'!$B$4:$R$33,MATCH(B48,'ei names mapping'!$A$4:$A$33,0),MATCH(G83,'ei names mapping'!$B$3:$R$3,0))</f>
        <v>Battery cell, NMC-622</v>
      </c>
      <c r="B83" s="11">
        <f>INDEX('vehicles specifications'!$B$3:$CW$166,MATCH(B51,'vehicles specifications'!$A$3:$A$166,0),MATCH(G83,'vehicles specifications'!$B$2:$CW$2,0))*INDEX('ei names mapping'!$B$137:$BL$300,MATCH(B51,'ei names mapping'!$A$137:$A$300,0),MATCH(G83,'ei names mapping'!$B$136:$BL$136,0))</f>
        <v>20.833333333333336</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6.25</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63.470812151518629</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32.128009037521288</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-27.083333333333336</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117.26548785570658</v>
      </c>
      <c r="C89" t="s">
        <v>92</v>
      </c>
      <c r="D89" t="s">
        <v>233</v>
      </c>
      <c r="F89" t="s">
        <v>89</v>
      </c>
      <c r="H89" s="13" t="s">
        <v>841</v>
      </c>
    </row>
    <row r="90" spans="1:8" x14ac:dyDescent="0.2">
      <c r="A90" s="13" t="s">
        <v>441</v>
      </c>
      <c r="B90" s="2">
        <f>(B61/1000)*B73</f>
        <v>1864.5212569057346</v>
      </c>
      <c r="C90" t="s">
        <v>95</v>
      </c>
      <c r="D90" t="s">
        <v>233</v>
      </c>
      <c r="F90" t="s">
        <v>89</v>
      </c>
      <c r="H90" s="13" t="s">
        <v>441</v>
      </c>
    </row>
    <row r="92" spans="1:8" ht="16" x14ac:dyDescent="0.2">
      <c r="A92" s="10" t="s">
        <v>71</v>
      </c>
      <c r="B92" s="8" t="str">
        <f>B94&amp;", "&amp;B109&amp;" battery, "&amp;B96</f>
        <v>Motorbike, electric, 4-11kW, NMC battery, 2040</v>
      </c>
    </row>
    <row r="93" spans="1:8" x14ac:dyDescent="0.2">
      <c r="A93" t="s">
        <v>72</v>
      </c>
      <c r="B93" t="s">
        <v>37</v>
      </c>
    </row>
    <row r="94" spans="1:8" x14ac:dyDescent="0.2">
      <c r="A94" t="s">
        <v>86</v>
      </c>
      <c r="B94" t="s">
        <v>493</v>
      </c>
    </row>
    <row r="95" spans="1:8" x14ac:dyDescent="0.2">
      <c r="A95" t="s">
        <v>87</v>
      </c>
    </row>
    <row r="96" spans="1:8" x14ac:dyDescent="0.2">
      <c r="A96" t="s">
        <v>88</v>
      </c>
      <c r="B96">
        <v>2040</v>
      </c>
    </row>
    <row r="97" spans="1:2" x14ac:dyDescent="0.2">
      <c r="A97" t="s">
        <v>126</v>
      </c>
      <c r="B97" t="str">
        <f>B94&amp;" - "&amp;B96&amp;" - "&amp;B109&amp;" - "&amp;B93</f>
        <v>Motorbike, electric, 4-11kW - 2040 - NMC - CH</v>
      </c>
    </row>
    <row r="98" spans="1:2" x14ac:dyDescent="0.2">
      <c r="A98" t="s">
        <v>73</v>
      </c>
      <c r="B98" t="str">
        <f>B94</f>
        <v>Motorbike,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1776</v>
      </c>
    </row>
    <row r="107" spans="1:2" x14ac:dyDescent="0.2">
      <c r="A107" t="s">
        <v>132</v>
      </c>
      <c r="B107" s="2">
        <f>INDEX('vehicles specifications'!$B$3:$CW$166,MATCH(B97,'vehicles specifications'!$A$3:$A$166,0),MATCH("Curb mass [kg]",'vehicles specifications'!$B$2:$CW$2,0))</f>
        <v>116.64754168807137</v>
      </c>
    </row>
    <row r="108" spans="1:2" x14ac:dyDescent="0.2">
      <c r="A108" t="s">
        <v>133</v>
      </c>
      <c r="B108">
        <f>INDEX('vehicles specifications'!$B$3:$CW$166,MATCH(B97,'vehicles specifications'!$A$3:$A$166,0),MATCH("Power [kW]",'vehicles specifications'!$B$2:$CW$2,0))</f>
        <v>4.7</v>
      </c>
    </row>
    <row r="109" spans="1:2" x14ac:dyDescent="0.2">
      <c r="A109" t="s">
        <v>652</v>
      </c>
      <c r="B109" s="20" t="s">
        <v>43</v>
      </c>
    </row>
    <row r="110" spans="1:2" x14ac:dyDescent="0.2">
      <c r="A110" t="s">
        <v>134</v>
      </c>
      <c r="B110">
        <f>INDEX('vehicles specifications'!$B$3:$CW$166,MATCH(B97,'vehicles specifications'!$A$3:$A$166,0),MATCH("Energy battery mass [kg]",'vehicles specifications'!$B$2:$CW$2,0))</f>
        <v>22.75</v>
      </c>
    </row>
    <row r="111" spans="1:2" x14ac:dyDescent="0.2">
      <c r="A111" t="s">
        <v>135</v>
      </c>
      <c r="B111">
        <f>INDEX('vehicles specifications'!$B$3:$CW$166,MATCH(B97,'vehicles specifications'!$A$3:$A$166,0),MATCH("Electric energy stored [kWh]",'vehicles specifications'!$B$2:$CW$2,0))</f>
        <v>7</v>
      </c>
    </row>
    <row r="112" spans="1:2" x14ac:dyDescent="0.2">
      <c r="A112" t="s">
        <v>588</v>
      </c>
      <c r="B112">
        <f>INDEX('vehicles specifications'!$B$3:$CW$166,MATCH(B97,'vehicles specifications'!$A$3:$A$166,0),MATCH("Electric energy available [kWh]",'vehicles specifications'!$B$2:$CW$2,0))</f>
        <v>5.6000000000000005</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110.76923076923079</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4-11kW, NMC battery, 2040</v>
      </c>
      <c r="B124">
        <v>1</v>
      </c>
      <c r="C124" t="str">
        <f>B93</f>
        <v>CH</v>
      </c>
      <c r="D124" t="str">
        <f>B100</f>
        <v>unit</v>
      </c>
      <c r="F124" t="s">
        <v>84</v>
      </c>
      <c r="G124" t="s">
        <v>85</v>
      </c>
      <c r="H124" t="str">
        <f>B94</f>
        <v>Motorbike,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65.433826960328489</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3.2716913480164247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13.086765392065699</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18.648640683693618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tr">
        <f>INDEX('ei names mapping'!$B$4:$R$33,MATCH(B94,'ei names mapping'!$A$4:$A$33,0),MATCH(G129,'ei names mapping'!$B$3:$R$3,0))</f>
        <v>Battery cell, NMC-622</v>
      </c>
      <c r="B129" s="11">
        <f>INDEX('vehicles specifications'!$B$3:$CW$166,MATCH(B97,'vehicles specifications'!$A$3:$A$166,0),MATCH(G129,'vehicles specifications'!$B$2:$CW$2,0))*INDEX('ei names mapping'!$B$137:$BL$300,MATCH(B97,'ei names mapping'!$A$137:$A$300,0),MATCH(G129,'ei names mapping'!$B$136:$BL$136,0))</f>
        <v>17.5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5.25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62.162135612312063</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31.735406075759315</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-22.75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116.64754168807137</v>
      </c>
      <c r="C135" t="s">
        <v>92</v>
      </c>
      <c r="D135" t="s">
        <v>233</v>
      </c>
      <c r="F135" t="s">
        <v>89</v>
      </c>
      <c r="H135" s="13" t="s">
        <v>841</v>
      </c>
    </row>
    <row r="136" spans="1:8" x14ac:dyDescent="0.2">
      <c r="A136" s="13" t="s">
        <v>441</v>
      </c>
      <c r="B136" s="2">
        <f>(B107/1000)*B119</f>
        <v>1854.6959128403348</v>
      </c>
      <c r="C136" t="s">
        <v>95</v>
      </c>
      <c r="D136" t="s">
        <v>233</v>
      </c>
      <c r="F136" t="s">
        <v>89</v>
      </c>
      <c r="H136" s="13" t="s">
        <v>441</v>
      </c>
    </row>
    <row r="138" spans="1:8" ht="16" x14ac:dyDescent="0.2">
      <c r="A138" s="10" t="s">
        <v>71</v>
      </c>
      <c r="B138" s="8" t="str">
        <f>B140&amp;", "&amp;B155&amp;" battery, "&amp;B142</f>
        <v>Motorbike, electric, 4-11kW, NMC battery, 2050</v>
      </c>
    </row>
    <row r="139" spans="1:8" x14ac:dyDescent="0.2">
      <c r="A139" t="s">
        <v>72</v>
      </c>
      <c r="B139" t="s">
        <v>37</v>
      </c>
    </row>
    <row r="140" spans="1:8" x14ac:dyDescent="0.2">
      <c r="A140" t="s">
        <v>86</v>
      </c>
      <c r="B140" t="s">
        <v>493</v>
      </c>
    </row>
    <row r="141" spans="1:8" x14ac:dyDescent="0.2">
      <c r="A141" t="s">
        <v>87</v>
      </c>
    </row>
    <row r="142" spans="1:8" x14ac:dyDescent="0.2">
      <c r="A142" t="s">
        <v>88</v>
      </c>
      <c r="B142">
        <v>2050</v>
      </c>
    </row>
    <row r="143" spans="1:8" x14ac:dyDescent="0.2">
      <c r="A143" t="s">
        <v>126</v>
      </c>
      <c r="B143" t="str">
        <f>B140&amp;" - "&amp;B142&amp;" - "&amp;B155&amp;" - "&amp;B139</f>
        <v>Motorbike, electric, 4-11kW - 2050 - NMC - CH</v>
      </c>
    </row>
    <row r="144" spans="1:8" x14ac:dyDescent="0.2">
      <c r="A144" t="s">
        <v>73</v>
      </c>
      <c r="B144" t="str">
        <f>B140</f>
        <v>Motorbike,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1776</v>
      </c>
    </row>
    <row r="153" spans="1:2" x14ac:dyDescent="0.2">
      <c r="A153" t="s">
        <v>132</v>
      </c>
      <c r="B153" s="2">
        <f>INDEX('vehicles specifications'!$B$3:$CW$166,MATCH(B143,'vehicles specifications'!$A$3:$A$166,0),MATCH("Curb mass [kg]",'vehicles specifications'!$B$2:$CW$2,0))</f>
        <v>116.89626218710283</v>
      </c>
    </row>
    <row r="154" spans="1:2" x14ac:dyDescent="0.2">
      <c r="A154" t="s">
        <v>133</v>
      </c>
      <c r="B154">
        <f>INDEX('vehicles specifications'!$B$3:$CW$166,MATCH(B143,'vehicles specifications'!$A$3:$A$166,0),MATCH("Power [kW]",'vehicles specifications'!$B$2:$CW$2,0))</f>
        <v>4.7</v>
      </c>
    </row>
    <row r="155" spans="1:2" x14ac:dyDescent="0.2">
      <c r="A155" t="s">
        <v>652</v>
      </c>
      <c r="B155" s="20" t="s">
        <v>43</v>
      </c>
    </row>
    <row r="156" spans="1:2" x14ac:dyDescent="0.2">
      <c r="A156" t="s">
        <v>134</v>
      </c>
      <c r="B156">
        <f>INDEX('vehicles specifications'!$B$3:$CW$166,MATCH(B143,'vehicles specifications'!$A$3:$A$166,0),MATCH("Energy battery mass [kg]",'vehicles specifications'!$B$2:$CW$2,0))</f>
        <v>24.7</v>
      </c>
    </row>
    <row r="157" spans="1:2" x14ac:dyDescent="0.2">
      <c r="A157" t="s">
        <v>135</v>
      </c>
      <c r="B157">
        <f>INDEX('vehicles specifications'!$B$3:$CW$166,MATCH(B143,'vehicles specifications'!$A$3:$A$166,0),MATCH("Electric energy stored [kWh]",'vehicles specifications'!$B$2:$CW$2,0))</f>
        <v>9.5</v>
      </c>
    </row>
    <row r="158" spans="1:2" x14ac:dyDescent="0.2">
      <c r="A158" t="s">
        <v>588</v>
      </c>
      <c r="B158">
        <f>INDEX('vehicles specifications'!$B$3:$CW$166,MATCH(B143,'vehicles specifications'!$A$3:$A$166,0),MATCH("Electric energy available [kWh]",'vehicles specifications'!$B$2:$CW$2,0))</f>
        <v>7.6000000000000005</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150.32967032967034</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4-11kW, NMC battery, 2050</v>
      </c>
      <c r="B170">
        <v>1</v>
      </c>
      <c r="C170" t="str">
        <f>B139</f>
        <v>CH</v>
      </c>
      <c r="D170" t="str">
        <f>B146</f>
        <v>unit</v>
      </c>
      <c r="F170" t="s">
        <v>84</v>
      </c>
      <c r="G170" t="s">
        <v>85</v>
      </c>
      <c r="H170" t="str">
        <f>B140</f>
        <v>Motorbike,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65.433826960328489</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5.6700000000000008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13.086765392065699</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18.256037721931648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tr">
        <f>INDEX('ei names mapping'!$B$4:$R$33,MATCH(B140,'ei names mapping'!$A$4:$A$33,0),MATCH(G175,'ei names mapping'!$B$3:$R$3,0))</f>
        <v>Battery cell, NMC-622</v>
      </c>
      <c r="B175" s="11">
        <f>INDEX('vehicles specifications'!$B$3:$CW$166,MATCH(B143,'vehicles specifications'!$A$3:$A$166,0),MATCH(G175,'vehicles specifications'!$B$2:$CW$2,0))*INDEX('ei names mapping'!$B$137:$BL$300,MATCH(B143,'ei names mapping'!$A$137:$A$300,0),MATCH(G175,'ei names mapping'!$B$136:$BL$136,0))</f>
        <v>38</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11.4</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60.853459073105491</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31.342803113997348</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-49.4</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116.89626218710283</v>
      </c>
      <c r="C181" t="s">
        <v>92</v>
      </c>
      <c r="D181" t="s">
        <v>233</v>
      </c>
      <c r="F181" t="s">
        <v>89</v>
      </c>
      <c r="H181" s="13" t="s">
        <v>841</v>
      </c>
    </row>
    <row r="182" spans="1:8" x14ac:dyDescent="0.2">
      <c r="A182" s="13" t="s">
        <v>441</v>
      </c>
      <c r="B182" s="2">
        <f>(B153/1000)*B165</f>
        <v>1858.650568774935</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4-11kW, NMC battery, 2020</v>
      </c>
    </row>
    <row r="185" spans="1:8" x14ac:dyDescent="0.2">
      <c r="A185" t="s">
        <v>72</v>
      </c>
      <c r="B185" t="s">
        <v>37</v>
      </c>
    </row>
    <row r="186" spans="1:8" x14ac:dyDescent="0.2">
      <c r="A186" t="s">
        <v>86</v>
      </c>
      <c r="B186" t="s">
        <v>493</v>
      </c>
    </row>
    <row r="187" spans="1:8" x14ac:dyDescent="0.2">
      <c r="A187" t="s">
        <v>87</v>
      </c>
    </row>
    <row r="188" spans="1:8" x14ac:dyDescent="0.2">
      <c r="A188" t="s">
        <v>88</v>
      </c>
      <c r="B188">
        <v>2020</v>
      </c>
    </row>
    <row r="189" spans="1:8" x14ac:dyDescent="0.2">
      <c r="A189" t="s">
        <v>126</v>
      </c>
      <c r="B189" t="str">
        <f>B186&amp;" - "&amp;B188&amp;" - "&amp;B201&amp;" - "&amp;B185</f>
        <v>Motorbike, electric, 4-11kW - 2020 - NMC - CH</v>
      </c>
    </row>
    <row r="190" spans="1:8" x14ac:dyDescent="0.2">
      <c r="A190" t="s">
        <v>73</v>
      </c>
      <c r="B190" t="str">
        <f>"transport, "&amp;B186</f>
        <v>transport, Motorbike,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1776</v>
      </c>
    </row>
    <row r="199" spans="1:2" x14ac:dyDescent="0.2">
      <c r="A199" t="s">
        <v>132</v>
      </c>
      <c r="B199" s="2">
        <f>INDEX('vehicles specifications'!$B$3:$CW$166,MATCH(B189,'vehicles specifications'!$A$3:$A$166,0),MATCH("Curb mass [kg]",'vehicles specifications'!$B$2:$CW$2,0))</f>
        <v>117.00074044049273</v>
      </c>
    </row>
    <row r="200" spans="1:2" x14ac:dyDescent="0.2">
      <c r="A200" t="s">
        <v>133</v>
      </c>
      <c r="B200">
        <f>INDEX('vehicles specifications'!$B$3:$CW$166,MATCH(B189,'vehicles specifications'!$A$3:$A$166,0),MATCH("Power [kW]",'vehicles specifications'!$B$2:$CW$2,0))</f>
        <v>4.7</v>
      </c>
    </row>
    <row r="201" spans="1:2" x14ac:dyDescent="0.2">
      <c r="A201" t="s">
        <v>652</v>
      </c>
      <c r="B201" s="20" t="s">
        <v>43</v>
      </c>
    </row>
    <row r="202" spans="1:2" x14ac:dyDescent="0.2">
      <c r="A202" t="s">
        <v>134</v>
      </c>
      <c r="B202">
        <f>INDEX('vehicles specifications'!$B$3:$CW$166,MATCH(B189,'vehicles specifications'!$A$3:$A$166,0),MATCH("Energy battery mass [kg]",'vehicles specifications'!$B$2:$CW$2,0))</f>
        <v>18.849999999999998</v>
      </c>
    </row>
    <row r="203" spans="1:2" x14ac:dyDescent="0.2">
      <c r="A203" t="s">
        <v>135</v>
      </c>
      <c r="B203">
        <f>INDEX('vehicles specifications'!$B$3:$CW$166,MATCH(B189,'vehicles specifications'!$A$3:$A$166,0),MATCH("Electric energy stored [kWh]",'vehicles specifications'!$B$2:$CW$2,0))</f>
        <v>2.9</v>
      </c>
    </row>
    <row r="204" spans="1:2" x14ac:dyDescent="0.2">
      <c r="A204" t="s">
        <v>588</v>
      </c>
      <c r="B204">
        <f>INDEX('vehicles specifications'!$B$3:$CW$166,MATCH(B189,'vehicles specifications'!$A$3:$A$166,0),MATCH("Electric energy available [kWh]",'vehicles specifications'!$B$2:$CW$2,0))</f>
        <v>2.3199999999999998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45.890109890109891</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4-11kW, NMC battery, 2020</v>
      </c>
      <c r="B213">
        <v>1</v>
      </c>
      <c r="C213" t="str">
        <f>B185</f>
        <v>CH</v>
      </c>
      <c r="D213" t="s">
        <v>166</v>
      </c>
      <c r="F213" t="s">
        <v>84</v>
      </c>
      <c r="G213" t="s">
        <v>85</v>
      </c>
      <c r="H213" t="str">
        <f>B190</f>
        <v>transport, Motorbike, electric, 4-11kW</v>
      </c>
    </row>
    <row r="214" spans="1:8" x14ac:dyDescent="0.2">
      <c r="A214" t="str">
        <f>RIGHT(A213,LEN(A213)-11)</f>
        <v>Motorbike, electric, 4-11kW, NMC battery, 2020</v>
      </c>
      <c r="B214" s="7">
        <f>1/B194</f>
        <v>4.0000000000000003E-5</v>
      </c>
      <c r="C214" t="str">
        <f>B185</f>
        <v>CH</v>
      </c>
      <c r="D214" t="s">
        <v>76</v>
      </c>
      <c r="F214" t="s">
        <v>89</v>
      </c>
      <c r="H214" t="str">
        <f>RIGHT(H213,LEN(H213)-11)</f>
        <v>Motorbike,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1.103538976165446E-4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5.5611111111111111E-2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-7.4436279381371631E-6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-5.1643691334943926E-6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-2.8087754071549858E-6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4-11kW, NMC battery, 2030</v>
      </c>
    </row>
    <row r="224" spans="1:8" x14ac:dyDescent="0.2">
      <c r="A224" t="s">
        <v>72</v>
      </c>
      <c r="B224" t="s">
        <v>37</v>
      </c>
    </row>
    <row r="225" spans="1:2" x14ac:dyDescent="0.2">
      <c r="A225" t="s">
        <v>86</v>
      </c>
      <c r="B225" t="s">
        <v>493</v>
      </c>
    </row>
    <row r="226" spans="1:2" x14ac:dyDescent="0.2">
      <c r="A226" t="s">
        <v>87</v>
      </c>
    </row>
    <row r="227" spans="1:2" x14ac:dyDescent="0.2">
      <c r="A227" t="s">
        <v>88</v>
      </c>
      <c r="B227">
        <v>2030</v>
      </c>
    </row>
    <row r="228" spans="1:2" x14ac:dyDescent="0.2">
      <c r="A228" t="s">
        <v>126</v>
      </c>
      <c r="B228" t="str">
        <f>B225&amp;" - "&amp;B227&amp;" - "&amp;B240&amp;" - "&amp;B224</f>
        <v>Motorbike, electric, 4-11kW - 2030 - NMC - CH</v>
      </c>
    </row>
    <row r="229" spans="1:2" x14ac:dyDescent="0.2">
      <c r="A229" t="s">
        <v>73</v>
      </c>
      <c r="B229" t="str">
        <f>"transport, "&amp;B225</f>
        <v>transport, Motorbike,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1776</v>
      </c>
    </row>
    <row r="238" spans="1:2" x14ac:dyDescent="0.2">
      <c r="A238" t="s">
        <v>132</v>
      </c>
      <c r="B238" s="2">
        <f>INDEX('vehicles specifications'!$B$3:$CW$166,MATCH(B228,'vehicles specifications'!$A$3:$A$166,0),MATCH("Curb mass [kg]",'vehicles specifications'!$B$2:$CW$2,0))</f>
        <v>117.26548785570658</v>
      </c>
    </row>
    <row r="239" spans="1:2" x14ac:dyDescent="0.2">
      <c r="A239" t="s">
        <v>133</v>
      </c>
      <c r="B239">
        <f>INDEX('vehicles specifications'!$B$3:$CW$166,MATCH(B228,'vehicles specifications'!$A$3:$A$166,0),MATCH("Power [kW]",'vehicles specifications'!$B$2:$CW$2,0))</f>
        <v>4.7</v>
      </c>
    </row>
    <row r="240" spans="1:2" x14ac:dyDescent="0.2">
      <c r="A240" t="s">
        <v>652</v>
      </c>
      <c r="B240" s="20" t="s">
        <v>43</v>
      </c>
    </row>
    <row r="241" spans="1:8" x14ac:dyDescent="0.2">
      <c r="A241" t="s">
        <v>134</v>
      </c>
      <c r="B241">
        <f>INDEX('vehicles specifications'!$B$3:$CW$166,MATCH(B228,'vehicles specifications'!$A$3:$A$166,0),MATCH("Energy battery mass [kg]",'vehicles specifications'!$B$2:$CW$2,0))</f>
        <v>21.666666666666668</v>
      </c>
    </row>
    <row r="242" spans="1:8" x14ac:dyDescent="0.2">
      <c r="A242" t="s">
        <v>135</v>
      </c>
      <c r="B242">
        <f>INDEX('vehicles specifications'!$B$3:$CW$166,MATCH(B228,'vehicles specifications'!$A$3:$A$166,0),MATCH("Electric energy stored [kWh]",'vehicles specifications'!$B$2:$CW$2,0))</f>
        <v>5</v>
      </c>
    </row>
    <row r="243" spans="1:8" x14ac:dyDescent="0.2">
      <c r="A243" t="s">
        <v>588</v>
      </c>
      <c r="B243">
        <f>INDEX('vehicles specifications'!$B$3:$CW$166,MATCH(B228,'vehicles specifications'!$A$3:$A$166,0),MATCH("Electric energy available [kWh]",'vehicles specifications'!$B$2:$CW$2,0))</f>
        <v>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79.120879120879124</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4-11kW, NMC battery, 2030</v>
      </c>
      <c r="B252">
        <v>1</v>
      </c>
      <c r="C252" t="str">
        <f>B224</f>
        <v>CH</v>
      </c>
      <c r="D252" t="s">
        <v>166</v>
      </c>
      <c r="F252" t="s">
        <v>84</v>
      </c>
      <c r="G252" t="s">
        <v>85</v>
      </c>
      <c r="H252" t="str">
        <f>B229</f>
        <v>transport, Motorbike, electric, 4-11kW</v>
      </c>
    </row>
    <row r="253" spans="1:8" x14ac:dyDescent="0.2">
      <c r="A253" t="str">
        <f>RIGHT(A252,LEN(A252)-11)</f>
        <v>Motorbike, electric, 4-11kW, NMC battery, 2030</v>
      </c>
      <c r="B253" s="7">
        <f>1/B233</f>
        <v>4.0000000000000003E-5</v>
      </c>
      <c r="C253" t="str">
        <f>B224</f>
        <v>CH</v>
      </c>
      <c r="D253" t="s">
        <v>76</v>
      </c>
      <c r="F253" t="s">
        <v>89</v>
      </c>
      <c r="H253" t="str">
        <f>RIGHT(H252,LEN(H252)-11)</f>
        <v>Motorbike, electric, 4-11kW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5.5611111111111111E-2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1.1049606697851443E-4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-7.451235531118589E-6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-5.1680356419013357E-6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-2.8111779103993913E-6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4-11kW, NMC battery, 2040</v>
      </c>
    </row>
    <row r="263" spans="1:8" x14ac:dyDescent="0.2">
      <c r="A263" t="s">
        <v>72</v>
      </c>
      <c r="B263" t="s">
        <v>37</v>
      </c>
    </row>
    <row r="264" spans="1:8" x14ac:dyDescent="0.2">
      <c r="A264" t="s">
        <v>86</v>
      </c>
      <c r="B264" t="s">
        <v>493</v>
      </c>
    </row>
    <row r="265" spans="1:8" x14ac:dyDescent="0.2">
      <c r="A265" t="s">
        <v>87</v>
      </c>
    </row>
    <row r="266" spans="1:8" x14ac:dyDescent="0.2">
      <c r="A266" t="s">
        <v>88</v>
      </c>
      <c r="B266">
        <v>2040</v>
      </c>
    </row>
    <row r="267" spans="1:8" x14ac:dyDescent="0.2">
      <c r="A267" t="s">
        <v>126</v>
      </c>
      <c r="B267" t="str">
        <f>B264&amp;" - "&amp;B266&amp;" - "&amp;B279&amp;" - "&amp;B263</f>
        <v>Motorbike, electric, 4-11kW - 2040 - NMC - CH</v>
      </c>
    </row>
    <row r="268" spans="1:8" x14ac:dyDescent="0.2">
      <c r="A268" t="s">
        <v>73</v>
      </c>
      <c r="B268" t="str">
        <f>"transport, "&amp;B264</f>
        <v>transport, Motorbike,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1776</v>
      </c>
    </row>
    <row r="277" spans="1:2" x14ac:dyDescent="0.2">
      <c r="A277" t="s">
        <v>132</v>
      </c>
      <c r="B277" s="2">
        <f>INDEX('vehicles specifications'!$B$3:$CW$166,MATCH(B267,'vehicles specifications'!$A$3:$A$166,0),MATCH("Curb mass [kg]",'vehicles specifications'!$B$2:$CW$2,0))</f>
        <v>116.64754168807137</v>
      </c>
    </row>
    <row r="278" spans="1:2" x14ac:dyDescent="0.2">
      <c r="A278" t="s">
        <v>133</v>
      </c>
      <c r="B278">
        <f>INDEX('vehicles specifications'!$B$3:$CW$166,MATCH(B267,'vehicles specifications'!$A$3:$A$166,0),MATCH("Power [kW]",'vehicles specifications'!$B$2:$CW$2,0))</f>
        <v>4.7</v>
      </c>
    </row>
    <row r="279" spans="1:2" x14ac:dyDescent="0.2">
      <c r="A279" t="s">
        <v>652</v>
      </c>
      <c r="B279" s="20" t="s">
        <v>43</v>
      </c>
    </row>
    <row r="280" spans="1:2" x14ac:dyDescent="0.2">
      <c r="A280" t="s">
        <v>134</v>
      </c>
      <c r="B280">
        <f>INDEX('vehicles specifications'!$B$3:$CW$166,MATCH(B267,'vehicles specifications'!$A$3:$A$166,0),MATCH("Energy battery mass [kg]",'vehicles specifications'!$B$2:$CW$2,0))</f>
        <v>22.75</v>
      </c>
    </row>
    <row r="281" spans="1:2" x14ac:dyDescent="0.2">
      <c r="A281" t="s">
        <v>135</v>
      </c>
      <c r="B281">
        <f>INDEX('vehicles specifications'!$B$3:$CW$166,MATCH(B267,'vehicles specifications'!$A$3:$A$166,0),MATCH("Electric energy stored [kWh]",'vehicles specifications'!$B$2:$CW$2,0))</f>
        <v>7</v>
      </c>
    </row>
    <row r="282" spans="1:2" x14ac:dyDescent="0.2">
      <c r="A282" t="s">
        <v>588</v>
      </c>
      <c r="B282">
        <f>INDEX('vehicles specifications'!$B$3:$CW$166,MATCH(B267,'vehicles specifications'!$A$3:$A$166,0),MATCH("Electric energy available [kWh]",'vehicles specifications'!$B$2:$CW$2,0))</f>
        <v>5.6000000000000005</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110.76923076923079</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4-11kW, NMC battery, 2040</v>
      </c>
      <c r="B291">
        <v>1</v>
      </c>
      <c r="C291" t="str">
        <f>B263</f>
        <v>CH</v>
      </c>
      <c r="D291" t="s">
        <v>166</v>
      </c>
      <c r="F291" t="s">
        <v>84</v>
      </c>
      <c r="G291" t="s">
        <v>85</v>
      </c>
      <c r="H291" t="str">
        <f>B268</f>
        <v>transport, Motorbike, electric, 4-11kW</v>
      </c>
    </row>
    <row r="292" spans="1:8" x14ac:dyDescent="0.2">
      <c r="A292" t="str">
        <f>RIGHT(A291,LEN(A291)-11)</f>
        <v>Motorbike, electric, 4-11kW, NMC battery, 2040</v>
      </c>
      <c r="B292" s="7">
        <f>1/B272</f>
        <v>4.0000000000000003E-5</v>
      </c>
      <c r="C292" t="str">
        <f>B263</f>
        <v>CH</v>
      </c>
      <c r="D292" t="s">
        <v>76</v>
      </c>
      <c r="F292" t="s">
        <v>89</v>
      </c>
      <c r="H292" t="str">
        <f>RIGHT(H291,LEN(H291)-11)</f>
        <v>Motorbike, electric, 4-11kW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5.5611111111111111E-2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1.1016422988649433E-4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-7.4334757992131559E-6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-5.1594719500757633E-6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-2.805567697126877E-6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4-11kW, NMC battery, 2050</v>
      </c>
    </row>
    <row r="302" spans="1:8" x14ac:dyDescent="0.2">
      <c r="A302" t="s">
        <v>72</v>
      </c>
      <c r="B302" t="s">
        <v>37</v>
      </c>
    </row>
    <row r="303" spans="1:8" x14ac:dyDescent="0.2">
      <c r="A303" t="s">
        <v>86</v>
      </c>
      <c r="B303" t="s">
        <v>493</v>
      </c>
    </row>
    <row r="304" spans="1:8" x14ac:dyDescent="0.2">
      <c r="A304" t="s">
        <v>87</v>
      </c>
    </row>
    <row r="305" spans="1:2" x14ac:dyDescent="0.2">
      <c r="A305" t="s">
        <v>88</v>
      </c>
      <c r="B305">
        <v>2050</v>
      </c>
    </row>
    <row r="306" spans="1:2" x14ac:dyDescent="0.2">
      <c r="A306" t="s">
        <v>126</v>
      </c>
      <c r="B306" t="str">
        <f>B303&amp;" - "&amp;B305&amp;" - "&amp;B318&amp;" - "&amp;B302</f>
        <v>Motorbike, electric, 4-11kW - 2050 - NMC - CH</v>
      </c>
    </row>
    <row r="307" spans="1:2" x14ac:dyDescent="0.2">
      <c r="A307" t="s">
        <v>73</v>
      </c>
      <c r="B307" t="str">
        <f>"transport, "&amp;B303</f>
        <v>transport, Motorbike,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1776</v>
      </c>
    </row>
    <row r="316" spans="1:2" x14ac:dyDescent="0.2">
      <c r="A316" t="s">
        <v>132</v>
      </c>
      <c r="B316" s="2">
        <f>INDEX('vehicles specifications'!$B$3:$CW$166,MATCH(B306,'vehicles specifications'!$A$3:$A$166,0),MATCH("Curb mass [kg]",'vehicles specifications'!$B$2:$CW$2,0))</f>
        <v>116.89626218710283</v>
      </c>
    </row>
    <row r="317" spans="1:2" x14ac:dyDescent="0.2">
      <c r="A317" t="s">
        <v>133</v>
      </c>
      <c r="B317">
        <f>INDEX('vehicles specifications'!$B$3:$CW$166,MATCH(B306,'vehicles specifications'!$A$3:$A$166,0),MATCH("Power [kW]",'vehicles specifications'!$B$2:$CW$2,0))</f>
        <v>4.7</v>
      </c>
    </row>
    <row r="318" spans="1:2" x14ac:dyDescent="0.2">
      <c r="A318" t="s">
        <v>652</v>
      </c>
      <c r="B318" s="20" t="s">
        <v>43</v>
      </c>
    </row>
    <row r="319" spans="1:2" x14ac:dyDescent="0.2">
      <c r="A319" t="s">
        <v>134</v>
      </c>
      <c r="B319">
        <f>INDEX('vehicles specifications'!$B$3:$CW$166,MATCH(B306,'vehicles specifications'!$A$3:$A$166,0),MATCH("Energy battery mass [kg]",'vehicles specifications'!$B$2:$CW$2,0))</f>
        <v>24.7</v>
      </c>
    </row>
    <row r="320" spans="1:2" x14ac:dyDescent="0.2">
      <c r="A320" t="s">
        <v>135</v>
      </c>
      <c r="B320">
        <f>INDEX('vehicles specifications'!$B$3:$CW$166,MATCH(B306,'vehicles specifications'!$A$3:$A$166,0),MATCH("Electric energy stored [kWh]",'vehicles specifications'!$B$2:$CW$2,0))</f>
        <v>9.5</v>
      </c>
    </row>
    <row r="321" spans="1:8" x14ac:dyDescent="0.2">
      <c r="A321" t="s">
        <v>588</v>
      </c>
      <c r="B321">
        <f>INDEX('vehicles specifications'!$B$3:$CW$166,MATCH(B306,'vehicles specifications'!$A$3:$A$166,0),MATCH("Electric energy available [kWh]",'vehicles specifications'!$B$2:$CW$2,0))</f>
        <v>7.6000000000000005</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150.32967032967034</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4-11kW, NMC battery, 2050</v>
      </c>
      <c r="B330">
        <v>1</v>
      </c>
      <c r="C330" t="str">
        <f>B302</f>
        <v>CH</v>
      </c>
      <c r="D330" t="s">
        <v>166</v>
      </c>
      <c r="F330" t="s">
        <v>84</v>
      </c>
      <c r="G330" t="s">
        <v>85</v>
      </c>
      <c r="H330" t="str">
        <f>B307</f>
        <v>transport, Motorbike, electric, 4-11kW</v>
      </c>
    </row>
    <row r="331" spans="1:8" x14ac:dyDescent="0.2">
      <c r="A331" t="str">
        <f>RIGHT(A330,LEN(A330)-11)</f>
        <v>Motorbike, electric, 4-11kW, NMC battery, 2050</v>
      </c>
      <c r="B331" s="7">
        <f>1/B311</f>
        <v>4.0000000000000003E-5</v>
      </c>
      <c r="C331" t="str">
        <f>B302</f>
        <v>CH</v>
      </c>
      <c r="D331" t="s">
        <v>76</v>
      </c>
      <c r="F331" t="s">
        <v>89</v>
      </c>
      <c r="H331" t="str">
        <f>RIGHT(H330,LEN(H330)-11)</f>
        <v>Motorbike, electric, 4-11kW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5.5611111111111111E-2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2.5974025974025975E-5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1.1029779279447421E-4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-7.4406252182883539E-6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-5.1629211982562471E-6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-2.8078268502623069E-6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38"/>
  <sheetViews>
    <sheetView topLeftCell="A322" workbookViewId="0">
      <selection activeCell="A346" sqref="A34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4-11kW, LFP battery, 2020</v>
      </c>
    </row>
    <row r="2" spans="1:2" x14ac:dyDescent="0.2">
      <c r="A2" t="s">
        <v>72</v>
      </c>
      <c r="B2" t="s">
        <v>37</v>
      </c>
    </row>
    <row r="3" spans="1:2" x14ac:dyDescent="0.2">
      <c r="A3" t="s">
        <v>86</v>
      </c>
      <c r="B3" t="s">
        <v>493</v>
      </c>
    </row>
    <row r="4" spans="1:2" x14ac:dyDescent="0.2">
      <c r="A4" t="s">
        <v>87</v>
      </c>
    </row>
    <row r="5" spans="1:2" x14ac:dyDescent="0.2">
      <c r="A5" t="s">
        <v>88</v>
      </c>
      <c r="B5">
        <v>2020</v>
      </c>
    </row>
    <row r="6" spans="1:2" x14ac:dyDescent="0.2">
      <c r="A6" t="s">
        <v>126</v>
      </c>
      <c r="B6" t="str">
        <f>B3&amp;" - "&amp;B5&amp;" - "&amp;B18&amp;" - "&amp;B2</f>
        <v>Motorbike, electric, 4-11kW - 2020 - LFP - CH</v>
      </c>
    </row>
    <row r="7" spans="1:2" x14ac:dyDescent="0.2">
      <c r="A7" t="s">
        <v>73</v>
      </c>
      <c r="B7" t="str">
        <f>B3</f>
        <v>Motorbike,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121.35074044049274</v>
      </c>
    </row>
    <row r="17" spans="1:8" x14ac:dyDescent="0.2">
      <c r="A17" t="s">
        <v>133</v>
      </c>
      <c r="B17">
        <f>INDEX('vehicles specifications'!$B$3:$CW$166,MATCH(B6,'vehicles specifications'!$A$3:$A$166,0),MATCH("Power [kW]",'vehicles specifications'!$B$2:$CW$2,0))</f>
        <v>4.7</v>
      </c>
    </row>
    <row r="18" spans="1:8" x14ac:dyDescent="0.2">
      <c r="A18" t="s">
        <v>652</v>
      </c>
      <c r="B18" s="20" t="s">
        <v>44</v>
      </c>
    </row>
    <row r="19" spans="1:8" x14ac:dyDescent="0.2">
      <c r="A19" t="s">
        <v>134</v>
      </c>
      <c r="B19">
        <f>INDEX('vehicles specifications'!$B$3:$CW$166,MATCH(B6,'vehicles specifications'!$A$3:$A$166,0),MATCH("Energy battery mass [kg]",'vehicles specifications'!$B$2:$CW$2,0))</f>
        <v>23.2</v>
      </c>
    </row>
    <row r="20" spans="1:8" x14ac:dyDescent="0.2">
      <c r="A20" t="s">
        <v>135</v>
      </c>
      <c r="B20">
        <f>INDEX('vehicles specifications'!$B$3:$CW$166,MATCH(B6,'vehicles specifications'!$A$3:$A$166,0),MATCH("Electric energy stored [kWh]",'vehicles specifications'!$B$2:$CW$2,0))</f>
        <v>2.9</v>
      </c>
    </row>
    <row r="21" spans="1:8" x14ac:dyDescent="0.2">
      <c r="A21" t="s">
        <v>588</v>
      </c>
      <c r="B21">
        <f>INDEX('vehicles specifications'!$B$3:$CW$166,MATCH(B6,'vehicles specifications'!$A$3:$A$166,0),MATCH("Electric energy available [kWh]",'vehicles specifications'!$B$2:$CW$2,0))</f>
        <v>2.3199999999999998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45.890109890109891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4-11kW, LFP battery, 2020</v>
      </c>
      <c r="B33" s="3">
        <v>1</v>
      </c>
      <c r="C33" t="str">
        <f>B2</f>
        <v>CH</v>
      </c>
      <c r="D33" t="str">
        <f>B9</f>
        <v>unit</v>
      </c>
      <c r="F33" t="s">
        <v>84</v>
      </c>
      <c r="G33" t="s">
        <v>85</v>
      </c>
      <c r="H33" t="str">
        <f>B3</f>
        <v>Motorbike,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65.433826960328489</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13.086765392065699</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19.630148088098547</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759</v>
      </c>
      <c r="B37" s="3">
        <f>INDEX('vehicles specifications'!$B$3:$CW$166,MATCH(B6,'vehicles specifications'!$A$3:$A$166,0),MATCH(G37,'vehicles specifications'!$B$2:$CW$2,0))*INDEX('ei names mapping'!$B$137:$BL$300,MATCH(B6,'ei names mapping'!$A$137:$A$300,0),MATCH(G37,'ei names mapping'!$B$136:$BL$136,0))</f>
        <v>29</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5.8</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65.433826960328489</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32.716913480164244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-34.799999999999997</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121.35074044049274</v>
      </c>
      <c r="C43" t="s">
        <v>92</v>
      </c>
      <c r="D43" t="s">
        <v>233</v>
      </c>
      <c r="F43" t="s">
        <v>89</v>
      </c>
      <c r="H43" s="13" t="s">
        <v>841</v>
      </c>
    </row>
    <row r="44" spans="1:8" x14ac:dyDescent="0.2">
      <c r="A44" s="13" t="s">
        <v>441</v>
      </c>
      <c r="B44" s="3">
        <f>(B16/1000)*B28</f>
        <v>1929.4767730038345</v>
      </c>
      <c r="C44" t="s">
        <v>95</v>
      </c>
      <c r="D44" t="s">
        <v>233</v>
      </c>
      <c r="F44" t="s">
        <v>89</v>
      </c>
      <c r="H44" s="13" t="s">
        <v>441</v>
      </c>
    </row>
    <row r="45" spans="1:8" x14ac:dyDescent="0.2">
      <c r="B45" s="11"/>
    </row>
    <row r="46" spans="1:8" ht="16" x14ac:dyDescent="0.2">
      <c r="A46" s="10" t="s">
        <v>71</v>
      </c>
      <c r="B46" s="8" t="str">
        <f>B48&amp;", "&amp;B63&amp;" battery, "&amp;B50</f>
        <v>Motorbike, electric, 4-11kW, LFP battery, 2030</v>
      </c>
    </row>
    <row r="47" spans="1:8" x14ac:dyDescent="0.2">
      <c r="A47" t="s">
        <v>72</v>
      </c>
      <c r="B47" t="s">
        <v>37</v>
      </c>
    </row>
    <row r="48" spans="1:8" x14ac:dyDescent="0.2">
      <c r="A48" t="s">
        <v>86</v>
      </c>
      <c r="B48" t="s">
        <v>493</v>
      </c>
    </row>
    <row r="49" spans="1:2" x14ac:dyDescent="0.2">
      <c r="A49" t="s">
        <v>87</v>
      </c>
    </row>
    <row r="50" spans="1:2" x14ac:dyDescent="0.2">
      <c r="A50" t="s">
        <v>88</v>
      </c>
      <c r="B50">
        <v>2030</v>
      </c>
    </row>
    <row r="51" spans="1:2" x14ac:dyDescent="0.2">
      <c r="A51" t="s">
        <v>126</v>
      </c>
      <c r="B51" t="str">
        <f>B48&amp;" - "&amp;B50&amp;" - "&amp;B63&amp;" - "&amp;B47</f>
        <v>Motorbike, electric, 4-11kW - 2030 - LFP - CH</v>
      </c>
    </row>
    <row r="52" spans="1:2" x14ac:dyDescent="0.2">
      <c r="A52" t="s">
        <v>73</v>
      </c>
      <c r="B52" t="str">
        <f>B48</f>
        <v>Motorbike,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1776</v>
      </c>
    </row>
    <row r="61" spans="1:2" x14ac:dyDescent="0.2">
      <c r="A61" t="s">
        <v>132</v>
      </c>
      <c r="B61" s="2">
        <f>INDEX('vehicles specifications'!$B$3:$CW$166,MATCH(B51,'vehicles specifications'!$A$3:$A$166,0),MATCH("Curb mass [kg]",'vehicles specifications'!$B$2:$CW$2,0))</f>
        <v>128.93215452237325</v>
      </c>
    </row>
    <row r="62" spans="1:2" x14ac:dyDescent="0.2">
      <c r="A62" t="s">
        <v>133</v>
      </c>
      <c r="B62">
        <f>INDEX('vehicles specifications'!$B$3:$CW$166,MATCH(B51,'vehicles specifications'!$A$3:$A$166,0),MATCH("Power [kW]",'vehicles specifications'!$B$2:$CW$2,0))</f>
        <v>4.7</v>
      </c>
    </row>
    <row r="63" spans="1:2" x14ac:dyDescent="0.2">
      <c r="A63" t="s">
        <v>652</v>
      </c>
      <c r="B63" s="20" t="s">
        <v>44</v>
      </c>
    </row>
    <row r="64" spans="1:2" x14ac:dyDescent="0.2">
      <c r="A64" t="s">
        <v>134</v>
      </c>
      <c r="B64">
        <f>INDEX('vehicles specifications'!$B$3:$CW$166,MATCH(B51,'vehicles specifications'!$A$3:$A$166,0),MATCH("Energy battery mass [kg]",'vehicles specifications'!$B$2:$CW$2,0))</f>
        <v>33.333333333333336</v>
      </c>
    </row>
    <row r="65" spans="1:8" x14ac:dyDescent="0.2">
      <c r="A65" t="s">
        <v>135</v>
      </c>
      <c r="B65">
        <f>INDEX('vehicles specifications'!$B$3:$CW$166,MATCH(B51,'vehicles specifications'!$A$3:$A$166,0),MATCH("Electric energy stored [kWh]",'vehicles specifications'!$B$2:$CW$2,0))</f>
        <v>5</v>
      </c>
    </row>
    <row r="66" spans="1:8" x14ac:dyDescent="0.2">
      <c r="A66" t="s">
        <v>588</v>
      </c>
      <c r="B66">
        <f>INDEX('vehicles specifications'!$B$3:$CW$166,MATCH(B51,'vehicles specifications'!$A$3:$A$166,0),MATCH("Electric energy available [kWh]",'vehicles specifications'!$B$2:$CW$2,0))</f>
        <v>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79.120879120879124</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128.9 kg. Lightweighting of glider: 3%. Emission standard: None. Service visits throughout lifetime: 1. Range: 79 km. Battery capacity: 5 kWh. Available battery capacity: 4 kWh. Battery mass: 33.3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4-11kW, LFP battery, 2030</v>
      </c>
      <c r="B78">
        <v>1</v>
      </c>
      <c r="C78" t="str">
        <f>B47</f>
        <v>CH</v>
      </c>
      <c r="D78" t="str">
        <f>B54</f>
        <v>unit</v>
      </c>
      <c r="F78" t="s">
        <v>84</v>
      </c>
      <c r="G78" t="s">
        <v>85</v>
      </c>
      <c r="H78" t="str">
        <f>B48</f>
        <v>Motorbike,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65.433826960328489</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1.9630148088098547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13.086765392065699</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19.041243645455587</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759</v>
      </c>
      <c r="B83" s="11">
        <f>INDEX('vehicles specifications'!$B$3:$CW$166,MATCH(B51,'vehicles specifications'!$A$3:$A$166,0),MATCH(G83,'vehicles specifications'!$B$2:$CW$2,0))*INDEX('ei names mapping'!$B$137:$BL$300,MATCH(B51,'ei names mapping'!$A$137:$A$300,0),MATCH(G83,'ei names mapping'!$B$136:$BL$136,0))</f>
        <v>34.722222222222221</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6.9444444444444455</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63.470812151518629</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32.128009037521288</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-41.666666666666671</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128.93215452237325</v>
      </c>
      <c r="C89" t="s">
        <v>92</v>
      </c>
      <c r="D89" t="s">
        <v>233</v>
      </c>
      <c r="F89" t="s">
        <v>89</v>
      </c>
      <c r="H89" s="13" t="s">
        <v>841</v>
      </c>
    </row>
    <row r="90" spans="1:8" x14ac:dyDescent="0.2">
      <c r="A90" s="13" t="s">
        <v>441</v>
      </c>
      <c r="B90" s="2">
        <f>(B61/1000)*B73</f>
        <v>2050.0212569057348</v>
      </c>
      <c r="C90" t="s">
        <v>95</v>
      </c>
      <c r="D90" t="s">
        <v>233</v>
      </c>
      <c r="F90" t="s">
        <v>89</v>
      </c>
      <c r="H90" s="13" t="s">
        <v>441</v>
      </c>
    </row>
    <row r="92" spans="1:8" ht="16" x14ac:dyDescent="0.2">
      <c r="A92" s="10" t="s">
        <v>71</v>
      </c>
      <c r="B92" s="8" t="str">
        <f>B94&amp;", "&amp;B109&amp;" battery, "&amp;B96</f>
        <v>Motorbike, electric, 4-11kW, LFP battery, 2040</v>
      </c>
    </row>
    <row r="93" spans="1:8" x14ac:dyDescent="0.2">
      <c r="A93" t="s">
        <v>72</v>
      </c>
      <c r="B93" t="s">
        <v>37</v>
      </c>
    </row>
    <row r="94" spans="1:8" x14ac:dyDescent="0.2">
      <c r="A94" t="s">
        <v>86</v>
      </c>
      <c r="B94" t="s">
        <v>493</v>
      </c>
    </row>
    <row r="95" spans="1:8" x14ac:dyDescent="0.2">
      <c r="A95" t="s">
        <v>87</v>
      </c>
    </row>
    <row r="96" spans="1:8" x14ac:dyDescent="0.2">
      <c r="A96" t="s">
        <v>88</v>
      </c>
      <c r="B96">
        <v>2040</v>
      </c>
    </row>
    <row r="97" spans="1:2" x14ac:dyDescent="0.2">
      <c r="A97" t="s">
        <v>126</v>
      </c>
      <c r="B97" t="str">
        <f>B94&amp;" - "&amp;B96&amp;" - "&amp;B109&amp;" - "&amp;B93</f>
        <v>Motorbike, electric, 4-11kW - 2040 - LFP - CH</v>
      </c>
    </row>
    <row r="98" spans="1:2" x14ac:dyDescent="0.2">
      <c r="A98" t="s">
        <v>73</v>
      </c>
      <c r="B98" t="str">
        <f>B94</f>
        <v>Motorbike,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1776</v>
      </c>
    </row>
    <row r="107" spans="1:2" x14ac:dyDescent="0.2">
      <c r="A107" t="s">
        <v>132</v>
      </c>
      <c r="B107" s="2">
        <f>INDEX('vehicles specifications'!$B$3:$CW$166,MATCH(B97,'vehicles specifications'!$A$3:$A$166,0),MATCH("Curb mass [kg]",'vehicles specifications'!$B$2:$CW$2,0))</f>
        <v>140.56420835473804</v>
      </c>
    </row>
    <row r="108" spans="1:2" x14ac:dyDescent="0.2">
      <c r="A108" t="s">
        <v>133</v>
      </c>
      <c r="B108">
        <f>INDEX('vehicles specifications'!$B$3:$CW$166,MATCH(B97,'vehicles specifications'!$A$3:$A$166,0),MATCH("Power [kW]",'vehicles specifications'!$B$2:$CW$2,0))</f>
        <v>4.7</v>
      </c>
    </row>
    <row r="109" spans="1:2" x14ac:dyDescent="0.2">
      <c r="A109" t="s">
        <v>652</v>
      </c>
      <c r="B109" s="20" t="s">
        <v>44</v>
      </c>
    </row>
    <row r="110" spans="1:2" x14ac:dyDescent="0.2">
      <c r="A110" t="s">
        <v>134</v>
      </c>
      <c r="B110">
        <f>INDEX('vehicles specifications'!$B$3:$CW$166,MATCH(B97,'vehicles specifications'!$A$3:$A$166,0),MATCH("Energy battery mass [kg]",'vehicles specifications'!$B$2:$CW$2,0))</f>
        <v>46.666666666666671</v>
      </c>
    </row>
    <row r="111" spans="1:2" x14ac:dyDescent="0.2">
      <c r="A111" t="s">
        <v>135</v>
      </c>
      <c r="B111">
        <f>INDEX('vehicles specifications'!$B$3:$CW$166,MATCH(B97,'vehicles specifications'!$A$3:$A$166,0),MATCH("Electric energy stored [kWh]",'vehicles specifications'!$B$2:$CW$2,0))</f>
        <v>7</v>
      </c>
    </row>
    <row r="112" spans="1:2" x14ac:dyDescent="0.2">
      <c r="A112" t="s">
        <v>588</v>
      </c>
      <c r="B112">
        <f>INDEX('vehicles specifications'!$B$3:$CW$166,MATCH(B97,'vehicles specifications'!$A$3:$A$166,0),MATCH("Electric energy available [kWh]",'vehicles specifications'!$B$2:$CW$2,0))</f>
        <v>5.6000000000000005</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110.76923076923079</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140.6 kg. Lightweighting of glider: 5%. Emission standard: None. Service visits throughout lifetime: 1. Range: 111 km. Battery capacity: 7 kWh. Available battery capacity: 5.6 kWh. Battery mass: 46.7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4-11kW, LFP battery, 2040</v>
      </c>
      <c r="B124">
        <v>1</v>
      </c>
      <c r="C124" t="str">
        <f>B93</f>
        <v>CH</v>
      </c>
      <c r="D124" t="str">
        <f>B100</f>
        <v>unit</v>
      </c>
      <c r="F124" t="s">
        <v>84</v>
      </c>
      <c r="G124" t="s">
        <v>85</v>
      </c>
      <c r="H124" t="str">
        <f>B94</f>
        <v>Motorbike,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65.433826960328489</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3.2716913480164247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13.086765392065699</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18.648640683693618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759</v>
      </c>
      <c r="B129" s="11">
        <f>INDEX('vehicles specifications'!$B$3:$CW$166,MATCH(B97,'vehicles specifications'!$A$3:$A$166,0),MATCH(G129,'vehicles specifications'!$B$2:$CW$2,0))*INDEX('ei names mapping'!$B$137:$BL$300,MATCH(B97,'ei names mapping'!$A$137:$A$300,0),MATCH(G129,'ei names mapping'!$B$136:$BL$136,0))</f>
        <v>38.888888888888893</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7.7777777777777786</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62.162135612312063</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31.735406075759315</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-46.666666666666671</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140.56420835473804</v>
      </c>
      <c r="C135" t="s">
        <v>92</v>
      </c>
      <c r="D135" t="s">
        <v>233</v>
      </c>
      <c r="F135" t="s">
        <v>89</v>
      </c>
      <c r="H135" s="13" t="s">
        <v>841</v>
      </c>
    </row>
    <row r="136" spans="1:8" x14ac:dyDescent="0.2">
      <c r="A136" s="13" t="s">
        <v>441</v>
      </c>
      <c r="B136" s="2">
        <f>(B107/1000)*B119</f>
        <v>2234.9709128403347</v>
      </c>
      <c r="C136" t="s">
        <v>95</v>
      </c>
      <c r="D136" t="s">
        <v>233</v>
      </c>
      <c r="F136" t="s">
        <v>89</v>
      </c>
      <c r="H136" s="13" t="s">
        <v>441</v>
      </c>
    </row>
    <row r="138" spans="1:8" ht="16" x14ac:dyDescent="0.2">
      <c r="A138" s="10" t="s">
        <v>71</v>
      </c>
      <c r="B138" s="8" t="str">
        <f>B140&amp;", "&amp;B155&amp;" battery, "&amp;B142</f>
        <v>Motorbike, electric, 4-11kW, LFP battery, 2050</v>
      </c>
    </row>
    <row r="139" spans="1:8" x14ac:dyDescent="0.2">
      <c r="A139" t="s">
        <v>72</v>
      </c>
      <c r="B139" t="s">
        <v>37</v>
      </c>
    </row>
    <row r="140" spans="1:8" x14ac:dyDescent="0.2">
      <c r="A140" t="s">
        <v>86</v>
      </c>
      <c r="B140" t="s">
        <v>493</v>
      </c>
    </row>
    <row r="141" spans="1:8" x14ac:dyDescent="0.2">
      <c r="A141" t="s">
        <v>87</v>
      </c>
    </row>
    <row r="142" spans="1:8" x14ac:dyDescent="0.2">
      <c r="A142" t="s">
        <v>88</v>
      </c>
      <c r="B142">
        <v>2050</v>
      </c>
    </row>
    <row r="143" spans="1:8" x14ac:dyDescent="0.2">
      <c r="A143" t="s">
        <v>126</v>
      </c>
      <c r="B143" t="str">
        <f>B140&amp;" - "&amp;B142&amp;" - "&amp;B155&amp;" - "&amp;B139</f>
        <v>Motorbike, electric, 4-11kW - 2050 - LFP - CH</v>
      </c>
    </row>
    <row r="144" spans="1:8" x14ac:dyDescent="0.2">
      <c r="A144" t="s">
        <v>73</v>
      </c>
      <c r="B144" t="str">
        <f>B140</f>
        <v>Motorbike,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1776</v>
      </c>
    </row>
    <row r="153" spans="1:2" x14ac:dyDescent="0.2">
      <c r="A153" t="s">
        <v>132</v>
      </c>
      <c r="B153" s="2">
        <f>INDEX('vehicles specifications'!$B$3:$CW$166,MATCH(B143,'vehicles specifications'!$A$3:$A$166,0),MATCH("Curb mass [kg]",'vehicles specifications'!$B$2:$CW$2,0))</f>
        <v>149.19626218710283</v>
      </c>
    </row>
    <row r="154" spans="1:2" x14ac:dyDescent="0.2">
      <c r="A154" t="s">
        <v>133</v>
      </c>
      <c r="B154">
        <f>INDEX('vehicles specifications'!$B$3:$CW$166,MATCH(B143,'vehicles specifications'!$A$3:$A$166,0),MATCH("Power [kW]",'vehicles specifications'!$B$2:$CW$2,0))</f>
        <v>4.7</v>
      </c>
    </row>
    <row r="155" spans="1:2" x14ac:dyDescent="0.2">
      <c r="A155" t="s">
        <v>652</v>
      </c>
      <c r="B155" s="20" t="s">
        <v>44</v>
      </c>
    </row>
    <row r="156" spans="1:2" x14ac:dyDescent="0.2">
      <c r="A156" t="s">
        <v>134</v>
      </c>
      <c r="B156">
        <f>INDEX('vehicles specifications'!$B$3:$CW$166,MATCH(B143,'vehicles specifications'!$A$3:$A$166,0),MATCH("Energy battery mass [kg]",'vehicles specifications'!$B$2:$CW$2,0))</f>
        <v>57</v>
      </c>
    </row>
    <row r="157" spans="1:2" x14ac:dyDescent="0.2">
      <c r="A157" t="s">
        <v>135</v>
      </c>
      <c r="B157">
        <f>INDEX('vehicles specifications'!$B$3:$CW$166,MATCH(B143,'vehicles specifications'!$A$3:$A$166,0),MATCH("Electric energy stored [kWh]",'vehicles specifications'!$B$2:$CW$2,0))</f>
        <v>9.5</v>
      </c>
    </row>
    <row r="158" spans="1:2" x14ac:dyDescent="0.2">
      <c r="A158" t="s">
        <v>588</v>
      </c>
      <c r="B158">
        <f>INDEX('vehicles specifications'!$B$3:$CW$166,MATCH(B143,'vehicles specifications'!$A$3:$A$166,0),MATCH("Electric energy available [kWh]",'vehicles specifications'!$B$2:$CW$2,0))</f>
        <v>7.6000000000000005</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150.32967032967034</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149.2 kg. Lightweighting of glider: 7%. Emission standard: None. Service visits throughout lifetime: 1. Range: 150 km. Battery capacity: 9.5 kWh. Available battery capacity: 7.6 kWh. Battery mass: 57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4-11kW, LFP battery, 2050</v>
      </c>
      <c r="B170">
        <v>1</v>
      </c>
      <c r="C170" t="str">
        <f>B139</f>
        <v>CH</v>
      </c>
      <c r="D170" t="str">
        <f>B146</f>
        <v>unit</v>
      </c>
      <c r="F170" t="s">
        <v>84</v>
      </c>
      <c r="G170" t="s">
        <v>85</v>
      </c>
      <c r="H170" t="str">
        <f>B140</f>
        <v>Motorbike,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65.433826960328489</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5.6700000000000008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13.086765392065699</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18.256037721931648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759</v>
      </c>
      <c r="B175" s="11">
        <f>INDEX('vehicles specifications'!$B$3:$CW$166,MATCH(B143,'vehicles specifications'!$A$3:$A$166,0),MATCH(G175,'vehicles specifications'!$B$2:$CW$2,0))*INDEX('ei names mapping'!$B$137:$BL$300,MATCH(B143,'ei names mapping'!$A$137:$A$300,0),MATCH(G175,'ei names mapping'!$B$136:$BL$136,0))</f>
        <v>95</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19</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60.853459073105491</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31.342803113997348</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-114</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149.19626218710283</v>
      </c>
      <c r="C181" t="s">
        <v>92</v>
      </c>
      <c r="D181" t="s">
        <v>233</v>
      </c>
      <c r="F181" t="s">
        <v>89</v>
      </c>
      <c r="H181" s="13" t="s">
        <v>841</v>
      </c>
    </row>
    <row r="182" spans="1:8" x14ac:dyDescent="0.2">
      <c r="A182" s="13" t="s">
        <v>441</v>
      </c>
      <c r="B182" s="2">
        <f>(B153/1000)*B165</f>
        <v>2372.2205687749351</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4-11kW, LFP battery, 2020</v>
      </c>
    </row>
    <row r="185" spans="1:8" x14ac:dyDescent="0.2">
      <c r="A185" t="s">
        <v>72</v>
      </c>
      <c r="B185" t="s">
        <v>37</v>
      </c>
    </row>
    <row r="186" spans="1:8" x14ac:dyDescent="0.2">
      <c r="A186" t="s">
        <v>86</v>
      </c>
      <c r="B186" t="s">
        <v>493</v>
      </c>
    </row>
    <row r="187" spans="1:8" x14ac:dyDescent="0.2">
      <c r="A187" t="s">
        <v>87</v>
      </c>
    </row>
    <row r="188" spans="1:8" x14ac:dyDescent="0.2">
      <c r="A188" t="s">
        <v>88</v>
      </c>
      <c r="B188">
        <v>2020</v>
      </c>
    </row>
    <row r="189" spans="1:8" x14ac:dyDescent="0.2">
      <c r="A189" t="s">
        <v>126</v>
      </c>
      <c r="B189" t="str">
        <f>B186&amp;" - "&amp;B188&amp;" - "&amp;B201&amp;" - "&amp;B185</f>
        <v>Motorbike, electric, 4-11kW - 2020 - LFP - CH</v>
      </c>
    </row>
    <row r="190" spans="1:8" x14ac:dyDescent="0.2">
      <c r="A190" t="s">
        <v>73</v>
      </c>
      <c r="B190" t="str">
        <f>"transport, "&amp;B186</f>
        <v>transport, Motorbike,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1776</v>
      </c>
    </row>
    <row r="199" spans="1:2" x14ac:dyDescent="0.2">
      <c r="A199" t="s">
        <v>132</v>
      </c>
      <c r="B199" s="2">
        <f>INDEX('vehicles specifications'!$B$3:$CW$166,MATCH(B189,'vehicles specifications'!$A$3:$A$166,0),MATCH("Curb mass [kg]",'vehicles specifications'!$B$2:$CW$2,0))</f>
        <v>121.35074044049274</v>
      </c>
    </row>
    <row r="200" spans="1:2" x14ac:dyDescent="0.2">
      <c r="A200" t="s">
        <v>133</v>
      </c>
      <c r="B200">
        <f>INDEX('vehicles specifications'!$B$3:$CW$166,MATCH(B189,'vehicles specifications'!$A$3:$A$166,0),MATCH("Power [kW]",'vehicles specifications'!$B$2:$CW$2,0))</f>
        <v>4.7</v>
      </c>
    </row>
    <row r="201" spans="1:2" x14ac:dyDescent="0.2">
      <c r="A201" t="s">
        <v>652</v>
      </c>
      <c r="B201" s="20" t="s">
        <v>44</v>
      </c>
    </row>
    <row r="202" spans="1:2" x14ac:dyDescent="0.2">
      <c r="A202" t="s">
        <v>134</v>
      </c>
      <c r="B202">
        <f>INDEX('vehicles specifications'!$B$3:$CW$166,MATCH(B189,'vehicles specifications'!$A$3:$A$166,0),MATCH("Energy battery mass [kg]",'vehicles specifications'!$B$2:$CW$2,0))</f>
        <v>23.2</v>
      </c>
    </row>
    <row r="203" spans="1:2" x14ac:dyDescent="0.2">
      <c r="A203" t="s">
        <v>135</v>
      </c>
      <c r="B203">
        <f>INDEX('vehicles specifications'!$B$3:$CW$166,MATCH(B189,'vehicles specifications'!$A$3:$A$166,0),MATCH("Electric energy stored [kWh]",'vehicles specifications'!$B$2:$CW$2,0))</f>
        <v>2.9</v>
      </c>
    </row>
    <row r="204" spans="1:2" x14ac:dyDescent="0.2">
      <c r="A204" t="s">
        <v>588</v>
      </c>
      <c r="B204">
        <f>INDEX('vehicles specifications'!$B$3:$CW$166,MATCH(B189,'vehicles specifications'!$A$3:$A$166,0),MATCH("Electric energy available [kWh]",'vehicles specifications'!$B$2:$CW$2,0))</f>
        <v>2.3199999999999998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45.890109890109891</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121.4 kg. Lightweighting of glider: 0%. Emission standard: None. Service visits throughout lifetime: 1. Range: 46 km. Battery capacity: 2.9 kWh. Available battery capacity: 2.32 kWh. Battery mass: 23.2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4-11kW, LFP battery, 2020</v>
      </c>
      <c r="B213">
        <v>1</v>
      </c>
      <c r="C213" t="str">
        <f>B185</f>
        <v>CH</v>
      </c>
      <c r="D213" t="s">
        <v>166</v>
      </c>
      <c r="F213" t="s">
        <v>84</v>
      </c>
      <c r="G213" t="s">
        <v>85</v>
      </c>
      <c r="H213" t="str">
        <f>B190</f>
        <v>transport, Motorbike, electric, 4-11kW</v>
      </c>
    </row>
    <row r="214" spans="1:8" x14ac:dyDescent="0.2">
      <c r="A214" t="str">
        <f>RIGHT(A213,LEN(A213)-11)</f>
        <v>Motorbike, electric, 4-11kW, LFP battery, 2020</v>
      </c>
      <c r="B214" s="7">
        <f>1/B194</f>
        <v>4.0000000000000003E-5</v>
      </c>
      <c r="C214" t="str">
        <f>B185</f>
        <v>CH</v>
      </c>
      <c r="D214" t="s">
        <v>76</v>
      </c>
      <c r="F214" t="s">
        <v>89</v>
      </c>
      <c r="H214" t="str">
        <f>RIGHT(H213,LEN(H213)-11)</f>
        <v>Motorbike,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1.1268984761654461E-4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5.5611111111111111E-2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-7.5683948720314811E-6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-5.2241561208311976E-6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-2.8480467474369508E-6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4-11kW, LFP battery, 2030</v>
      </c>
    </row>
    <row r="224" spans="1:8" x14ac:dyDescent="0.2">
      <c r="A224" t="s">
        <v>72</v>
      </c>
      <c r="B224" t="s">
        <v>37</v>
      </c>
    </row>
    <row r="225" spans="1:2" x14ac:dyDescent="0.2">
      <c r="A225" t="s">
        <v>86</v>
      </c>
      <c r="B225" t="s">
        <v>493</v>
      </c>
    </row>
    <row r="226" spans="1:2" x14ac:dyDescent="0.2">
      <c r="A226" t="s">
        <v>87</v>
      </c>
    </row>
    <row r="227" spans="1:2" x14ac:dyDescent="0.2">
      <c r="A227" t="s">
        <v>88</v>
      </c>
      <c r="B227">
        <v>2030</v>
      </c>
    </row>
    <row r="228" spans="1:2" x14ac:dyDescent="0.2">
      <c r="A228" t="s">
        <v>126</v>
      </c>
      <c r="B228" t="str">
        <f>B225&amp;" - "&amp;B227&amp;" - "&amp;B240&amp;" - "&amp;B224</f>
        <v>Motorbike, electric, 4-11kW - 2030 - LFP - CH</v>
      </c>
    </row>
    <row r="229" spans="1:2" x14ac:dyDescent="0.2">
      <c r="A229" t="s">
        <v>73</v>
      </c>
      <c r="B229" t="str">
        <f>"transport, "&amp;B225</f>
        <v>transport, Motorbike,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1776</v>
      </c>
    </row>
    <row r="238" spans="1:2" x14ac:dyDescent="0.2">
      <c r="A238" t="s">
        <v>132</v>
      </c>
      <c r="B238" s="2">
        <f>INDEX('vehicles specifications'!$B$3:$CW$166,MATCH(B228,'vehicles specifications'!$A$3:$A$166,0),MATCH("Curb mass [kg]",'vehicles specifications'!$B$2:$CW$2,0))</f>
        <v>128.93215452237325</v>
      </c>
    </row>
    <row r="239" spans="1:2" x14ac:dyDescent="0.2">
      <c r="A239" t="s">
        <v>133</v>
      </c>
      <c r="B239">
        <f>INDEX('vehicles specifications'!$B$3:$CW$166,MATCH(B228,'vehicles specifications'!$A$3:$A$166,0),MATCH("Power [kW]",'vehicles specifications'!$B$2:$CW$2,0))</f>
        <v>4.7</v>
      </c>
    </row>
    <row r="240" spans="1:2" x14ac:dyDescent="0.2">
      <c r="A240" t="s">
        <v>652</v>
      </c>
      <c r="B240" s="20" t="s">
        <v>44</v>
      </c>
    </row>
    <row r="241" spans="1:8" x14ac:dyDescent="0.2">
      <c r="A241" t="s">
        <v>134</v>
      </c>
      <c r="B241">
        <f>INDEX('vehicles specifications'!$B$3:$CW$166,MATCH(B228,'vehicles specifications'!$A$3:$A$166,0),MATCH("Energy battery mass [kg]",'vehicles specifications'!$B$2:$CW$2,0))</f>
        <v>33.333333333333336</v>
      </c>
    </row>
    <row r="242" spans="1:8" x14ac:dyDescent="0.2">
      <c r="A242" t="s">
        <v>135</v>
      </c>
      <c r="B242">
        <f>INDEX('vehicles specifications'!$B$3:$CW$166,MATCH(B228,'vehicles specifications'!$A$3:$A$166,0),MATCH("Electric energy stored [kWh]",'vehicles specifications'!$B$2:$CW$2,0))</f>
        <v>5</v>
      </c>
    </row>
    <row r="243" spans="1:8" x14ac:dyDescent="0.2">
      <c r="A243" t="s">
        <v>588</v>
      </c>
      <c r="B243">
        <f>INDEX('vehicles specifications'!$B$3:$CW$166,MATCH(B228,'vehicles specifications'!$A$3:$A$166,0),MATCH("Electric energy available [kWh]",'vehicles specifications'!$B$2:$CW$2,0))</f>
        <v>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79.120879120879124</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128.9 kg. Lightweighting of glider: 3%. Emission standard: None. Service visits throughout lifetime: 1. Range: 79 km. Battery capacity: 5 kWh. Available battery capacity: 4 kWh. Battery mass: 33.3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4-11kW, LFP battery, 2030</v>
      </c>
      <c r="B252">
        <v>1</v>
      </c>
      <c r="C252" t="str">
        <f>B224</f>
        <v>CH</v>
      </c>
      <c r="D252" t="s">
        <v>166</v>
      </c>
      <c r="F252" t="s">
        <v>84</v>
      </c>
      <c r="G252" t="s">
        <v>85</v>
      </c>
      <c r="H252" t="str">
        <f>B229</f>
        <v>transport, Motorbike, electric, 4-11kW</v>
      </c>
    </row>
    <row r="253" spans="1:8" x14ac:dyDescent="0.2">
      <c r="A253" t="str">
        <f>RIGHT(A252,LEN(A252)-11)</f>
        <v>Motorbike, electric, 4-11kW, LFP battery, 2030</v>
      </c>
      <c r="B253" s="7">
        <f>1/B233</f>
        <v>4.0000000000000003E-5</v>
      </c>
      <c r="C253" t="str">
        <f>B224</f>
        <v>CH</v>
      </c>
      <c r="D253" t="s">
        <v>76</v>
      </c>
      <c r="F253" t="s">
        <v>89</v>
      </c>
      <c r="H253" t="str">
        <f>RIGHT(H252,LEN(H252)-11)</f>
        <v>Motorbike, electric, 4-11kW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5.5611111111111111E-2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1.1676106697851444E-4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-7.7846938815666578E-6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-5.3261278910703132E-6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-2.915490592292193E-6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4-11kW, LFP battery, 2040</v>
      </c>
    </row>
    <row r="263" spans="1:8" x14ac:dyDescent="0.2">
      <c r="A263" t="s">
        <v>72</v>
      </c>
      <c r="B263" t="s">
        <v>37</v>
      </c>
    </row>
    <row r="264" spans="1:8" x14ac:dyDescent="0.2">
      <c r="A264" t="s">
        <v>86</v>
      </c>
      <c r="B264" t="s">
        <v>493</v>
      </c>
    </row>
    <row r="265" spans="1:8" x14ac:dyDescent="0.2">
      <c r="A265" t="s">
        <v>87</v>
      </c>
    </row>
    <row r="266" spans="1:8" x14ac:dyDescent="0.2">
      <c r="A266" t="s">
        <v>88</v>
      </c>
      <c r="B266">
        <v>2040</v>
      </c>
    </row>
    <row r="267" spans="1:8" x14ac:dyDescent="0.2">
      <c r="A267" t="s">
        <v>126</v>
      </c>
      <c r="B267" t="str">
        <f>B264&amp;" - "&amp;B266&amp;" - "&amp;B279&amp;" - "&amp;B263</f>
        <v>Motorbike, electric, 4-11kW - 2040 - LFP - CH</v>
      </c>
    </row>
    <row r="268" spans="1:8" x14ac:dyDescent="0.2">
      <c r="A268" t="s">
        <v>73</v>
      </c>
      <c r="B268" t="str">
        <f>"transport, "&amp;B264</f>
        <v>transport, Motorbike,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1776</v>
      </c>
    </row>
    <row r="277" spans="1:2" x14ac:dyDescent="0.2">
      <c r="A277" t="s">
        <v>132</v>
      </c>
      <c r="B277" s="2">
        <f>INDEX('vehicles specifications'!$B$3:$CW$166,MATCH(B267,'vehicles specifications'!$A$3:$A$166,0),MATCH("Curb mass [kg]",'vehicles specifications'!$B$2:$CW$2,0))</f>
        <v>140.56420835473804</v>
      </c>
    </row>
    <row r="278" spans="1:2" x14ac:dyDescent="0.2">
      <c r="A278" t="s">
        <v>133</v>
      </c>
      <c r="B278">
        <f>INDEX('vehicles specifications'!$B$3:$CW$166,MATCH(B267,'vehicles specifications'!$A$3:$A$166,0),MATCH("Power [kW]",'vehicles specifications'!$B$2:$CW$2,0))</f>
        <v>4.7</v>
      </c>
    </row>
    <row r="279" spans="1:2" x14ac:dyDescent="0.2">
      <c r="A279" t="s">
        <v>652</v>
      </c>
      <c r="B279" s="20" t="s">
        <v>44</v>
      </c>
    </row>
    <row r="280" spans="1:2" x14ac:dyDescent="0.2">
      <c r="A280" t="s">
        <v>134</v>
      </c>
      <c r="B280">
        <f>INDEX('vehicles specifications'!$B$3:$CW$166,MATCH(B267,'vehicles specifications'!$A$3:$A$166,0),MATCH("Energy battery mass [kg]",'vehicles specifications'!$B$2:$CW$2,0))</f>
        <v>46.666666666666671</v>
      </c>
    </row>
    <row r="281" spans="1:2" x14ac:dyDescent="0.2">
      <c r="A281" t="s">
        <v>135</v>
      </c>
      <c r="B281">
        <f>INDEX('vehicles specifications'!$B$3:$CW$166,MATCH(B267,'vehicles specifications'!$A$3:$A$166,0),MATCH("Electric energy stored [kWh]",'vehicles specifications'!$B$2:$CW$2,0))</f>
        <v>7</v>
      </c>
    </row>
    <row r="282" spans="1:2" x14ac:dyDescent="0.2">
      <c r="A282" t="s">
        <v>588</v>
      </c>
      <c r="B282">
        <f>INDEX('vehicles specifications'!$B$3:$CW$166,MATCH(B267,'vehicles specifications'!$A$3:$A$166,0),MATCH("Electric energy available [kWh]",'vehicles specifications'!$B$2:$CW$2,0))</f>
        <v>5.6000000000000005</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110.76923076923079</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140.6 kg. Lightweighting of glider: 5%. Emission standard: None. Service visits throughout lifetime: 1. Range: 111 km. Battery capacity: 7 kWh. Available battery capacity: 5.6 kWh. Battery mass: 46.7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4-11kW, LFP battery, 2040</v>
      </c>
      <c r="B291">
        <v>1</v>
      </c>
      <c r="C291" t="str">
        <f>B263</f>
        <v>CH</v>
      </c>
      <c r="D291" t="s">
        <v>166</v>
      </c>
      <c r="F291" t="s">
        <v>84</v>
      </c>
      <c r="G291" t="s">
        <v>85</v>
      </c>
      <c r="H291" t="str">
        <f>B268</f>
        <v>transport, Motorbike, electric, 4-11kW</v>
      </c>
    </row>
    <row r="292" spans="1:8" x14ac:dyDescent="0.2">
      <c r="A292" t="str">
        <f>RIGHT(A291,LEN(A291)-11)</f>
        <v>Motorbike, electric, 4-11kW, LFP battery, 2040</v>
      </c>
      <c r="B292" s="7">
        <f>1/B272</f>
        <v>4.0000000000000003E-5</v>
      </c>
      <c r="C292" t="str">
        <f>B263</f>
        <v>CH</v>
      </c>
      <c r="D292" t="s">
        <v>76</v>
      </c>
      <c r="F292" t="s">
        <v>89</v>
      </c>
      <c r="H292" t="str">
        <f>RIGHT(H291,LEN(H291)-11)</f>
        <v>Motorbike, electric, 4-11kW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5.5611111111111111E-2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1.2300747988649432E-4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-8.1138408813116197E-6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-5.4775058173496703E-6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-3.0166608935451095E-6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4-11kW, LFP battery, 2050</v>
      </c>
    </row>
    <row r="302" spans="1:8" x14ac:dyDescent="0.2">
      <c r="A302" t="s">
        <v>72</v>
      </c>
      <c r="B302" t="s">
        <v>37</v>
      </c>
    </row>
    <row r="303" spans="1:8" x14ac:dyDescent="0.2">
      <c r="A303" t="s">
        <v>86</v>
      </c>
      <c r="B303" t="s">
        <v>493</v>
      </c>
    </row>
    <row r="304" spans="1:8" x14ac:dyDescent="0.2">
      <c r="A304" t="s">
        <v>87</v>
      </c>
    </row>
    <row r="305" spans="1:2" x14ac:dyDescent="0.2">
      <c r="A305" t="s">
        <v>88</v>
      </c>
      <c r="B305">
        <v>2050</v>
      </c>
    </row>
    <row r="306" spans="1:2" x14ac:dyDescent="0.2">
      <c r="A306" t="s">
        <v>126</v>
      </c>
      <c r="B306" t="str">
        <f>B303&amp;" - "&amp;B305&amp;" - "&amp;B318&amp;" - "&amp;B302</f>
        <v>Motorbike, electric, 4-11kW - 2050 - LFP - CH</v>
      </c>
    </row>
    <row r="307" spans="1:2" x14ac:dyDescent="0.2">
      <c r="A307" t="s">
        <v>73</v>
      </c>
      <c r="B307" t="str">
        <f>"transport, "&amp;B303</f>
        <v>transport, Motorbike,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1776</v>
      </c>
    </row>
    <row r="316" spans="1:2" x14ac:dyDescent="0.2">
      <c r="A316" t="s">
        <v>132</v>
      </c>
      <c r="B316" s="2">
        <f>INDEX('vehicles specifications'!$B$3:$CW$166,MATCH(B306,'vehicles specifications'!$A$3:$A$166,0),MATCH("Curb mass [kg]",'vehicles specifications'!$B$2:$CW$2,0))</f>
        <v>149.19626218710283</v>
      </c>
    </row>
    <row r="317" spans="1:2" x14ac:dyDescent="0.2">
      <c r="A317" t="s">
        <v>133</v>
      </c>
      <c r="B317">
        <f>INDEX('vehicles specifications'!$B$3:$CW$166,MATCH(B306,'vehicles specifications'!$A$3:$A$166,0),MATCH("Power [kW]",'vehicles specifications'!$B$2:$CW$2,0))</f>
        <v>4.7</v>
      </c>
    </row>
    <row r="318" spans="1:2" x14ac:dyDescent="0.2">
      <c r="A318" t="s">
        <v>652</v>
      </c>
      <c r="B318" s="20" t="s">
        <v>44</v>
      </c>
    </row>
    <row r="319" spans="1:2" x14ac:dyDescent="0.2">
      <c r="A319" t="s">
        <v>134</v>
      </c>
      <c r="B319">
        <f>INDEX('vehicles specifications'!$B$3:$CW$166,MATCH(B306,'vehicles specifications'!$A$3:$A$166,0),MATCH("Energy battery mass [kg]",'vehicles specifications'!$B$2:$CW$2,0))</f>
        <v>57</v>
      </c>
    </row>
    <row r="320" spans="1:2" x14ac:dyDescent="0.2">
      <c r="A320" t="s">
        <v>135</v>
      </c>
      <c r="B320">
        <f>INDEX('vehicles specifications'!$B$3:$CW$166,MATCH(B306,'vehicles specifications'!$A$3:$A$166,0),MATCH("Electric energy stored [kWh]",'vehicles specifications'!$B$2:$CW$2,0))</f>
        <v>9.5</v>
      </c>
    </row>
    <row r="321" spans="1:8" x14ac:dyDescent="0.2">
      <c r="A321" t="s">
        <v>588</v>
      </c>
      <c r="B321">
        <f>INDEX('vehicles specifications'!$B$3:$CW$166,MATCH(B306,'vehicles specifications'!$A$3:$A$166,0),MATCH("Electric energy available [kWh]",'vehicles specifications'!$B$2:$CW$2,0))</f>
        <v>7.6000000000000005</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150.32967032967034</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149.2 kg. Lightweighting of glider: 7%. Emission standard: None. Service visits throughout lifetime: 1. Range: 150 km. Battery capacity: 9.5 kWh. Available battery capacity: 7.6 kWh. Battery mass: 57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4-11kW, LFP battery, 2050</v>
      </c>
      <c r="B330">
        <v>1</v>
      </c>
      <c r="C330" t="str">
        <f>B302</f>
        <v>CH</v>
      </c>
      <c r="D330" t="s">
        <v>166</v>
      </c>
      <c r="F330" t="s">
        <v>84</v>
      </c>
      <c r="G330" t="s">
        <v>85</v>
      </c>
      <c r="H330" t="str">
        <f>B307</f>
        <v>transport, Motorbike, electric, 4-11kW</v>
      </c>
    </row>
    <row r="331" spans="1:8" x14ac:dyDescent="0.2">
      <c r="A331" t="str">
        <f>RIGHT(A330,LEN(A330)-11)</f>
        <v>Motorbike, electric, 4-11kW, LFP battery, 2050</v>
      </c>
      <c r="B331" s="7">
        <f>1/B311</f>
        <v>4.0000000000000003E-5</v>
      </c>
      <c r="C331" t="str">
        <f>B302</f>
        <v>CH</v>
      </c>
      <c r="D331" t="s">
        <v>76</v>
      </c>
      <c r="F331" t="s">
        <v>89</v>
      </c>
      <c r="H331" t="str">
        <f>RIGHT(H330,LEN(H330)-11)</f>
        <v>Motorbike, electric, 4-11kW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5.5611111111111111E-2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2.5974025974025975E-5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1.2764289279447422E-4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-8.3560800088568897E-6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-5.586214921891139E-6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-3.0900661875984907E-6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638"/>
  <sheetViews>
    <sheetView topLeftCell="A322" workbookViewId="0">
      <selection activeCell="A345" sqref="A345"/>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4-11kW, NCA battery, 2020</v>
      </c>
    </row>
    <row r="2" spans="1:2" x14ac:dyDescent="0.2">
      <c r="A2" t="s">
        <v>72</v>
      </c>
      <c r="B2" t="s">
        <v>37</v>
      </c>
    </row>
    <row r="3" spans="1:2" x14ac:dyDescent="0.2">
      <c r="A3" t="s">
        <v>86</v>
      </c>
      <c r="B3" t="s">
        <v>493</v>
      </c>
    </row>
    <row r="4" spans="1:2" x14ac:dyDescent="0.2">
      <c r="A4" t="s">
        <v>87</v>
      </c>
    </row>
    <row r="5" spans="1:2" x14ac:dyDescent="0.2">
      <c r="A5" t="s">
        <v>88</v>
      </c>
      <c r="B5">
        <v>2020</v>
      </c>
    </row>
    <row r="6" spans="1:2" x14ac:dyDescent="0.2">
      <c r="A6" t="s">
        <v>126</v>
      </c>
      <c r="B6" t="str">
        <f>B3&amp;" - "&amp;B5&amp;" - "&amp;B18&amp;" - "&amp;B2</f>
        <v>Motorbike, electric, 4-11kW - 2020 - NCA - CH</v>
      </c>
    </row>
    <row r="7" spans="1:2" x14ac:dyDescent="0.2">
      <c r="A7" t="s">
        <v>73</v>
      </c>
      <c r="B7" t="str">
        <f>B3</f>
        <v>Motorbike,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114.54204478831883</v>
      </c>
    </row>
    <row r="17" spans="1:8" x14ac:dyDescent="0.2">
      <c r="A17" t="s">
        <v>133</v>
      </c>
      <c r="B17">
        <f>INDEX('vehicles specifications'!$B$3:$CW$166,MATCH(B6,'vehicles specifications'!$A$3:$A$166,0),MATCH("Power [kW]",'vehicles specifications'!$B$2:$CW$2,0))</f>
        <v>4.7</v>
      </c>
    </row>
    <row r="18" spans="1:8" x14ac:dyDescent="0.2">
      <c r="A18" t="s">
        <v>652</v>
      </c>
      <c r="B18" s="20" t="s">
        <v>45</v>
      </c>
    </row>
    <row r="19" spans="1:8" x14ac:dyDescent="0.2">
      <c r="A19" t="s">
        <v>134</v>
      </c>
      <c r="B19">
        <f>INDEX('vehicles specifications'!$B$3:$CW$166,MATCH(B6,'vehicles specifications'!$A$3:$A$166,0),MATCH("Energy battery mass [kg]",'vehicles specifications'!$B$2:$CW$2,0))</f>
        <v>16.391304347826086</v>
      </c>
    </row>
    <row r="20" spans="1:8" x14ac:dyDescent="0.2">
      <c r="A20" t="s">
        <v>135</v>
      </c>
      <c r="B20">
        <f>INDEX('vehicles specifications'!$B$3:$CW$166,MATCH(B6,'vehicles specifications'!$A$3:$A$166,0),MATCH("Electric energy stored [kWh]",'vehicles specifications'!$B$2:$CW$2,0))</f>
        <v>2.9</v>
      </c>
    </row>
    <row r="21" spans="1:8" x14ac:dyDescent="0.2">
      <c r="A21" t="s">
        <v>588</v>
      </c>
      <c r="B21">
        <f>INDEX('vehicles specifications'!$B$3:$CW$166,MATCH(B6,'vehicles specifications'!$A$3:$A$166,0),MATCH("Electric energy available [kWh]",'vehicles specifications'!$B$2:$CW$2,0))</f>
        <v>2.3199999999999998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45.890109890109891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4-11kW, NCA battery, 2020</v>
      </c>
      <c r="B33" s="3">
        <v>1</v>
      </c>
      <c r="C33" t="str">
        <f>B2</f>
        <v>CH</v>
      </c>
      <c r="D33" t="str">
        <f>B9</f>
        <v>unit</v>
      </c>
      <c r="F33" t="s">
        <v>84</v>
      </c>
      <c r="G33" t="s">
        <v>85</v>
      </c>
      <c r="H33" t="str">
        <f>B3</f>
        <v>Motorbike,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65.433826960328489</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13.086765392065699</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19.630148088098547</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760</v>
      </c>
      <c r="B37" s="3">
        <f>INDEX('vehicles specifications'!$B$3:$CW$166,MATCH(B6,'vehicles specifications'!$A$3:$A$166,0),MATCH(G37,'vehicles specifications'!$B$2:$CW$2,0))*INDEX('ei names mapping'!$B$137:$BL$300,MATCH(B6,'ei names mapping'!$A$137:$A$300,0),MATCH(G37,'ei names mapping'!$B$136:$BL$136,0))</f>
        <v>25.217391304347824</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7.5652173913043468</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65.433826960328489</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32.716913480164244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-32.782608695652172</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114.54204478831883</v>
      </c>
      <c r="C43" t="s">
        <v>92</v>
      </c>
      <c r="D43" t="s">
        <v>233</v>
      </c>
      <c r="F43" t="s">
        <v>89</v>
      </c>
      <c r="H43" s="13" t="s">
        <v>841</v>
      </c>
    </row>
    <row r="44" spans="1:8" x14ac:dyDescent="0.2">
      <c r="A44" s="13" t="s">
        <v>441</v>
      </c>
      <c r="B44" s="3">
        <f>(B16/1000)*B28</f>
        <v>1821.2185121342695</v>
      </c>
      <c r="C44" t="s">
        <v>95</v>
      </c>
      <c r="D44" t="s">
        <v>233</v>
      </c>
      <c r="F44" t="s">
        <v>89</v>
      </c>
      <c r="H44" s="13" t="s">
        <v>441</v>
      </c>
    </row>
    <row r="45" spans="1:8" x14ac:dyDescent="0.2">
      <c r="B45" s="11"/>
    </row>
    <row r="46" spans="1:8" ht="16" x14ac:dyDescent="0.2">
      <c r="A46" s="10" t="s">
        <v>71</v>
      </c>
      <c r="B46" s="8" t="str">
        <f>B48&amp;", "&amp;B63&amp;" battery, "&amp;B50</f>
        <v>Motorbike, electric, 4-11kW, NCA battery, 2030</v>
      </c>
    </row>
    <row r="47" spans="1:8" x14ac:dyDescent="0.2">
      <c r="A47" t="s">
        <v>72</v>
      </c>
      <c r="B47" t="s">
        <v>37</v>
      </c>
    </row>
    <row r="48" spans="1:8" x14ac:dyDescent="0.2">
      <c r="A48" t="s">
        <v>86</v>
      </c>
      <c r="B48" t="s">
        <v>493</v>
      </c>
    </row>
    <row r="49" spans="1:2" x14ac:dyDescent="0.2">
      <c r="A49" t="s">
        <v>87</v>
      </c>
    </row>
    <row r="50" spans="1:2" x14ac:dyDescent="0.2">
      <c r="A50" t="s">
        <v>88</v>
      </c>
      <c r="B50">
        <v>2030</v>
      </c>
    </row>
    <row r="51" spans="1:2" x14ac:dyDescent="0.2">
      <c r="A51" t="s">
        <v>126</v>
      </c>
      <c r="B51" t="str">
        <f>B48&amp;" - "&amp;B50&amp;" - "&amp;B63&amp;" - "&amp;B47</f>
        <v>Motorbike, electric, 4-11kW - 2030 - NCA - CH</v>
      </c>
    </row>
    <row r="52" spans="1:2" x14ac:dyDescent="0.2">
      <c r="A52" t="s">
        <v>73</v>
      </c>
      <c r="B52" t="str">
        <f>B48</f>
        <v>Motorbike,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1776</v>
      </c>
    </row>
    <row r="61" spans="1:2" x14ac:dyDescent="0.2">
      <c r="A61" t="s">
        <v>132</v>
      </c>
      <c r="B61" s="2">
        <f>INDEX('vehicles specifications'!$B$3:$CW$166,MATCH(B51,'vehicles specifications'!$A$3:$A$166,0),MATCH("Curb mass [kg]",'vehicles specifications'!$B$2:$CW$2,0))</f>
        <v>117.26548785570658</v>
      </c>
    </row>
    <row r="62" spans="1:2" x14ac:dyDescent="0.2">
      <c r="A62" t="s">
        <v>133</v>
      </c>
      <c r="B62">
        <f>INDEX('vehicles specifications'!$B$3:$CW$166,MATCH(B51,'vehicles specifications'!$A$3:$A$166,0),MATCH("Power [kW]",'vehicles specifications'!$B$2:$CW$2,0))</f>
        <v>4.7</v>
      </c>
    </row>
    <row r="63" spans="1:2" x14ac:dyDescent="0.2">
      <c r="A63" t="s">
        <v>652</v>
      </c>
      <c r="B63" s="20" t="s">
        <v>45</v>
      </c>
    </row>
    <row r="64" spans="1:2" x14ac:dyDescent="0.2">
      <c r="A64" t="s">
        <v>134</v>
      </c>
      <c r="B64">
        <f>INDEX('vehicles specifications'!$B$3:$CW$166,MATCH(B51,'vehicles specifications'!$A$3:$A$166,0),MATCH("Energy battery mass [kg]",'vehicles specifications'!$B$2:$CW$2,0))</f>
        <v>21.666666666666668</v>
      </c>
    </row>
    <row r="65" spans="1:8" x14ac:dyDescent="0.2">
      <c r="A65" t="s">
        <v>135</v>
      </c>
      <c r="B65">
        <f>INDEX('vehicles specifications'!$B$3:$CW$166,MATCH(B51,'vehicles specifications'!$A$3:$A$166,0),MATCH("Electric energy stored [kWh]",'vehicles specifications'!$B$2:$CW$2,0))</f>
        <v>5</v>
      </c>
    </row>
    <row r="66" spans="1:8" x14ac:dyDescent="0.2">
      <c r="A66" t="s">
        <v>588</v>
      </c>
      <c r="B66">
        <f>INDEX('vehicles specifications'!$B$3:$CW$166,MATCH(B51,'vehicles specifications'!$A$3:$A$166,0),MATCH("Electric energy available [kWh]",'vehicles specifications'!$B$2:$CW$2,0))</f>
        <v>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79.120879120879124</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NMC'!B58</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Origin of manufacture: China. Shipping distance: 15900 km. Lorry distribution distance: 1000 km. Documentation: Life-cycle inventories for on-road vehicles, Sacchi R. (PSI), Bauer C. (PSI), 2021. 1785</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4-11kW, NCA battery, 2030</v>
      </c>
      <c r="B78">
        <v>1</v>
      </c>
      <c r="C78" t="str">
        <f>B47</f>
        <v>CH</v>
      </c>
      <c r="D78" t="str">
        <f>B54</f>
        <v>unit</v>
      </c>
      <c r="F78" t="s">
        <v>84</v>
      </c>
      <c r="G78" t="s">
        <v>85</v>
      </c>
      <c r="H78" t="str">
        <f>B48</f>
        <v>Motorbike,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65.433826960328489</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1.9630148088098547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13.086765392065699</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19.041243645455587</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760</v>
      </c>
      <c r="B83" s="11">
        <f>INDEX('vehicles specifications'!$B$3:$CW$166,MATCH(B51,'vehicles specifications'!$A$3:$A$166,0),MATCH(G83,'vehicles specifications'!$B$2:$CW$2,0))*INDEX('ei names mapping'!$B$137:$BL$300,MATCH(B51,'ei names mapping'!$A$137:$A$300,0),MATCH(G83,'ei names mapping'!$B$136:$BL$136,0))</f>
        <v>25</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7.5</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63.470812151518629</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32.128009037521288</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-32.5</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117.26548785570658</v>
      </c>
      <c r="C89" t="s">
        <v>92</v>
      </c>
      <c r="D89" t="s">
        <v>233</v>
      </c>
      <c r="F89" t="s">
        <v>89</v>
      </c>
      <c r="H89" s="13" t="s">
        <v>841</v>
      </c>
    </row>
    <row r="90" spans="1:8" x14ac:dyDescent="0.2">
      <c r="A90" s="13" t="s">
        <v>441</v>
      </c>
      <c r="B90" s="2">
        <f>(B61/1000)*B73</f>
        <v>1864.5212569057346</v>
      </c>
      <c r="C90" t="s">
        <v>95</v>
      </c>
      <c r="D90" t="s">
        <v>233</v>
      </c>
      <c r="F90" t="s">
        <v>89</v>
      </c>
      <c r="H90" s="13" t="s">
        <v>441</v>
      </c>
    </row>
    <row r="92" spans="1:8" ht="16" x14ac:dyDescent="0.2">
      <c r="A92" s="10" t="s">
        <v>71</v>
      </c>
      <c r="B92" s="8" t="str">
        <f>B94&amp;", "&amp;B109&amp;" battery, "&amp;B96</f>
        <v>Motorbike, electric, 4-11kW, NCA battery, 2040</v>
      </c>
    </row>
    <row r="93" spans="1:8" x14ac:dyDescent="0.2">
      <c r="A93" t="s">
        <v>72</v>
      </c>
      <c r="B93" t="s">
        <v>37</v>
      </c>
    </row>
    <row r="94" spans="1:8" x14ac:dyDescent="0.2">
      <c r="A94" t="s">
        <v>86</v>
      </c>
      <c r="B94" t="s">
        <v>493</v>
      </c>
    </row>
    <row r="95" spans="1:8" x14ac:dyDescent="0.2">
      <c r="A95" t="s">
        <v>87</v>
      </c>
    </row>
    <row r="96" spans="1:8" x14ac:dyDescent="0.2">
      <c r="A96" t="s">
        <v>88</v>
      </c>
      <c r="B96">
        <v>2040</v>
      </c>
    </row>
    <row r="97" spans="1:2" x14ac:dyDescent="0.2">
      <c r="A97" t="s">
        <v>126</v>
      </c>
      <c r="B97" t="str">
        <f>B94&amp;" - "&amp;B96&amp;" - "&amp;B109&amp;" - "&amp;B93</f>
        <v>Motorbike, electric, 4-11kW - 2040 - NCA - CH</v>
      </c>
    </row>
    <row r="98" spans="1:2" x14ac:dyDescent="0.2">
      <c r="A98" t="s">
        <v>73</v>
      </c>
      <c r="B98" t="str">
        <f>B94</f>
        <v>Motorbike,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1776</v>
      </c>
    </row>
    <row r="107" spans="1:2" x14ac:dyDescent="0.2">
      <c r="A107" t="s">
        <v>132</v>
      </c>
      <c r="B107" s="2">
        <f>INDEX('vehicles specifications'!$B$3:$CW$166,MATCH(B97,'vehicles specifications'!$A$3:$A$166,0),MATCH("Curb mass [kg]",'vehicles specifications'!$B$2:$CW$2,0))</f>
        <v>116.64754168807137</v>
      </c>
    </row>
    <row r="108" spans="1:2" x14ac:dyDescent="0.2">
      <c r="A108" t="s">
        <v>133</v>
      </c>
      <c r="B108">
        <f>INDEX('vehicles specifications'!$B$3:$CW$166,MATCH(B97,'vehicles specifications'!$A$3:$A$166,0),MATCH("Power [kW]",'vehicles specifications'!$B$2:$CW$2,0))</f>
        <v>4.7</v>
      </c>
    </row>
    <row r="109" spans="1:2" x14ac:dyDescent="0.2">
      <c r="A109" t="s">
        <v>652</v>
      </c>
      <c r="B109" s="20" t="s">
        <v>45</v>
      </c>
    </row>
    <row r="110" spans="1:2" x14ac:dyDescent="0.2">
      <c r="A110" t="s">
        <v>134</v>
      </c>
      <c r="B110">
        <f>INDEX('vehicles specifications'!$B$3:$CW$166,MATCH(B97,'vehicles specifications'!$A$3:$A$166,0),MATCH("Energy battery mass [kg]",'vehicles specifications'!$B$2:$CW$2,0))</f>
        <v>22.75</v>
      </c>
    </row>
    <row r="111" spans="1:2" x14ac:dyDescent="0.2">
      <c r="A111" t="s">
        <v>135</v>
      </c>
      <c r="B111">
        <f>INDEX('vehicles specifications'!$B$3:$CW$166,MATCH(B97,'vehicles specifications'!$A$3:$A$166,0),MATCH("Electric energy stored [kWh]",'vehicles specifications'!$B$2:$CW$2,0))</f>
        <v>7</v>
      </c>
    </row>
    <row r="112" spans="1:2" x14ac:dyDescent="0.2">
      <c r="A112" t="s">
        <v>588</v>
      </c>
      <c r="B112">
        <f>INDEX('vehicles specifications'!$B$3:$CW$166,MATCH(B97,'vehicles specifications'!$A$3:$A$166,0),MATCH("Electric energy available [kWh]",'vehicles specifications'!$B$2:$CW$2,0))</f>
        <v>5.6000000000000005</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110.76923076923079</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NMC'!B106</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Origin of manufacture: China. Shipping distance: 15900 km. Lorry distribution distance: 1000 km. Documentation: Life-cycle inventories for on-road vehicles, Sacchi R. (PSI), Bauer C. (PSI), 2021. 0</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4-11kW, NCA battery, 2040</v>
      </c>
      <c r="B124">
        <v>1</v>
      </c>
      <c r="C124" t="str">
        <f>B93</f>
        <v>CH</v>
      </c>
      <c r="D124" t="str">
        <f>B100</f>
        <v>unit</v>
      </c>
      <c r="F124" t="s">
        <v>84</v>
      </c>
      <c r="G124" t="s">
        <v>85</v>
      </c>
      <c r="H124" t="str">
        <f>B94</f>
        <v>Motorbike,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65.433826960328489</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3.2716913480164247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13.086765392065699</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18.648640683693618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760</v>
      </c>
      <c r="B129" s="11">
        <f>INDEX('vehicles specifications'!$B$3:$CW$166,MATCH(B97,'vehicles specifications'!$A$3:$A$166,0),MATCH(G129,'vehicles specifications'!$B$2:$CW$2,0))*INDEX('ei names mapping'!$B$137:$BL$300,MATCH(B97,'ei names mapping'!$A$137:$A$300,0),MATCH(G129,'ei names mapping'!$B$136:$BL$136,0))</f>
        <v>21.875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6.5625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62.162135612312063</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31.735406075759315</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-28.4375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116.64754168807137</v>
      </c>
      <c r="C135" t="s">
        <v>92</v>
      </c>
      <c r="D135" t="s">
        <v>233</v>
      </c>
      <c r="F135" t="s">
        <v>89</v>
      </c>
      <c r="H135" s="13" t="s">
        <v>841</v>
      </c>
    </row>
    <row r="136" spans="1:8" x14ac:dyDescent="0.2">
      <c r="A136" s="13" t="s">
        <v>441</v>
      </c>
      <c r="B136" s="2">
        <f>(B107/1000)*B119</f>
        <v>1854.6959128403348</v>
      </c>
      <c r="C136" t="s">
        <v>95</v>
      </c>
      <c r="D136" t="s">
        <v>233</v>
      </c>
      <c r="F136" t="s">
        <v>89</v>
      </c>
      <c r="H136" s="13" t="s">
        <v>441</v>
      </c>
    </row>
    <row r="138" spans="1:8" ht="16" x14ac:dyDescent="0.2">
      <c r="A138" s="10" t="s">
        <v>71</v>
      </c>
      <c r="B138" s="8" t="str">
        <f>B140&amp;", "&amp;B155&amp;" battery, "&amp;B142</f>
        <v>Motorbike, electric, 4-11kW, NCA battery, 2050</v>
      </c>
    </row>
    <row r="139" spans="1:8" x14ac:dyDescent="0.2">
      <c r="A139" t="s">
        <v>72</v>
      </c>
      <c r="B139" t="s">
        <v>37</v>
      </c>
    </row>
    <row r="140" spans="1:8" x14ac:dyDescent="0.2">
      <c r="A140" t="s">
        <v>86</v>
      </c>
      <c r="B140" t="s">
        <v>493</v>
      </c>
    </row>
    <row r="141" spans="1:8" x14ac:dyDescent="0.2">
      <c r="A141" t="s">
        <v>87</v>
      </c>
    </row>
    <row r="142" spans="1:8" x14ac:dyDescent="0.2">
      <c r="A142" t="s">
        <v>88</v>
      </c>
      <c r="B142">
        <v>2050</v>
      </c>
    </row>
    <row r="143" spans="1:8" x14ac:dyDescent="0.2">
      <c r="A143" t="s">
        <v>126</v>
      </c>
      <c r="B143" t="str">
        <f>B140&amp;" - "&amp;B142&amp;" - "&amp;B155&amp;" - "&amp;B139</f>
        <v>Motorbike, electric, 4-11kW - 2050 - NCA - CH</v>
      </c>
    </row>
    <row r="144" spans="1:8" x14ac:dyDescent="0.2">
      <c r="A144" t="s">
        <v>73</v>
      </c>
      <c r="B144" t="str">
        <f>B140</f>
        <v>Motorbike,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1776</v>
      </c>
    </row>
    <row r="153" spans="1:2" x14ac:dyDescent="0.2">
      <c r="A153" t="s">
        <v>132</v>
      </c>
      <c r="B153" s="2">
        <f>INDEX('vehicles specifications'!$B$3:$CW$166,MATCH(B143,'vehicles specifications'!$A$3:$A$166,0),MATCH("Curb mass [kg]",'vehicles specifications'!$B$2:$CW$2,0))</f>
        <v>116.89626218710283</v>
      </c>
    </row>
    <row r="154" spans="1:2" x14ac:dyDescent="0.2">
      <c r="A154" t="s">
        <v>133</v>
      </c>
      <c r="B154">
        <f>INDEX('vehicles specifications'!$B$3:$CW$166,MATCH(B143,'vehicles specifications'!$A$3:$A$166,0),MATCH("Power [kW]",'vehicles specifications'!$B$2:$CW$2,0))</f>
        <v>4.7</v>
      </c>
    </row>
    <row r="155" spans="1:2" x14ac:dyDescent="0.2">
      <c r="A155" t="s">
        <v>652</v>
      </c>
      <c r="B155" s="20" t="s">
        <v>45</v>
      </c>
    </row>
    <row r="156" spans="1:2" x14ac:dyDescent="0.2">
      <c r="A156" t="s">
        <v>134</v>
      </c>
      <c r="B156">
        <f>INDEX('vehicles specifications'!$B$3:$CW$166,MATCH(B143,'vehicles specifications'!$A$3:$A$166,0),MATCH("Energy battery mass [kg]",'vehicles specifications'!$B$2:$CW$2,0))</f>
        <v>24.7</v>
      </c>
    </row>
    <row r="157" spans="1:2" x14ac:dyDescent="0.2">
      <c r="A157" t="s">
        <v>135</v>
      </c>
      <c r="B157">
        <f>INDEX('vehicles specifications'!$B$3:$CW$166,MATCH(B143,'vehicles specifications'!$A$3:$A$166,0),MATCH("Electric energy stored [kWh]",'vehicles specifications'!$B$2:$CW$2,0))</f>
        <v>9.5</v>
      </c>
    </row>
    <row r="158" spans="1:2" x14ac:dyDescent="0.2">
      <c r="A158" t="s">
        <v>588</v>
      </c>
      <c r="B158">
        <f>INDEX('vehicles specifications'!$B$3:$CW$166,MATCH(B143,'vehicles specifications'!$A$3:$A$166,0),MATCH("Electric energy available [kWh]",'vehicles specifications'!$B$2:$CW$2,0))</f>
        <v>7.6000000000000005</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150.32967032967034</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NMC'!B154</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Origin of manufacture: China. Shipping distance: 15900 km. Lorry distribution distance: 1000 km. Documentation: Life-cycle inventories for on-road vehicles, Sacchi R. (PSI), Bauer C. (PSI), 2021. 0.25</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4-11kW, NCA battery, 2050</v>
      </c>
      <c r="B170">
        <v>1</v>
      </c>
      <c r="C170" t="str">
        <f>B139</f>
        <v>CH</v>
      </c>
      <c r="D170" t="str">
        <f>B146</f>
        <v>unit</v>
      </c>
      <c r="F170" t="s">
        <v>84</v>
      </c>
      <c r="G170" t="s">
        <v>85</v>
      </c>
      <c r="H170" t="str">
        <f>B140</f>
        <v>Motorbike,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65.433826960328489</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4.5803678872229945</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13.086765392065699</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18.256037721931648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760</v>
      </c>
      <c r="B175" s="11">
        <f>INDEX('vehicles specifications'!$B$3:$CW$166,MATCH(B143,'vehicles specifications'!$A$3:$A$166,0),MATCH(G175,'vehicles specifications'!$B$2:$CW$2,0))*INDEX('ei names mapping'!$B$137:$BL$300,MATCH(B143,'ei names mapping'!$A$137:$A$300,0),MATCH(G175,'ei names mapping'!$B$136:$BL$136,0))</f>
        <v>19</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5.7</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60.853459073105491</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31.342803113997348</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-24.7</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116.89626218710283</v>
      </c>
      <c r="C181" t="s">
        <v>92</v>
      </c>
      <c r="D181" t="s">
        <v>233</v>
      </c>
      <c r="F181" t="s">
        <v>89</v>
      </c>
      <c r="H181" s="13" t="s">
        <v>841</v>
      </c>
    </row>
    <row r="182" spans="1:8" x14ac:dyDescent="0.2">
      <c r="A182" s="13" t="s">
        <v>441</v>
      </c>
      <c r="B182" s="2">
        <f>(B153/1000)*B165</f>
        <v>1858.650568774935</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4-11kW, NCA battery, 2020</v>
      </c>
    </row>
    <row r="185" spans="1:8" x14ac:dyDescent="0.2">
      <c r="A185" t="s">
        <v>72</v>
      </c>
      <c r="B185" t="s">
        <v>37</v>
      </c>
    </row>
    <row r="186" spans="1:8" x14ac:dyDescent="0.2">
      <c r="A186" t="s">
        <v>86</v>
      </c>
      <c r="B186" t="s">
        <v>493</v>
      </c>
    </row>
    <row r="187" spans="1:8" x14ac:dyDescent="0.2">
      <c r="A187" t="s">
        <v>87</v>
      </c>
    </row>
    <row r="188" spans="1:8" x14ac:dyDescent="0.2">
      <c r="A188" t="s">
        <v>88</v>
      </c>
      <c r="B188">
        <v>2020</v>
      </c>
    </row>
    <row r="189" spans="1:8" x14ac:dyDescent="0.2">
      <c r="A189" t="s">
        <v>126</v>
      </c>
      <c r="B189" t="str">
        <f>B186&amp;" - "&amp;B188&amp;" - "&amp;B201&amp;" - "&amp;B185</f>
        <v>Motorbike, electric, 4-11kW - 2020 - NCA - CH</v>
      </c>
    </row>
    <row r="190" spans="1:8" x14ac:dyDescent="0.2">
      <c r="A190" t="s">
        <v>73</v>
      </c>
      <c r="B190" t="str">
        <f>"transport, "&amp;B186</f>
        <v>transport, Motorbike,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1776</v>
      </c>
    </row>
    <row r="199" spans="1:2" x14ac:dyDescent="0.2">
      <c r="A199" t="s">
        <v>132</v>
      </c>
      <c r="B199" s="2">
        <f>INDEX('vehicles specifications'!$B$3:$CW$166,MATCH(B189,'vehicles specifications'!$A$3:$A$166,0),MATCH("Curb mass [kg]",'vehicles specifications'!$B$2:$CW$2,0))</f>
        <v>114.54204478831883</v>
      </c>
    </row>
    <row r="200" spans="1:2" x14ac:dyDescent="0.2">
      <c r="A200" t="s">
        <v>133</v>
      </c>
      <c r="B200">
        <f>INDEX('vehicles specifications'!$B$3:$CW$166,MATCH(B189,'vehicles specifications'!$A$3:$A$166,0),MATCH("Power [kW]",'vehicles specifications'!$B$2:$CW$2,0))</f>
        <v>4.7</v>
      </c>
    </row>
    <row r="201" spans="1:2" x14ac:dyDescent="0.2">
      <c r="A201" t="s">
        <v>652</v>
      </c>
      <c r="B201" s="20" t="s">
        <v>45</v>
      </c>
    </row>
    <row r="202" spans="1:2" x14ac:dyDescent="0.2">
      <c r="A202" t="s">
        <v>134</v>
      </c>
      <c r="B202">
        <f>INDEX('vehicles specifications'!$B$3:$CW$166,MATCH(B189,'vehicles specifications'!$A$3:$A$166,0),MATCH("Energy battery mass [kg]",'vehicles specifications'!$B$2:$CW$2,0))</f>
        <v>16.391304347826086</v>
      </c>
    </row>
    <row r="203" spans="1:2" x14ac:dyDescent="0.2">
      <c r="A203" t="s">
        <v>135</v>
      </c>
      <c r="B203">
        <f>INDEX('vehicles specifications'!$B$3:$CW$166,MATCH(B189,'vehicles specifications'!$A$3:$A$166,0),MATCH("Electric energy stored [kWh]",'vehicles specifications'!$B$2:$CW$2,0))</f>
        <v>2.9</v>
      </c>
    </row>
    <row r="204" spans="1:2" x14ac:dyDescent="0.2">
      <c r="A204" t="s">
        <v>588</v>
      </c>
      <c r="B204">
        <f>INDEX('vehicles specifications'!$B$3:$CW$166,MATCH(B189,'vehicles specifications'!$A$3:$A$166,0),MATCH("Electric energy available [kWh]",'vehicles specifications'!$B$2:$CW$2,0))</f>
        <v>2.3199999999999998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45.890109890109891</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4.7 kW. Lifetime: 25000 km. Annual kilometers: 1776 km. Number of passengers: 1.1. Curb mass: 114.5 kg. Lightweighting of glider: 0%. Emission standard: None. Service visits throughout lifetime: 1. Range: 46 km. Battery capacity: 2.9 kWh. Available battery capacity: 2.32 kWh. Battery mass: 16.4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4-11kW, NCA battery, 2020</v>
      </c>
      <c r="B213">
        <v>1</v>
      </c>
      <c r="C213" t="str">
        <f>B185</f>
        <v>CH</v>
      </c>
      <c r="D213" t="s">
        <v>166</v>
      </c>
      <c r="F213" t="s">
        <v>84</v>
      </c>
      <c r="G213" t="s">
        <v>85</v>
      </c>
      <c r="H213" t="str">
        <f>B190</f>
        <v>transport, Motorbike, electric, 4-11kW</v>
      </c>
    </row>
    <row r="214" spans="1:8" x14ac:dyDescent="0.2">
      <c r="A214" t="str">
        <f>RIGHT(A213,LEN(A213)-11)</f>
        <v>Motorbike, electric, 4-11kW, NCA battery, 2020</v>
      </c>
      <c r="B214" s="7">
        <f>1/B194</f>
        <v>4.0000000000000003E-5</v>
      </c>
      <c r="C214" t="str">
        <f>B185</f>
        <v>CH</v>
      </c>
      <c r="D214" t="s">
        <v>76</v>
      </c>
      <c r="F214" t="s">
        <v>89</v>
      </c>
      <c r="H214" t="str">
        <f>RIGHT(H213,LEN(H213)-11)</f>
        <v>Motorbike,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1.0903357805132722E-4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5.5611111111111111E-2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-7.3728881367004271E-6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-5.1301420234888844E-6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-2.786385112059529E-6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4-11kW, NCA battery, 2030</v>
      </c>
    </row>
    <row r="224" spans="1:8" x14ac:dyDescent="0.2">
      <c r="A224" t="s">
        <v>72</v>
      </c>
      <c r="B224" t="s">
        <v>37</v>
      </c>
    </row>
    <row r="225" spans="1:2" x14ac:dyDescent="0.2">
      <c r="A225" t="s">
        <v>86</v>
      </c>
      <c r="B225" t="s">
        <v>493</v>
      </c>
    </row>
    <row r="226" spans="1:2" x14ac:dyDescent="0.2">
      <c r="A226" t="s">
        <v>87</v>
      </c>
    </row>
    <row r="227" spans="1:2" x14ac:dyDescent="0.2">
      <c r="A227" t="s">
        <v>88</v>
      </c>
      <c r="B227">
        <v>2030</v>
      </c>
    </row>
    <row r="228" spans="1:2" x14ac:dyDescent="0.2">
      <c r="A228" t="s">
        <v>126</v>
      </c>
      <c r="B228" t="str">
        <f>B225&amp;" - "&amp;B227&amp;" - "&amp;B240&amp;" - "&amp;B224</f>
        <v>Motorbike, electric, 4-11kW - 2030 - NCA - CH</v>
      </c>
    </row>
    <row r="229" spans="1:2" x14ac:dyDescent="0.2">
      <c r="A229" t="s">
        <v>73</v>
      </c>
      <c r="B229" t="str">
        <f>"transport, "&amp;B225</f>
        <v>transport, Motorbike,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1776</v>
      </c>
    </row>
    <row r="238" spans="1:2" x14ac:dyDescent="0.2">
      <c r="A238" t="s">
        <v>132</v>
      </c>
      <c r="B238" s="2">
        <f>INDEX('vehicles specifications'!$B$3:$CW$166,MATCH(B228,'vehicles specifications'!$A$3:$A$166,0),MATCH("Curb mass [kg]",'vehicles specifications'!$B$2:$CW$2,0))</f>
        <v>117.26548785570658</v>
      </c>
    </row>
    <row r="239" spans="1:2" x14ac:dyDescent="0.2">
      <c r="A239" t="s">
        <v>133</v>
      </c>
      <c r="B239">
        <f>INDEX('vehicles specifications'!$B$3:$CW$166,MATCH(B228,'vehicles specifications'!$A$3:$A$166,0),MATCH("Power [kW]",'vehicles specifications'!$B$2:$CW$2,0))</f>
        <v>4.7</v>
      </c>
    </row>
    <row r="240" spans="1:2" x14ac:dyDescent="0.2">
      <c r="A240" t="s">
        <v>652</v>
      </c>
      <c r="B240" s="20" t="s">
        <v>45</v>
      </c>
    </row>
    <row r="241" spans="1:8" x14ac:dyDescent="0.2">
      <c r="A241" t="s">
        <v>134</v>
      </c>
      <c r="B241">
        <f>INDEX('vehicles specifications'!$B$3:$CW$166,MATCH(B228,'vehicles specifications'!$A$3:$A$166,0),MATCH("Energy battery mass [kg]",'vehicles specifications'!$B$2:$CW$2,0))</f>
        <v>21.666666666666668</v>
      </c>
    </row>
    <row r="242" spans="1:8" x14ac:dyDescent="0.2">
      <c r="A242" t="s">
        <v>135</v>
      </c>
      <c r="B242">
        <f>INDEX('vehicles specifications'!$B$3:$CW$166,MATCH(B228,'vehicles specifications'!$A$3:$A$166,0),MATCH("Electric energy stored [kWh]",'vehicles specifications'!$B$2:$CW$2,0))</f>
        <v>5</v>
      </c>
    </row>
    <row r="243" spans="1:8" x14ac:dyDescent="0.2">
      <c r="A243" t="s">
        <v>588</v>
      </c>
      <c r="B243">
        <f>INDEX('vehicles specifications'!$B$3:$CW$166,MATCH(B228,'vehicles specifications'!$A$3:$A$166,0),MATCH("Electric energy available [kWh]",'vehicles specifications'!$B$2:$CW$2,0))</f>
        <v>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79.120879120879124</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4.7 kW. Lifetime: 25000 km. Annual kilometers: 1776 km. Number of passengers: 1.1. Curb mass: 117.3 kg. Lightweighting of glider: 3%. Emission standard: None. Service visits throughout lifetime: 1. Range: 79 km. Battery capacity: 5 kWh. Available battery capacity: 4 kWh. Battery mass: 21.7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4-11kW, NCA battery, 2030</v>
      </c>
      <c r="B252">
        <v>1</v>
      </c>
      <c r="C252" t="str">
        <f>B224</f>
        <v>CH</v>
      </c>
      <c r="D252" t="s">
        <v>166</v>
      </c>
      <c r="F252" t="s">
        <v>84</v>
      </c>
      <c r="G252" t="s">
        <v>85</v>
      </c>
      <c r="H252" t="str">
        <f>B229</f>
        <v>transport, Motorbike, electric, 4-11kW</v>
      </c>
    </row>
    <row r="253" spans="1:8" x14ac:dyDescent="0.2">
      <c r="A253" t="str">
        <f>RIGHT(A252,LEN(A252)-11)</f>
        <v>Motorbike, electric, 4-11kW, NCA battery, 2030</v>
      </c>
      <c r="B253" s="7">
        <f>1/B233</f>
        <v>4.0000000000000003E-5</v>
      </c>
      <c r="C253" t="str">
        <f>B224</f>
        <v>CH</v>
      </c>
      <c r="D253" t="s">
        <v>76</v>
      </c>
      <c r="F253" t="s">
        <v>89</v>
      </c>
      <c r="H253" t="str">
        <f>RIGHT(H252,LEN(H252)-11)</f>
        <v>Motorbike, electric, 4-11kW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5.5611111111111111E-2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1.1049606697851443E-4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-7.451235531118589E-6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-5.1680356419013357E-6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-2.8111779103993913E-6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4-11kW, NCA battery, 2040</v>
      </c>
    </row>
    <row r="263" spans="1:8" x14ac:dyDescent="0.2">
      <c r="A263" t="s">
        <v>72</v>
      </c>
      <c r="B263" t="s">
        <v>37</v>
      </c>
    </row>
    <row r="264" spans="1:8" x14ac:dyDescent="0.2">
      <c r="A264" t="s">
        <v>86</v>
      </c>
      <c r="B264" t="s">
        <v>493</v>
      </c>
    </row>
    <row r="265" spans="1:8" x14ac:dyDescent="0.2">
      <c r="A265" t="s">
        <v>87</v>
      </c>
    </row>
    <row r="266" spans="1:8" x14ac:dyDescent="0.2">
      <c r="A266" t="s">
        <v>88</v>
      </c>
      <c r="B266">
        <v>2040</v>
      </c>
    </row>
    <row r="267" spans="1:8" x14ac:dyDescent="0.2">
      <c r="A267" t="s">
        <v>126</v>
      </c>
      <c r="B267" t="str">
        <f>B264&amp;" - "&amp;B266&amp;" - "&amp;B279&amp;" - "&amp;B263</f>
        <v>Motorbike, electric, 4-11kW - 2040 - NCA - CH</v>
      </c>
    </row>
    <row r="268" spans="1:8" x14ac:dyDescent="0.2">
      <c r="A268" t="s">
        <v>73</v>
      </c>
      <c r="B268" t="str">
        <f>"transport, "&amp;B264</f>
        <v>transport, Motorbike,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1776</v>
      </c>
    </row>
    <row r="277" spans="1:2" x14ac:dyDescent="0.2">
      <c r="A277" t="s">
        <v>132</v>
      </c>
      <c r="B277" s="2">
        <f>INDEX('vehicles specifications'!$B$3:$CW$166,MATCH(B267,'vehicles specifications'!$A$3:$A$166,0),MATCH("Curb mass [kg]",'vehicles specifications'!$B$2:$CW$2,0))</f>
        <v>116.64754168807137</v>
      </c>
    </row>
    <row r="278" spans="1:2" x14ac:dyDescent="0.2">
      <c r="A278" t="s">
        <v>133</v>
      </c>
      <c r="B278">
        <f>INDEX('vehicles specifications'!$B$3:$CW$166,MATCH(B267,'vehicles specifications'!$A$3:$A$166,0),MATCH("Power [kW]",'vehicles specifications'!$B$2:$CW$2,0))</f>
        <v>4.7</v>
      </c>
    </row>
    <row r="279" spans="1:2" x14ac:dyDescent="0.2">
      <c r="A279" t="s">
        <v>652</v>
      </c>
      <c r="B279" s="20" t="s">
        <v>45</v>
      </c>
    </row>
    <row r="280" spans="1:2" x14ac:dyDescent="0.2">
      <c r="A280" t="s">
        <v>134</v>
      </c>
      <c r="B280">
        <f>INDEX('vehicles specifications'!$B$3:$CW$166,MATCH(B267,'vehicles specifications'!$A$3:$A$166,0),MATCH("Energy battery mass [kg]",'vehicles specifications'!$B$2:$CW$2,0))</f>
        <v>22.75</v>
      </c>
    </row>
    <row r="281" spans="1:2" x14ac:dyDescent="0.2">
      <c r="A281" t="s">
        <v>135</v>
      </c>
      <c r="B281">
        <f>INDEX('vehicles specifications'!$B$3:$CW$166,MATCH(B267,'vehicles specifications'!$A$3:$A$166,0),MATCH("Electric energy stored [kWh]",'vehicles specifications'!$B$2:$CW$2,0))</f>
        <v>7</v>
      </c>
    </row>
    <row r="282" spans="1:2" x14ac:dyDescent="0.2">
      <c r="A282" t="s">
        <v>588</v>
      </c>
      <c r="B282">
        <f>INDEX('vehicles specifications'!$B$3:$CW$166,MATCH(B267,'vehicles specifications'!$A$3:$A$166,0),MATCH("Electric energy available [kWh]",'vehicles specifications'!$B$2:$CW$2,0))</f>
        <v>5.6000000000000005</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110.76923076923079</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4.7 kW. Lifetime: 25000 km. Annual kilometers: 1776 km. Number of passengers: 1.1. Curb mass: 116.6 kg. Lightweighting of glider: 5%. Emission standard: None. Service visits throughout lifetime: 1. Range: 111 km. Battery capacity: 7 kWh. Available battery capacity: 5.6 kWh. Battery mass: 22.8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4-11kW, NCA battery, 2040</v>
      </c>
      <c r="B291">
        <v>1</v>
      </c>
      <c r="C291" t="str">
        <f>B263</f>
        <v>CH</v>
      </c>
      <c r="D291" t="s">
        <v>166</v>
      </c>
      <c r="F291" t="s">
        <v>84</v>
      </c>
      <c r="G291" t="s">
        <v>85</v>
      </c>
      <c r="H291" t="str">
        <f>B268</f>
        <v>transport, Motorbike, electric, 4-11kW</v>
      </c>
    </row>
    <row r="292" spans="1:8" x14ac:dyDescent="0.2">
      <c r="A292" t="str">
        <f>RIGHT(A291,LEN(A291)-11)</f>
        <v>Motorbike, electric, 4-11kW, NCA battery, 2040</v>
      </c>
      <c r="B292" s="7">
        <f>1/B272</f>
        <v>4.0000000000000003E-5</v>
      </c>
      <c r="C292" t="str">
        <f>B263</f>
        <v>CH</v>
      </c>
      <c r="D292" t="s">
        <v>76</v>
      </c>
      <c r="F292" t="s">
        <v>89</v>
      </c>
      <c r="H292" t="str">
        <f>RIGHT(H291,LEN(H291)-11)</f>
        <v>Motorbike, electric, 4-11kW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5.5611111111111111E-2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1.1016422988649433E-4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-7.4334757992131559E-6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-5.1594719500757633E-6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-2.805567697126877E-6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4-11kW, NCA battery, 2050</v>
      </c>
    </row>
    <row r="302" spans="1:8" x14ac:dyDescent="0.2">
      <c r="A302" t="s">
        <v>72</v>
      </c>
      <c r="B302" t="s">
        <v>37</v>
      </c>
    </row>
    <row r="303" spans="1:8" x14ac:dyDescent="0.2">
      <c r="A303" t="s">
        <v>86</v>
      </c>
      <c r="B303" t="s">
        <v>493</v>
      </c>
    </row>
    <row r="304" spans="1:8" x14ac:dyDescent="0.2">
      <c r="A304" t="s">
        <v>87</v>
      </c>
    </row>
    <row r="305" spans="1:2" x14ac:dyDescent="0.2">
      <c r="A305" t="s">
        <v>88</v>
      </c>
      <c r="B305">
        <v>2050</v>
      </c>
    </row>
    <row r="306" spans="1:2" x14ac:dyDescent="0.2">
      <c r="A306" t="s">
        <v>126</v>
      </c>
      <c r="B306" t="str">
        <f>B303&amp;" - "&amp;B305&amp;" - "&amp;B318&amp;" - "&amp;B302</f>
        <v>Motorbike, electric, 4-11kW - 2050 - NCA - CH</v>
      </c>
    </row>
    <row r="307" spans="1:2" x14ac:dyDescent="0.2">
      <c r="A307" t="s">
        <v>73</v>
      </c>
      <c r="B307" t="str">
        <f>"transport, "&amp;B303</f>
        <v>transport, Motorbike,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1776</v>
      </c>
    </row>
    <row r="316" spans="1:2" x14ac:dyDescent="0.2">
      <c r="A316" t="s">
        <v>132</v>
      </c>
      <c r="B316" s="2">
        <f>INDEX('vehicles specifications'!$B$3:$CW$166,MATCH(B306,'vehicles specifications'!$A$3:$A$166,0),MATCH("Curb mass [kg]",'vehicles specifications'!$B$2:$CW$2,0))</f>
        <v>116.89626218710283</v>
      </c>
    </row>
    <row r="317" spans="1:2" x14ac:dyDescent="0.2">
      <c r="A317" t="s">
        <v>133</v>
      </c>
      <c r="B317">
        <f>INDEX('vehicles specifications'!$B$3:$CW$166,MATCH(B306,'vehicles specifications'!$A$3:$A$166,0),MATCH("Power [kW]",'vehicles specifications'!$B$2:$CW$2,0))</f>
        <v>4.7</v>
      </c>
    </row>
    <row r="318" spans="1:2" x14ac:dyDescent="0.2">
      <c r="A318" t="s">
        <v>652</v>
      </c>
      <c r="B318" s="20" t="s">
        <v>45</v>
      </c>
    </row>
    <row r="319" spans="1:2" x14ac:dyDescent="0.2">
      <c r="A319" t="s">
        <v>134</v>
      </c>
      <c r="B319">
        <f>INDEX('vehicles specifications'!$B$3:$CW$166,MATCH(B306,'vehicles specifications'!$A$3:$A$166,0),MATCH("Energy battery mass [kg]",'vehicles specifications'!$B$2:$CW$2,0))</f>
        <v>24.7</v>
      </c>
    </row>
    <row r="320" spans="1:2" x14ac:dyDescent="0.2">
      <c r="A320" t="s">
        <v>135</v>
      </c>
      <c r="B320">
        <f>INDEX('vehicles specifications'!$B$3:$CW$166,MATCH(B306,'vehicles specifications'!$A$3:$A$166,0),MATCH("Electric energy stored [kWh]",'vehicles specifications'!$B$2:$CW$2,0))</f>
        <v>9.5</v>
      </c>
    </row>
    <row r="321" spans="1:8" x14ac:dyDescent="0.2">
      <c r="A321" t="s">
        <v>588</v>
      </c>
      <c r="B321">
        <f>INDEX('vehicles specifications'!$B$3:$CW$166,MATCH(B306,'vehicles specifications'!$A$3:$A$166,0),MATCH("Electric energy available [kWh]",'vehicles specifications'!$B$2:$CW$2,0))</f>
        <v>7.6000000000000005</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150.32967032967034</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4.7 kW. Lifetime: 25000 km. Annual kilometers: 1776 km. Number of passengers: 1.1. Curb mass: 116.9 kg. Lightweighting of glider: 7%. Emission standard: None. Service visits throughout lifetime: 1. Range: 150 km. Battery capacity: 9.5 kWh. Available battery capacity: 7.6 kWh. Battery mass: 24.7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4-11kW, NCA battery, 2050</v>
      </c>
      <c r="B330">
        <v>1</v>
      </c>
      <c r="C330" t="str">
        <f>B302</f>
        <v>CH</v>
      </c>
      <c r="D330" t="s">
        <v>166</v>
      </c>
      <c r="F330" t="s">
        <v>84</v>
      </c>
      <c r="G330" t="s">
        <v>85</v>
      </c>
      <c r="H330" t="str">
        <f>B307</f>
        <v>transport, Motorbike, electric, 4-11kW</v>
      </c>
    </row>
    <row r="331" spans="1:8" x14ac:dyDescent="0.2">
      <c r="A331" t="str">
        <f>RIGHT(A330,LEN(A330)-11)</f>
        <v>Motorbike, electric, 4-11kW, NCA battery, 2050</v>
      </c>
      <c r="B331" s="7">
        <f>1/B311</f>
        <v>4.0000000000000003E-5</v>
      </c>
      <c r="C331" t="str">
        <f>B302</f>
        <v>CH</v>
      </c>
      <c r="D331" t="s">
        <v>76</v>
      </c>
      <c r="F331" t="s">
        <v>89</v>
      </c>
      <c r="H331" t="str">
        <f>RIGHT(H330,LEN(H330)-11)</f>
        <v>Motorbike, electric, 4-11kW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5.5611111111111111E-2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4.0000000000000003E-5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1.1029779279447421E-4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-7.4406252182883539E-6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-5.1629211982562471E-6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-2.8078268502623069E-6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38"/>
  <sheetViews>
    <sheetView topLeftCell="A322" workbookViewId="0">
      <selection activeCell="A354" sqref="A354"/>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tr">
        <f>B3&amp;", "&amp;B18&amp;" battery, "&amp;B5</f>
        <v>Motorbike, electric, 11-35kW, NMC battery, 2020</v>
      </c>
    </row>
    <row r="2" spans="1:2" x14ac:dyDescent="0.2">
      <c r="A2" t="s">
        <v>72</v>
      </c>
      <c r="B2" t="s">
        <v>37</v>
      </c>
    </row>
    <row r="3" spans="1:2" x14ac:dyDescent="0.2">
      <c r="A3" t="s">
        <v>86</v>
      </c>
      <c r="B3" t="s">
        <v>494</v>
      </c>
    </row>
    <row r="4" spans="1:2" x14ac:dyDescent="0.2">
      <c r="A4" t="s">
        <v>87</v>
      </c>
    </row>
    <row r="5" spans="1:2" x14ac:dyDescent="0.2">
      <c r="A5" t="s">
        <v>88</v>
      </c>
      <c r="B5">
        <v>2020</v>
      </c>
    </row>
    <row r="6" spans="1:2" x14ac:dyDescent="0.2">
      <c r="A6" t="s">
        <v>126</v>
      </c>
      <c r="B6" t="str">
        <f>B3&amp;" - "&amp;B5&amp;" - "&amp;B18&amp;" - "&amp;B2</f>
        <v>Motorbike, electric, 11-35kW - 2020 - NMC - CH</v>
      </c>
    </row>
    <row r="7" spans="1:2" x14ac:dyDescent="0.2">
      <c r="A7" t="s">
        <v>73</v>
      </c>
      <c r="B7" t="str">
        <f>B3</f>
        <v>Motorbike, electric, 11-35kW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38500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1.54</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2405</v>
      </c>
    </row>
    <row r="16" spans="1:2" x14ac:dyDescent="0.2">
      <c r="A16" t="s">
        <v>132</v>
      </c>
      <c r="B16" s="2">
        <f>INDEX('vehicles specifications'!$B$3:$CW$166,MATCH(B6,'vehicles specifications'!$A$3:$A$166,0),MATCH("Curb mass [kg]",'vehicles specifications'!$B$2:$CW$2,0))</f>
        <v>165.64999999999998</v>
      </c>
    </row>
    <row r="17" spans="1:8" x14ac:dyDescent="0.2">
      <c r="A17" t="s">
        <v>133</v>
      </c>
      <c r="B17">
        <f>INDEX('vehicles specifications'!$B$3:$CW$166,MATCH(B6,'vehicles specifications'!$A$3:$A$166,0),MATCH("Power [kW]",'vehicles specifications'!$B$2:$CW$2,0))</f>
        <v>14</v>
      </c>
    </row>
    <row r="18" spans="1:8" x14ac:dyDescent="0.2">
      <c r="A18" t="s">
        <v>652</v>
      </c>
      <c r="B18" s="20" t="s">
        <v>43</v>
      </c>
    </row>
    <row r="19" spans="1:8" x14ac:dyDescent="0.2">
      <c r="A19" t="s">
        <v>134</v>
      </c>
      <c r="B19">
        <f>INDEX('vehicles specifications'!$B$3:$CW$166,MATCH(B6,'vehicles specifications'!$A$3:$A$166,0),MATCH("Energy battery mass [kg]",'vehicles specifications'!$B$2:$CW$2,0))</f>
        <v>52.649999999999991</v>
      </c>
    </row>
    <row r="20" spans="1:8" x14ac:dyDescent="0.2">
      <c r="A20" t="s">
        <v>135</v>
      </c>
      <c r="B20">
        <f>INDEX('vehicles specifications'!$B$3:$CW$166,MATCH(B6,'vehicles specifications'!$A$3:$A$166,0),MATCH("Electric energy stored [kWh]",'vehicles specifications'!$B$2:$CW$2,0))</f>
        <v>8.1</v>
      </c>
    </row>
    <row r="21" spans="1:8" x14ac:dyDescent="0.2">
      <c r="A21" t="s">
        <v>588</v>
      </c>
      <c r="B21">
        <f>INDEX('vehicles specifications'!$B$3:$CW$166,MATCH(B6,'vehicles specifications'!$A$3:$A$166,0),MATCH("Electric energy available [kWh]",'vehicles specifications'!$B$2:$CW$2,0))</f>
        <v>6.48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94.692311208791224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11-35kW, NMC battery, 2020</v>
      </c>
      <c r="B33">
        <v>1</v>
      </c>
      <c r="C33" t="str">
        <f>B2</f>
        <v>CH</v>
      </c>
      <c r="D33" t="str">
        <f>B9</f>
        <v>unit</v>
      </c>
      <c r="F33" t="s">
        <v>84</v>
      </c>
      <c r="G33" t="s">
        <v>85</v>
      </c>
      <c r="H33" t="str">
        <f>B3</f>
        <v>Motorbike, electric, 11-35kW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tr">
        <f>INDEX('ei names mapping'!$B$4:$R$33,MATCH(B3,'ei names mapping'!$A$4:$A$33,0),MATCH(G37,'ei names mapping'!$B$3:$R$3,0))</f>
        <v>Battery cell, NMC-622</v>
      </c>
      <c r="B37" s="3">
        <f>INDEX('vehicles specifications'!$B$3:$CW$166,MATCH(B6,'vehicles specifications'!$A$3:$A$166,0),MATCH(G37,'vehicles specifications'!$B$2:$CW$2,0))*INDEX('ei names mapping'!$B$137:$BL$300,MATCH(B6,'ei names mapping'!$A$137:$A$300,0),MATCH(G37,'ei names mapping'!$B$136:$BL$136,0))</f>
        <v>60.749999999999986</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18.224999999999994</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-78.974999999999994</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165.64999999999998</v>
      </c>
      <c r="C43" t="s">
        <v>92</v>
      </c>
      <c r="D43" t="s">
        <v>233</v>
      </c>
      <c r="F43" t="s">
        <v>89</v>
      </c>
      <c r="H43" s="13" t="s">
        <v>841</v>
      </c>
    </row>
    <row r="44" spans="1:8" x14ac:dyDescent="0.2">
      <c r="A44" s="13" t="s">
        <v>441</v>
      </c>
      <c r="B44" s="3">
        <f>(B16/1000)*B28</f>
        <v>2633.8349999999996</v>
      </c>
      <c r="C44" t="s">
        <v>95</v>
      </c>
      <c r="D44" t="s">
        <v>233</v>
      </c>
      <c r="F44" t="s">
        <v>89</v>
      </c>
      <c r="H44" s="13" t="s">
        <v>441</v>
      </c>
    </row>
    <row r="45" spans="1:8" x14ac:dyDescent="0.2">
      <c r="B45" s="11"/>
    </row>
    <row r="46" spans="1:8" ht="16" x14ac:dyDescent="0.2">
      <c r="A46" s="10" t="s">
        <v>71</v>
      </c>
      <c r="B46" s="8" t="str">
        <f>B48&amp;", "&amp;B63&amp;" battery, "&amp;B50</f>
        <v>Motorbike, electric, 11-35kW, NMC battery, 2030</v>
      </c>
    </row>
    <row r="47" spans="1:8" x14ac:dyDescent="0.2">
      <c r="A47" t="s">
        <v>72</v>
      </c>
      <c r="B47" t="s">
        <v>37</v>
      </c>
    </row>
    <row r="48" spans="1:8" x14ac:dyDescent="0.2">
      <c r="A48" t="s">
        <v>86</v>
      </c>
      <c r="B48" t="s">
        <v>494</v>
      </c>
    </row>
    <row r="49" spans="1:2" x14ac:dyDescent="0.2">
      <c r="A49" t="s">
        <v>87</v>
      </c>
    </row>
    <row r="50" spans="1:2" x14ac:dyDescent="0.2">
      <c r="A50" t="s">
        <v>88</v>
      </c>
      <c r="B50">
        <v>2030</v>
      </c>
    </row>
    <row r="51" spans="1:2" x14ac:dyDescent="0.2">
      <c r="A51" t="s">
        <v>126</v>
      </c>
      <c r="B51" t="str">
        <f>B48&amp;" - "&amp;B50&amp;" - "&amp;B63&amp;" - "&amp;B47</f>
        <v>Motorbike, electric, 11-35kW - 2030 - NMC - CH</v>
      </c>
    </row>
    <row r="52" spans="1:2" x14ac:dyDescent="0.2">
      <c r="A52" t="s">
        <v>73</v>
      </c>
      <c r="B52" t="str">
        <f>B48</f>
        <v>Motorbike, electric, 11-35kW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38500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1.54</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2405</v>
      </c>
    </row>
    <row r="61" spans="1:2" x14ac:dyDescent="0.2">
      <c r="A61" t="s">
        <v>132</v>
      </c>
      <c r="B61" s="2">
        <f>INDEX('vehicles specifications'!$B$3:$CW$166,MATCH(B51,'vehicles specifications'!$A$3:$A$166,0),MATCH("Curb mass [kg]",'vehicles specifications'!$B$2:$CW$2,0))</f>
        <v>166.03666666666666</v>
      </c>
    </row>
    <row r="62" spans="1:2" x14ac:dyDescent="0.2">
      <c r="A62" t="s">
        <v>133</v>
      </c>
      <c r="B62">
        <f>INDEX('vehicles specifications'!$B$3:$CW$166,MATCH(B51,'vehicles specifications'!$A$3:$A$166,0),MATCH("Power [kW]",'vehicles specifications'!$B$2:$CW$2,0))</f>
        <v>14</v>
      </c>
    </row>
    <row r="63" spans="1:2" x14ac:dyDescent="0.2">
      <c r="A63" t="s">
        <v>652</v>
      </c>
      <c r="B63" s="20" t="s">
        <v>43</v>
      </c>
    </row>
    <row r="64" spans="1:2" x14ac:dyDescent="0.2">
      <c r="A64" t="s">
        <v>134</v>
      </c>
      <c r="B64">
        <f>INDEX('vehicles specifications'!$B$3:$CW$166,MATCH(B51,'vehicles specifications'!$A$3:$A$166,0),MATCH("Energy battery mass [kg]",'vehicles specifications'!$B$2:$CW$2,0))</f>
        <v>55.466666666666669</v>
      </c>
    </row>
    <row r="65" spans="1:8" x14ac:dyDescent="0.2">
      <c r="A65" t="s">
        <v>135</v>
      </c>
      <c r="B65">
        <f>INDEX('vehicles specifications'!$B$3:$CW$166,MATCH(B51,'vehicles specifications'!$A$3:$A$166,0),MATCH("Electric energy stored [kWh]",'vehicles specifications'!$B$2:$CW$2,0))</f>
        <v>12.8</v>
      </c>
    </row>
    <row r="66" spans="1:8" x14ac:dyDescent="0.2">
      <c r="A66" t="s">
        <v>588</v>
      </c>
      <c r="B66">
        <f>INDEX('vehicles specifications'!$B$3:$CW$166,MATCH(B51,'vehicles specifications'!$A$3:$A$166,0),MATCH("Electric energy available [kWh]",'vehicles specifications'!$B$2:$CW$2,0))</f>
        <v>10.240000000000002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149.63723252747255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11-35kW, NMC battery, 2030</v>
      </c>
      <c r="B78">
        <v>1</v>
      </c>
      <c r="C78" t="str">
        <f>B47</f>
        <v>CH</v>
      </c>
      <c r="D78" t="str">
        <f>B54</f>
        <v>unit</v>
      </c>
      <c r="F78" t="s">
        <v>84</v>
      </c>
      <c r="G78" t="s">
        <v>85</v>
      </c>
      <c r="H78" t="str">
        <f>B48</f>
        <v>Motorbike, electric, 11-35kW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2.4299999999999997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tr">
        <f>INDEX('ei names mapping'!$B$4:$R$33,MATCH(B48,'ei names mapping'!$A$4:$A$33,0),MATCH(G83,'ei names mapping'!$B$3:$R$3,0))</f>
        <v>Battery cell, NMC-622</v>
      </c>
      <c r="B83" s="11">
        <f>INDEX('vehicles specifications'!$B$3:$CW$166,MATCH(B51,'vehicles specifications'!$A$3:$A$166,0),MATCH(G83,'vehicles specifications'!$B$2:$CW$2,0))*INDEX('ei names mapping'!$B$137:$BL$300,MATCH(B51,'ei names mapping'!$A$137:$A$300,0),MATCH(G83,'ei names mapping'!$B$136:$BL$136,0))</f>
        <v>53.333333333333343</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16</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78.569999999999993</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-69.333333333333343</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166.03666666666666</v>
      </c>
      <c r="C89" t="s">
        <v>92</v>
      </c>
      <c r="D89" t="s">
        <v>233</v>
      </c>
      <c r="F89" t="s">
        <v>89</v>
      </c>
      <c r="H89" s="13" t="s">
        <v>841</v>
      </c>
    </row>
    <row r="90" spans="1:8" x14ac:dyDescent="0.2">
      <c r="A90" s="13" t="s">
        <v>441</v>
      </c>
      <c r="B90" s="2">
        <f>(B61/1000)*B73</f>
        <v>2639.9830000000002</v>
      </c>
      <c r="C90" t="s">
        <v>95</v>
      </c>
      <c r="D90" t="s">
        <v>233</v>
      </c>
      <c r="F90" t="s">
        <v>89</v>
      </c>
      <c r="H90" s="13" t="s">
        <v>441</v>
      </c>
    </row>
    <row r="92" spans="1:8" ht="16" x14ac:dyDescent="0.2">
      <c r="A92" s="10" t="s">
        <v>71</v>
      </c>
      <c r="B92" s="8" t="str">
        <f>B94&amp;", "&amp;B109&amp;" battery, "&amp;B96</f>
        <v>Motorbike, electric, 11-35kW, NMC battery, 2040</v>
      </c>
    </row>
    <row r="93" spans="1:8" x14ac:dyDescent="0.2">
      <c r="A93" t="s">
        <v>72</v>
      </c>
      <c r="B93" t="s">
        <v>37</v>
      </c>
    </row>
    <row r="94" spans="1:8" x14ac:dyDescent="0.2">
      <c r="A94" t="s">
        <v>86</v>
      </c>
      <c r="B94" t="s">
        <v>494</v>
      </c>
    </row>
    <row r="95" spans="1:8" x14ac:dyDescent="0.2">
      <c r="A95" t="s">
        <v>87</v>
      </c>
    </row>
    <row r="96" spans="1:8" x14ac:dyDescent="0.2">
      <c r="A96" t="s">
        <v>88</v>
      </c>
      <c r="B96">
        <v>2040</v>
      </c>
    </row>
    <row r="97" spans="1:2" x14ac:dyDescent="0.2">
      <c r="A97" t="s">
        <v>126</v>
      </c>
      <c r="B97" t="str">
        <f>B94&amp;" - "&amp;B96&amp;" - "&amp;B109&amp;" - "&amp;B93</f>
        <v>Motorbike, electric, 11-35kW - 2040 - NMC - CH</v>
      </c>
    </row>
    <row r="98" spans="1:2" x14ac:dyDescent="0.2">
      <c r="A98" t="s">
        <v>73</v>
      </c>
      <c r="B98" t="str">
        <f>B94</f>
        <v>Motorbike, electric, 11-35kW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38500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1.54</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2405</v>
      </c>
    </row>
    <row r="107" spans="1:2" x14ac:dyDescent="0.2">
      <c r="A107" t="s">
        <v>132</v>
      </c>
      <c r="B107" s="2">
        <f>INDEX('vehicles specifications'!$B$3:$CW$166,MATCH(B97,'vehicles specifications'!$A$3:$A$166,0),MATCH("Curb mass [kg]",'vehicles specifications'!$B$2:$CW$2,0))</f>
        <v>166.8</v>
      </c>
    </row>
    <row r="108" spans="1:2" x14ac:dyDescent="0.2">
      <c r="A108" t="s">
        <v>133</v>
      </c>
      <c r="B108">
        <f>INDEX('vehicles specifications'!$B$3:$CW$166,MATCH(B97,'vehicles specifications'!$A$3:$A$166,0),MATCH("Power [kW]",'vehicles specifications'!$B$2:$CW$2,0))</f>
        <v>14</v>
      </c>
    </row>
    <row r="109" spans="1:2" x14ac:dyDescent="0.2">
      <c r="A109" t="s">
        <v>652</v>
      </c>
      <c r="B109" s="20" t="s">
        <v>43</v>
      </c>
    </row>
    <row r="110" spans="1:2" x14ac:dyDescent="0.2">
      <c r="A110" t="s">
        <v>134</v>
      </c>
      <c r="B110">
        <f>INDEX('vehicles specifications'!$B$3:$CW$166,MATCH(B97,'vehicles specifications'!$A$3:$A$166,0),MATCH("Energy battery mass [kg]",'vehicles specifications'!$B$2:$CW$2,0))</f>
        <v>57.85</v>
      </c>
    </row>
    <row r="111" spans="1:2" x14ac:dyDescent="0.2">
      <c r="A111" t="s">
        <v>135</v>
      </c>
      <c r="B111">
        <f>INDEX('vehicles specifications'!$B$3:$CW$166,MATCH(B97,'vehicles specifications'!$A$3:$A$166,0),MATCH("Electric energy stored [kWh]",'vehicles specifications'!$B$2:$CW$2,0))</f>
        <v>17.8</v>
      </c>
    </row>
    <row r="112" spans="1:2" x14ac:dyDescent="0.2">
      <c r="A112" t="s">
        <v>588</v>
      </c>
      <c r="B112">
        <f>INDEX('vehicles specifications'!$B$3:$CW$166,MATCH(B97,'vehicles specifications'!$A$3:$A$166,0),MATCH("Electric energy available [kWh]",'vehicles specifications'!$B$2:$CW$2,0))</f>
        <v>14.240000000000002</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208.08927648351653</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11-35kW, NMC battery, 2040</v>
      </c>
      <c r="B124">
        <v>1</v>
      </c>
      <c r="C124" t="str">
        <f>B93</f>
        <v>CH</v>
      </c>
      <c r="D124" t="str">
        <f>B100</f>
        <v>unit</v>
      </c>
      <c r="F124" t="s">
        <v>84</v>
      </c>
      <c r="G124" t="s">
        <v>85</v>
      </c>
      <c r="H124" t="str">
        <f>B94</f>
        <v>Motorbike, electric, 11-35kW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4.05</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19</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tr">
        <f>INDEX('ei names mapping'!$B$4:$R$33,MATCH(B94,'ei names mapping'!$A$4:$A$33,0),MATCH(G129,'ei names mapping'!$B$3:$R$3,0))</f>
        <v>Battery cell, NMC-622</v>
      </c>
      <c r="B129" s="11">
        <f>INDEX('vehicles specifications'!$B$3:$CW$166,MATCH(B97,'vehicles specifications'!$A$3:$A$166,0),MATCH(G129,'vehicles specifications'!$B$2:$CW$2,0))*INDEX('ei names mapping'!$B$137:$BL$300,MATCH(B97,'ei names mapping'!$A$137:$A$300,0),MATCH(G129,'ei names mapping'!$B$136:$BL$136,0))</f>
        <v>44.5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13.35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76.95</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32</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-57.85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166.8</v>
      </c>
      <c r="C135" t="s">
        <v>92</v>
      </c>
      <c r="D135" t="s">
        <v>233</v>
      </c>
      <c r="F135" t="s">
        <v>89</v>
      </c>
      <c r="H135" s="13" t="s">
        <v>841</v>
      </c>
    </row>
    <row r="136" spans="1:8" x14ac:dyDescent="0.2">
      <c r="A136" s="13" t="s">
        <v>441</v>
      </c>
      <c r="B136" s="2">
        <f>(B107/1000)*B119</f>
        <v>2652.12</v>
      </c>
      <c r="C136" t="s">
        <v>95</v>
      </c>
      <c r="D136" t="s">
        <v>233</v>
      </c>
      <c r="F136" t="s">
        <v>89</v>
      </c>
      <c r="H136" s="13" t="s">
        <v>441</v>
      </c>
    </row>
    <row r="138" spans="1:8" ht="16" x14ac:dyDescent="0.2">
      <c r="A138" s="10" t="s">
        <v>71</v>
      </c>
      <c r="B138" s="8" t="str">
        <f>B140&amp;", "&amp;B155&amp;" battery, "&amp;B142</f>
        <v>Motorbike, electric, 11-35kW, NMC battery, 2050</v>
      </c>
    </row>
    <row r="139" spans="1:8" x14ac:dyDescent="0.2">
      <c r="A139" t="s">
        <v>72</v>
      </c>
      <c r="B139" t="s">
        <v>37</v>
      </c>
    </row>
    <row r="140" spans="1:8" x14ac:dyDescent="0.2">
      <c r="A140" t="s">
        <v>86</v>
      </c>
      <c r="B140" t="s">
        <v>494</v>
      </c>
    </row>
    <row r="141" spans="1:8" x14ac:dyDescent="0.2">
      <c r="A141" t="s">
        <v>87</v>
      </c>
    </row>
    <row r="142" spans="1:8" x14ac:dyDescent="0.2">
      <c r="A142" t="s">
        <v>88</v>
      </c>
      <c r="B142">
        <v>2050</v>
      </c>
    </row>
    <row r="143" spans="1:8" x14ac:dyDescent="0.2">
      <c r="A143" t="s">
        <v>126</v>
      </c>
      <c r="B143" t="str">
        <f>B140&amp;" - "&amp;B142&amp;" - "&amp;B155&amp;" - "&amp;B139</f>
        <v>Motorbike, electric, 11-35kW - 2050 - NMC - CH</v>
      </c>
    </row>
    <row r="144" spans="1:8" x14ac:dyDescent="0.2">
      <c r="A144" t="s">
        <v>73</v>
      </c>
      <c r="B144" t="str">
        <f>B140</f>
        <v>Motorbike, electric, 11-35kW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38500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1.54</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2405</v>
      </c>
    </row>
    <row r="153" spans="1:2" x14ac:dyDescent="0.2">
      <c r="A153" t="s">
        <v>132</v>
      </c>
      <c r="B153" s="2">
        <f>INDEX('vehicles specifications'!$B$3:$CW$166,MATCH(B143,'vehicles specifications'!$A$3:$A$166,0),MATCH("Curb mass [kg]",'vehicles specifications'!$B$2:$CW$2,0))</f>
        <v>166.61</v>
      </c>
    </row>
    <row r="154" spans="1:2" x14ac:dyDescent="0.2">
      <c r="A154" t="s">
        <v>133</v>
      </c>
      <c r="B154">
        <f>INDEX('vehicles specifications'!$B$3:$CW$166,MATCH(B143,'vehicles specifications'!$A$3:$A$166,0),MATCH("Power [kW]",'vehicles specifications'!$B$2:$CW$2,0))</f>
        <v>14</v>
      </c>
    </row>
    <row r="155" spans="1:2" x14ac:dyDescent="0.2">
      <c r="A155" t="s">
        <v>652</v>
      </c>
      <c r="B155" s="20" t="s">
        <v>43</v>
      </c>
    </row>
    <row r="156" spans="1:2" x14ac:dyDescent="0.2">
      <c r="A156" t="s">
        <v>134</v>
      </c>
      <c r="B156">
        <f>INDEX('vehicles specifications'!$B$3:$CW$166,MATCH(B143,'vehicles specifications'!$A$3:$A$166,0),MATCH("Energy battery mass [kg]",'vehicles specifications'!$B$2:$CW$2,0))</f>
        <v>59.28</v>
      </c>
    </row>
    <row r="157" spans="1:2" x14ac:dyDescent="0.2">
      <c r="A157" t="s">
        <v>135</v>
      </c>
      <c r="B157">
        <f>INDEX('vehicles specifications'!$B$3:$CW$166,MATCH(B143,'vehicles specifications'!$A$3:$A$166,0),MATCH("Electric energy stored [kWh]",'vehicles specifications'!$B$2:$CW$2,0))</f>
        <v>22.8</v>
      </c>
    </row>
    <row r="158" spans="1:2" x14ac:dyDescent="0.2">
      <c r="A158" t="s">
        <v>588</v>
      </c>
      <c r="B158">
        <f>INDEX('vehicles specifications'!$B$3:$CW$166,MATCH(B143,'vehicles specifications'!$A$3:$A$166,0),MATCH("Electric energy available [kWh]",'vehicles specifications'!$B$2:$CW$2,0))</f>
        <v>18.240000000000002</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266.54132043956048</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11-35kW, NMC battery, 2050</v>
      </c>
      <c r="B170">
        <v>1</v>
      </c>
      <c r="C170" t="str">
        <f>B139</f>
        <v>CH</v>
      </c>
      <c r="D170" t="str">
        <f>B146</f>
        <v>unit</v>
      </c>
      <c r="F170" t="s">
        <v>84</v>
      </c>
      <c r="G170" t="s">
        <v>85</v>
      </c>
      <c r="H170" t="str">
        <f>B140</f>
        <v>Motorbike, electric, 11-35kW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7.7700000000000005</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19</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tr">
        <f>INDEX('ei names mapping'!$B$4:$R$33,MATCH(B140,'ei names mapping'!$A$4:$A$33,0),MATCH(G175,'ei names mapping'!$B$3:$R$3,0))</f>
        <v>Battery cell, NMC-622</v>
      </c>
      <c r="B175" s="11">
        <f>INDEX('vehicles specifications'!$B$3:$CW$166,MATCH(B143,'vehicles specifications'!$A$3:$A$166,0),MATCH(G175,'vehicles specifications'!$B$2:$CW$2,0))*INDEX('ei names mapping'!$B$137:$BL$300,MATCH(B143,'ei names mapping'!$A$137:$A$300,0),MATCH(G175,'ei names mapping'!$B$136:$BL$136,0))</f>
        <v>91.2</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27.36</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75.33</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32</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-118.56</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166.61</v>
      </c>
      <c r="C181" t="s">
        <v>92</v>
      </c>
      <c r="D181" t="s">
        <v>233</v>
      </c>
      <c r="F181" t="s">
        <v>89</v>
      </c>
      <c r="H181" s="13" t="s">
        <v>841</v>
      </c>
    </row>
    <row r="182" spans="1:8" x14ac:dyDescent="0.2">
      <c r="A182" s="13" t="s">
        <v>441</v>
      </c>
      <c r="B182" s="2">
        <f>(B153/1000)*B165</f>
        <v>2649.0990000000002</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11-35kW, NMC battery, 2020</v>
      </c>
    </row>
    <row r="185" spans="1:8" x14ac:dyDescent="0.2">
      <c r="A185" t="s">
        <v>72</v>
      </c>
      <c r="B185" t="s">
        <v>37</v>
      </c>
    </row>
    <row r="186" spans="1:8" x14ac:dyDescent="0.2">
      <c r="A186" t="s">
        <v>86</v>
      </c>
      <c r="B186" t="s">
        <v>494</v>
      </c>
    </row>
    <row r="187" spans="1:8" x14ac:dyDescent="0.2">
      <c r="A187" t="s">
        <v>87</v>
      </c>
    </row>
    <row r="188" spans="1:8" x14ac:dyDescent="0.2">
      <c r="A188" t="s">
        <v>88</v>
      </c>
      <c r="B188">
        <v>2020</v>
      </c>
    </row>
    <row r="189" spans="1:8" x14ac:dyDescent="0.2">
      <c r="A189" t="s">
        <v>126</v>
      </c>
      <c r="B189" t="str">
        <f>B186&amp;" - "&amp;B188&amp;" - "&amp;B201&amp;" - "&amp;B185</f>
        <v>Motorbike, electric, 11-35kW - 2020 - NMC - CH</v>
      </c>
    </row>
    <row r="190" spans="1:8" x14ac:dyDescent="0.2">
      <c r="A190" t="s">
        <v>73</v>
      </c>
      <c r="B190" t="str">
        <f>"transport, "&amp;B186</f>
        <v>transport, Motorbike, electric, 11-35kW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38500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1.54</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2405</v>
      </c>
    </row>
    <row r="199" spans="1:2" x14ac:dyDescent="0.2">
      <c r="A199" t="s">
        <v>132</v>
      </c>
      <c r="B199" s="2">
        <f>INDEX('vehicles specifications'!$B$3:$CW$166,MATCH(B189,'vehicles specifications'!$A$3:$A$166,0),MATCH("Curb mass [kg]",'vehicles specifications'!$B$2:$CW$2,0))</f>
        <v>165.64999999999998</v>
      </c>
    </row>
    <row r="200" spans="1:2" x14ac:dyDescent="0.2">
      <c r="A200" t="s">
        <v>133</v>
      </c>
      <c r="B200">
        <f>INDEX('vehicles specifications'!$B$3:$CW$166,MATCH(B189,'vehicles specifications'!$A$3:$A$166,0),MATCH("Power [kW]",'vehicles specifications'!$B$2:$CW$2,0))</f>
        <v>14</v>
      </c>
    </row>
    <row r="201" spans="1:2" x14ac:dyDescent="0.2">
      <c r="A201" t="s">
        <v>652</v>
      </c>
      <c r="B201" s="20" t="s">
        <v>43</v>
      </c>
    </row>
    <row r="202" spans="1:2" x14ac:dyDescent="0.2">
      <c r="A202" t="s">
        <v>134</v>
      </c>
      <c r="B202">
        <f>INDEX('vehicles specifications'!$B$3:$CW$166,MATCH(B189,'vehicles specifications'!$A$3:$A$166,0),MATCH("Energy battery mass [kg]",'vehicles specifications'!$B$2:$CW$2,0))</f>
        <v>52.649999999999991</v>
      </c>
    </row>
    <row r="203" spans="1:2" x14ac:dyDescent="0.2">
      <c r="A203" t="s">
        <v>135</v>
      </c>
      <c r="B203">
        <f>INDEX('vehicles specifications'!$B$3:$CW$166,MATCH(B189,'vehicles specifications'!$A$3:$A$166,0),MATCH("Electric energy stored [kWh]",'vehicles specifications'!$B$2:$CW$2,0))</f>
        <v>8.1</v>
      </c>
    </row>
    <row r="204" spans="1:2" x14ac:dyDescent="0.2">
      <c r="A204" t="s">
        <v>588</v>
      </c>
      <c r="B204">
        <f>INDEX('vehicles specifications'!$B$3:$CW$166,MATCH(B189,'vehicles specifications'!$A$3:$A$166,0),MATCH("Electric energy available [kWh]",'vehicles specifications'!$B$2:$CW$2,0))</f>
        <v>6.48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94.692311208791224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11-35kW, NMC battery, 2020</v>
      </c>
      <c r="B213">
        <v>1</v>
      </c>
      <c r="C213" t="str">
        <f>B185</f>
        <v>CH</v>
      </c>
      <c r="D213" t="s">
        <v>166</v>
      </c>
      <c r="F213" t="s">
        <v>84</v>
      </c>
      <c r="G213" t="s">
        <v>85</v>
      </c>
      <c r="H213" t="str">
        <f>B190</f>
        <v>transport, Motorbike, electric, 11-35kW</v>
      </c>
    </row>
    <row r="214" spans="1:8" x14ac:dyDescent="0.2">
      <c r="A214" t="str">
        <f>RIGHT(A213,LEN(A213)-11)</f>
        <v>Motorbike, electric, 11-35kW, NMC battery, 2020</v>
      </c>
      <c r="B214" s="7">
        <f>1/B194</f>
        <v>2.5974025974025975E-5</v>
      </c>
      <c r="C214" t="str">
        <f>B185</f>
        <v>CH</v>
      </c>
      <c r="D214" t="s">
        <v>76</v>
      </c>
      <c r="F214" t="s">
        <v>89</v>
      </c>
      <c r="H214" t="str">
        <f>RIGHT(H213,LEN(H213)-11)</f>
        <v>Motorbike, electric, 11-35kW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1.3647854999999999E-4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7.5275383069731625E-2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-8.8133578199366445E-6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-5.7857682258766833E-6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-3.2263949130873107E-6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11-35kW, NMC battery, 2030</v>
      </c>
    </row>
    <row r="224" spans="1:8" x14ac:dyDescent="0.2">
      <c r="A224" t="s">
        <v>72</v>
      </c>
      <c r="B224" t="s">
        <v>37</v>
      </c>
    </row>
    <row r="225" spans="1:2" x14ac:dyDescent="0.2">
      <c r="A225" t="s">
        <v>86</v>
      </c>
      <c r="B225" t="s">
        <v>494</v>
      </c>
    </row>
    <row r="226" spans="1:2" x14ac:dyDescent="0.2">
      <c r="A226" t="s">
        <v>87</v>
      </c>
    </row>
    <row r="227" spans="1:2" x14ac:dyDescent="0.2">
      <c r="A227" t="s">
        <v>88</v>
      </c>
      <c r="B227">
        <v>2030</v>
      </c>
    </row>
    <row r="228" spans="1:2" x14ac:dyDescent="0.2">
      <c r="A228" t="s">
        <v>126</v>
      </c>
      <c r="B228" t="str">
        <f>B225&amp;" - "&amp;B227&amp;" - "&amp;B240&amp;" - "&amp;B224</f>
        <v>Motorbike, electric, 11-35kW - 2030 - NMC - CH</v>
      </c>
    </row>
    <row r="229" spans="1:2" x14ac:dyDescent="0.2">
      <c r="A229" t="s">
        <v>73</v>
      </c>
      <c r="B229" t="str">
        <f>"transport, "&amp;B225</f>
        <v>transport, Motorbike, electric, 11-35kW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38500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1.54</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2405</v>
      </c>
    </row>
    <row r="238" spans="1:2" x14ac:dyDescent="0.2">
      <c r="A238" t="s">
        <v>132</v>
      </c>
      <c r="B238" s="2">
        <f>INDEX('vehicles specifications'!$B$3:$CW$166,MATCH(B228,'vehicles specifications'!$A$3:$A$166,0),MATCH("Curb mass [kg]",'vehicles specifications'!$B$2:$CW$2,0))</f>
        <v>166.03666666666666</v>
      </c>
    </row>
    <row r="239" spans="1:2" x14ac:dyDescent="0.2">
      <c r="A239" t="s">
        <v>133</v>
      </c>
      <c r="B239">
        <f>INDEX('vehicles specifications'!$B$3:$CW$166,MATCH(B228,'vehicles specifications'!$A$3:$A$166,0),MATCH("Power [kW]",'vehicles specifications'!$B$2:$CW$2,0))</f>
        <v>14</v>
      </c>
    </row>
    <row r="240" spans="1:2" x14ac:dyDescent="0.2">
      <c r="A240" t="s">
        <v>652</v>
      </c>
      <c r="B240" s="20" t="s">
        <v>43</v>
      </c>
    </row>
    <row r="241" spans="1:8" x14ac:dyDescent="0.2">
      <c r="A241" t="s">
        <v>134</v>
      </c>
      <c r="B241">
        <f>INDEX('vehicles specifications'!$B$3:$CW$166,MATCH(B228,'vehicles specifications'!$A$3:$A$166,0),MATCH("Energy battery mass [kg]",'vehicles specifications'!$B$2:$CW$2,0))</f>
        <v>55.466666666666669</v>
      </c>
    </row>
    <row r="242" spans="1:8" x14ac:dyDescent="0.2">
      <c r="A242" t="s">
        <v>135</v>
      </c>
      <c r="B242">
        <f>INDEX('vehicles specifications'!$B$3:$CW$166,MATCH(B228,'vehicles specifications'!$A$3:$A$166,0),MATCH("Electric energy stored [kWh]",'vehicles specifications'!$B$2:$CW$2,0))</f>
        <v>12.8</v>
      </c>
    </row>
    <row r="243" spans="1:8" x14ac:dyDescent="0.2">
      <c r="A243" t="s">
        <v>588</v>
      </c>
      <c r="B243">
        <f>INDEX('vehicles specifications'!$B$3:$CW$166,MATCH(B228,'vehicles specifications'!$A$3:$A$166,0),MATCH("Electric energy available [kWh]",'vehicles specifications'!$B$2:$CW$2,0))</f>
        <v>10.240000000000002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149.63723252747255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11-35kW, NMC battery, 2030</v>
      </c>
      <c r="B252">
        <v>1</v>
      </c>
      <c r="C252" t="str">
        <f>B224</f>
        <v>CH</v>
      </c>
      <c r="D252" t="s">
        <v>166</v>
      </c>
      <c r="F252" t="s">
        <v>84</v>
      </c>
      <c r="G252" t="s">
        <v>85</v>
      </c>
      <c r="H252" t="str">
        <f>B229</f>
        <v>transport, Motorbike, electric, 11-35kW</v>
      </c>
    </row>
    <row r="253" spans="1:8" x14ac:dyDescent="0.2">
      <c r="A253" t="str">
        <f>RIGHT(A252,LEN(A252)-11)</f>
        <v>Motorbike, electric, 11-35kW, NMC battery, 2030</v>
      </c>
      <c r="B253" s="7">
        <f>1/B233</f>
        <v>2.5974025974025975E-5</v>
      </c>
      <c r="C253" t="str">
        <f>B224</f>
        <v>CH</v>
      </c>
      <c r="D253" t="s">
        <v>76</v>
      </c>
      <c r="F253" t="s">
        <v>89</v>
      </c>
      <c r="H253" t="str">
        <f>RIGHT(H252,LEN(H252)-11)</f>
        <v>Motorbike, electric, 11-35kW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7.5275383069731625E-2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1.3668618999999998E-4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-8.8240366405718536E-6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-5.7903454773815019E-6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-3.2295454524199181E-6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11-35kW, NMC battery, 2040</v>
      </c>
    </row>
    <row r="263" spans="1:8" x14ac:dyDescent="0.2">
      <c r="A263" t="s">
        <v>72</v>
      </c>
      <c r="B263" t="s">
        <v>37</v>
      </c>
    </row>
    <row r="264" spans="1:8" x14ac:dyDescent="0.2">
      <c r="A264" t="s">
        <v>86</v>
      </c>
      <c r="B264" t="s">
        <v>494</v>
      </c>
    </row>
    <row r="265" spans="1:8" x14ac:dyDescent="0.2">
      <c r="A265" t="s">
        <v>87</v>
      </c>
    </row>
    <row r="266" spans="1:8" x14ac:dyDescent="0.2">
      <c r="A266" t="s">
        <v>88</v>
      </c>
      <c r="B266">
        <v>2040</v>
      </c>
    </row>
    <row r="267" spans="1:8" x14ac:dyDescent="0.2">
      <c r="A267" t="s">
        <v>126</v>
      </c>
      <c r="B267" t="str">
        <f>B264&amp;" - "&amp;B266&amp;" - "&amp;B279&amp;" - "&amp;B263</f>
        <v>Motorbike, electric, 11-35kW - 2040 - NMC - CH</v>
      </c>
    </row>
    <row r="268" spans="1:8" x14ac:dyDescent="0.2">
      <c r="A268" t="s">
        <v>73</v>
      </c>
      <c r="B268" t="str">
        <f>"transport, "&amp;B264</f>
        <v>transport, Motorbike, electric, 11-35kW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38500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1.54</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2405</v>
      </c>
    </row>
    <row r="277" spans="1:2" x14ac:dyDescent="0.2">
      <c r="A277" t="s">
        <v>132</v>
      </c>
      <c r="B277" s="2">
        <f>INDEX('vehicles specifications'!$B$3:$CW$166,MATCH(B267,'vehicles specifications'!$A$3:$A$166,0),MATCH("Curb mass [kg]",'vehicles specifications'!$B$2:$CW$2,0))</f>
        <v>166.8</v>
      </c>
    </row>
    <row r="278" spans="1:2" x14ac:dyDescent="0.2">
      <c r="A278" t="s">
        <v>133</v>
      </c>
      <c r="B278">
        <f>INDEX('vehicles specifications'!$B$3:$CW$166,MATCH(B267,'vehicles specifications'!$A$3:$A$166,0),MATCH("Power [kW]",'vehicles specifications'!$B$2:$CW$2,0))</f>
        <v>14</v>
      </c>
    </row>
    <row r="279" spans="1:2" x14ac:dyDescent="0.2">
      <c r="A279" t="s">
        <v>652</v>
      </c>
      <c r="B279" s="20" t="s">
        <v>43</v>
      </c>
    </row>
    <row r="280" spans="1:2" x14ac:dyDescent="0.2">
      <c r="A280" t="s">
        <v>134</v>
      </c>
      <c r="B280">
        <f>INDEX('vehicles specifications'!$B$3:$CW$166,MATCH(B267,'vehicles specifications'!$A$3:$A$166,0),MATCH("Energy battery mass [kg]",'vehicles specifications'!$B$2:$CW$2,0))</f>
        <v>57.85</v>
      </c>
    </row>
    <row r="281" spans="1:2" x14ac:dyDescent="0.2">
      <c r="A281" t="s">
        <v>135</v>
      </c>
      <c r="B281">
        <f>INDEX('vehicles specifications'!$B$3:$CW$166,MATCH(B267,'vehicles specifications'!$A$3:$A$166,0),MATCH("Electric energy stored [kWh]",'vehicles specifications'!$B$2:$CW$2,0))</f>
        <v>17.8</v>
      </c>
    </row>
    <row r="282" spans="1:2" x14ac:dyDescent="0.2">
      <c r="A282" t="s">
        <v>588</v>
      </c>
      <c r="B282">
        <f>INDEX('vehicles specifications'!$B$3:$CW$166,MATCH(B267,'vehicles specifications'!$A$3:$A$166,0),MATCH("Electric energy available [kWh]",'vehicles specifications'!$B$2:$CW$2,0))</f>
        <v>14.240000000000002</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208.08927648351653</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11-35kW, NMC battery, 2040</v>
      </c>
      <c r="B291">
        <v>1</v>
      </c>
      <c r="C291" t="str">
        <f>B263</f>
        <v>CH</v>
      </c>
      <c r="D291" t="s">
        <v>166</v>
      </c>
      <c r="F291" t="s">
        <v>84</v>
      </c>
      <c r="G291" t="s">
        <v>85</v>
      </c>
      <c r="H291" t="str">
        <f>B268</f>
        <v>transport, Motorbike, electric, 11-35kW</v>
      </c>
    </row>
    <row r="292" spans="1:8" x14ac:dyDescent="0.2">
      <c r="A292" t="str">
        <f>RIGHT(A291,LEN(A291)-11)</f>
        <v>Motorbike, electric, 11-35kW, NMC battery, 2040</v>
      </c>
      <c r="B292" s="7">
        <f>1/B272</f>
        <v>2.5974025974025975E-5</v>
      </c>
      <c r="C292" t="str">
        <f>B263</f>
        <v>CH</v>
      </c>
      <c r="D292" t="s">
        <v>76</v>
      </c>
      <c r="F292" t="s">
        <v>89</v>
      </c>
      <c r="H292" t="str">
        <f>RIGHT(H291,LEN(H291)-11)</f>
        <v>Motorbike, electric, 11-35kW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7.5275383069731625E-2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1.370961E-4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-8.845109296756298E-6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-5.7993671866676433E-6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-3.2357581705559849E-6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11-35kW, NMC battery, 2050</v>
      </c>
    </row>
    <row r="302" spans="1:8" x14ac:dyDescent="0.2">
      <c r="A302" t="s">
        <v>72</v>
      </c>
      <c r="B302" t="s">
        <v>37</v>
      </c>
    </row>
    <row r="303" spans="1:8" x14ac:dyDescent="0.2">
      <c r="A303" t="s">
        <v>86</v>
      </c>
      <c r="B303" t="s">
        <v>494</v>
      </c>
    </row>
    <row r="304" spans="1:8" x14ac:dyDescent="0.2">
      <c r="A304" t="s">
        <v>87</v>
      </c>
    </row>
    <row r="305" spans="1:2" x14ac:dyDescent="0.2">
      <c r="A305" t="s">
        <v>88</v>
      </c>
      <c r="B305">
        <v>2050</v>
      </c>
    </row>
    <row r="306" spans="1:2" x14ac:dyDescent="0.2">
      <c r="A306" t="s">
        <v>126</v>
      </c>
      <c r="B306" t="str">
        <f>B303&amp;" - "&amp;B305&amp;" - "&amp;B318&amp;" - "&amp;B302</f>
        <v>Motorbike, electric, 11-35kW - 2050 - NMC - CH</v>
      </c>
    </row>
    <row r="307" spans="1:2" x14ac:dyDescent="0.2">
      <c r="A307" t="s">
        <v>73</v>
      </c>
      <c r="B307" t="str">
        <f>"transport, "&amp;B303</f>
        <v>transport, Motorbike, electric, 11-35kW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38500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1.54</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2405</v>
      </c>
    </row>
    <row r="316" spans="1:2" x14ac:dyDescent="0.2">
      <c r="A316" t="s">
        <v>132</v>
      </c>
      <c r="B316" s="2">
        <f>INDEX('vehicles specifications'!$B$3:$CW$166,MATCH(B306,'vehicles specifications'!$A$3:$A$166,0),MATCH("Curb mass [kg]",'vehicles specifications'!$B$2:$CW$2,0))</f>
        <v>166.61</v>
      </c>
    </row>
    <row r="317" spans="1:2" x14ac:dyDescent="0.2">
      <c r="A317" t="s">
        <v>133</v>
      </c>
      <c r="B317">
        <f>INDEX('vehicles specifications'!$B$3:$CW$166,MATCH(B306,'vehicles specifications'!$A$3:$A$166,0),MATCH("Power [kW]",'vehicles specifications'!$B$2:$CW$2,0))</f>
        <v>14</v>
      </c>
    </row>
    <row r="318" spans="1:2" x14ac:dyDescent="0.2">
      <c r="A318" t="s">
        <v>652</v>
      </c>
      <c r="B318" s="20" t="s">
        <v>43</v>
      </c>
    </row>
    <row r="319" spans="1:2" x14ac:dyDescent="0.2">
      <c r="A319" t="s">
        <v>134</v>
      </c>
      <c r="B319">
        <f>INDEX('vehicles specifications'!$B$3:$CW$166,MATCH(B306,'vehicles specifications'!$A$3:$A$166,0),MATCH("Energy battery mass [kg]",'vehicles specifications'!$B$2:$CW$2,0))</f>
        <v>59.28</v>
      </c>
    </row>
    <row r="320" spans="1:2" x14ac:dyDescent="0.2">
      <c r="A320" t="s">
        <v>135</v>
      </c>
      <c r="B320">
        <f>INDEX('vehicles specifications'!$B$3:$CW$166,MATCH(B306,'vehicles specifications'!$A$3:$A$166,0),MATCH("Electric energy stored [kWh]",'vehicles specifications'!$B$2:$CW$2,0))</f>
        <v>22.8</v>
      </c>
    </row>
    <row r="321" spans="1:8" x14ac:dyDescent="0.2">
      <c r="A321" t="s">
        <v>588</v>
      </c>
      <c r="B321">
        <f>INDEX('vehicles specifications'!$B$3:$CW$166,MATCH(B306,'vehicles specifications'!$A$3:$A$166,0),MATCH("Electric energy available [kWh]",'vehicles specifications'!$B$2:$CW$2,0))</f>
        <v>18.240000000000002</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266.54132043956048</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11-35kW, NMC battery, 2050</v>
      </c>
      <c r="B330">
        <v>1</v>
      </c>
      <c r="C330" t="str">
        <f>B302</f>
        <v>CH</v>
      </c>
      <c r="D330" t="s">
        <v>166</v>
      </c>
      <c r="F330" t="s">
        <v>84</v>
      </c>
      <c r="G330" t="s">
        <v>85</v>
      </c>
      <c r="H330" t="str">
        <f>B307</f>
        <v>transport, Motorbike, electric, 11-35kW</v>
      </c>
    </row>
    <row r="331" spans="1:8" x14ac:dyDescent="0.2">
      <c r="A331" t="str">
        <f>RIGHT(A330,LEN(A330)-11)</f>
        <v>Motorbike, electric, 11-35kW, NMC battery, 2050</v>
      </c>
      <c r="B331" s="7">
        <f>1/B311</f>
        <v>2.5974025974025975E-5</v>
      </c>
      <c r="C331" t="str">
        <f>B302</f>
        <v>CH</v>
      </c>
      <c r="D331" t="s">
        <v>76</v>
      </c>
      <c r="F331" t="s">
        <v>89</v>
      </c>
      <c r="H331" t="str">
        <f>RIGHT(H330,LEN(H330)-11)</f>
        <v>Motorbike, electric, 11-35kW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7.5275383069731625E-2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3.802469135802469E-5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1.3699407E-4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-8.8398652291641006E-6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-5.7971233927756468E-6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-3.2342126254824507E-6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38"/>
  <sheetViews>
    <sheetView topLeftCell="A322" workbookViewId="0">
      <selection activeCell="A354" sqref="A354"/>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tr">
        <f>B3&amp;", "&amp;B18&amp;" battery, "&amp;B5</f>
        <v>Motorbike, electric, 11-35kW, LFP battery, 2020</v>
      </c>
    </row>
    <row r="2" spans="1:2" x14ac:dyDescent="0.2">
      <c r="A2" t="s">
        <v>72</v>
      </c>
      <c r="B2" t="s">
        <v>37</v>
      </c>
    </row>
    <row r="3" spans="1:2" x14ac:dyDescent="0.2">
      <c r="A3" t="s">
        <v>86</v>
      </c>
      <c r="B3" t="s">
        <v>494</v>
      </c>
    </row>
    <row r="4" spans="1:2" x14ac:dyDescent="0.2">
      <c r="A4" t="s">
        <v>87</v>
      </c>
    </row>
    <row r="5" spans="1:2" x14ac:dyDescent="0.2">
      <c r="A5" t="s">
        <v>88</v>
      </c>
      <c r="B5">
        <v>2020</v>
      </c>
    </row>
    <row r="6" spans="1:2" x14ac:dyDescent="0.2">
      <c r="A6" t="s">
        <v>126</v>
      </c>
      <c r="B6" t="str">
        <f>B3&amp;" - "&amp;B5&amp;" - "&amp;B18&amp;" - "&amp;B2</f>
        <v>Motorbike, electric, 11-35kW - 2020 - LFP - CH</v>
      </c>
    </row>
    <row r="7" spans="1:2" x14ac:dyDescent="0.2">
      <c r="A7" t="s">
        <v>73</v>
      </c>
      <c r="B7" t="str">
        <f>B3</f>
        <v>Motorbike, electric, 11-35kW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38500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1.54</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2405</v>
      </c>
    </row>
    <row r="16" spans="1:2" x14ac:dyDescent="0.2">
      <c r="A16" t="s">
        <v>132</v>
      </c>
      <c r="B16" s="2">
        <f>INDEX('vehicles specifications'!$B$3:$CW$166,MATCH(B6,'vehicles specifications'!$A$3:$A$166,0),MATCH("Curb mass [kg]",'vehicles specifications'!$B$2:$CW$2,0))</f>
        <v>177.8</v>
      </c>
    </row>
    <row r="17" spans="1:8" x14ac:dyDescent="0.2">
      <c r="A17" t="s">
        <v>133</v>
      </c>
      <c r="B17">
        <f>INDEX('vehicles specifications'!$B$3:$CW$166,MATCH(B6,'vehicles specifications'!$A$3:$A$166,0),MATCH("Power [kW]",'vehicles specifications'!$B$2:$CW$2,0))</f>
        <v>14</v>
      </c>
    </row>
    <row r="18" spans="1:8" x14ac:dyDescent="0.2">
      <c r="A18" t="s">
        <v>652</v>
      </c>
      <c r="B18" s="20" t="s">
        <v>44</v>
      </c>
    </row>
    <row r="19" spans="1:8" x14ac:dyDescent="0.2">
      <c r="A19" t="s">
        <v>134</v>
      </c>
      <c r="B19">
        <f>INDEX('vehicles specifications'!$B$3:$CW$166,MATCH(B6,'vehicles specifications'!$A$3:$A$166,0),MATCH("Energy battery mass [kg]",'vehicles specifications'!$B$2:$CW$2,0))</f>
        <v>64.8</v>
      </c>
    </row>
    <row r="20" spans="1:8" x14ac:dyDescent="0.2">
      <c r="A20" t="s">
        <v>135</v>
      </c>
      <c r="B20">
        <f>INDEX('vehicles specifications'!$B$3:$CW$166,MATCH(B6,'vehicles specifications'!$A$3:$A$166,0),MATCH("Electric energy stored [kWh]",'vehicles specifications'!$B$2:$CW$2,0))</f>
        <v>8.1</v>
      </c>
    </row>
    <row r="21" spans="1:8" x14ac:dyDescent="0.2">
      <c r="A21" t="s">
        <v>588</v>
      </c>
      <c r="B21">
        <f>INDEX('vehicles specifications'!$B$3:$CW$166,MATCH(B6,'vehicles specifications'!$A$3:$A$166,0),MATCH("Electric energy available [kWh]",'vehicles specifications'!$B$2:$CW$2,0))</f>
        <v>6.48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94.692311208791224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11-35kW, LFP battery, 2020</v>
      </c>
      <c r="B33">
        <v>1</v>
      </c>
      <c r="C33" t="str">
        <f>B2</f>
        <v>CH</v>
      </c>
      <c r="D33" t="str">
        <f>B9</f>
        <v>unit</v>
      </c>
      <c r="F33" t="s">
        <v>84</v>
      </c>
      <c r="G33" t="s">
        <v>85</v>
      </c>
      <c r="H33" t="str">
        <f>B3</f>
        <v>Motorbike, electric, 11-35kW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759</v>
      </c>
      <c r="B37" s="3">
        <f>INDEX('vehicles specifications'!$B$3:$CW$166,MATCH(B6,'vehicles specifications'!$A$3:$A$166,0),MATCH(G37,'vehicles specifications'!$B$2:$CW$2,0))*INDEX('ei names mapping'!$B$137:$BL$300,MATCH(B6,'ei names mapping'!$A$137:$A$300,0),MATCH(G37,'ei names mapping'!$B$136:$BL$136,0))</f>
        <v>81</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16.200000000000003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-97.199999999999989</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177.8</v>
      </c>
      <c r="C43" t="s">
        <v>92</v>
      </c>
      <c r="D43" t="s">
        <v>233</v>
      </c>
      <c r="F43" t="s">
        <v>89</v>
      </c>
      <c r="H43" s="13" t="s">
        <v>841</v>
      </c>
    </row>
    <row r="44" spans="1:8" x14ac:dyDescent="0.2">
      <c r="A44" s="13" t="s">
        <v>441</v>
      </c>
      <c r="B44" s="3">
        <f>(B16/1000)*B28</f>
        <v>2827.0200000000004</v>
      </c>
      <c r="C44" t="s">
        <v>95</v>
      </c>
      <c r="D44" t="s">
        <v>233</v>
      </c>
      <c r="F44" t="s">
        <v>89</v>
      </c>
      <c r="H44" s="13" t="s">
        <v>441</v>
      </c>
    </row>
    <row r="45" spans="1:8" x14ac:dyDescent="0.2">
      <c r="B45" s="11"/>
    </row>
    <row r="46" spans="1:8" ht="16" x14ac:dyDescent="0.2">
      <c r="A46" s="10" t="s">
        <v>71</v>
      </c>
      <c r="B46" s="8" t="str">
        <f>B48&amp;", "&amp;B63&amp;" battery, "&amp;B50</f>
        <v>Motorbike, electric, 11-35kW, LFP battery, 2030</v>
      </c>
    </row>
    <row r="47" spans="1:8" x14ac:dyDescent="0.2">
      <c r="A47" t="s">
        <v>72</v>
      </c>
      <c r="B47" t="s">
        <v>37</v>
      </c>
    </row>
    <row r="48" spans="1:8" x14ac:dyDescent="0.2">
      <c r="A48" t="s">
        <v>86</v>
      </c>
      <c r="B48" t="s">
        <v>494</v>
      </c>
    </row>
    <row r="49" spans="1:2" x14ac:dyDescent="0.2">
      <c r="A49" t="s">
        <v>87</v>
      </c>
    </row>
    <row r="50" spans="1:2" x14ac:dyDescent="0.2">
      <c r="A50" t="s">
        <v>88</v>
      </c>
      <c r="B50">
        <v>2030</v>
      </c>
    </row>
    <row r="51" spans="1:2" x14ac:dyDescent="0.2">
      <c r="A51" t="s">
        <v>126</v>
      </c>
      <c r="B51" t="str">
        <f>B48&amp;" - "&amp;B50&amp;" - "&amp;B63&amp;" - "&amp;B47</f>
        <v>Motorbike, electric, 11-35kW - 2030 - LFP - CH</v>
      </c>
    </row>
    <row r="52" spans="1:2" x14ac:dyDescent="0.2">
      <c r="A52" t="s">
        <v>73</v>
      </c>
      <c r="B52" t="str">
        <f>B48</f>
        <v>Motorbike, electric, 11-35kW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38500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1.54</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2405</v>
      </c>
    </row>
    <row r="61" spans="1:2" x14ac:dyDescent="0.2">
      <c r="A61" t="s">
        <v>132</v>
      </c>
      <c r="B61" s="2">
        <f>INDEX('vehicles specifications'!$B$3:$CW$166,MATCH(B51,'vehicles specifications'!$A$3:$A$166,0),MATCH("Curb mass [kg]",'vehicles specifications'!$B$2:$CW$2,0))</f>
        <v>195.90333333333334</v>
      </c>
    </row>
    <row r="62" spans="1:2" x14ac:dyDescent="0.2">
      <c r="A62" t="s">
        <v>133</v>
      </c>
      <c r="B62">
        <f>INDEX('vehicles specifications'!$B$3:$CW$166,MATCH(B51,'vehicles specifications'!$A$3:$A$166,0),MATCH("Power [kW]",'vehicles specifications'!$B$2:$CW$2,0))</f>
        <v>14</v>
      </c>
    </row>
    <row r="63" spans="1:2" x14ac:dyDescent="0.2">
      <c r="A63" t="s">
        <v>652</v>
      </c>
      <c r="B63" s="20" t="s">
        <v>44</v>
      </c>
    </row>
    <row r="64" spans="1:2" x14ac:dyDescent="0.2">
      <c r="A64" t="s">
        <v>134</v>
      </c>
      <c r="B64">
        <f>INDEX('vehicles specifications'!$B$3:$CW$166,MATCH(B51,'vehicles specifications'!$A$3:$A$166,0),MATCH("Energy battery mass [kg]",'vehicles specifications'!$B$2:$CW$2,0))</f>
        <v>85.333333333333343</v>
      </c>
    </row>
    <row r="65" spans="1:8" x14ac:dyDescent="0.2">
      <c r="A65" t="s">
        <v>135</v>
      </c>
      <c r="B65">
        <f>INDEX('vehicles specifications'!$B$3:$CW$166,MATCH(B51,'vehicles specifications'!$A$3:$A$166,0),MATCH("Electric energy stored [kWh]",'vehicles specifications'!$B$2:$CW$2,0))</f>
        <v>12.8</v>
      </c>
    </row>
    <row r="66" spans="1:8" x14ac:dyDescent="0.2">
      <c r="A66" t="s">
        <v>588</v>
      </c>
      <c r="B66">
        <f>INDEX('vehicles specifications'!$B$3:$CW$166,MATCH(B51,'vehicles specifications'!$A$3:$A$166,0),MATCH("Electric energy available [kWh]",'vehicles specifications'!$B$2:$CW$2,0))</f>
        <v>10.240000000000002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149.63723252747255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195.9 kg. Lightweighting of glider: 3%. Emission standard: None. Service visits throughout lifetime: 1.5. Range: 150 km. Battery capacity: 12.8 kWh. Available battery capacity: 10.24 kWh. Battery mass: 85.3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11-35kW, LFP battery, 2030</v>
      </c>
      <c r="B78">
        <v>1</v>
      </c>
      <c r="C78" t="str">
        <f>B47</f>
        <v>CH</v>
      </c>
      <c r="D78" t="str">
        <f>B54</f>
        <v>unit</v>
      </c>
      <c r="F78" t="s">
        <v>84</v>
      </c>
      <c r="G78" t="s">
        <v>85</v>
      </c>
      <c r="H78" t="str">
        <f>B48</f>
        <v>Motorbike, electric, 11-35kW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2.4299999999999997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759</v>
      </c>
      <c r="B83" s="11">
        <f>INDEX('vehicles specifications'!$B$3:$CW$166,MATCH(B51,'vehicles specifications'!$A$3:$A$166,0),MATCH(G83,'vehicles specifications'!$B$2:$CW$2,0))*INDEX('ei names mapping'!$B$137:$BL$300,MATCH(B51,'ei names mapping'!$A$137:$A$300,0),MATCH(G83,'ei names mapping'!$B$136:$BL$136,0))</f>
        <v>88.888888888888886</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17.777777777777779</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78.569999999999993</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-106.66666666666669</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195.90333333333334</v>
      </c>
      <c r="C89" t="s">
        <v>92</v>
      </c>
      <c r="D89" t="s">
        <v>233</v>
      </c>
      <c r="F89" t="s">
        <v>89</v>
      </c>
      <c r="H89" s="13" t="s">
        <v>841</v>
      </c>
    </row>
    <row r="90" spans="1:8" x14ac:dyDescent="0.2">
      <c r="A90" s="13" t="s">
        <v>441</v>
      </c>
      <c r="B90" s="2">
        <f>(B61/1000)*B73</f>
        <v>3114.8630000000003</v>
      </c>
      <c r="C90" t="s">
        <v>95</v>
      </c>
      <c r="D90" t="s">
        <v>233</v>
      </c>
      <c r="F90" t="s">
        <v>89</v>
      </c>
      <c r="H90" s="13" t="s">
        <v>441</v>
      </c>
    </row>
    <row r="92" spans="1:8" ht="16" x14ac:dyDescent="0.2">
      <c r="A92" s="10" t="s">
        <v>71</v>
      </c>
      <c r="B92" s="8" t="str">
        <f>B94&amp;", "&amp;B109&amp;" battery, "&amp;B96</f>
        <v>Motorbike, electric, 11-35kW, LFP battery, 2040</v>
      </c>
    </row>
    <row r="93" spans="1:8" x14ac:dyDescent="0.2">
      <c r="A93" t="s">
        <v>72</v>
      </c>
      <c r="B93" t="s">
        <v>37</v>
      </c>
    </row>
    <row r="94" spans="1:8" x14ac:dyDescent="0.2">
      <c r="A94" t="s">
        <v>86</v>
      </c>
      <c r="B94" t="s">
        <v>494</v>
      </c>
    </row>
    <row r="95" spans="1:8" x14ac:dyDescent="0.2">
      <c r="A95" t="s">
        <v>87</v>
      </c>
    </row>
    <row r="96" spans="1:8" x14ac:dyDescent="0.2">
      <c r="A96" t="s">
        <v>88</v>
      </c>
      <c r="B96">
        <v>2040</v>
      </c>
    </row>
    <row r="97" spans="1:2" x14ac:dyDescent="0.2">
      <c r="A97" t="s">
        <v>126</v>
      </c>
      <c r="B97" t="str">
        <f>B94&amp;" - "&amp;B96&amp;" - "&amp;B109&amp;" - "&amp;B93</f>
        <v>Motorbike, electric, 11-35kW - 2040 - LFP - CH</v>
      </c>
    </row>
    <row r="98" spans="1:2" x14ac:dyDescent="0.2">
      <c r="A98" t="s">
        <v>73</v>
      </c>
      <c r="B98" t="str">
        <f>B94</f>
        <v>Motorbike, electric, 11-35kW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38500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1.54</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2405</v>
      </c>
    </row>
    <row r="107" spans="1:2" x14ac:dyDescent="0.2">
      <c r="A107" t="s">
        <v>132</v>
      </c>
      <c r="B107" s="2">
        <f>INDEX('vehicles specifications'!$B$3:$CW$166,MATCH(B97,'vehicles specifications'!$A$3:$A$166,0),MATCH("Curb mass [kg]",'vehicles specifications'!$B$2:$CW$2,0))</f>
        <v>227.61666666666667</v>
      </c>
    </row>
    <row r="108" spans="1:2" x14ac:dyDescent="0.2">
      <c r="A108" t="s">
        <v>133</v>
      </c>
      <c r="B108">
        <f>INDEX('vehicles specifications'!$B$3:$CW$166,MATCH(B97,'vehicles specifications'!$A$3:$A$166,0),MATCH("Power [kW]",'vehicles specifications'!$B$2:$CW$2,0))</f>
        <v>14</v>
      </c>
    </row>
    <row r="109" spans="1:2" x14ac:dyDescent="0.2">
      <c r="A109" t="s">
        <v>652</v>
      </c>
      <c r="B109" s="20" t="s">
        <v>44</v>
      </c>
    </row>
    <row r="110" spans="1:2" x14ac:dyDescent="0.2">
      <c r="A110" t="s">
        <v>134</v>
      </c>
      <c r="B110">
        <f>INDEX('vehicles specifications'!$B$3:$CW$166,MATCH(B97,'vehicles specifications'!$A$3:$A$166,0),MATCH("Energy battery mass [kg]",'vehicles specifications'!$B$2:$CW$2,0))</f>
        <v>118.66666666666669</v>
      </c>
    </row>
    <row r="111" spans="1:2" x14ac:dyDescent="0.2">
      <c r="A111" t="s">
        <v>135</v>
      </c>
      <c r="B111">
        <f>INDEX('vehicles specifications'!$B$3:$CW$166,MATCH(B97,'vehicles specifications'!$A$3:$A$166,0),MATCH("Electric energy stored [kWh]",'vehicles specifications'!$B$2:$CW$2,0))</f>
        <v>17.8</v>
      </c>
    </row>
    <row r="112" spans="1:2" x14ac:dyDescent="0.2">
      <c r="A112" t="s">
        <v>588</v>
      </c>
      <c r="B112">
        <f>INDEX('vehicles specifications'!$B$3:$CW$166,MATCH(B97,'vehicles specifications'!$A$3:$A$166,0),MATCH("Electric energy available [kWh]",'vehicles specifications'!$B$2:$CW$2,0))</f>
        <v>14.240000000000002</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208.08927648351653</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227.6 kg. Lightweighting of glider: 5%. Emission standard: None. Service visits throughout lifetime: 1.5. Range: 208 km. Battery capacity: 17.8 kWh. Available battery capacity: 14.24 kWh. Battery mass: 118.7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11-35kW, LFP battery, 2040</v>
      </c>
      <c r="B124">
        <v>1</v>
      </c>
      <c r="C124" t="str">
        <f>B93</f>
        <v>CH</v>
      </c>
      <c r="D124" t="str">
        <f>B100</f>
        <v>unit</v>
      </c>
      <c r="F124" t="s">
        <v>84</v>
      </c>
      <c r="G124" t="s">
        <v>85</v>
      </c>
      <c r="H124" t="str">
        <f>B94</f>
        <v>Motorbike, electric, 11-35kW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4.05</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19</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759</v>
      </c>
      <c r="B129" s="11">
        <f>INDEX('vehicles specifications'!$B$3:$CW$166,MATCH(B97,'vehicles specifications'!$A$3:$A$166,0),MATCH(G129,'vehicles specifications'!$B$2:$CW$2,0))*INDEX('ei names mapping'!$B$137:$BL$300,MATCH(B97,'ei names mapping'!$A$137:$A$300,0),MATCH(G129,'ei names mapping'!$B$136:$BL$136,0))</f>
        <v>98.8888888888889</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19.777777777777782</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76.95</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32</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-118.66666666666669</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227.61666666666667</v>
      </c>
      <c r="C135" t="s">
        <v>92</v>
      </c>
      <c r="D135" t="s">
        <v>233</v>
      </c>
      <c r="F135" t="s">
        <v>89</v>
      </c>
      <c r="H135" s="13" t="s">
        <v>841</v>
      </c>
    </row>
    <row r="136" spans="1:8" x14ac:dyDescent="0.2">
      <c r="A136" s="13" t="s">
        <v>441</v>
      </c>
      <c r="B136" s="2">
        <f>(B107/1000)*B119</f>
        <v>3619.105</v>
      </c>
      <c r="C136" t="s">
        <v>95</v>
      </c>
      <c r="D136" t="s">
        <v>233</v>
      </c>
      <c r="F136" t="s">
        <v>89</v>
      </c>
      <c r="H136" s="13" t="s">
        <v>441</v>
      </c>
    </row>
    <row r="138" spans="1:8" ht="16" x14ac:dyDescent="0.2">
      <c r="A138" s="10" t="s">
        <v>71</v>
      </c>
      <c r="B138" s="8" t="str">
        <f>B140&amp;", "&amp;B155&amp;" battery, "&amp;B142</f>
        <v>Motorbike, electric, 11-35kW, LFP battery, 2050</v>
      </c>
    </row>
    <row r="139" spans="1:8" x14ac:dyDescent="0.2">
      <c r="A139" t="s">
        <v>72</v>
      </c>
      <c r="B139" t="s">
        <v>37</v>
      </c>
    </row>
    <row r="140" spans="1:8" x14ac:dyDescent="0.2">
      <c r="A140" t="s">
        <v>86</v>
      </c>
      <c r="B140" t="s">
        <v>494</v>
      </c>
    </row>
    <row r="141" spans="1:8" x14ac:dyDescent="0.2">
      <c r="A141" t="s">
        <v>87</v>
      </c>
    </row>
    <row r="142" spans="1:8" x14ac:dyDescent="0.2">
      <c r="A142" t="s">
        <v>88</v>
      </c>
      <c r="B142">
        <v>2050</v>
      </c>
    </row>
    <row r="143" spans="1:8" x14ac:dyDescent="0.2">
      <c r="A143" t="s">
        <v>126</v>
      </c>
      <c r="B143" t="str">
        <f>B140&amp;" - "&amp;B142&amp;" - "&amp;B155&amp;" - "&amp;B139</f>
        <v>Motorbike, electric, 11-35kW - 2050 - LFP - CH</v>
      </c>
    </row>
    <row r="144" spans="1:8" x14ac:dyDescent="0.2">
      <c r="A144" t="s">
        <v>73</v>
      </c>
      <c r="B144" t="str">
        <f>B140</f>
        <v>Motorbike, electric, 11-35kW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38500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1.54</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2405</v>
      </c>
    </row>
    <row r="153" spans="1:2" x14ac:dyDescent="0.2">
      <c r="A153" t="s">
        <v>132</v>
      </c>
      <c r="B153" s="2">
        <f>INDEX('vehicles specifications'!$B$3:$CW$166,MATCH(B143,'vehicles specifications'!$A$3:$A$166,0),MATCH("Curb mass [kg]",'vehicles specifications'!$B$2:$CW$2,0))</f>
        <v>244.13</v>
      </c>
    </row>
    <row r="154" spans="1:2" x14ac:dyDescent="0.2">
      <c r="A154" t="s">
        <v>133</v>
      </c>
      <c r="B154">
        <f>INDEX('vehicles specifications'!$B$3:$CW$166,MATCH(B143,'vehicles specifications'!$A$3:$A$166,0),MATCH("Power [kW]",'vehicles specifications'!$B$2:$CW$2,0))</f>
        <v>14</v>
      </c>
    </row>
    <row r="155" spans="1:2" x14ac:dyDescent="0.2">
      <c r="A155" t="s">
        <v>652</v>
      </c>
      <c r="B155" s="20" t="s">
        <v>44</v>
      </c>
    </row>
    <row r="156" spans="1:2" x14ac:dyDescent="0.2">
      <c r="A156" t="s">
        <v>134</v>
      </c>
      <c r="B156">
        <f>INDEX('vehicles specifications'!$B$3:$CW$166,MATCH(B143,'vehicles specifications'!$A$3:$A$166,0),MATCH("Energy battery mass [kg]",'vehicles specifications'!$B$2:$CW$2,0))</f>
        <v>136.80000000000001</v>
      </c>
    </row>
    <row r="157" spans="1:2" x14ac:dyDescent="0.2">
      <c r="A157" t="s">
        <v>135</v>
      </c>
      <c r="B157">
        <f>INDEX('vehicles specifications'!$B$3:$CW$166,MATCH(B143,'vehicles specifications'!$A$3:$A$166,0),MATCH("Electric energy stored [kWh]",'vehicles specifications'!$B$2:$CW$2,0))</f>
        <v>22.8</v>
      </c>
    </row>
    <row r="158" spans="1:2" x14ac:dyDescent="0.2">
      <c r="A158" t="s">
        <v>588</v>
      </c>
      <c r="B158">
        <f>INDEX('vehicles specifications'!$B$3:$CW$166,MATCH(B143,'vehicles specifications'!$A$3:$A$166,0),MATCH("Electric energy available [kWh]",'vehicles specifications'!$B$2:$CW$2,0))</f>
        <v>18.240000000000002</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266.54132043956048</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244.1 kg. Lightweighting of glider: 7%. Emission standard: None. Service visits throughout lifetime: 1.5. Range: 267 km. Battery capacity: 22.8 kWh. Available battery capacity: 18.24 kWh. Battery mass: 136.8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11-35kW, LFP battery, 2050</v>
      </c>
      <c r="B170">
        <v>1</v>
      </c>
      <c r="C170" t="str">
        <f>B139</f>
        <v>CH</v>
      </c>
      <c r="D170" t="str">
        <f>B146</f>
        <v>unit</v>
      </c>
      <c r="F170" t="s">
        <v>84</v>
      </c>
      <c r="G170" t="s">
        <v>85</v>
      </c>
      <c r="H170" t="str">
        <f>B140</f>
        <v>Motorbike, electric, 11-35kW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7.7700000000000005</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19</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759</v>
      </c>
      <c r="B175" s="11">
        <f>INDEX('vehicles specifications'!$B$3:$CW$166,MATCH(B143,'vehicles specifications'!$A$3:$A$166,0),MATCH(G175,'vehicles specifications'!$B$2:$CW$2,0))*INDEX('ei names mapping'!$B$137:$BL$300,MATCH(B143,'ei names mapping'!$A$137:$A$300,0),MATCH(G175,'ei names mapping'!$B$136:$BL$136,0))</f>
        <v>228</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45.6</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75.33</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32</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-273.60000000000002</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244.13</v>
      </c>
      <c r="C181" t="s">
        <v>92</v>
      </c>
      <c r="D181" t="s">
        <v>233</v>
      </c>
      <c r="F181" t="s">
        <v>89</v>
      </c>
      <c r="H181" s="13" t="s">
        <v>841</v>
      </c>
    </row>
    <row r="182" spans="1:8" x14ac:dyDescent="0.2">
      <c r="A182" s="13" t="s">
        <v>441</v>
      </c>
      <c r="B182" s="2">
        <f>(B153/1000)*B165</f>
        <v>3881.6669999999999</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11-35kW, LFP battery, 2020</v>
      </c>
    </row>
    <row r="185" spans="1:8" x14ac:dyDescent="0.2">
      <c r="A185" t="s">
        <v>72</v>
      </c>
      <c r="B185" t="s">
        <v>37</v>
      </c>
    </row>
    <row r="186" spans="1:8" x14ac:dyDescent="0.2">
      <c r="A186" t="s">
        <v>86</v>
      </c>
      <c r="B186" t="s">
        <v>494</v>
      </c>
    </row>
    <row r="187" spans="1:8" x14ac:dyDescent="0.2">
      <c r="A187" t="s">
        <v>87</v>
      </c>
    </row>
    <row r="188" spans="1:8" x14ac:dyDescent="0.2">
      <c r="A188" t="s">
        <v>88</v>
      </c>
      <c r="B188">
        <v>2020</v>
      </c>
    </row>
    <row r="189" spans="1:8" x14ac:dyDescent="0.2">
      <c r="A189" t="s">
        <v>126</v>
      </c>
      <c r="B189" t="str">
        <f>B186&amp;" - "&amp;B188&amp;" - "&amp;B201&amp;" - "&amp;B185</f>
        <v>Motorbike, electric, 11-35kW - 2020 - LFP - CH</v>
      </c>
    </row>
    <row r="190" spans="1:8" x14ac:dyDescent="0.2">
      <c r="A190" t="s">
        <v>73</v>
      </c>
      <c r="B190" t="str">
        <f>"transport, "&amp;B186</f>
        <v>transport, Motorbike, electric, 11-35kW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38500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1.54</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2405</v>
      </c>
    </row>
    <row r="199" spans="1:2" x14ac:dyDescent="0.2">
      <c r="A199" t="s">
        <v>132</v>
      </c>
      <c r="B199" s="2">
        <f>INDEX('vehicles specifications'!$B$3:$CW$166,MATCH(B189,'vehicles specifications'!$A$3:$A$166,0),MATCH("Curb mass [kg]",'vehicles specifications'!$B$2:$CW$2,0))</f>
        <v>177.8</v>
      </c>
    </row>
    <row r="200" spans="1:2" x14ac:dyDescent="0.2">
      <c r="A200" t="s">
        <v>133</v>
      </c>
      <c r="B200">
        <f>INDEX('vehicles specifications'!$B$3:$CW$166,MATCH(B189,'vehicles specifications'!$A$3:$A$166,0),MATCH("Power [kW]",'vehicles specifications'!$B$2:$CW$2,0))</f>
        <v>14</v>
      </c>
    </row>
    <row r="201" spans="1:2" x14ac:dyDescent="0.2">
      <c r="A201" t="s">
        <v>652</v>
      </c>
      <c r="B201" s="20" t="s">
        <v>44</v>
      </c>
    </row>
    <row r="202" spans="1:2" x14ac:dyDescent="0.2">
      <c r="A202" t="s">
        <v>134</v>
      </c>
      <c r="B202">
        <f>INDEX('vehicles specifications'!$B$3:$CW$166,MATCH(B189,'vehicles specifications'!$A$3:$A$166,0),MATCH("Energy battery mass [kg]",'vehicles specifications'!$B$2:$CW$2,0))</f>
        <v>64.8</v>
      </c>
    </row>
    <row r="203" spans="1:2" x14ac:dyDescent="0.2">
      <c r="A203" t="s">
        <v>135</v>
      </c>
      <c r="B203">
        <f>INDEX('vehicles specifications'!$B$3:$CW$166,MATCH(B189,'vehicles specifications'!$A$3:$A$166,0),MATCH("Electric energy stored [kWh]",'vehicles specifications'!$B$2:$CW$2,0))</f>
        <v>8.1</v>
      </c>
    </row>
    <row r="204" spans="1:2" x14ac:dyDescent="0.2">
      <c r="A204" t="s">
        <v>588</v>
      </c>
      <c r="B204">
        <f>INDEX('vehicles specifications'!$B$3:$CW$166,MATCH(B189,'vehicles specifications'!$A$3:$A$166,0),MATCH("Electric energy available [kWh]",'vehicles specifications'!$B$2:$CW$2,0))</f>
        <v>6.48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94.692311208791224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177.8 kg. Lightweighting of glider: 0%. Emission standard: None. Service visits throughout lifetime: 1.5. Range: 95 km. Battery capacity: 8.1 kWh. Available battery capacity: 6.48 kWh. Battery mass: 64.8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11-35kW, LFP battery, 2020</v>
      </c>
      <c r="B213">
        <v>1</v>
      </c>
      <c r="C213" t="str">
        <f>B185</f>
        <v>CH</v>
      </c>
      <c r="D213" t="s">
        <v>166</v>
      </c>
      <c r="F213" t="s">
        <v>84</v>
      </c>
      <c r="G213" t="s">
        <v>85</v>
      </c>
      <c r="H213" t="str">
        <f>B190</f>
        <v>transport, Motorbike, electric, 11-35kW</v>
      </c>
    </row>
    <row r="214" spans="1:8" x14ac:dyDescent="0.2">
      <c r="A214" t="str">
        <f>RIGHT(A213,LEN(A213)-11)</f>
        <v>Motorbike, electric, 11-35kW, LFP battery, 2020</v>
      </c>
      <c r="B214" s="7">
        <f>1/B194</f>
        <v>2.5974025974025975E-5</v>
      </c>
      <c r="C214" t="str">
        <f>B185</f>
        <v>CH</v>
      </c>
      <c r="D214" t="s">
        <v>76</v>
      </c>
      <c r="F214" t="s">
        <v>89</v>
      </c>
      <c r="H214" t="str">
        <f>RIGHT(H213,LEN(H213)-11)</f>
        <v>Motorbike, electric, 11-35kW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1.4300310000000001E-4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7.5275383069731625E-2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-9.1475033271751732E-6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-5.927315827030211E-6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-3.3242994223703735E-6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11-35kW, LFP battery, 2030</v>
      </c>
    </row>
    <row r="224" spans="1:8" x14ac:dyDescent="0.2">
      <c r="A224" t="s">
        <v>72</v>
      </c>
      <c r="B224" t="s">
        <v>37</v>
      </c>
    </row>
    <row r="225" spans="1:2" x14ac:dyDescent="0.2">
      <c r="A225" t="s">
        <v>86</v>
      </c>
      <c r="B225" t="s">
        <v>494</v>
      </c>
    </row>
    <row r="226" spans="1:2" x14ac:dyDescent="0.2">
      <c r="A226" t="s">
        <v>87</v>
      </c>
    </row>
    <row r="227" spans="1:2" x14ac:dyDescent="0.2">
      <c r="A227" t="s">
        <v>88</v>
      </c>
      <c r="B227">
        <v>2030</v>
      </c>
    </row>
    <row r="228" spans="1:2" x14ac:dyDescent="0.2">
      <c r="A228" t="s">
        <v>126</v>
      </c>
      <c r="B228" t="str">
        <f>B225&amp;" - "&amp;B227&amp;" - "&amp;B240&amp;" - "&amp;B224</f>
        <v>Motorbike, electric, 11-35kW - 2030 - LFP - CH</v>
      </c>
    </row>
    <row r="229" spans="1:2" x14ac:dyDescent="0.2">
      <c r="A229" t="s">
        <v>73</v>
      </c>
      <c r="B229" t="str">
        <f>"transport, "&amp;B225</f>
        <v>transport, Motorbike, electric, 11-35kW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38500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1.54</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2405</v>
      </c>
    </row>
    <row r="238" spans="1:2" x14ac:dyDescent="0.2">
      <c r="A238" t="s">
        <v>132</v>
      </c>
      <c r="B238" s="2">
        <f>INDEX('vehicles specifications'!$B$3:$CW$166,MATCH(B228,'vehicles specifications'!$A$3:$A$166,0),MATCH("Curb mass [kg]",'vehicles specifications'!$B$2:$CW$2,0))</f>
        <v>195.90333333333334</v>
      </c>
    </row>
    <row r="239" spans="1:2" x14ac:dyDescent="0.2">
      <c r="A239" t="s">
        <v>133</v>
      </c>
      <c r="B239">
        <f>INDEX('vehicles specifications'!$B$3:$CW$166,MATCH(B228,'vehicles specifications'!$A$3:$A$166,0),MATCH("Power [kW]",'vehicles specifications'!$B$2:$CW$2,0))</f>
        <v>14</v>
      </c>
    </row>
    <row r="240" spans="1:2" x14ac:dyDescent="0.2">
      <c r="A240" t="s">
        <v>652</v>
      </c>
      <c r="B240" s="20" t="s">
        <v>44</v>
      </c>
    </row>
    <row r="241" spans="1:8" x14ac:dyDescent="0.2">
      <c r="A241" t="s">
        <v>134</v>
      </c>
      <c r="B241">
        <f>INDEX('vehicles specifications'!$B$3:$CW$166,MATCH(B228,'vehicles specifications'!$A$3:$A$166,0),MATCH("Energy battery mass [kg]",'vehicles specifications'!$B$2:$CW$2,0))</f>
        <v>85.333333333333343</v>
      </c>
    </row>
    <row r="242" spans="1:8" x14ac:dyDescent="0.2">
      <c r="A242" t="s">
        <v>135</v>
      </c>
      <c r="B242">
        <f>INDEX('vehicles specifications'!$B$3:$CW$166,MATCH(B228,'vehicles specifications'!$A$3:$A$166,0),MATCH("Electric energy stored [kWh]",'vehicles specifications'!$B$2:$CW$2,0))</f>
        <v>12.8</v>
      </c>
    </row>
    <row r="243" spans="1:8" x14ac:dyDescent="0.2">
      <c r="A243" t="s">
        <v>588</v>
      </c>
      <c r="B243">
        <f>INDEX('vehicles specifications'!$B$3:$CW$166,MATCH(B228,'vehicles specifications'!$A$3:$A$166,0),MATCH("Electric energy available [kWh]",'vehicles specifications'!$B$2:$CW$2,0))</f>
        <v>10.240000000000002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149.63723252747255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195.9 kg. Lightweighting of glider: 3%. Emission standard: None. Service visits throughout lifetime: 1.5. Range: 150 km. Battery capacity: 12.8 kWh. Available battery capacity: 10.24 kWh. Battery mass: 85.3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11-35kW, LFP battery, 2030</v>
      </c>
      <c r="B252">
        <v>1</v>
      </c>
      <c r="C252" t="str">
        <f>B224</f>
        <v>CH</v>
      </c>
      <c r="D252" t="s">
        <v>166</v>
      </c>
      <c r="F252" t="s">
        <v>84</v>
      </c>
      <c r="G252" t="s">
        <v>85</v>
      </c>
      <c r="H252" t="str">
        <f>B229</f>
        <v>transport, Motorbike, electric, 11-35kW</v>
      </c>
    </row>
    <row r="253" spans="1:8" x14ac:dyDescent="0.2">
      <c r="A253" t="str">
        <f>RIGHT(A252,LEN(A252)-11)</f>
        <v>Motorbike, electric, 11-35kW, LFP battery, 2030</v>
      </c>
      <c r="B253" s="7">
        <f>1/B233</f>
        <v>2.5974025974025975E-5</v>
      </c>
      <c r="C253" t="str">
        <f>B224</f>
        <v>CH</v>
      </c>
      <c r="D253" t="s">
        <v>76</v>
      </c>
      <c r="F253" t="s">
        <v>89</v>
      </c>
      <c r="H253" t="str">
        <f>RIGHT(H252,LEN(H252)-11)</f>
        <v>Motorbike, electric, 11-35kW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7.5275383069731625E-2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1.5272459E-4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-9.6402251275831752E-6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-6.1301109755791838E-6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-3.4662485711111325E-6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11-35kW, LFP battery, 2040</v>
      </c>
    </row>
    <row r="263" spans="1:8" x14ac:dyDescent="0.2">
      <c r="A263" t="s">
        <v>72</v>
      </c>
      <c r="B263" t="s">
        <v>37</v>
      </c>
    </row>
    <row r="264" spans="1:8" x14ac:dyDescent="0.2">
      <c r="A264" t="s">
        <v>86</v>
      </c>
      <c r="B264" t="s">
        <v>494</v>
      </c>
    </row>
    <row r="265" spans="1:8" x14ac:dyDescent="0.2">
      <c r="A265" t="s">
        <v>87</v>
      </c>
    </row>
    <row r="266" spans="1:8" x14ac:dyDescent="0.2">
      <c r="A266" t="s">
        <v>88</v>
      </c>
      <c r="B266">
        <v>2040</v>
      </c>
    </row>
    <row r="267" spans="1:8" x14ac:dyDescent="0.2">
      <c r="A267" t="s">
        <v>126</v>
      </c>
      <c r="B267" t="str">
        <f>B264&amp;" - "&amp;B266&amp;" - "&amp;B279&amp;" - "&amp;B263</f>
        <v>Motorbike, electric, 11-35kW - 2040 - LFP - CH</v>
      </c>
    </row>
    <row r="268" spans="1:8" x14ac:dyDescent="0.2">
      <c r="A268" t="s">
        <v>73</v>
      </c>
      <c r="B268" t="str">
        <f>"transport, "&amp;B264</f>
        <v>transport, Motorbike, electric, 11-35kW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38500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1.54</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2405</v>
      </c>
    </row>
    <row r="277" spans="1:2" x14ac:dyDescent="0.2">
      <c r="A277" t="s">
        <v>132</v>
      </c>
      <c r="B277" s="2">
        <f>INDEX('vehicles specifications'!$B$3:$CW$166,MATCH(B267,'vehicles specifications'!$A$3:$A$166,0),MATCH("Curb mass [kg]",'vehicles specifications'!$B$2:$CW$2,0))</f>
        <v>227.61666666666667</v>
      </c>
    </row>
    <row r="278" spans="1:2" x14ac:dyDescent="0.2">
      <c r="A278" t="s">
        <v>133</v>
      </c>
      <c r="B278">
        <f>INDEX('vehicles specifications'!$B$3:$CW$166,MATCH(B267,'vehicles specifications'!$A$3:$A$166,0),MATCH("Power [kW]",'vehicles specifications'!$B$2:$CW$2,0))</f>
        <v>14</v>
      </c>
    </row>
    <row r="279" spans="1:2" x14ac:dyDescent="0.2">
      <c r="A279" t="s">
        <v>652</v>
      </c>
      <c r="B279" s="20" t="s">
        <v>44</v>
      </c>
    </row>
    <row r="280" spans="1:2" x14ac:dyDescent="0.2">
      <c r="A280" t="s">
        <v>134</v>
      </c>
      <c r="B280">
        <f>INDEX('vehicles specifications'!$B$3:$CW$166,MATCH(B267,'vehicles specifications'!$A$3:$A$166,0),MATCH("Energy battery mass [kg]",'vehicles specifications'!$B$2:$CW$2,0))</f>
        <v>118.66666666666669</v>
      </c>
    </row>
    <row r="281" spans="1:2" x14ac:dyDescent="0.2">
      <c r="A281" t="s">
        <v>135</v>
      </c>
      <c r="B281">
        <f>INDEX('vehicles specifications'!$B$3:$CW$166,MATCH(B267,'vehicles specifications'!$A$3:$A$166,0),MATCH("Electric energy stored [kWh]",'vehicles specifications'!$B$2:$CW$2,0))</f>
        <v>17.8</v>
      </c>
    </row>
    <row r="282" spans="1:2" x14ac:dyDescent="0.2">
      <c r="A282" t="s">
        <v>588</v>
      </c>
      <c r="B282">
        <f>INDEX('vehicles specifications'!$B$3:$CW$166,MATCH(B267,'vehicles specifications'!$A$3:$A$166,0),MATCH("Electric energy available [kWh]",'vehicles specifications'!$B$2:$CW$2,0))</f>
        <v>14.240000000000002</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208.08927648351653</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227.6 kg. Lightweighting of glider: 5%. Emission standard: None. Service visits throughout lifetime: 1.5. Range: 208 km. Battery capacity: 17.8 kWh. Available battery capacity: 14.24 kWh. Battery mass: 118.7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11-35kW, LFP battery, 2040</v>
      </c>
      <c r="B291">
        <v>1</v>
      </c>
      <c r="C291" t="str">
        <f>B263</f>
        <v>CH</v>
      </c>
      <c r="D291" t="s">
        <v>166</v>
      </c>
      <c r="F291" t="s">
        <v>84</v>
      </c>
      <c r="G291" t="s">
        <v>85</v>
      </c>
      <c r="H291" t="str">
        <f>B268</f>
        <v>transport, Motorbike, electric, 11-35kW</v>
      </c>
    </row>
    <row r="292" spans="1:8" x14ac:dyDescent="0.2">
      <c r="A292" t="str">
        <f>RIGHT(A291,LEN(A291)-11)</f>
        <v>Motorbike, electric, 11-35kW, LFP battery, 2040</v>
      </c>
      <c r="B292" s="7">
        <f>1/B272</f>
        <v>2.5974025974025975E-5</v>
      </c>
      <c r="C292" t="str">
        <f>B263</f>
        <v>CH</v>
      </c>
      <c r="D292" t="s">
        <v>76</v>
      </c>
      <c r="F292" t="s">
        <v>89</v>
      </c>
      <c r="H292" t="str">
        <f>RIGHT(H291,LEN(H291)-11)</f>
        <v>Motorbike, electric, 11-35kW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7.5275383069731625E-2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1.6975464999999999E-4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-1.0489826923258698E-5</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-6.4651177707155718E-6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-3.70491199642233E-6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11-35kW, LFP battery, 2050</v>
      </c>
    </row>
    <row r="302" spans="1:8" x14ac:dyDescent="0.2">
      <c r="A302" t="s">
        <v>72</v>
      </c>
      <c r="B302" t="s">
        <v>37</v>
      </c>
    </row>
    <row r="303" spans="1:8" x14ac:dyDescent="0.2">
      <c r="A303" t="s">
        <v>86</v>
      </c>
      <c r="B303" t="s">
        <v>494</v>
      </c>
    </row>
    <row r="304" spans="1:8" x14ac:dyDescent="0.2">
      <c r="A304" t="s">
        <v>87</v>
      </c>
    </row>
    <row r="305" spans="1:2" x14ac:dyDescent="0.2">
      <c r="A305" t="s">
        <v>88</v>
      </c>
      <c r="B305">
        <v>2050</v>
      </c>
    </row>
    <row r="306" spans="1:2" x14ac:dyDescent="0.2">
      <c r="A306" t="s">
        <v>126</v>
      </c>
      <c r="B306" t="str">
        <f>B303&amp;" - "&amp;B305&amp;" - "&amp;B318&amp;" - "&amp;B302</f>
        <v>Motorbike, electric, 11-35kW - 2050 - LFP - CH</v>
      </c>
    </row>
    <row r="307" spans="1:2" x14ac:dyDescent="0.2">
      <c r="A307" t="s">
        <v>73</v>
      </c>
      <c r="B307" t="str">
        <f>"transport, "&amp;B303</f>
        <v>transport, Motorbike, electric, 11-35kW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38500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1.54</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2405</v>
      </c>
    </row>
    <row r="316" spans="1:2" x14ac:dyDescent="0.2">
      <c r="A316" t="s">
        <v>132</v>
      </c>
      <c r="B316" s="2">
        <f>INDEX('vehicles specifications'!$B$3:$CW$166,MATCH(B306,'vehicles specifications'!$A$3:$A$166,0),MATCH("Curb mass [kg]",'vehicles specifications'!$B$2:$CW$2,0))</f>
        <v>244.13</v>
      </c>
    </row>
    <row r="317" spans="1:2" x14ac:dyDescent="0.2">
      <c r="A317" t="s">
        <v>133</v>
      </c>
      <c r="B317">
        <f>INDEX('vehicles specifications'!$B$3:$CW$166,MATCH(B306,'vehicles specifications'!$A$3:$A$166,0),MATCH("Power [kW]",'vehicles specifications'!$B$2:$CW$2,0))</f>
        <v>14</v>
      </c>
    </row>
    <row r="318" spans="1:2" x14ac:dyDescent="0.2">
      <c r="A318" t="s">
        <v>652</v>
      </c>
      <c r="B318" s="20" t="s">
        <v>44</v>
      </c>
    </row>
    <row r="319" spans="1:2" x14ac:dyDescent="0.2">
      <c r="A319" t="s">
        <v>134</v>
      </c>
      <c r="B319">
        <f>INDEX('vehicles specifications'!$B$3:$CW$166,MATCH(B306,'vehicles specifications'!$A$3:$A$166,0),MATCH("Energy battery mass [kg]",'vehicles specifications'!$B$2:$CW$2,0))</f>
        <v>136.80000000000001</v>
      </c>
    </row>
    <row r="320" spans="1:2" x14ac:dyDescent="0.2">
      <c r="A320" t="s">
        <v>135</v>
      </c>
      <c r="B320">
        <f>INDEX('vehicles specifications'!$B$3:$CW$166,MATCH(B306,'vehicles specifications'!$A$3:$A$166,0),MATCH("Electric energy stored [kWh]",'vehicles specifications'!$B$2:$CW$2,0))</f>
        <v>22.8</v>
      </c>
    </row>
    <row r="321" spans="1:8" x14ac:dyDescent="0.2">
      <c r="A321" t="s">
        <v>588</v>
      </c>
      <c r="B321">
        <f>INDEX('vehicles specifications'!$B$3:$CW$166,MATCH(B306,'vehicles specifications'!$A$3:$A$166,0),MATCH("Electric energy available [kWh]",'vehicles specifications'!$B$2:$CW$2,0))</f>
        <v>18.240000000000002</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266.54132043956048</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244.1 kg. Lightweighting of glider: 7%. Emission standard: None. Service visits throughout lifetime: 1.5. Range: 267 km. Battery capacity: 22.8 kWh. Available battery capacity: 18.24 kWh. Battery mass: 136.8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11-35kW, LFP battery, 2050</v>
      </c>
      <c r="B330">
        <v>1</v>
      </c>
      <c r="C330" t="str">
        <f>B302</f>
        <v>CH</v>
      </c>
      <c r="D330" t="s">
        <v>166</v>
      </c>
      <c r="F330" t="s">
        <v>84</v>
      </c>
      <c r="G330" t="s">
        <v>85</v>
      </c>
      <c r="H330" t="str">
        <f>B307</f>
        <v>transport, Motorbike, electric, 11-35kW</v>
      </c>
    </row>
    <row r="331" spans="1:8" x14ac:dyDescent="0.2">
      <c r="A331" t="str">
        <f>RIGHT(A330,LEN(A330)-11)</f>
        <v>Motorbike, electric, 11-35kW, LFP battery, 2050</v>
      </c>
      <c r="B331" s="7">
        <f>1/B311</f>
        <v>2.5974025974025975E-5</v>
      </c>
      <c r="C331" t="str">
        <f>B302</f>
        <v>CH</v>
      </c>
      <c r="D331" t="s">
        <v>76</v>
      </c>
      <c r="F331" t="s">
        <v>89</v>
      </c>
      <c r="H331" t="str">
        <f>RIGHT(H330,LEN(H330)-11)</f>
        <v>Motorbike, electric, 11-35kW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7.5275383069731625E-2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3.802469135802469E-5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1.7862231000000001E-4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-1.092599865782124E-5</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-6.630708666350275E-6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-3.8247295602882941E-6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125</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501</v>
      </c>
      <c r="X2" s="8" t="s">
        <v>17</v>
      </c>
      <c r="Y2" s="8" t="s">
        <v>63</v>
      </c>
      <c r="Z2" s="8" t="s">
        <v>64</v>
      </c>
      <c r="AA2" s="8" t="s">
        <v>19</v>
      </c>
      <c r="AB2" s="9" t="s">
        <v>20</v>
      </c>
      <c r="AC2" s="8" t="s">
        <v>18</v>
      </c>
      <c r="AD2" s="8" t="s">
        <v>21</v>
      </c>
      <c r="AE2" s="8" t="s">
        <v>50</v>
      </c>
      <c r="AF2" s="8" t="s">
        <v>22</v>
      </c>
      <c r="AG2" s="8" t="s">
        <v>23</v>
      </c>
      <c r="AH2" s="8" t="s">
        <v>24</v>
      </c>
      <c r="AI2" s="8" t="s">
        <v>25</v>
      </c>
      <c r="AJ2" s="8" t="s">
        <v>52</v>
      </c>
      <c r="AK2" s="8" t="s">
        <v>118</v>
      </c>
      <c r="AL2" s="8" t="s">
        <v>105</v>
      </c>
      <c r="AM2" s="8" t="s">
        <v>112</v>
      </c>
      <c r="AN2" s="8" t="s">
        <v>144</v>
      </c>
      <c r="AO2" s="8" t="s">
        <v>145</v>
      </c>
      <c r="AP2" s="8" t="s">
        <v>146</v>
      </c>
      <c r="AQ2" s="8" t="s">
        <v>27</v>
      </c>
      <c r="AR2" s="8" t="s">
        <v>842</v>
      </c>
      <c r="AS2" s="8" t="s">
        <v>28</v>
      </c>
      <c r="AT2" s="8" t="s">
        <v>26</v>
      </c>
      <c r="AU2" s="8" t="s">
        <v>66</v>
      </c>
      <c r="AV2" s="8" t="s">
        <v>843</v>
      </c>
      <c r="AW2" s="8" t="s">
        <v>67</v>
      </c>
      <c r="AX2" s="8" t="s">
        <v>55</v>
      </c>
      <c r="AY2" s="8" t="s">
        <v>56</v>
      </c>
      <c r="AZ2" s="8" t="s">
        <v>57</v>
      </c>
      <c r="BA2" s="8" t="s">
        <v>58</v>
      </c>
      <c r="BB2" s="8" t="s">
        <v>59</v>
      </c>
      <c r="BC2" s="8" t="s">
        <v>60</v>
      </c>
      <c r="BD2" s="8" t="s">
        <v>62</v>
      </c>
      <c r="BE2" s="8" t="s">
        <v>593</v>
      </c>
      <c r="BF2" s="8" t="s">
        <v>541</v>
      </c>
      <c r="BG2" s="8" t="s">
        <v>542</v>
      </c>
      <c r="BH2" s="8" t="s">
        <v>543</v>
      </c>
      <c r="BI2" s="8" t="s">
        <v>544</v>
      </c>
      <c r="BJ2" s="8" t="s">
        <v>545</v>
      </c>
      <c r="BK2" s="8" t="s">
        <v>546</v>
      </c>
      <c r="BL2" s="8" t="s">
        <v>547</v>
      </c>
      <c r="BM2" s="8" t="s">
        <v>548</v>
      </c>
      <c r="BN2" s="8" t="s">
        <v>549</v>
      </c>
      <c r="BO2" s="8" t="s">
        <v>550</v>
      </c>
      <c r="BP2" s="8" t="s">
        <v>55</v>
      </c>
      <c r="BQ2" s="8" t="s">
        <v>551</v>
      </c>
      <c r="BR2" s="8" t="s">
        <v>552</v>
      </c>
      <c r="BS2" s="8" t="s">
        <v>553</v>
      </c>
      <c r="BT2" s="8" t="s">
        <v>554</v>
      </c>
      <c r="BU2" s="8" t="s">
        <v>555</v>
      </c>
      <c r="BV2" s="8" t="s">
        <v>556</v>
      </c>
      <c r="BW2" s="8" t="s">
        <v>557</v>
      </c>
      <c r="BX2" s="8" t="s">
        <v>560</v>
      </c>
      <c r="BY2" s="8" t="s">
        <v>558</v>
      </c>
      <c r="BZ2" s="8" t="s">
        <v>559</v>
      </c>
      <c r="CA2" s="8" t="s">
        <v>561</v>
      </c>
      <c r="CB2" s="8" t="s">
        <v>562</v>
      </c>
      <c r="CC2" s="8" t="s">
        <v>563</v>
      </c>
      <c r="CD2" s="8" t="s">
        <v>564</v>
      </c>
      <c r="CE2" s="8" t="s">
        <v>522</v>
      </c>
      <c r="CF2" s="8" t="s">
        <v>524</v>
      </c>
      <c r="CG2" s="8" t="s">
        <v>523</v>
      </c>
      <c r="CH2" s="8" t="s">
        <v>567</v>
      </c>
      <c r="CI2" s="8" t="s">
        <v>565</v>
      </c>
      <c r="CJ2" s="8" t="s">
        <v>566</v>
      </c>
      <c r="CK2" s="8" t="s">
        <v>1157</v>
      </c>
      <c r="CL2" s="8" t="s">
        <v>1156</v>
      </c>
      <c r="CM2" s="8" t="s">
        <v>1158</v>
      </c>
      <c r="CN2" s="8" t="s">
        <v>1159</v>
      </c>
      <c r="CO2" s="8" t="s">
        <v>1160</v>
      </c>
      <c r="CP2" s="8" t="s">
        <v>1161</v>
      </c>
      <c r="CQ2" s="8" t="s">
        <v>1162</v>
      </c>
      <c r="CR2" s="8" t="s">
        <v>1163</v>
      </c>
      <c r="CS2" s="8" t="s">
        <v>1161</v>
      </c>
      <c r="CT2" s="8" t="s">
        <v>1147</v>
      </c>
      <c r="CU2" s="8" t="s">
        <v>29</v>
      </c>
      <c r="CV2" s="8" t="s">
        <v>30</v>
      </c>
      <c r="CW2" s="8" t="s">
        <v>31</v>
      </c>
    </row>
    <row r="3" spans="1:101" x14ac:dyDescent="0.2">
      <c r="A3" t="str">
        <f>B3&amp;" - "&amp;D3&amp;" - "&amp;IF(I3&lt;&gt;"",I3&amp;" - "&amp;E3,E3)</f>
        <v>Kick Scooter, electric, &lt;1kW - 2020 - NMC - CH</v>
      </c>
      <c r="B3" t="s">
        <v>618</v>
      </c>
      <c r="D3" s="19">
        <v>2020</v>
      </c>
      <c r="E3" t="s">
        <v>37</v>
      </c>
      <c r="F3" t="s">
        <v>140</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2"/>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40">
        <f>VLOOKUP($B3,'abrasion emissions'!$O$7:$R$36,2,FALSE)</f>
        <v>1</v>
      </c>
      <c r="CL3" s="40">
        <f>VLOOKUP($B3,'abrasion emissions'!$O$7:$R$36,3,FALSE)</f>
        <v>0</v>
      </c>
      <c r="CM3" s="40">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618</v>
      </c>
      <c r="D4" s="19">
        <v>2030</v>
      </c>
      <c r="E4" t="s">
        <v>37</v>
      </c>
      <c r="F4" t="s">
        <v>140</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2"/>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40">
        <f>VLOOKUP($B4,'abrasion emissions'!$O$7:$R$36,2,FALSE)</f>
        <v>1</v>
      </c>
      <c r="CL4" s="40">
        <f>VLOOKUP($B4,'abrasion emissions'!$O$7:$R$36,3,FALSE)</f>
        <v>0</v>
      </c>
      <c r="CM4" s="40">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618</v>
      </c>
      <c r="D5" s="19">
        <v>2040</v>
      </c>
      <c r="E5" t="s">
        <v>37</v>
      </c>
      <c r="F5" t="s">
        <v>140</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2"/>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40">
        <f>VLOOKUP($B5,'abrasion emissions'!$O$7:$R$36,2,FALSE)</f>
        <v>1</v>
      </c>
      <c r="CL5" s="40">
        <f>VLOOKUP($B5,'abrasion emissions'!$O$7:$R$36,3,FALSE)</f>
        <v>0</v>
      </c>
      <c r="CM5" s="40">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618</v>
      </c>
      <c r="D6" s="19">
        <v>2050</v>
      </c>
      <c r="E6" t="s">
        <v>37</v>
      </c>
      <c r="F6" t="s">
        <v>140</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2"/>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40">
        <f>VLOOKUP($B6,'abrasion emissions'!$O$7:$R$36,2,FALSE)</f>
        <v>1</v>
      </c>
      <c r="CL6" s="40">
        <f>VLOOKUP($B6,'abrasion emissions'!$O$7:$R$36,3,FALSE)</f>
        <v>0</v>
      </c>
      <c r="CM6" s="40">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618</v>
      </c>
      <c r="D7" s="19">
        <v>2020</v>
      </c>
      <c r="E7" t="s">
        <v>37</v>
      </c>
      <c r="F7" t="s">
        <v>140</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2"/>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40">
        <f>VLOOKUP($B7,'abrasion emissions'!$O$7:$R$36,2,FALSE)</f>
        <v>1</v>
      </c>
      <c r="CL7" s="40">
        <f>VLOOKUP($B7,'abrasion emissions'!$O$7:$R$36,3,FALSE)</f>
        <v>0</v>
      </c>
      <c r="CM7" s="40">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618</v>
      </c>
      <c r="D8" s="19">
        <v>2030</v>
      </c>
      <c r="E8" t="s">
        <v>37</v>
      </c>
      <c r="F8" t="s">
        <v>140</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2"/>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40">
        <f>VLOOKUP($B8,'abrasion emissions'!$O$7:$R$36,2,FALSE)</f>
        <v>1</v>
      </c>
      <c r="CL8" s="40">
        <f>VLOOKUP($B8,'abrasion emissions'!$O$7:$R$36,3,FALSE)</f>
        <v>0</v>
      </c>
      <c r="CM8" s="40">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618</v>
      </c>
      <c r="D9" s="19">
        <v>2040</v>
      </c>
      <c r="E9" t="s">
        <v>37</v>
      </c>
      <c r="F9" t="s">
        <v>140</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2"/>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40">
        <f>VLOOKUP($B9,'abrasion emissions'!$O$7:$R$36,2,FALSE)</f>
        <v>1</v>
      </c>
      <c r="CL9" s="40">
        <f>VLOOKUP($B9,'abrasion emissions'!$O$7:$R$36,3,FALSE)</f>
        <v>0</v>
      </c>
      <c r="CM9" s="40">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618</v>
      </c>
      <c r="D10" s="19">
        <v>2050</v>
      </c>
      <c r="E10" t="s">
        <v>37</v>
      </c>
      <c r="F10" t="s">
        <v>140</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2"/>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40">
        <f>VLOOKUP($B10,'abrasion emissions'!$O$7:$R$36,2,FALSE)</f>
        <v>1</v>
      </c>
      <c r="CL10" s="40">
        <f>VLOOKUP($B10,'abrasion emissions'!$O$7:$R$36,3,FALSE)</f>
        <v>0</v>
      </c>
      <c r="CM10" s="40">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618</v>
      </c>
      <c r="D11" s="19">
        <v>2020</v>
      </c>
      <c r="E11" t="s">
        <v>37</v>
      </c>
      <c r="F11" t="s">
        <v>140</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2"/>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40">
        <f>VLOOKUP($B11,'abrasion emissions'!$O$7:$R$36,2,FALSE)</f>
        <v>1</v>
      </c>
      <c r="CL11" s="40">
        <f>VLOOKUP($B11,'abrasion emissions'!$O$7:$R$36,3,FALSE)</f>
        <v>0</v>
      </c>
      <c r="CM11" s="40">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618</v>
      </c>
      <c r="D12" s="19">
        <v>2030</v>
      </c>
      <c r="E12" t="s">
        <v>37</v>
      </c>
      <c r="F12" t="s">
        <v>140</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2"/>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40">
        <f>VLOOKUP($B12,'abrasion emissions'!$O$7:$R$36,2,FALSE)</f>
        <v>1</v>
      </c>
      <c r="CL12" s="40">
        <f>VLOOKUP($B12,'abrasion emissions'!$O$7:$R$36,3,FALSE)</f>
        <v>0</v>
      </c>
      <c r="CM12" s="40">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618</v>
      </c>
      <c r="D13" s="19">
        <v>2040</v>
      </c>
      <c r="E13" t="s">
        <v>37</v>
      </c>
      <c r="F13" t="s">
        <v>140</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2"/>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40">
        <f>VLOOKUP($B13,'abrasion emissions'!$O$7:$R$36,2,FALSE)</f>
        <v>1</v>
      </c>
      <c r="CL13" s="40">
        <f>VLOOKUP($B13,'abrasion emissions'!$O$7:$R$36,3,FALSE)</f>
        <v>0</v>
      </c>
      <c r="CM13" s="40">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618</v>
      </c>
      <c r="D14" s="19">
        <v>2050</v>
      </c>
      <c r="E14" t="s">
        <v>37</v>
      </c>
      <c r="F14" t="s">
        <v>140</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2"/>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40">
        <f>VLOOKUP($B14,'abrasion emissions'!$O$7:$R$36,2,FALSE)</f>
        <v>1</v>
      </c>
      <c r="CL14" s="40">
        <f>VLOOKUP($B14,'abrasion emissions'!$O$7:$R$36,3,FALSE)</f>
        <v>0</v>
      </c>
      <c r="CM14" s="40">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9">
        <v>2020</v>
      </c>
      <c r="E15" t="s">
        <v>37</v>
      </c>
      <c r="F15" t="s">
        <v>140</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2"/>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40">
        <f>VLOOKUP($B15,'abrasion emissions'!$O$7:$R$36,2,FALSE)</f>
        <v>1</v>
      </c>
      <c r="CL15" s="40">
        <f>VLOOKUP($B15,'abrasion emissions'!$O$7:$R$36,3,FALSE)</f>
        <v>0</v>
      </c>
      <c r="CM15" s="40">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9">
        <v>2030</v>
      </c>
      <c r="E16" t="s">
        <v>37</v>
      </c>
      <c r="F16" t="s">
        <v>140</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2"/>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40">
        <f>VLOOKUP($B16,'abrasion emissions'!$O$7:$R$36,2,FALSE)</f>
        <v>1</v>
      </c>
      <c r="CL16" s="40">
        <f>VLOOKUP($B16,'abrasion emissions'!$O$7:$R$36,3,FALSE)</f>
        <v>0</v>
      </c>
      <c r="CM16" s="40">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9">
        <v>2040</v>
      </c>
      <c r="E17" t="s">
        <v>37</v>
      </c>
      <c r="F17" t="s">
        <v>140</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2"/>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40">
        <f>VLOOKUP($B17,'abrasion emissions'!$O$7:$R$36,2,FALSE)</f>
        <v>1</v>
      </c>
      <c r="CL17" s="40">
        <f>VLOOKUP($B17,'abrasion emissions'!$O$7:$R$36,3,FALSE)</f>
        <v>0</v>
      </c>
      <c r="CM17" s="40">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9">
        <v>2050</v>
      </c>
      <c r="E18" t="s">
        <v>37</v>
      </c>
      <c r="F18" t="s">
        <v>140</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2"/>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40">
        <f>VLOOKUP($B18,'abrasion emissions'!$O$7:$R$36,2,FALSE)</f>
        <v>1</v>
      </c>
      <c r="CL18" s="40">
        <f>VLOOKUP($B18,'abrasion emissions'!$O$7:$R$36,3,FALSE)</f>
        <v>0</v>
      </c>
      <c r="CM18" s="40">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489</v>
      </c>
      <c r="D19" s="19">
        <v>2020</v>
      </c>
      <c r="E19" t="s">
        <v>37</v>
      </c>
      <c r="F19" t="s">
        <v>140</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2"/>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40">
        <f>VLOOKUP($B19,'abrasion emissions'!$O$7:$R$36,2,FALSE)</f>
        <v>1</v>
      </c>
      <c r="CL19" s="40">
        <f>VLOOKUP($B19,'abrasion emissions'!$O$7:$R$36,3,FALSE)</f>
        <v>0</v>
      </c>
      <c r="CM19" s="40">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489</v>
      </c>
      <c r="D20" s="19">
        <v>2030</v>
      </c>
      <c r="E20" t="s">
        <v>37</v>
      </c>
      <c r="F20" t="s">
        <v>140</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2"/>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40">
        <f>VLOOKUP($B20,'abrasion emissions'!$O$7:$R$36,2,FALSE)</f>
        <v>1</v>
      </c>
      <c r="CL20" s="40">
        <f>VLOOKUP($B20,'abrasion emissions'!$O$7:$R$36,3,FALSE)</f>
        <v>0</v>
      </c>
      <c r="CM20" s="40">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489</v>
      </c>
      <c r="D21" s="19">
        <v>2040</v>
      </c>
      <c r="E21" t="s">
        <v>37</v>
      </c>
      <c r="F21" t="s">
        <v>140</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2"/>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40">
        <f>VLOOKUP($B21,'abrasion emissions'!$O$7:$R$36,2,FALSE)</f>
        <v>1</v>
      </c>
      <c r="CL21" s="40">
        <f>VLOOKUP($B21,'abrasion emissions'!$O$7:$R$36,3,FALSE)</f>
        <v>0</v>
      </c>
      <c r="CM21" s="40">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489</v>
      </c>
      <c r="D22" s="19">
        <v>2050</v>
      </c>
      <c r="E22" t="s">
        <v>37</v>
      </c>
      <c r="F22" t="s">
        <v>140</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2"/>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40">
        <f>VLOOKUP($B22,'abrasion emissions'!$O$7:$R$36,2,FALSE)</f>
        <v>1</v>
      </c>
      <c r="CL22" s="40">
        <f>VLOOKUP($B22,'abrasion emissions'!$O$7:$R$36,3,FALSE)</f>
        <v>0</v>
      </c>
      <c r="CM22" s="40">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490</v>
      </c>
      <c r="D23" s="19">
        <v>2020</v>
      </c>
      <c r="E23" t="s">
        <v>37</v>
      </c>
      <c r="F23" t="s">
        <v>140</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2"/>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40">
        <f>VLOOKUP($B23,'abrasion emissions'!$O$7:$R$36,2,FALSE)</f>
        <v>1</v>
      </c>
      <c r="CL23" s="40">
        <f>VLOOKUP($B23,'abrasion emissions'!$O$7:$R$36,3,FALSE)</f>
        <v>0</v>
      </c>
      <c r="CM23" s="40">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490</v>
      </c>
      <c r="D24" s="19">
        <v>2030</v>
      </c>
      <c r="E24" t="s">
        <v>37</v>
      </c>
      <c r="F24" t="s">
        <v>140</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2"/>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40">
        <f>VLOOKUP($B24,'abrasion emissions'!$O$7:$R$36,2,FALSE)</f>
        <v>1</v>
      </c>
      <c r="CL24" s="40">
        <f>VLOOKUP($B24,'abrasion emissions'!$O$7:$R$36,3,FALSE)</f>
        <v>0</v>
      </c>
      <c r="CM24" s="40">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490</v>
      </c>
      <c r="D25" s="19">
        <v>2040</v>
      </c>
      <c r="E25" t="s">
        <v>37</v>
      </c>
      <c r="F25" t="s">
        <v>140</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2"/>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40">
        <f>VLOOKUP($B25,'abrasion emissions'!$O$7:$R$36,2,FALSE)</f>
        <v>1</v>
      </c>
      <c r="CL25" s="40">
        <f>VLOOKUP($B25,'abrasion emissions'!$O$7:$R$36,3,FALSE)</f>
        <v>0</v>
      </c>
      <c r="CM25" s="40">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490</v>
      </c>
      <c r="D26" s="19">
        <v>2050</v>
      </c>
      <c r="E26" t="s">
        <v>37</v>
      </c>
      <c r="F26" t="s">
        <v>140</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2"/>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40">
        <f>VLOOKUP($B26,'abrasion emissions'!$O$7:$R$36,2,FALSE)</f>
        <v>1</v>
      </c>
      <c r="CL26" s="40">
        <f>VLOOKUP($B26,'abrasion emissions'!$O$7:$R$36,3,FALSE)</f>
        <v>0</v>
      </c>
      <c r="CM26" s="40">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496</v>
      </c>
      <c r="D27" s="19">
        <v>2020</v>
      </c>
      <c r="E27" t="s">
        <v>37</v>
      </c>
      <c r="F27" t="s">
        <v>140</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2"/>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40">
        <f>VLOOKUP($B27,'abrasion emissions'!$O$7:$R$36,2,FALSE)</f>
        <v>1</v>
      </c>
      <c r="CL27" s="40">
        <f>VLOOKUP($B27,'abrasion emissions'!$O$7:$R$36,3,FALSE)</f>
        <v>0</v>
      </c>
      <c r="CM27" s="40">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496</v>
      </c>
      <c r="D28" s="19">
        <v>2030</v>
      </c>
      <c r="E28" t="s">
        <v>37</v>
      </c>
      <c r="F28" t="s">
        <v>140</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2"/>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40">
        <f>VLOOKUP($B28,'abrasion emissions'!$O$7:$R$36,2,FALSE)</f>
        <v>1</v>
      </c>
      <c r="CL28" s="40">
        <f>VLOOKUP($B28,'abrasion emissions'!$O$7:$R$36,3,FALSE)</f>
        <v>0</v>
      </c>
      <c r="CM28" s="40">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496</v>
      </c>
      <c r="D29" s="19">
        <v>2040</v>
      </c>
      <c r="E29" t="s">
        <v>37</v>
      </c>
      <c r="F29" t="s">
        <v>140</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2"/>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40">
        <f>VLOOKUP($B29,'abrasion emissions'!$O$7:$R$36,2,FALSE)</f>
        <v>1</v>
      </c>
      <c r="CL29" s="40">
        <f>VLOOKUP($B29,'abrasion emissions'!$O$7:$R$36,3,FALSE)</f>
        <v>0</v>
      </c>
      <c r="CM29" s="40">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496</v>
      </c>
      <c r="D30" s="19">
        <v>2050</v>
      </c>
      <c r="E30" t="s">
        <v>37</v>
      </c>
      <c r="F30" t="s">
        <v>140</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2"/>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40">
        <f>VLOOKUP($B30,'abrasion emissions'!$O$7:$R$36,2,FALSE)</f>
        <v>1</v>
      </c>
      <c r="CL30" s="40">
        <f>VLOOKUP($B30,'abrasion emissions'!$O$7:$R$36,3,FALSE)</f>
        <v>0</v>
      </c>
      <c r="CM30" s="40">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489</v>
      </c>
      <c r="D31" s="19">
        <v>2020</v>
      </c>
      <c r="E31" t="s">
        <v>37</v>
      </c>
      <c r="F31" t="s">
        <v>140</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2"/>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40">
        <f>VLOOKUP($B31,'abrasion emissions'!$O$7:$R$36,2,FALSE)</f>
        <v>1</v>
      </c>
      <c r="CL31" s="40">
        <f>VLOOKUP($B31,'abrasion emissions'!$O$7:$R$36,3,FALSE)</f>
        <v>0</v>
      </c>
      <c r="CM31" s="40">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489</v>
      </c>
      <c r="D32" s="19">
        <v>2030</v>
      </c>
      <c r="E32" t="s">
        <v>37</v>
      </c>
      <c r="F32" t="s">
        <v>140</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2"/>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40">
        <f>VLOOKUP($B32,'abrasion emissions'!$O$7:$R$36,2,FALSE)</f>
        <v>1</v>
      </c>
      <c r="CL32" s="40">
        <f>VLOOKUP($B32,'abrasion emissions'!$O$7:$R$36,3,FALSE)</f>
        <v>0</v>
      </c>
      <c r="CM32" s="40">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489</v>
      </c>
      <c r="D33" s="19">
        <v>2040</v>
      </c>
      <c r="E33" t="s">
        <v>37</v>
      </c>
      <c r="F33" t="s">
        <v>140</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2"/>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40">
        <f>VLOOKUP($B33,'abrasion emissions'!$O$7:$R$36,2,FALSE)</f>
        <v>1</v>
      </c>
      <c r="CL33" s="40">
        <f>VLOOKUP($B33,'abrasion emissions'!$O$7:$R$36,3,FALSE)</f>
        <v>0</v>
      </c>
      <c r="CM33" s="40">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489</v>
      </c>
      <c r="D34" s="19">
        <v>2050</v>
      </c>
      <c r="E34" t="s">
        <v>37</v>
      </c>
      <c r="F34" t="s">
        <v>140</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2"/>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40">
        <f>VLOOKUP($B34,'abrasion emissions'!$O$7:$R$36,2,FALSE)</f>
        <v>1</v>
      </c>
      <c r="CL34" s="40">
        <f>VLOOKUP($B34,'abrasion emissions'!$O$7:$R$36,3,FALSE)</f>
        <v>0</v>
      </c>
      <c r="CM34" s="40">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490</v>
      </c>
      <c r="D35" s="19">
        <v>2020</v>
      </c>
      <c r="E35" t="s">
        <v>37</v>
      </c>
      <c r="F35" t="s">
        <v>140</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2"/>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40">
        <f>VLOOKUP($B35,'abrasion emissions'!$O$7:$R$36,2,FALSE)</f>
        <v>1</v>
      </c>
      <c r="CL35" s="40">
        <f>VLOOKUP($B35,'abrasion emissions'!$O$7:$R$36,3,FALSE)</f>
        <v>0</v>
      </c>
      <c r="CM35" s="40">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490</v>
      </c>
      <c r="D36" s="19">
        <v>2030</v>
      </c>
      <c r="E36" t="s">
        <v>37</v>
      </c>
      <c r="F36" t="s">
        <v>140</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2"/>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40">
        <f>VLOOKUP($B36,'abrasion emissions'!$O$7:$R$36,2,FALSE)</f>
        <v>1</v>
      </c>
      <c r="CL36" s="40">
        <f>VLOOKUP($B36,'abrasion emissions'!$O$7:$R$36,3,FALSE)</f>
        <v>0</v>
      </c>
      <c r="CM36" s="40">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490</v>
      </c>
      <c r="D37" s="19">
        <v>2040</v>
      </c>
      <c r="E37" t="s">
        <v>37</v>
      </c>
      <c r="F37" t="s">
        <v>140</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2"/>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40">
        <f>VLOOKUP($B37,'abrasion emissions'!$O$7:$R$36,2,FALSE)</f>
        <v>1</v>
      </c>
      <c r="CL37" s="40">
        <f>VLOOKUP($B37,'abrasion emissions'!$O$7:$R$36,3,FALSE)</f>
        <v>0</v>
      </c>
      <c r="CM37" s="40">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490</v>
      </c>
      <c r="D38" s="19">
        <v>2050</v>
      </c>
      <c r="E38" t="s">
        <v>37</v>
      </c>
      <c r="F38" t="s">
        <v>140</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2"/>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40">
        <f>VLOOKUP($B38,'abrasion emissions'!$O$7:$R$36,2,FALSE)</f>
        <v>1</v>
      </c>
      <c r="CL38" s="40">
        <f>VLOOKUP($B38,'abrasion emissions'!$O$7:$R$36,3,FALSE)</f>
        <v>0</v>
      </c>
      <c r="CM38" s="40">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496</v>
      </c>
      <c r="D39" s="19">
        <v>2020</v>
      </c>
      <c r="E39" t="s">
        <v>37</v>
      </c>
      <c r="F39" t="s">
        <v>140</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2"/>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40">
        <f>VLOOKUP($B39,'abrasion emissions'!$O$7:$R$36,2,FALSE)</f>
        <v>1</v>
      </c>
      <c r="CL39" s="40">
        <f>VLOOKUP($B39,'abrasion emissions'!$O$7:$R$36,3,FALSE)</f>
        <v>0</v>
      </c>
      <c r="CM39" s="40">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496</v>
      </c>
      <c r="D40" s="19">
        <v>2030</v>
      </c>
      <c r="E40" t="s">
        <v>37</v>
      </c>
      <c r="F40" t="s">
        <v>140</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2"/>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40">
        <f>VLOOKUP($B40,'abrasion emissions'!$O$7:$R$36,2,FALSE)</f>
        <v>1</v>
      </c>
      <c r="CL40" s="40">
        <f>VLOOKUP($B40,'abrasion emissions'!$O$7:$R$36,3,FALSE)</f>
        <v>0</v>
      </c>
      <c r="CM40" s="40">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496</v>
      </c>
      <c r="D41" s="19">
        <v>2040</v>
      </c>
      <c r="E41" t="s">
        <v>37</v>
      </c>
      <c r="F41" t="s">
        <v>140</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2"/>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40">
        <f>VLOOKUP($B41,'abrasion emissions'!$O$7:$R$36,2,FALSE)</f>
        <v>1</v>
      </c>
      <c r="CL41" s="40">
        <f>VLOOKUP($B41,'abrasion emissions'!$O$7:$R$36,3,FALSE)</f>
        <v>0</v>
      </c>
      <c r="CM41" s="40">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496</v>
      </c>
      <c r="D42" s="19">
        <v>2050</v>
      </c>
      <c r="E42" t="s">
        <v>37</v>
      </c>
      <c r="F42" t="s">
        <v>140</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2"/>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40">
        <f>VLOOKUP($B42,'abrasion emissions'!$O$7:$R$36,2,FALSE)</f>
        <v>1</v>
      </c>
      <c r="CL42" s="40">
        <f>VLOOKUP($B42,'abrasion emissions'!$O$7:$R$36,3,FALSE)</f>
        <v>0</v>
      </c>
      <c r="CM42" s="40">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489</v>
      </c>
      <c r="D43" s="19">
        <v>2020</v>
      </c>
      <c r="E43" t="s">
        <v>37</v>
      </c>
      <c r="F43" t="s">
        <v>140</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2"/>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40">
        <f>VLOOKUP($B43,'abrasion emissions'!$O$7:$R$36,2,FALSE)</f>
        <v>1</v>
      </c>
      <c r="CL43" s="40">
        <f>VLOOKUP($B43,'abrasion emissions'!$O$7:$R$36,3,FALSE)</f>
        <v>0</v>
      </c>
      <c r="CM43" s="40">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489</v>
      </c>
      <c r="D44" s="19">
        <v>2030</v>
      </c>
      <c r="E44" t="s">
        <v>37</v>
      </c>
      <c r="F44" t="s">
        <v>140</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2"/>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40">
        <f>VLOOKUP($B44,'abrasion emissions'!$O$7:$R$36,2,FALSE)</f>
        <v>1</v>
      </c>
      <c r="CL44" s="40">
        <f>VLOOKUP($B44,'abrasion emissions'!$O$7:$R$36,3,FALSE)</f>
        <v>0</v>
      </c>
      <c r="CM44" s="40">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489</v>
      </c>
      <c r="D45" s="19">
        <v>2040</v>
      </c>
      <c r="E45" t="s">
        <v>37</v>
      </c>
      <c r="F45" t="s">
        <v>140</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2"/>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40">
        <f>VLOOKUP($B45,'abrasion emissions'!$O$7:$R$36,2,FALSE)</f>
        <v>1</v>
      </c>
      <c r="CL45" s="40">
        <f>VLOOKUP($B45,'abrasion emissions'!$O$7:$R$36,3,FALSE)</f>
        <v>0</v>
      </c>
      <c r="CM45" s="40">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489</v>
      </c>
      <c r="D46" s="19">
        <v>2050</v>
      </c>
      <c r="E46" t="s">
        <v>37</v>
      </c>
      <c r="F46" t="s">
        <v>140</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2"/>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40">
        <f>VLOOKUP($B46,'abrasion emissions'!$O$7:$R$36,2,FALSE)</f>
        <v>1</v>
      </c>
      <c r="CL46" s="40">
        <f>VLOOKUP($B46,'abrasion emissions'!$O$7:$R$36,3,FALSE)</f>
        <v>0</v>
      </c>
      <c r="CM46" s="40">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490</v>
      </c>
      <c r="D47" s="19">
        <v>2020</v>
      </c>
      <c r="E47" t="s">
        <v>37</v>
      </c>
      <c r="F47" t="s">
        <v>140</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2"/>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40">
        <f>VLOOKUP($B47,'abrasion emissions'!$O$7:$R$36,2,FALSE)</f>
        <v>1</v>
      </c>
      <c r="CL47" s="40">
        <f>VLOOKUP($B47,'abrasion emissions'!$O$7:$R$36,3,FALSE)</f>
        <v>0</v>
      </c>
      <c r="CM47" s="40">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490</v>
      </c>
      <c r="D48" s="19">
        <v>2030</v>
      </c>
      <c r="E48" t="s">
        <v>37</v>
      </c>
      <c r="F48" t="s">
        <v>140</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2"/>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40">
        <f>VLOOKUP($B48,'abrasion emissions'!$O$7:$R$36,2,FALSE)</f>
        <v>1</v>
      </c>
      <c r="CL48" s="40">
        <f>VLOOKUP($B48,'abrasion emissions'!$O$7:$R$36,3,FALSE)</f>
        <v>0</v>
      </c>
      <c r="CM48" s="40">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490</v>
      </c>
      <c r="D49" s="19">
        <v>2040</v>
      </c>
      <c r="E49" t="s">
        <v>37</v>
      </c>
      <c r="F49" t="s">
        <v>140</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2"/>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40">
        <f>VLOOKUP($B49,'abrasion emissions'!$O$7:$R$36,2,FALSE)</f>
        <v>1</v>
      </c>
      <c r="CL49" s="40">
        <f>VLOOKUP($B49,'abrasion emissions'!$O$7:$R$36,3,FALSE)</f>
        <v>0</v>
      </c>
      <c r="CM49" s="40">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490</v>
      </c>
      <c r="D50" s="19">
        <v>2050</v>
      </c>
      <c r="E50" t="s">
        <v>37</v>
      </c>
      <c r="F50" t="s">
        <v>140</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2"/>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40">
        <f>VLOOKUP($B50,'abrasion emissions'!$O$7:$R$36,2,FALSE)</f>
        <v>1</v>
      </c>
      <c r="CL50" s="40">
        <f>VLOOKUP($B50,'abrasion emissions'!$O$7:$R$36,3,FALSE)</f>
        <v>0</v>
      </c>
      <c r="CM50" s="40">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496</v>
      </c>
      <c r="D51" s="19">
        <v>2020</v>
      </c>
      <c r="E51" t="s">
        <v>37</v>
      </c>
      <c r="F51" t="s">
        <v>140</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2"/>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40">
        <f>VLOOKUP($B51,'abrasion emissions'!$O$7:$R$36,2,FALSE)</f>
        <v>1</v>
      </c>
      <c r="CL51" s="40">
        <f>VLOOKUP($B51,'abrasion emissions'!$O$7:$R$36,3,FALSE)</f>
        <v>0</v>
      </c>
      <c r="CM51" s="40">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496</v>
      </c>
      <c r="D52" s="19">
        <v>2030</v>
      </c>
      <c r="E52" t="s">
        <v>37</v>
      </c>
      <c r="F52" t="s">
        <v>140</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2"/>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40">
        <f>VLOOKUP($B52,'abrasion emissions'!$O$7:$R$36,2,FALSE)</f>
        <v>1</v>
      </c>
      <c r="CL52" s="40">
        <f>VLOOKUP($B52,'abrasion emissions'!$O$7:$R$36,3,FALSE)</f>
        <v>0</v>
      </c>
      <c r="CM52" s="40">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496</v>
      </c>
      <c r="D53" s="19">
        <v>2040</v>
      </c>
      <c r="E53" t="s">
        <v>37</v>
      </c>
      <c r="F53" t="s">
        <v>140</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2"/>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40">
        <f>VLOOKUP($B53,'abrasion emissions'!$O$7:$R$36,2,FALSE)</f>
        <v>1</v>
      </c>
      <c r="CL53" s="40">
        <f>VLOOKUP($B53,'abrasion emissions'!$O$7:$R$36,3,FALSE)</f>
        <v>0</v>
      </c>
      <c r="CM53" s="40">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496</v>
      </c>
      <c r="D54" s="19">
        <v>2050</v>
      </c>
      <c r="E54" t="s">
        <v>37</v>
      </c>
      <c r="F54" t="s">
        <v>140</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2"/>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40">
        <f>VLOOKUP($B54,'abrasion emissions'!$O$7:$R$36,2,FALSE)</f>
        <v>1</v>
      </c>
      <c r="CL54" s="40">
        <f>VLOOKUP($B54,'abrasion emissions'!$O$7:$R$36,3,FALSE)</f>
        <v>0</v>
      </c>
      <c r="CM54" s="40">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491</v>
      </c>
      <c r="C55" t="s">
        <v>34</v>
      </c>
      <c r="D55" s="19">
        <v>2020</v>
      </c>
      <c r="E55" t="s">
        <v>37</v>
      </c>
      <c r="F55" t="s">
        <v>140</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2"/>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40" t="e">
        <f>VLOOKUP($B55,'abrasion emissions'!$O$7:$R$36,2,FALSE)</f>
        <v>#N/A</v>
      </c>
      <c r="CL55" s="40" t="e">
        <f>VLOOKUP($B55,'abrasion emissions'!$O$7:$R$36,3,FALSE)</f>
        <v>#N/A</v>
      </c>
      <c r="CM55" s="40"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491</v>
      </c>
      <c r="C56" t="s">
        <v>34</v>
      </c>
      <c r="D56" s="19">
        <v>2030</v>
      </c>
      <c r="E56" t="s">
        <v>37</v>
      </c>
      <c r="F56" t="s">
        <v>140</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2"/>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40" t="e">
        <f>VLOOKUP($B56,'abrasion emissions'!$O$7:$R$36,2,FALSE)</f>
        <v>#N/A</v>
      </c>
      <c r="CL56" s="40" t="e">
        <f>VLOOKUP($B56,'abrasion emissions'!$O$7:$R$36,3,FALSE)</f>
        <v>#N/A</v>
      </c>
      <c r="CM56" s="40"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491</v>
      </c>
      <c r="C57" t="s">
        <v>34</v>
      </c>
      <c r="D57" s="19">
        <v>2040</v>
      </c>
      <c r="E57" t="s">
        <v>37</v>
      </c>
      <c r="F57" t="s">
        <v>140</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2"/>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40" t="e">
        <f>VLOOKUP($B57,'abrasion emissions'!$O$7:$R$36,2,FALSE)</f>
        <v>#N/A</v>
      </c>
      <c r="CL57" s="40" t="e">
        <f>VLOOKUP($B57,'abrasion emissions'!$O$7:$R$36,3,FALSE)</f>
        <v>#N/A</v>
      </c>
      <c r="CM57" s="40"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491</v>
      </c>
      <c r="C58" t="s">
        <v>34</v>
      </c>
      <c r="D58" s="19">
        <v>2050</v>
      </c>
      <c r="E58" t="s">
        <v>37</v>
      </c>
      <c r="F58" t="s">
        <v>140</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2"/>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40" t="e">
        <f>VLOOKUP($B58,'abrasion emissions'!$O$7:$R$36,2,FALSE)</f>
        <v>#N/A</v>
      </c>
      <c r="CL58" s="40" t="e">
        <f>VLOOKUP($B58,'abrasion emissions'!$O$7:$R$36,3,FALSE)</f>
        <v>#N/A</v>
      </c>
      <c r="CM58" s="40"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579</v>
      </c>
      <c r="D59" s="19">
        <v>2006</v>
      </c>
      <c r="E59" t="s">
        <v>37</v>
      </c>
      <c r="F59" t="s">
        <v>141</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2">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40">
        <f>VLOOKUP($B59,'abrasion emissions'!$O$7:$R$36,2,FALSE)</f>
        <v>0.5</v>
      </c>
      <c r="CL59" s="40">
        <f>VLOOKUP($B59,'abrasion emissions'!$O$7:$R$36,3,FALSE)</f>
        <v>0.5</v>
      </c>
      <c r="CM59" s="40">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580</v>
      </c>
      <c r="D60" s="19">
        <v>2016</v>
      </c>
      <c r="E60" t="s">
        <v>37</v>
      </c>
      <c r="F60" t="s">
        <v>142</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2">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40">
        <f>VLOOKUP($B60,'abrasion emissions'!$O$7:$R$36,2,FALSE)</f>
        <v>0.5</v>
      </c>
      <c r="CL60" s="40">
        <f>VLOOKUP($B60,'abrasion emissions'!$O$7:$R$36,3,FALSE)</f>
        <v>0.5</v>
      </c>
      <c r="CM60" s="40">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581</v>
      </c>
      <c r="D61" s="19">
        <v>2020</v>
      </c>
      <c r="E61" t="s">
        <v>37</v>
      </c>
      <c r="F61" t="s">
        <v>143</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2">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40">
        <f>VLOOKUP($B61,'abrasion emissions'!$O$7:$R$36,2,FALSE)</f>
        <v>0.5</v>
      </c>
      <c r="CL61" s="40">
        <f>VLOOKUP($B61,'abrasion emissions'!$O$7:$R$36,3,FALSE)</f>
        <v>0.5</v>
      </c>
      <c r="CM61" s="40">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581</v>
      </c>
      <c r="D62" s="19">
        <v>2030</v>
      </c>
      <c r="E62" t="s">
        <v>37</v>
      </c>
      <c r="F62" t="s">
        <v>143</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2">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40">
        <f>VLOOKUP($B62,'abrasion emissions'!$O$7:$R$36,2,FALSE)</f>
        <v>0.5</v>
      </c>
      <c r="CL62" s="40">
        <f>VLOOKUP($B62,'abrasion emissions'!$O$7:$R$36,3,FALSE)</f>
        <v>0.5</v>
      </c>
      <c r="CM62" s="40">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581</v>
      </c>
      <c r="D63" s="19">
        <v>2040</v>
      </c>
      <c r="E63" t="s">
        <v>37</v>
      </c>
      <c r="F63" t="s">
        <v>143</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2">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40">
        <f>VLOOKUP($B63,'abrasion emissions'!$O$7:$R$36,2,FALSE)</f>
        <v>0.5</v>
      </c>
      <c r="CL63" s="40">
        <f>VLOOKUP($B63,'abrasion emissions'!$O$7:$R$36,3,FALSE)</f>
        <v>0.5</v>
      </c>
      <c r="CM63" s="40">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581</v>
      </c>
      <c r="D64" s="19">
        <v>2050</v>
      </c>
      <c r="E64" t="s">
        <v>37</v>
      </c>
      <c r="F64" t="s">
        <v>143</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2">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40">
        <f>VLOOKUP($B64,'abrasion emissions'!$O$7:$R$36,2,FALSE)</f>
        <v>0.5</v>
      </c>
      <c r="CL64" s="40">
        <f>VLOOKUP($B64,'abrasion emissions'!$O$7:$R$36,3,FALSE)</f>
        <v>0.5</v>
      </c>
      <c r="CM64" s="40">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609</v>
      </c>
      <c r="D65" s="19">
        <v>2006</v>
      </c>
      <c r="E65" t="s">
        <v>37</v>
      </c>
      <c r="F65" t="s">
        <v>143</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2">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40">
        <f>VLOOKUP($B65,'abrasion emissions'!$O$7:$R$36,2,FALSE)</f>
        <v>0.5</v>
      </c>
      <c r="CL65" s="40">
        <f>VLOOKUP($B65,'abrasion emissions'!$O$7:$R$36,3,FALSE)</f>
        <v>0.5</v>
      </c>
      <c r="CM65" s="40">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610</v>
      </c>
      <c r="D66" s="19">
        <v>2016</v>
      </c>
      <c r="E66" t="s">
        <v>37</v>
      </c>
      <c r="F66" t="s">
        <v>142</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2">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40">
        <f>VLOOKUP($B66,'abrasion emissions'!$O$7:$R$36,2,FALSE)</f>
        <v>0.5</v>
      </c>
      <c r="CL66" s="40">
        <f>VLOOKUP($B66,'abrasion emissions'!$O$7:$R$36,3,FALSE)</f>
        <v>0.5</v>
      </c>
      <c r="CM66" s="40">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611</v>
      </c>
      <c r="D67" s="19">
        <v>2020</v>
      </c>
      <c r="E67" t="s">
        <v>37</v>
      </c>
      <c r="F67" t="s">
        <v>143</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2">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40">
        <f>VLOOKUP($B67,'abrasion emissions'!$O$7:$R$36,2,FALSE)</f>
        <v>0.5</v>
      </c>
      <c r="CL67" s="40">
        <f>VLOOKUP($B67,'abrasion emissions'!$O$7:$R$36,3,FALSE)</f>
        <v>0.5</v>
      </c>
      <c r="CM67" s="40">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611</v>
      </c>
      <c r="D68" s="19">
        <v>2030</v>
      </c>
      <c r="E68" t="s">
        <v>37</v>
      </c>
      <c r="F68" t="s">
        <v>143</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2">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40">
        <f>VLOOKUP($B68,'abrasion emissions'!$O$7:$R$36,2,FALSE)</f>
        <v>0.5</v>
      </c>
      <c r="CL68" s="40">
        <f>VLOOKUP($B68,'abrasion emissions'!$O$7:$R$36,3,FALSE)</f>
        <v>0.5</v>
      </c>
      <c r="CM68" s="40">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611</v>
      </c>
      <c r="D69" s="19">
        <v>2040</v>
      </c>
      <c r="E69" t="s">
        <v>37</v>
      </c>
      <c r="F69" t="s">
        <v>143</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2">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40">
        <f>VLOOKUP($B69,'abrasion emissions'!$O$7:$R$36,2,FALSE)</f>
        <v>0.5</v>
      </c>
      <c r="CL69" s="40">
        <f>VLOOKUP($B69,'abrasion emissions'!$O$7:$R$36,3,FALSE)</f>
        <v>0.5</v>
      </c>
      <c r="CM69" s="40">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611</v>
      </c>
      <c r="D70" s="19">
        <v>2050</v>
      </c>
      <c r="E70" t="s">
        <v>37</v>
      </c>
      <c r="F70" t="s">
        <v>143</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2">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40">
        <f>VLOOKUP($B70,'abrasion emissions'!$O$7:$R$36,2,FALSE)</f>
        <v>0.5</v>
      </c>
      <c r="CL70" s="40">
        <f>VLOOKUP($B70,'abrasion emissions'!$O$7:$R$36,3,FALSE)</f>
        <v>0.5</v>
      </c>
      <c r="CM70" s="40">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570</v>
      </c>
      <c r="D71" s="19">
        <v>2006</v>
      </c>
      <c r="E71" t="s">
        <v>37</v>
      </c>
      <c r="F71" t="s">
        <v>143</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2">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40">
        <f>VLOOKUP($B71,'abrasion emissions'!$O$7:$R$36,2,FALSE)</f>
        <v>0.5</v>
      </c>
      <c r="CL71" s="40">
        <f>VLOOKUP($B71,'abrasion emissions'!$O$7:$R$36,3,FALSE)</f>
        <v>0.5</v>
      </c>
      <c r="CM71" s="40">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571</v>
      </c>
      <c r="D72" s="19">
        <v>2016</v>
      </c>
      <c r="E72" t="s">
        <v>37</v>
      </c>
      <c r="F72" t="s">
        <v>142</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2">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40">
        <f>VLOOKUP($B72,'abrasion emissions'!$O$7:$R$36,2,FALSE)</f>
        <v>0.5</v>
      </c>
      <c r="CL72" s="40">
        <f>VLOOKUP($B72,'abrasion emissions'!$O$7:$R$36,3,FALSE)</f>
        <v>0.5</v>
      </c>
      <c r="CM72" s="40">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572</v>
      </c>
      <c r="D73" s="19">
        <v>2020</v>
      </c>
      <c r="E73" t="s">
        <v>37</v>
      </c>
      <c r="F73" t="s">
        <v>143</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2">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40">
        <f>VLOOKUP($B73,'abrasion emissions'!$O$7:$R$36,2,FALSE)</f>
        <v>0.5</v>
      </c>
      <c r="CL73" s="40">
        <f>VLOOKUP($B73,'abrasion emissions'!$O$7:$R$36,3,FALSE)</f>
        <v>0.5</v>
      </c>
      <c r="CM73" s="40">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572</v>
      </c>
      <c r="D74" s="19">
        <v>2030</v>
      </c>
      <c r="E74" t="s">
        <v>37</v>
      </c>
      <c r="F74" t="s">
        <v>143</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2">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40">
        <f>VLOOKUP($B74,'abrasion emissions'!$O$7:$R$36,2,FALSE)</f>
        <v>0.5</v>
      </c>
      <c r="CL74" s="40">
        <f>VLOOKUP($B74,'abrasion emissions'!$O$7:$R$36,3,FALSE)</f>
        <v>0.5</v>
      </c>
      <c r="CM74" s="40">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572</v>
      </c>
      <c r="D75" s="19">
        <v>2040</v>
      </c>
      <c r="E75" t="s">
        <v>37</v>
      </c>
      <c r="F75" t="s">
        <v>143</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2">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40">
        <f>VLOOKUP($B75,'abrasion emissions'!$O$7:$R$36,2,FALSE)</f>
        <v>0.5</v>
      </c>
      <c r="CL75" s="40">
        <f>VLOOKUP($B75,'abrasion emissions'!$O$7:$R$36,3,FALSE)</f>
        <v>0.5</v>
      </c>
      <c r="CM75" s="40">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572</v>
      </c>
      <c r="D76" s="19">
        <v>2050</v>
      </c>
      <c r="E76" t="s">
        <v>37</v>
      </c>
      <c r="F76" t="s">
        <v>143</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2">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40">
        <f>VLOOKUP($B76,'abrasion emissions'!$O$7:$R$36,2,FALSE)</f>
        <v>0.5</v>
      </c>
      <c r="CL76" s="40">
        <f>VLOOKUP($B76,'abrasion emissions'!$O$7:$R$36,3,FALSE)</f>
        <v>0.5</v>
      </c>
      <c r="CM76" s="40">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608</v>
      </c>
      <c r="D77" s="19">
        <v>2020</v>
      </c>
      <c r="E77" t="s">
        <v>37</v>
      </c>
      <c r="F77" t="s">
        <v>140</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2"/>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40">
        <f>VLOOKUP($B77,'abrasion emissions'!$O$7:$R$36,2,FALSE)</f>
        <v>0.5</v>
      </c>
      <c r="CL77" s="40">
        <f>VLOOKUP($B77,'abrasion emissions'!$O$7:$R$36,3,FALSE)</f>
        <v>0.5</v>
      </c>
      <c r="CM77" s="40">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608</v>
      </c>
      <c r="D78" s="19">
        <v>2030</v>
      </c>
      <c r="E78" t="s">
        <v>37</v>
      </c>
      <c r="F78" t="s">
        <v>140</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2"/>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40">
        <f>VLOOKUP($B78,'abrasion emissions'!$O$7:$R$36,2,FALSE)</f>
        <v>0.5</v>
      </c>
      <c r="CL78" s="40">
        <f>VLOOKUP($B78,'abrasion emissions'!$O$7:$R$36,3,FALSE)</f>
        <v>0.5</v>
      </c>
      <c r="CM78" s="40">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608</v>
      </c>
      <c r="D79" s="19">
        <v>2040</v>
      </c>
      <c r="E79" t="s">
        <v>37</v>
      </c>
      <c r="F79" t="s">
        <v>140</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2"/>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40">
        <f>VLOOKUP($B79,'abrasion emissions'!$O$7:$R$36,2,FALSE)</f>
        <v>0.5</v>
      </c>
      <c r="CL79" s="40">
        <f>VLOOKUP($B79,'abrasion emissions'!$O$7:$R$36,3,FALSE)</f>
        <v>0.5</v>
      </c>
      <c r="CM79" s="40">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608</v>
      </c>
      <c r="D80" s="19">
        <v>2050</v>
      </c>
      <c r="E80" t="s">
        <v>37</v>
      </c>
      <c r="F80" t="s">
        <v>140</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2"/>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40">
        <f>VLOOKUP($B80,'abrasion emissions'!$O$7:$R$36,2,FALSE)</f>
        <v>0.5</v>
      </c>
      <c r="CL80" s="40">
        <f>VLOOKUP($B80,'abrasion emissions'!$O$7:$R$36,3,FALSE)</f>
        <v>0.5</v>
      </c>
      <c r="CM80" s="40">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569</v>
      </c>
      <c r="D81" s="19">
        <v>2020</v>
      </c>
      <c r="E81" t="s">
        <v>37</v>
      </c>
      <c r="F81" t="s">
        <v>140</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2"/>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40">
        <f>VLOOKUP($B81,'abrasion emissions'!$O$7:$R$36,2,FALSE)</f>
        <v>0.5</v>
      </c>
      <c r="CL81" s="40">
        <f>VLOOKUP($B81,'abrasion emissions'!$O$7:$R$36,3,FALSE)</f>
        <v>0.5</v>
      </c>
      <c r="CM81" s="40">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569</v>
      </c>
      <c r="D82" s="19">
        <v>2030</v>
      </c>
      <c r="E82" t="s">
        <v>37</v>
      </c>
      <c r="F82" t="s">
        <v>140</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2"/>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40">
        <f>VLOOKUP($B82,'abrasion emissions'!$O$7:$R$36,2,FALSE)</f>
        <v>0.5</v>
      </c>
      <c r="CL82" s="40">
        <f>VLOOKUP($B82,'abrasion emissions'!$O$7:$R$36,3,FALSE)</f>
        <v>0.5</v>
      </c>
      <c r="CM82" s="40">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569</v>
      </c>
      <c r="D83" s="19">
        <v>2040</v>
      </c>
      <c r="E83" t="s">
        <v>37</v>
      </c>
      <c r="F83" t="s">
        <v>140</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2"/>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40">
        <f>VLOOKUP($B83,'abrasion emissions'!$O$7:$R$36,2,FALSE)</f>
        <v>0.5</v>
      </c>
      <c r="CL83" s="40">
        <f>VLOOKUP($B83,'abrasion emissions'!$O$7:$R$36,3,FALSE)</f>
        <v>0.5</v>
      </c>
      <c r="CM83" s="40">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569</v>
      </c>
      <c r="D84" s="19">
        <v>2050</v>
      </c>
      <c r="E84" t="s">
        <v>37</v>
      </c>
      <c r="F84" t="s">
        <v>140</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2"/>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40">
        <f>VLOOKUP($B84,'abrasion emissions'!$O$7:$R$36,2,FALSE)</f>
        <v>0.5</v>
      </c>
      <c r="CL84" s="40">
        <f>VLOOKUP($B84,'abrasion emissions'!$O$7:$R$36,3,FALSE)</f>
        <v>0.5</v>
      </c>
      <c r="CM84" s="40">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608</v>
      </c>
      <c r="D85" s="19">
        <v>2020</v>
      </c>
      <c r="E85" t="s">
        <v>37</v>
      </c>
      <c r="F85" t="s">
        <v>140</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2"/>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40">
        <f>VLOOKUP($B85,'abrasion emissions'!$O$7:$R$36,2,FALSE)</f>
        <v>0.5</v>
      </c>
      <c r="CL85" s="40">
        <f>VLOOKUP($B85,'abrasion emissions'!$O$7:$R$36,3,FALSE)</f>
        <v>0.5</v>
      </c>
      <c r="CM85" s="40">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608</v>
      </c>
      <c r="D86" s="19">
        <v>2030</v>
      </c>
      <c r="E86" t="s">
        <v>37</v>
      </c>
      <c r="F86" t="s">
        <v>140</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2"/>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40">
        <f>VLOOKUP($B86,'abrasion emissions'!$O$7:$R$36,2,FALSE)</f>
        <v>0.5</v>
      </c>
      <c r="CL86" s="40">
        <f>VLOOKUP($B86,'abrasion emissions'!$O$7:$R$36,3,FALSE)</f>
        <v>0.5</v>
      </c>
      <c r="CM86" s="40">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608</v>
      </c>
      <c r="D87" s="19">
        <v>2040</v>
      </c>
      <c r="E87" t="s">
        <v>37</v>
      </c>
      <c r="F87" t="s">
        <v>140</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2"/>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40">
        <f>VLOOKUP($B87,'abrasion emissions'!$O$7:$R$36,2,FALSE)</f>
        <v>0.5</v>
      </c>
      <c r="CL87" s="40">
        <f>VLOOKUP($B87,'abrasion emissions'!$O$7:$R$36,3,FALSE)</f>
        <v>0.5</v>
      </c>
      <c r="CM87" s="40">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608</v>
      </c>
      <c r="D88" s="19">
        <v>2050</v>
      </c>
      <c r="E88" t="s">
        <v>37</v>
      </c>
      <c r="F88" t="s">
        <v>140</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2"/>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40">
        <f>VLOOKUP($B88,'abrasion emissions'!$O$7:$R$36,2,FALSE)</f>
        <v>0.5</v>
      </c>
      <c r="CL88" s="40">
        <f>VLOOKUP($B88,'abrasion emissions'!$O$7:$R$36,3,FALSE)</f>
        <v>0.5</v>
      </c>
      <c r="CM88" s="40">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569</v>
      </c>
      <c r="D89" s="19">
        <v>2020</v>
      </c>
      <c r="E89" t="s">
        <v>37</v>
      </c>
      <c r="F89" t="s">
        <v>140</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2"/>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40">
        <f>VLOOKUP($B89,'abrasion emissions'!$O$7:$R$36,2,FALSE)</f>
        <v>0.5</v>
      </c>
      <c r="CL89" s="40">
        <f>VLOOKUP($B89,'abrasion emissions'!$O$7:$R$36,3,FALSE)</f>
        <v>0.5</v>
      </c>
      <c r="CM89" s="40">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569</v>
      </c>
      <c r="D90" s="19">
        <v>2030</v>
      </c>
      <c r="E90" t="s">
        <v>37</v>
      </c>
      <c r="F90" t="s">
        <v>140</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2"/>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40">
        <f>VLOOKUP($B90,'abrasion emissions'!$O$7:$R$36,2,FALSE)</f>
        <v>0.5</v>
      </c>
      <c r="CL90" s="40">
        <f>VLOOKUP($B90,'abrasion emissions'!$O$7:$R$36,3,FALSE)</f>
        <v>0.5</v>
      </c>
      <c r="CM90" s="40">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569</v>
      </c>
      <c r="D91" s="19">
        <v>2040</v>
      </c>
      <c r="E91" t="s">
        <v>37</v>
      </c>
      <c r="F91" t="s">
        <v>140</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2"/>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40">
        <f>VLOOKUP($B91,'abrasion emissions'!$O$7:$R$36,2,FALSE)</f>
        <v>0.5</v>
      </c>
      <c r="CL91" s="40">
        <f>VLOOKUP($B91,'abrasion emissions'!$O$7:$R$36,3,FALSE)</f>
        <v>0.5</v>
      </c>
      <c r="CM91" s="40">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569</v>
      </c>
      <c r="D92" s="19">
        <v>2050</v>
      </c>
      <c r="E92" t="s">
        <v>37</v>
      </c>
      <c r="F92" t="s">
        <v>140</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2"/>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40">
        <f>VLOOKUP($B92,'abrasion emissions'!$O$7:$R$36,2,FALSE)</f>
        <v>0.5</v>
      </c>
      <c r="CL92" s="40">
        <f>VLOOKUP($B92,'abrasion emissions'!$O$7:$R$36,3,FALSE)</f>
        <v>0.5</v>
      </c>
      <c r="CM92" s="40">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608</v>
      </c>
      <c r="D93" s="19">
        <v>2020</v>
      </c>
      <c r="E93" t="s">
        <v>37</v>
      </c>
      <c r="F93" t="s">
        <v>140</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2"/>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40">
        <f>VLOOKUP($B93,'abrasion emissions'!$O$7:$R$36,2,FALSE)</f>
        <v>0.5</v>
      </c>
      <c r="CL93" s="40">
        <f>VLOOKUP($B93,'abrasion emissions'!$O$7:$R$36,3,FALSE)</f>
        <v>0.5</v>
      </c>
      <c r="CM93" s="40">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608</v>
      </c>
      <c r="D94" s="19">
        <v>2030</v>
      </c>
      <c r="E94" t="s">
        <v>37</v>
      </c>
      <c r="F94" t="s">
        <v>140</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2"/>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40">
        <f>VLOOKUP($B94,'abrasion emissions'!$O$7:$R$36,2,FALSE)</f>
        <v>0.5</v>
      </c>
      <c r="CL94" s="40">
        <f>VLOOKUP($B94,'abrasion emissions'!$O$7:$R$36,3,FALSE)</f>
        <v>0.5</v>
      </c>
      <c r="CM94" s="40">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608</v>
      </c>
      <c r="D95" s="19">
        <v>2040</v>
      </c>
      <c r="E95" t="s">
        <v>37</v>
      </c>
      <c r="F95" t="s">
        <v>140</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2"/>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40">
        <f>VLOOKUP($B95,'abrasion emissions'!$O$7:$R$36,2,FALSE)</f>
        <v>0.5</v>
      </c>
      <c r="CL95" s="40">
        <f>VLOOKUP($B95,'abrasion emissions'!$O$7:$R$36,3,FALSE)</f>
        <v>0.5</v>
      </c>
      <c r="CM95" s="40">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608</v>
      </c>
      <c r="D96" s="19">
        <v>2050</v>
      </c>
      <c r="E96" t="s">
        <v>37</v>
      </c>
      <c r="F96" t="s">
        <v>140</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2"/>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40">
        <f>VLOOKUP($B96,'abrasion emissions'!$O$7:$R$36,2,FALSE)</f>
        <v>0.5</v>
      </c>
      <c r="CL96" s="40">
        <f>VLOOKUP($B96,'abrasion emissions'!$O$7:$R$36,3,FALSE)</f>
        <v>0.5</v>
      </c>
      <c r="CM96" s="40">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569</v>
      </c>
      <c r="D97" s="19">
        <v>2020</v>
      </c>
      <c r="E97" t="s">
        <v>37</v>
      </c>
      <c r="F97" t="s">
        <v>140</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2"/>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40">
        <f>VLOOKUP($B97,'abrasion emissions'!$O$7:$R$36,2,FALSE)</f>
        <v>0.5</v>
      </c>
      <c r="CL97" s="40">
        <f>VLOOKUP($B97,'abrasion emissions'!$O$7:$R$36,3,FALSE)</f>
        <v>0.5</v>
      </c>
      <c r="CM97" s="40">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569</v>
      </c>
      <c r="D98" s="19">
        <v>2030</v>
      </c>
      <c r="E98" t="s">
        <v>37</v>
      </c>
      <c r="F98" t="s">
        <v>140</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2"/>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40">
        <f>VLOOKUP($B98,'abrasion emissions'!$O$7:$R$36,2,FALSE)</f>
        <v>0.5</v>
      </c>
      <c r="CL98" s="40">
        <f>VLOOKUP($B98,'abrasion emissions'!$O$7:$R$36,3,FALSE)</f>
        <v>0.5</v>
      </c>
      <c r="CM98" s="40">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569</v>
      </c>
      <c r="D99" s="19">
        <v>2040</v>
      </c>
      <c r="E99" t="s">
        <v>37</v>
      </c>
      <c r="F99" t="s">
        <v>140</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2"/>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40">
        <f>VLOOKUP($B99,'abrasion emissions'!$O$7:$R$36,2,FALSE)</f>
        <v>0.5</v>
      </c>
      <c r="CL99" s="40">
        <f>VLOOKUP($B99,'abrasion emissions'!$O$7:$R$36,3,FALSE)</f>
        <v>0.5</v>
      </c>
      <c r="CM99" s="40">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569</v>
      </c>
      <c r="D100" s="19">
        <v>2050</v>
      </c>
      <c r="E100" t="s">
        <v>37</v>
      </c>
      <c r="F100" t="s">
        <v>140</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2"/>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40">
        <f>VLOOKUP($B100,'abrasion emissions'!$O$7:$R$36,2,FALSE)</f>
        <v>0.5</v>
      </c>
      <c r="CL100" s="40">
        <f>VLOOKUP($B100,'abrasion emissions'!$O$7:$R$36,3,FALSE)</f>
        <v>0.5</v>
      </c>
      <c r="CM100" s="40">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638</v>
      </c>
      <c r="D101" s="19">
        <v>2006</v>
      </c>
      <c r="E101" t="s">
        <v>37</v>
      </c>
      <c r="F101" t="s">
        <v>141</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2">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40">
        <f>VLOOKUP($B101,'abrasion emissions'!$O$7:$R$36,2,FALSE)</f>
        <v>0.5</v>
      </c>
      <c r="CL101" s="40">
        <f>VLOOKUP($B101,'abrasion emissions'!$O$7:$R$36,3,FALSE)</f>
        <v>0.5</v>
      </c>
      <c r="CM101" s="40">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639</v>
      </c>
      <c r="D102" s="19">
        <v>2016</v>
      </c>
      <c r="E102" t="s">
        <v>37</v>
      </c>
      <c r="F102" t="s">
        <v>142</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2">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40">
        <f>VLOOKUP($B102,'abrasion emissions'!$O$7:$R$36,2,FALSE)</f>
        <v>0.5</v>
      </c>
      <c r="CL102" s="40">
        <f>VLOOKUP($B102,'abrasion emissions'!$O$7:$R$36,3,FALSE)</f>
        <v>0.5</v>
      </c>
      <c r="CM102" s="40">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640</v>
      </c>
      <c r="D103" s="19">
        <v>2020</v>
      </c>
      <c r="E103" t="s">
        <v>37</v>
      </c>
      <c r="F103" t="s">
        <v>143</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2">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40">
        <f>VLOOKUP($B103,'abrasion emissions'!$O$7:$R$36,2,FALSE)</f>
        <v>0.5</v>
      </c>
      <c r="CL103" s="40">
        <f>VLOOKUP($B103,'abrasion emissions'!$O$7:$R$36,3,FALSE)</f>
        <v>0.5</v>
      </c>
      <c r="CM103" s="40">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640</v>
      </c>
      <c r="D104" s="19">
        <v>2030</v>
      </c>
      <c r="E104" t="s">
        <v>37</v>
      </c>
      <c r="F104" t="s">
        <v>143</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2">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40">
        <f>VLOOKUP($B104,'abrasion emissions'!$O$7:$R$36,2,FALSE)</f>
        <v>0.5</v>
      </c>
      <c r="CL104" s="40">
        <f>VLOOKUP($B104,'abrasion emissions'!$O$7:$R$36,3,FALSE)</f>
        <v>0.5</v>
      </c>
      <c r="CM104" s="40">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640</v>
      </c>
      <c r="D105" s="19">
        <v>2040</v>
      </c>
      <c r="E105" t="s">
        <v>37</v>
      </c>
      <c r="F105" t="s">
        <v>143</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2">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40">
        <f>VLOOKUP($B105,'abrasion emissions'!$O$7:$R$36,2,FALSE)</f>
        <v>0.5</v>
      </c>
      <c r="CL105" s="40">
        <f>VLOOKUP($B105,'abrasion emissions'!$O$7:$R$36,3,FALSE)</f>
        <v>0.5</v>
      </c>
      <c r="CM105" s="40">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640</v>
      </c>
      <c r="D106" s="19">
        <v>2050</v>
      </c>
      <c r="E106" t="s">
        <v>37</v>
      </c>
      <c r="F106" t="s">
        <v>143</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2">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40">
        <f>VLOOKUP($B106,'abrasion emissions'!$O$7:$R$36,2,FALSE)</f>
        <v>0.5</v>
      </c>
      <c r="CL106" s="40">
        <f>VLOOKUP($B106,'abrasion emissions'!$O$7:$R$36,3,FALSE)</f>
        <v>0.5</v>
      </c>
      <c r="CM106" s="40">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620</v>
      </c>
      <c r="D107" s="19">
        <v>2006</v>
      </c>
      <c r="E107" t="s">
        <v>37</v>
      </c>
      <c r="F107" t="s">
        <v>141</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2">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40">
        <f>VLOOKUP($B107,'abrasion emissions'!$O$7:$R$36,2,FALSE)</f>
        <v>0.33</v>
      </c>
      <c r="CL107" s="40">
        <f>VLOOKUP($B107,'abrasion emissions'!$O$7:$R$36,3,FALSE)</f>
        <v>0.33</v>
      </c>
      <c r="CM107" s="40">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621</v>
      </c>
      <c r="D108" s="19">
        <v>2016</v>
      </c>
      <c r="E108" t="s">
        <v>37</v>
      </c>
      <c r="F108" t="s">
        <v>142</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2">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40">
        <f>VLOOKUP($B108,'abrasion emissions'!$O$7:$R$36,2,FALSE)</f>
        <v>0.33</v>
      </c>
      <c r="CL108" s="40">
        <f>VLOOKUP($B108,'abrasion emissions'!$O$7:$R$36,3,FALSE)</f>
        <v>0.33</v>
      </c>
      <c r="CM108" s="40">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622</v>
      </c>
      <c r="D109" s="19">
        <v>2020</v>
      </c>
      <c r="E109" t="s">
        <v>37</v>
      </c>
      <c r="F109" t="s">
        <v>143</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2">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40">
        <f>VLOOKUP($B109,'abrasion emissions'!$O$7:$R$36,2,FALSE)</f>
        <v>0.33</v>
      </c>
      <c r="CL109" s="40">
        <f>VLOOKUP($B109,'abrasion emissions'!$O$7:$R$36,3,FALSE)</f>
        <v>0.33</v>
      </c>
      <c r="CM109" s="40">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622</v>
      </c>
      <c r="D110" s="19">
        <v>2030</v>
      </c>
      <c r="E110" t="s">
        <v>37</v>
      </c>
      <c r="F110" t="s">
        <v>143</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2">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40">
        <f>VLOOKUP($B110,'abrasion emissions'!$O$7:$R$36,2,FALSE)</f>
        <v>0.33</v>
      </c>
      <c r="CL110" s="40">
        <f>VLOOKUP($B110,'abrasion emissions'!$O$7:$R$36,3,FALSE)</f>
        <v>0.33</v>
      </c>
      <c r="CM110" s="40">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622</v>
      </c>
      <c r="D111" s="19">
        <v>2040</v>
      </c>
      <c r="E111" t="s">
        <v>37</v>
      </c>
      <c r="F111" t="s">
        <v>143</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2">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40">
        <f>VLOOKUP($B111,'abrasion emissions'!$O$7:$R$36,2,FALSE)</f>
        <v>0.33</v>
      </c>
      <c r="CL111" s="40">
        <f>VLOOKUP($B111,'abrasion emissions'!$O$7:$R$36,3,FALSE)</f>
        <v>0.33</v>
      </c>
      <c r="CM111" s="40">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622</v>
      </c>
      <c r="D112" s="19">
        <v>2050</v>
      </c>
      <c r="E112" t="s">
        <v>37</v>
      </c>
      <c r="F112" t="s">
        <v>143</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2">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40">
        <f>VLOOKUP($B112,'abrasion emissions'!$O$7:$R$36,2,FALSE)</f>
        <v>0.33</v>
      </c>
      <c r="CL112" s="40">
        <f>VLOOKUP($B112,'abrasion emissions'!$O$7:$R$36,3,FALSE)</f>
        <v>0.33</v>
      </c>
      <c r="CM112" s="40">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629</v>
      </c>
      <c r="D113" s="19">
        <v>2006</v>
      </c>
      <c r="E113" t="s">
        <v>37</v>
      </c>
      <c r="F113" t="s">
        <v>141</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2">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40">
        <f>VLOOKUP($B113,'abrasion emissions'!$O$7:$R$36,2,FALSE)</f>
        <v>0.33</v>
      </c>
      <c r="CL113" s="40">
        <f>VLOOKUP($B113,'abrasion emissions'!$O$7:$R$36,3,FALSE)</f>
        <v>0.33</v>
      </c>
      <c r="CM113" s="40">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630</v>
      </c>
      <c r="D114" s="19">
        <v>2016</v>
      </c>
      <c r="E114" t="s">
        <v>37</v>
      </c>
      <c r="F114" t="s">
        <v>142</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2">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40">
        <f>VLOOKUP($B114,'abrasion emissions'!$O$7:$R$36,2,FALSE)</f>
        <v>0.33</v>
      </c>
      <c r="CL114" s="40">
        <f>VLOOKUP($B114,'abrasion emissions'!$O$7:$R$36,3,FALSE)</f>
        <v>0.33</v>
      </c>
      <c r="CM114" s="40">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631</v>
      </c>
      <c r="D115" s="19">
        <v>2020</v>
      </c>
      <c r="E115" t="s">
        <v>37</v>
      </c>
      <c r="F115" t="s">
        <v>143</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2">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40">
        <f>VLOOKUP($B115,'abrasion emissions'!$O$7:$R$36,2,FALSE)</f>
        <v>0.33</v>
      </c>
      <c r="CL115" s="40">
        <f>VLOOKUP($B115,'abrasion emissions'!$O$7:$R$36,3,FALSE)</f>
        <v>0.33</v>
      </c>
      <c r="CM115" s="40">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631</v>
      </c>
      <c r="D116" s="19">
        <v>2030</v>
      </c>
      <c r="E116" t="s">
        <v>37</v>
      </c>
      <c r="F116" t="s">
        <v>143</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2">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40">
        <f>VLOOKUP($B116,'abrasion emissions'!$O$7:$R$36,2,FALSE)</f>
        <v>0.33</v>
      </c>
      <c r="CL116" s="40">
        <f>VLOOKUP($B116,'abrasion emissions'!$O$7:$R$36,3,FALSE)</f>
        <v>0.33</v>
      </c>
      <c r="CM116" s="40">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631</v>
      </c>
      <c r="D117" s="19">
        <v>2040</v>
      </c>
      <c r="E117" t="s">
        <v>37</v>
      </c>
      <c r="F117" t="s">
        <v>143</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2">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40">
        <f>VLOOKUP($B117,'abrasion emissions'!$O$7:$R$36,2,FALSE)</f>
        <v>0.33</v>
      </c>
      <c r="CL117" s="40">
        <f>VLOOKUP($B117,'abrasion emissions'!$O$7:$R$36,3,FALSE)</f>
        <v>0.33</v>
      </c>
      <c r="CM117" s="40">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631</v>
      </c>
      <c r="D118" s="19">
        <v>2050</v>
      </c>
      <c r="E118" t="s">
        <v>37</v>
      </c>
      <c r="F118" t="s">
        <v>143</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2">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40">
        <f>VLOOKUP($B118,'abrasion emissions'!$O$7:$R$36,2,FALSE)</f>
        <v>0.33</v>
      </c>
      <c r="CL118" s="40">
        <f>VLOOKUP($B118,'abrasion emissions'!$O$7:$R$36,3,FALSE)</f>
        <v>0.33</v>
      </c>
      <c r="CM118" s="40">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492</v>
      </c>
      <c r="D119" s="19">
        <v>2020</v>
      </c>
      <c r="E119" t="s">
        <v>37</v>
      </c>
      <c r="F119" t="s">
        <v>140</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2"/>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40">
        <f>VLOOKUP($B119,'abrasion emissions'!$O$7:$R$36,2,FALSE)</f>
        <v>0.33</v>
      </c>
      <c r="CL119" s="40">
        <f>VLOOKUP($B119,'abrasion emissions'!$O$7:$R$36,3,FALSE)</f>
        <v>0.33</v>
      </c>
      <c r="CM119" s="40">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492</v>
      </c>
      <c r="D120" s="19">
        <v>2030</v>
      </c>
      <c r="E120" t="s">
        <v>37</v>
      </c>
      <c r="F120" t="s">
        <v>140</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2"/>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40">
        <f>VLOOKUP($B120,'abrasion emissions'!$O$7:$R$36,2,FALSE)</f>
        <v>0.33</v>
      </c>
      <c r="CL120" s="40">
        <f>VLOOKUP($B120,'abrasion emissions'!$O$7:$R$36,3,FALSE)</f>
        <v>0.33</v>
      </c>
      <c r="CM120" s="40">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492</v>
      </c>
      <c r="D121" s="19">
        <v>2040</v>
      </c>
      <c r="E121" t="s">
        <v>37</v>
      </c>
      <c r="F121" t="s">
        <v>140</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2"/>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40">
        <f>VLOOKUP($B121,'abrasion emissions'!$O$7:$R$36,2,FALSE)</f>
        <v>0.33</v>
      </c>
      <c r="CL121" s="40">
        <f>VLOOKUP($B121,'abrasion emissions'!$O$7:$R$36,3,FALSE)</f>
        <v>0.33</v>
      </c>
      <c r="CM121" s="40">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492</v>
      </c>
      <c r="D122" s="19">
        <v>2050</v>
      </c>
      <c r="E122" t="s">
        <v>37</v>
      </c>
      <c r="F122" t="s">
        <v>140</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2"/>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40">
        <f>VLOOKUP($B122,'abrasion emissions'!$O$7:$R$36,2,FALSE)</f>
        <v>0.33</v>
      </c>
      <c r="CL122" s="40">
        <f>VLOOKUP($B122,'abrasion emissions'!$O$7:$R$36,3,FALSE)</f>
        <v>0.33</v>
      </c>
      <c r="CM122" s="40">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493</v>
      </c>
      <c r="D123" s="19">
        <v>2020</v>
      </c>
      <c r="E123" t="s">
        <v>37</v>
      </c>
      <c r="F123" t="s">
        <v>140</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2"/>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40">
        <f>VLOOKUP($B123,'abrasion emissions'!$O$7:$R$36,2,FALSE)</f>
        <v>0.33</v>
      </c>
      <c r="CL123" s="40">
        <f>VLOOKUP($B123,'abrasion emissions'!$O$7:$R$36,3,FALSE)</f>
        <v>0.33</v>
      </c>
      <c r="CM123" s="40">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493</v>
      </c>
      <c r="D124" s="19">
        <v>2030</v>
      </c>
      <c r="E124" t="s">
        <v>37</v>
      </c>
      <c r="F124" t="s">
        <v>140</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2"/>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40">
        <f>VLOOKUP($B124,'abrasion emissions'!$O$7:$R$36,2,FALSE)</f>
        <v>0.33</v>
      </c>
      <c r="CL124" s="40">
        <f>VLOOKUP($B124,'abrasion emissions'!$O$7:$R$36,3,FALSE)</f>
        <v>0.33</v>
      </c>
      <c r="CM124" s="40">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493</v>
      </c>
      <c r="D125" s="19">
        <v>2040</v>
      </c>
      <c r="E125" t="s">
        <v>37</v>
      </c>
      <c r="F125" t="s">
        <v>140</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2"/>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40">
        <f>VLOOKUP($B125,'abrasion emissions'!$O$7:$R$36,2,FALSE)</f>
        <v>0.33</v>
      </c>
      <c r="CL125" s="40">
        <f>VLOOKUP($B125,'abrasion emissions'!$O$7:$R$36,3,FALSE)</f>
        <v>0.33</v>
      </c>
      <c r="CM125" s="40">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493</v>
      </c>
      <c r="D126" s="19">
        <v>2050</v>
      </c>
      <c r="E126" t="s">
        <v>37</v>
      </c>
      <c r="F126" t="s">
        <v>140</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2"/>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40">
        <f>VLOOKUP($B126,'abrasion emissions'!$O$7:$R$36,2,FALSE)</f>
        <v>0.33</v>
      </c>
      <c r="CL126" s="40">
        <f>VLOOKUP($B126,'abrasion emissions'!$O$7:$R$36,3,FALSE)</f>
        <v>0.33</v>
      </c>
      <c r="CM126" s="40">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494</v>
      </c>
      <c r="D127" s="19">
        <v>2020</v>
      </c>
      <c r="E127" t="s">
        <v>37</v>
      </c>
      <c r="F127" t="s">
        <v>140</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2"/>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40">
        <f>VLOOKUP($B127,'abrasion emissions'!$O$7:$R$36,2,FALSE)</f>
        <v>0.33</v>
      </c>
      <c r="CL127" s="40">
        <f>VLOOKUP($B127,'abrasion emissions'!$O$7:$R$36,3,FALSE)</f>
        <v>0.33</v>
      </c>
      <c r="CM127" s="40">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494</v>
      </c>
      <c r="D128" s="19">
        <v>2030</v>
      </c>
      <c r="E128" t="s">
        <v>37</v>
      </c>
      <c r="F128" t="s">
        <v>140</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2"/>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40">
        <f>VLOOKUP($B128,'abrasion emissions'!$O$7:$R$36,2,FALSE)</f>
        <v>0.33</v>
      </c>
      <c r="CL128" s="40">
        <f>VLOOKUP($B128,'abrasion emissions'!$O$7:$R$36,3,FALSE)</f>
        <v>0.33</v>
      </c>
      <c r="CM128" s="40">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494</v>
      </c>
      <c r="D129" s="19">
        <v>2040</v>
      </c>
      <c r="E129" t="s">
        <v>37</v>
      </c>
      <c r="F129" t="s">
        <v>140</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2"/>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40">
        <f>VLOOKUP($B129,'abrasion emissions'!$O$7:$R$36,2,FALSE)</f>
        <v>0.33</v>
      </c>
      <c r="CL129" s="40">
        <f>VLOOKUP($B129,'abrasion emissions'!$O$7:$R$36,3,FALSE)</f>
        <v>0.33</v>
      </c>
      <c r="CM129" s="40">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494</v>
      </c>
      <c r="D130" s="19">
        <v>2050</v>
      </c>
      <c r="E130" t="s">
        <v>37</v>
      </c>
      <c r="F130" t="s">
        <v>140</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2"/>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40">
        <f>VLOOKUP($B130,'abrasion emissions'!$O$7:$R$36,2,FALSE)</f>
        <v>0.33</v>
      </c>
      <c r="CL130" s="40">
        <f>VLOOKUP($B130,'abrasion emissions'!$O$7:$R$36,3,FALSE)</f>
        <v>0.33</v>
      </c>
      <c r="CM130" s="40">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495</v>
      </c>
      <c r="D131" s="19">
        <v>2020</v>
      </c>
      <c r="E131" t="s">
        <v>37</v>
      </c>
      <c r="F131" t="s">
        <v>140</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2"/>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40">
        <f>VLOOKUP($B131,'abrasion emissions'!$O$7:$R$36,2,FALSE)</f>
        <v>0.33</v>
      </c>
      <c r="CL131" s="40">
        <f>VLOOKUP($B131,'abrasion emissions'!$O$7:$R$36,3,FALSE)</f>
        <v>0.33</v>
      </c>
      <c r="CM131" s="40">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495</v>
      </c>
      <c r="D132" s="19">
        <v>2030</v>
      </c>
      <c r="E132" t="s">
        <v>37</v>
      </c>
      <c r="F132" t="s">
        <v>140</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2"/>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40">
        <f>VLOOKUP($B132,'abrasion emissions'!$O$7:$R$36,2,FALSE)</f>
        <v>0.33</v>
      </c>
      <c r="CL132" s="40">
        <f>VLOOKUP($B132,'abrasion emissions'!$O$7:$R$36,3,FALSE)</f>
        <v>0.33</v>
      </c>
      <c r="CM132" s="40">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495</v>
      </c>
      <c r="D133" s="19">
        <v>2040</v>
      </c>
      <c r="E133" t="s">
        <v>37</v>
      </c>
      <c r="F133" t="s">
        <v>140</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2"/>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40">
        <f>VLOOKUP($B133,'abrasion emissions'!$O$7:$R$36,2,FALSE)</f>
        <v>0.33</v>
      </c>
      <c r="CL133" s="40">
        <f>VLOOKUP($B133,'abrasion emissions'!$O$7:$R$36,3,FALSE)</f>
        <v>0.33</v>
      </c>
      <c r="CM133" s="40">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495</v>
      </c>
      <c r="D134" s="19">
        <v>2050</v>
      </c>
      <c r="E134" t="s">
        <v>37</v>
      </c>
      <c r="F134" t="s">
        <v>140</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2"/>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40">
        <f>VLOOKUP($B134,'abrasion emissions'!$O$7:$R$36,2,FALSE)</f>
        <v>0.33</v>
      </c>
      <c r="CL134" s="40">
        <f>VLOOKUP($B134,'abrasion emissions'!$O$7:$R$36,3,FALSE)</f>
        <v>0.33</v>
      </c>
      <c r="CM134" s="40">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492</v>
      </c>
      <c r="D135" s="19">
        <v>2020</v>
      </c>
      <c r="E135" t="s">
        <v>37</v>
      </c>
      <c r="F135" t="s">
        <v>140</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2"/>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40">
        <f>VLOOKUP($B135,'abrasion emissions'!$O$7:$R$36,2,FALSE)</f>
        <v>0.33</v>
      </c>
      <c r="CL135" s="40">
        <f>VLOOKUP($B135,'abrasion emissions'!$O$7:$R$36,3,FALSE)</f>
        <v>0.33</v>
      </c>
      <c r="CM135" s="40">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492</v>
      </c>
      <c r="D136" s="19">
        <v>2030</v>
      </c>
      <c r="E136" t="s">
        <v>37</v>
      </c>
      <c r="F136" t="s">
        <v>140</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2"/>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40">
        <f>VLOOKUP($B136,'abrasion emissions'!$O$7:$R$36,2,FALSE)</f>
        <v>0.33</v>
      </c>
      <c r="CL136" s="40">
        <f>VLOOKUP($B136,'abrasion emissions'!$O$7:$R$36,3,FALSE)</f>
        <v>0.33</v>
      </c>
      <c r="CM136" s="40">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492</v>
      </c>
      <c r="D137" s="19">
        <v>2040</v>
      </c>
      <c r="E137" t="s">
        <v>37</v>
      </c>
      <c r="F137" t="s">
        <v>140</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2"/>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40">
        <f>VLOOKUP($B137,'abrasion emissions'!$O$7:$R$36,2,FALSE)</f>
        <v>0.33</v>
      </c>
      <c r="CL137" s="40">
        <f>VLOOKUP($B137,'abrasion emissions'!$O$7:$R$36,3,FALSE)</f>
        <v>0.33</v>
      </c>
      <c r="CM137" s="40">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492</v>
      </c>
      <c r="D138" s="19">
        <v>2050</v>
      </c>
      <c r="E138" t="s">
        <v>37</v>
      </c>
      <c r="F138" t="s">
        <v>140</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2"/>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40">
        <f>VLOOKUP($B138,'abrasion emissions'!$O$7:$R$36,2,FALSE)</f>
        <v>0.33</v>
      </c>
      <c r="CL138" s="40">
        <f>VLOOKUP($B138,'abrasion emissions'!$O$7:$R$36,3,FALSE)</f>
        <v>0.33</v>
      </c>
      <c r="CM138" s="40">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493</v>
      </c>
      <c r="D139" s="19">
        <v>2020</v>
      </c>
      <c r="E139" t="s">
        <v>37</v>
      </c>
      <c r="F139" t="s">
        <v>140</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2"/>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40">
        <f>VLOOKUP($B139,'abrasion emissions'!$O$7:$R$36,2,FALSE)</f>
        <v>0.33</v>
      </c>
      <c r="CL139" s="40">
        <f>VLOOKUP($B139,'abrasion emissions'!$O$7:$R$36,3,FALSE)</f>
        <v>0.33</v>
      </c>
      <c r="CM139" s="40">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493</v>
      </c>
      <c r="D140" s="19">
        <v>2030</v>
      </c>
      <c r="E140" t="s">
        <v>37</v>
      </c>
      <c r="F140" t="s">
        <v>140</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2"/>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40">
        <f>VLOOKUP($B140,'abrasion emissions'!$O$7:$R$36,2,FALSE)</f>
        <v>0.33</v>
      </c>
      <c r="CL140" s="40">
        <f>VLOOKUP($B140,'abrasion emissions'!$O$7:$R$36,3,FALSE)</f>
        <v>0.33</v>
      </c>
      <c r="CM140" s="40">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493</v>
      </c>
      <c r="D141" s="19">
        <v>2040</v>
      </c>
      <c r="E141" t="s">
        <v>37</v>
      </c>
      <c r="F141" t="s">
        <v>140</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2"/>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40">
        <f>VLOOKUP($B141,'abrasion emissions'!$O$7:$R$36,2,FALSE)</f>
        <v>0.33</v>
      </c>
      <c r="CL141" s="40">
        <f>VLOOKUP($B141,'abrasion emissions'!$O$7:$R$36,3,FALSE)</f>
        <v>0.33</v>
      </c>
      <c r="CM141" s="40">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493</v>
      </c>
      <c r="D142" s="19">
        <v>2050</v>
      </c>
      <c r="E142" t="s">
        <v>37</v>
      </c>
      <c r="F142" t="s">
        <v>140</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2"/>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40">
        <f>VLOOKUP($B142,'abrasion emissions'!$O$7:$R$36,2,FALSE)</f>
        <v>0.33</v>
      </c>
      <c r="CL142" s="40">
        <f>VLOOKUP($B142,'abrasion emissions'!$O$7:$R$36,3,FALSE)</f>
        <v>0.33</v>
      </c>
      <c r="CM142" s="40">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494</v>
      </c>
      <c r="D143" s="19">
        <v>2020</v>
      </c>
      <c r="E143" t="s">
        <v>37</v>
      </c>
      <c r="F143" t="s">
        <v>140</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2"/>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40">
        <f>VLOOKUP($B143,'abrasion emissions'!$O$7:$R$36,2,FALSE)</f>
        <v>0.33</v>
      </c>
      <c r="CL143" s="40">
        <f>VLOOKUP($B143,'abrasion emissions'!$O$7:$R$36,3,FALSE)</f>
        <v>0.33</v>
      </c>
      <c r="CM143" s="40">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494</v>
      </c>
      <c r="D144" s="19">
        <v>2030</v>
      </c>
      <c r="E144" t="s">
        <v>37</v>
      </c>
      <c r="F144" t="s">
        <v>140</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2"/>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40">
        <f>VLOOKUP($B144,'abrasion emissions'!$O$7:$R$36,2,FALSE)</f>
        <v>0.33</v>
      </c>
      <c r="CL144" s="40">
        <f>VLOOKUP($B144,'abrasion emissions'!$O$7:$R$36,3,FALSE)</f>
        <v>0.33</v>
      </c>
      <c r="CM144" s="40">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494</v>
      </c>
      <c r="D145" s="19">
        <v>2040</v>
      </c>
      <c r="E145" t="s">
        <v>37</v>
      </c>
      <c r="F145" t="s">
        <v>140</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2"/>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40">
        <f>VLOOKUP($B145,'abrasion emissions'!$O$7:$R$36,2,FALSE)</f>
        <v>0.33</v>
      </c>
      <c r="CL145" s="40">
        <f>VLOOKUP($B145,'abrasion emissions'!$O$7:$R$36,3,FALSE)</f>
        <v>0.33</v>
      </c>
      <c r="CM145" s="40">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494</v>
      </c>
      <c r="D146" s="19">
        <v>2050</v>
      </c>
      <c r="E146" t="s">
        <v>37</v>
      </c>
      <c r="F146" t="s">
        <v>140</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2"/>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40">
        <f>VLOOKUP($B146,'abrasion emissions'!$O$7:$R$36,2,FALSE)</f>
        <v>0.33</v>
      </c>
      <c r="CL146" s="40">
        <f>VLOOKUP($B146,'abrasion emissions'!$O$7:$R$36,3,FALSE)</f>
        <v>0.33</v>
      </c>
      <c r="CM146" s="40">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495</v>
      </c>
      <c r="D147" s="19">
        <v>2020</v>
      </c>
      <c r="E147" t="s">
        <v>37</v>
      </c>
      <c r="F147" t="s">
        <v>140</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2"/>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40">
        <f>VLOOKUP($B147,'abrasion emissions'!$O$7:$R$36,2,FALSE)</f>
        <v>0.33</v>
      </c>
      <c r="CL147" s="40">
        <f>VLOOKUP($B147,'abrasion emissions'!$O$7:$R$36,3,FALSE)</f>
        <v>0.33</v>
      </c>
      <c r="CM147" s="40">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495</v>
      </c>
      <c r="D148" s="19">
        <v>2030</v>
      </c>
      <c r="E148" t="s">
        <v>37</v>
      </c>
      <c r="F148" t="s">
        <v>140</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2"/>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40">
        <f>VLOOKUP($B148,'abrasion emissions'!$O$7:$R$36,2,FALSE)</f>
        <v>0.33</v>
      </c>
      <c r="CL148" s="40">
        <f>VLOOKUP($B148,'abrasion emissions'!$O$7:$R$36,3,FALSE)</f>
        <v>0.33</v>
      </c>
      <c r="CM148" s="40">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495</v>
      </c>
      <c r="D149" s="19">
        <v>2040</v>
      </c>
      <c r="E149" t="s">
        <v>37</v>
      </c>
      <c r="F149" t="s">
        <v>140</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2"/>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40">
        <f>VLOOKUP($B149,'abrasion emissions'!$O$7:$R$36,2,FALSE)</f>
        <v>0.33</v>
      </c>
      <c r="CL149" s="40">
        <f>VLOOKUP($B149,'abrasion emissions'!$O$7:$R$36,3,FALSE)</f>
        <v>0.33</v>
      </c>
      <c r="CM149" s="40">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495</v>
      </c>
      <c r="D150" s="19">
        <v>2050</v>
      </c>
      <c r="E150" t="s">
        <v>37</v>
      </c>
      <c r="F150" t="s">
        <v>140</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2"/>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40">
        <f>VLOOKUP($B150,'abrasion emissions'!$O$7:$R$36,2,FALSE)</f>
        <v>0.33</v>
      </c>
      <c r="CL150" s="40">
        <f>VLOOKUP($B150,'abrasion emissions'!$O$7:$R$36,3,FALSE)</f>
        <v>0.33</v>
      </c>
      <c r="CM150" s="40">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492</v>
      </c>
      <c r="D151" s="19">
        <v>2020</v>
      </c>
      <c r="E151" t="s">
        <v>37</v>
      </c>
      <c r="F151" t="s">
        <v>140</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2"/>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40">
        <f>VLOOKUP($B151,'abrasion emissions'!$O$7:$R$36,2,FALSE)</f>
        <v>0.33</v>
      </c>
      <c r="CL151" s="40">
        <f>VLOOKUP($B151,'abrasion emissions'!$O$7:$R$36,3,FALSE)</f>
        <v>0.33</v>
      </c>
      <c r="CM151" s="40">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492</v>
      </c>
      <c r="D152" s="19">
        <v>2030</v>
      </c>
      <c r="E152" t="s">
        <v>37</v>
      </c>
      <c r="F152" t="s">
        <v>140</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2"/>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40">
        <f>VLOOKUP($B152,'abrasion emissions'!$O$7:$R$36,2,FALSE)</f>
        <v>0.33</v>
      </c>
      <c r="CL152" s="40">
        <f>VLOOKUP($B152,'abrasion emissions'!$O$7:$R$36,3,FALSE)</f>
        <v>0.33</v>
      </c>
      <c r="CM152" s="40">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492</v>
      </c>
      <c r="D153" s="19">
        <v>2040</v>
      </c>
      <c r="E153" t="s">
        <v>37</v>
      </c>
      <c r="F153" t="s">
        <v>140</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2"/>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40">
        <f>VLOOKUP($B153,'abrasion emissions'!$O$7:$R$36,2,FALSE)</f>
        <v>0.33</v>
      </c>
      <c r="CL153" s="40">
        <f>VLOOKUP($B153,'abrasion emissions'!$O$7:$R$36,3,FALSE)</f>
        <v>0.33</v>
      </c>
      <c r="CM153" s="40">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492</v>
      </c>
      <c r="D154" s="19">
        <v>2050</v>
      </c>
      <c r="E154" t="s">
        <v>37</v>
      </c>
      <c r="F154" t="s">
        <v>140</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2"/>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40">
        <f>VLOOKUP($B154,'abrasion emissions'!$O$7:$R$36,2,FALSE)</f>
        <v>0.33</v>
      </c>
      <c r="CL154" s="40">
        <f>VLOOKUP($B154,'abrasion emissions'!$O$7:$R$36,3,FALSE)</f>
        <v>0.33</v>
      </c>
      <c r="CM154" s="40">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493</v>
      </c>
      <c r="D155" s="19">
        <v>2020</v>
      </c>
      <c r="E155" t="s">
        <v>37</v>
      </c>
      <c r="F155" t="s">
        <v>140</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2"/>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40">
        <f>VLOOKUP($B155,'abrasion emissions'!$O$7:$R$36,2,FALSE)</f>
        <v>0.33</v>
      </c>
      <c r="CL155" s="40">
        <f>VLOOKUP($B155,'abrasion emissions'!$O$7:$R$36,3,FALSE)</f>
        <v>0.33</v>
      </c>
      <c r="CM155" s="40">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493</v>
      </c>
      <c r="D156" s="19">
        <v>2030</v>
      </c>
      <c r="E156" t="s">
        <v>37</v>
      </c>
      <c r="F156" t="s">
        <v>140</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2"/>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40">
        <f>VLOOKUP($B156,'abrasion emissions'!$O$7:$R$36,2,FALSE)</f>
        <v>0.33</v>
      </c>
      <c r="CL156" s="40">
        <f>VLOOKUP($B156,'abrasion emissions'!$O$7:$R$36,3,FALSE)</f>
        <v>0.33</v>
      </c>
      <c r="CM156" s="40">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493</v>
      </c>
      <c r="D157" s="19">
        <v>2040</v>
      </c>
      <c r="E157" t="s">
        <v>37</v>
      </c>
      <c r="F157" t="s">
        <v>140</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2"/>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40">
        <f>VLOOKUP($B157,'abrasion emissions'!$O$7:$R$36,2,FALSE)</f>
        <v>0.33</v>
      </c>
      <c r="CL157" s="40">
        <f>VLOOKUP($B157,'abrasion emissions'!$O$7:$R$36,3,FALSE)</f>
        <v>0.33</v>
      </c>
      <c r="CM157" s="40">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493</v>
      </c>
      <c r="D158" s="19">
        <v>2050</v>
      </c>
      <c r="E158" t="s">
        <v>37</v>
      </c>
      <c r="F158" t="s">
        <v>140</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2"/>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40">
        <f>VLOOKUP($B158,'abrasion emissions'!$O$7:$R$36,2,FALSE)</f>
        <v>0.33</v>
      </c>
      <c r="CL158" s="40">
        <f>VLOOKUP($B158,'abrasion emissions'!$O$7:$R$36,3,FALSE)</f>
        <v>0.33</v>
      </c>
      <c r="CM158" s="40">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494</v>
      </c>
      <c r="D159" s="19">
        <v>2020</v>
      </c>
      <c r="E159" t="s">
        <v>37</v>
      </c>
      <c r="F159" t="s">
        <v>140</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2"/>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40">
        <f>VLOOKUP($B159,'abrasion emissions'!$O$7:$R$36,2,FALSE)</f>
        <v>0.33</v>
      </c>
      <c r="CL159" s="40">
        <f>VLOOKUP($B159,'abrasion emissions'!$O$7:$R$36,3,FALSE)</f>
        <v>0.33</v>
      </c>
      <c r="CM159" s="40">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494</v>
      </c>
      <c r="D160" s="19">
        <v>2030</v>
      </c>
      <c r="E160" t="s">
        <v>37</v>
      </c>
      <c r="F160" t="s">
        <v>140</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2"/>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40">
        <f>VLOOKUP($B160,'abrasion emissions'!$O$7:$R$36,2,FALSE)</f>
        <v>0.33</v>
      </c>
      <c r="CL160" s="40">
        <f>VLOOKUP($B160,'abrasion emissions'!$O$7:$R$36,3,FALSE)</f>
        <v>0.33</v>
      </c>
      <c r="CM160" s="40">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494</v>
      </c>
      <c r="D161" s="19">
        <v>2040</v>
      </c>
      <c r="E161" t="s">
        <v>37</v>
      </c>
      <c r="F161" t="s">
        <v>140</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2"/>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40">
        <f>VLOOKUP($B161,'abrasion emissions'!$O$7:$R$36,2,FALSE)</f>
        <v>0.33</v>
      </c>
      <c r="CL161" s="40">
        <f>VLOOKUP($B161,'abrasion emissions'!$O$7:$R$36,3,FALSE)</f>
        <v>0.33</v>
      </c>
      <c r="CM161" s="40">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494</v>
      </c>
      <c r="D162" s="19">
        <v>2050</v>
      </c>
      <c r="E162" t="s">
        <v>37</v>
      </c>
      <c r="F162" t="s">
        <v>140</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2"/>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40">
        <f>VLOOKUP($B162,'abrasion emissions'!$O$7:$R$36,2,FALSE)</f>
        <v>0.33</v>
      </c>
      <c r="CL162" s="40">
        <f>VLOOKUP($B162,'abrasion emissions'!$O$7:$R$36,3,FALSE)</f>
        <v>0.33</v>
      </c>
      <c r="CM162" s="40">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495</v>
      </c>
      <c r="D163" s="19">
        <v>2020</v>
      </c>
      <c r="E163" t="s">
        <v>37</v>
      </c>
      <c r="F163" t="s">
        <v>140</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2"/>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40">
        <f>VLOOKUP($B163,'abrasion emissions'!$O$7:$R$36,2,FALSE)</f>
        <v>0.33</v>
      </c>
      <c r="CL163" s="40">
        <f>VLOOKUP($B163,'abrasion emissions'!$O$7:$R$36,3,FALSE)</f>
        <v>0.33</v>
      </c>
      <c r="CM163" s="40">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495</v>
      </c>
      <c r="D164" s="19">
        <v>2030</v>
      </c>
      <c r="E164" t="s">
        <v>37</v>
      </c>
      <c r="F164" t="s">
        <v>140</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2"/>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40">
        <f>VLOOKUP($B164,'abrasion emissions'!$O$7:$R$36,2,FALSE)</f>
        <v>0.33</v>
      </c>
      <c r="CL164" s="40">
        <f>VLOOKUP($B164,'abrasion emissions'!$O$7:$R$36,3,FALSE)</f>
        <v>0.33</v>
      </c>
      <c r="CM164" s="40">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495</v>
      </c>
      <c r="D165" s="19">
        <v>2040</v>
      </c>
      <c r="E165" t="s">
        <v>37</v>
      </c>
      <c r="F165" t="s">
        <v>140</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2"/>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40">
        <f>VLOOKUP($B165,'abrasion emissions'!$O$7:$R$36,2,FALSE)</f>
        <v>0.33</v>
      </c>
      <c r="CL165" s="40">
        <f>VLOOKUP($B165,'abrasion emissions'!$O$7:$R$36,3,FALSE)</f>
        <v>0.33</v>
      </c>
      <c r="CM165" s="40">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495</v>
      </c>
      <c r="D166" s="19">
        <v>2050</v>
      </c>
      <c r="E166" t="s">
        <v>37</v>
      </c>
      <c r="F166" t="s">
        <v>140</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2"/>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40">
        <f>VLOOKUP($B166,'abrasion emissions'!$O$7:$R$36,2,FALSE)</f>
        <v>0.33</v>
      </c>
      <c r="CL166" s="40">
        <f>VLOOKUP($B166,'abrasion emissions'!$O$7:$R$36,3,FALSE)</f>
        <v>0.33</v>
      </c>
      <c r="CM166" s="40">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638"/>
  <sheetViews>
    <sheetView topLeftCell="A322" workbookViewId="0">
      <selection activeCell="A347" sqref="A347"/>
    </sheetView>
  </sheetViews>
  <sheetFormatPr baseColWidth="10" defaultColWidth="8.6640625" defaultRowHeight="15" x14ac:dyDescent="0.2"/>
  <cols>
    <col min="1" max="1" width="60" customWidth="1"/>
    <col min="2" max="2" width="15.6640625" bestFit="1" customWidth="1"/>
    <col min="7" max="7" width="32" bestFit="1" customWidth="1"/>
  </cols>
  <sheetData>
    <row r="1" spans="1:2" ht="16" x14ac:dyDescent="0.2">
      <c r="A1" s="10" t="s">
        <v>71</v>
      </c>
      <c r="B1" s="8" t="str">
        <f>B3&amp;", "&amp;B18&amp;" battery, "&amp;B5</f>
        <v>Motorbike, electric, 11-35kW, NCA battery, 2020</v>
      </c>
    </row>
    <row r="2" spans="1:2" x14ac:dyDescent="0.2">
      <c r="A2" t="s">
        <v>72</v>
      </c>
      <c r="B2" t="s">
        <v>37</v>
      </c>
    </row>
    <row r="3" spans="1:2" x14ac:dyDescent="0.2">
      <c r="A3" t="s">
        <v>86</v>
      </c>
      <c r="B3" t="s">
        <v>494</v>
      </c>
    </row>
    <row r="4" spans="1:2" x14ac:dyDescent="0.2">
      <c r="A4" t="s">
        <v>87</v>
      </c>
    </row>
    <row r="5" spans="1:2" x14ac:dyDescent="0.2">
      <c r="A5" t="s">
        <v>88</v>
      </c>
      <c r="B5">
        <v>2020</v>
      </c>
    </row>
    <row r="6" spans="1:2" x14ac:dyDescent="0.2">
      <c r="A6" t="s">
        <v>126</v>
      </c>
      <c r="B6" t="str">
        <f>B3&amp;" - "&amp;B5&amp;" - "&amp;B18&amp;" - "&amp;B2</f>
        <v>Motorbike, electric, 11-35kW - 2020 - NCA - CH</v>
      </c>
    </row>
    <row r="7" spans="1:2" x14ac:dyDescent="0.2">
      <c r="A7" t="s">
        <v>73</v>
      </c>
      <c r="B7" t="str">
        <f>B3</f>
        <v>Motorbike, electric, 11-35kW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38500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1.54</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2405</v>
      </c>
    </row>
    <row r="16" spans="1:2" x14ac:dyDescent="0.2">
      <c r="A16" t="s">
        <v>132</v>
      </c>
      <c r="B16" s="2">
        <f>INDEX('vehicles specifications'!$B$3:$CW$166,MATCH(B6,'vehicles specifications'!$A$3:$A$166,0),MATCH("Curb mass [kg]",'vehicles specifications'!$B$2:$CW$2,0))</f>
        <v>158.78260869565216</v>
      </c>
    </row>
    <row r="17" spans="1:8" x14ac:dyDescent="0.2">
      <c r="A17" t="s">
        <v>133</v>
      </c>
      <c r="B17">
        <f>INDEX('vehicles specifications'!$B$3:$CW$166,MATCH(B6,'vehicles specifications'!$A$3:$A$166,0),MATCH("Power [kW]",'vehicles specifications'!$B$2:$CW$2,0))</f>
        <v>14</v>
      </c>
    </row>
    <row r="18" spans="1:8" x14ac:dyDescent="0.2">
      <c r="A18" t="s">
        <v>652</v>
      </c>
      <c r="B18" s="20" t="s">
        <v>45</v>
      </c>
    </row>
    <row r="19" spans="1:8" x14ac:dyDescent="0.2">
      <c r="A19" t="s">
        <v>134</v>
      </c>
      <c r="B19">
        <f>INDEX('vehicles specifications'!$B$3:$CW$166,MATCH(B6,'vehicles specifications'!$A$3:$A$166,0),MATCH("Energy battery mass [kg]",'vehicles specifications'!$B$2:$CW$2,0))</f>
        <v>45.782608695652165</v>
      </c>
    </row>
    <row r="20" spans="1:8" x14ac:dyDescent="0.2">
      <c r="A20" t="s">
        <v>135</v>
      </c>
      <c r="B20">
        <f>INDEX('vehicles specifications'!$B$3:$CW$166,MATCH(B6,'vehicles specifications'!$A$3:$A$166,0),MATCH("Electric energy stored [kWh]",'vehicles specifications'!$B$2:$CW$2,0))</f>
        <v>8.1</v>
      </c>
    </row>
    <row r="21" spans="1:8" x14ac:dyDescent="0.2">
      <c r="A21" t="s">
        <v>588</v>
      </c>
      <c r="B21">
        <f>INDEX('vehicles specifications'!$B$3:$CW$166,MATCH(B6,'vehicles specifications'!$A$3:$A$166,0),MATCH("Electric energy available [kWh]",'vehicles specifications'!$B$2:$CW$2,0))</f>
        <v>6.48</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94.692311208791224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11-35kW, NCA battery, 2020</v>
      </c>
      <c r="B33">
        <v>1</v>
      </c>
      <c r="C33" t="str">
        <f>B2</f>
        <v>CH</v>
      </c>
      <c r="D33" t="str">
        <f>B9</f>
        <v>unit</v>
      </c>
      <c r="F33" t="s">
        <v>84</v>
      </c>
      <c r="G33" t="s">
        <v>85</v>
      </c>
      <c r="H33" t="str">
        <f>B3</f>
        <v>Motorbike, electric, 11-35kW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19</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760</v>
      </c>
      <c r="B37" s="3">
        <f>INDEX('vehicles specifications'!$B$3:$CW$166,MATCH(B6,'vehicles specifications'!$A$3:$A$166,0),MATCH(G37,'vehicles specifications'!$B$2:$CW$2,0))*INDEX('ei names mapping'!$B$137:$BL$300,MATCH(B6,'ei names mapping'!$A$137:$A$300,0),MATCH(G37,'ei names mapping'!$B$136:$BL$136,0))</f>
        <v>70.434782608695642</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21.130434782608692</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32</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-91.56521739130433</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158.78260869565216</v>
      </c>
      <c r="C43" t="s">
        <v>92</v>
      </c>
      <c r="D43" t="s">
        <v>233</v>
      </c>
      <c r="F43" t="s">
        <v>89</v>
      </c>
      <c r="H43" s="13" t="s">
        <v>841</v>
      </c>
    </row>
    <row r="44" spans="1:8" x14ac:dyDescent="0.2">
      <c r="A44" s="13" t="s">
        <v>441</v>
      </c>
      <c r="B44" s="3">
        <f>(B16/1000)*B28</f>
        <v>2524.6434782608694</v>
      </c>
      <c r="C44" t="s">
        <v>95</v>
      </c>
      <c r="D44" t="s">
        <v>233</v>
      </c>
      <c r="F44" t="s">
        <v>89</v>
      </c>
      <c r="H44" s="13" t="s">
        <v>441</v>
      </c>
    </row>
    <row r="45" spans="1:8" x14ac:dyDescent="0.2">
      <c r="B45" s="11"/>
    </row>
    <row r="46" spans="1:8" ht="16" x14ac:dyDescent="0.2">
      <c r="A46" s="10" t="s">
        <v>71</v>
      </c>
      <c r="B46" s="8" t="str">
        <f>B48&amp;", "&amp;B63&amp;" battery, "&amp;B50</f>
        <v>Motorbike, electric, 11-35kW, NCA battery, 2030</v>
      </c>
    </row>
    <row r="47" spans="1:8" x14ac:dyDescent="0.2">
      <c r="A47" t="s">
        <v>72</v>
      </c>
      <c r="B47" t="s">
        <v>37</v>
      </c>
    </row>
    <row r="48" spans="1:8" x14ac:dyDescent="0.2">
      <c r="A48" t="s">
        <v>86</v>
      </c>
      <c r="B48" t="s">
        <v>494</v>
      </c>
    </row>
    <row r="49" spans="1:2" x14ac:dyDescent="0.2">
      <c r="A49" t="s">
        <v>87</v>
      </c>
    </row>
    <row r="50" spans="1:2" x14ac:dyDescent="0.2">
      <c r="A50" t="s">
        <v>88</v>
      </c>
      <c r="B50">
        <v>2030</v>
      </c>
    </row>
    <row r="51" spans="1:2" x14ac:dyDescent="0.2">
      <c r="A51" t="s">
        <v>126</v>
      </c>
      <c r="B51" t="str">
        <f>B48&amp;" - "&amp;B50&amp;" - "&amp;B63&amp;" - "&amp;B47</f>
        <v>Motorbike, electric, 11-35kW - 2030 - NCA - CH</v>
      </c>
    </row>
    <row r="52" spans="1:2" x14ac:dyDescent="0.2">
      <c r="A52" t="s">
        <v>73</v>
      </c>
      <c r="B52" t="str">
        <f>B48</f>
        <v>Motorbike, electric, 11-35kW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38500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1.54</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2405</v>
      </c>
    </row>
    <row r="61" spans="1:2" x14ac:dyDescent="0.2">
      <c r="A61" t="s">
        <v>132</v>
      </c>
      <c r="B61" s="2">
        <f>INDEX('vehicles specifications'!$B$3:$CW$166,MATCH(B51,'vehicles specifications'!$A$3:$A$166,0),MATCH("Curb mass [kg]",'vehicles specifications'!$B$2:$CW$2,0))</f>
        <v>166.03666666666666</v>
      </c>
    </row>
    <row r="62" spans="1:2" x14ac:dyDescent="0.2">
      <c r="A62" t="s">
        <v>133</v>
      </c>
      <c r="B62">
        <f>INDEX('vehicles specifications'!$B$3:$CW$166,MATCH(B51,'vehicles specifications'!$A$3:$A$166,0),MATCH("Power [kW]",'vehicles specifications'!$B$2:$CW$2,0))</f>
        <v>14</v>
      </c>
    </row>
    <row r="63" spans="1:2" x14ac:dyDescent="0.2">
      <c r="A63" t="s">
        <v>652</v>
      </c>
      <c r="B63" s="20" t="s">
        <v>45</v>
      </c>
    </row>
    <row r="64" spans="1:2" x14ac:dyDescent="0.2">
      <c r="A64" t="s">
        <v>134</v>
      </c>
      <c r="B64">
        <f>INDEX('vehicles specifications'!$B$3:$CW$166,MATCH(B51,'vehicles specifications'!$A$3:$A$166,0),MATCH("Energy battery mass [kg]",'vehicles specifications'!$B$2:$CW$2,0))</f>
        <v>55.466666666666669</v>
      </c>
    </row>
    <row r="65" spans="1:8" x14ac:dyDescent="0.2">
      <c r="A65" t="s">
        <v>135</v>
      </c>
      <c r="B65">
        <f>INDEX('vehicles specifications'!$B$3:$CW$166,MATCH(B51,'vehicles specifications'!$A$3:$A$166,0),MATCH("Electric energy stored [kWh]",'vehicles specifications'!$B$2:$CW$2,0))</f>
        <v>12.8</v>
      </c>
    </row>
    <row r="66" spans="1:8" x14ac:dyDescent="0.2">
      <c r="A66" t="s">
        <v>588</v>
      </c>
      <c r="B66">
        <f>INDEX('vehicles specifications'!$B$3:$CW$166,MATCH(B51,'vehicles specifications'!$A$3:$A$166,0),MATCH("Electric energy available [kWh]",'vehicles specifications'!$B$2:$CW$2,0))</f>
        <v>10.240000000000002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149.63723252747255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11-35kW, NCA battery, 2030</v>
      </c>
      <c r="B78">
        <v>1</v>
      </c>
      <c r="C78" t="str">
        <f>B47</f>
        <v>CH</v>
      </c>
      <c r="D78" t="str">
        <f>B54</f>
        <v>unit</v>
      </c>
      <c r="F78" t="s">
        <v>84</v>
      </c>
      <c r="G78" t="s">
        <v>85</v>
      </c>
      <c r="H78" t="str">
        <f>B48</f>
        <v>Motorbike, electric, 11-35kW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2.4299999999999997</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19</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760</v>
      </c>
      <c r="B83" s="11">
        <f>INDEX('vehicles specifications'!$B$3:$CW$166,MATCH(B51,'vehicles specifications'!$A$3:$A$166,0),MATCH(G83,'vehicles specifications'!$B$2:$CW$2,0))*INDEX('ei names mapping'!$B$137:$BL$300,MATCH(B51,'ei names mapping'!$A$137:$A$300,0),MATCH(G83,'ei names mapping'!$B$136:$BL$136,0))</f>
        <v>64</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19.200000000000003</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78.569999999999993</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32</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-83.2</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166.03666666666666</v>
      </c>
      <c r="C89" t="s">
        <v>92</v>
      </c>
      <c r="D89" t="s">
        <v>233</v>
      </c>
      <c r="F89" t="s">
        <v>89</v>
      </c>
      <c r="H89" s="13" t="s">
        <v>841</v>
      </c>
    </row>
    <row r="90" spans="1:8" x14ac:dyDescent="0.2">
      <c r="A90" s="13" t="s">
        <v>441</v>
      </c>
      <c r="B90" s="2">
        <f>(B61/1000)*B73</f>
        <v>2639.9830000000002</v>
      </c>
      <c r="C90" t="s">
        <v>95</v>
      </c>
      <c r="D90" t="s">
        <v>233</v>
      </c>
      <c r="F90" t="s">
        <v>89</v>
      </c>
      <c r="H90" s="13" t="s">
        <v>441</v>
      </c>
    </row>
    <row r="92" spans="1:8" ht="16" x14ac:dyDescent="0.2">
      <c r="A92" s="10" t="s">
        <v>71</v>
      </c>
      <c r="B92" s="8" t="str">
        <f>B94&amp;", "&amp;B109&amp;" battery, "&amp;B96</f>
        <v>Motorbike, electric, 11-35kW, NCA battery, 2040</v>
      </c>
    </row>
    <row r="93" spans="1:8" x14ac:dyDescent="0.2">
      <c r="A93" t="s">
        <v>72</v>
      </c>
      <c r="B93" t="s">
        <v>37</v>
      </c>
    </row>
    <row r="94" spans="1:8" x14ac:dyDescent="0.2">
      <c r="A94" t="s">
        <v>86</v>
      </c>
      <c r="B94" t="s">
        <v>494</v>
      </c>
    </row>
    <row r="95" spans="1:8" x14ac:dyDescent="0.2">
      <c r="A95" t="s">
        <v>87</v>
      </c>
    </row>
    <row r="96" spans="1:8" x14ac:dyDescent="0.2">
      <c r="A96" t="s">
        <v>88</v>
      </c>
      <c r="B96">
        <v>2040</v>
      </c>
    </row>
    <row r="97" spans="1:2" x14ac:dyDescent="0.2">
      <c r="A97" t="s">
        <v>126</v>
      </c>
      <c r="B97" t="str">
        <f>B94&amp;" - "&amp;B96&amp;" - "&amp;B109&amp;" - "&amp;B93</f>
        <v>Motorbike, electric, 11-35kW - 2040 - NCA - CH</v>
      </c>
    </row>
    <row r="98" spans="1:2" x14ac:dyDescent="0.2">
      <c r="A98" t="s">
        <v>73</v>
      </c>
      <c r="B98" t="str">
        <f>B94</f>
        <v>Motorbike, electric, 11-35kW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38500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1.54</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2405</v>
      </c>
    </row>
    <row r="107" spans="1:2" x14ac:dyDescent="0.2">
      <c r="A107" t="s">
        <v>132</v>
      </c>
      <c r="B107" s="2">
        <f>INDEX('vehicles specifications'!$B$3:$CW$166,MATCH(B97,'vehicles specifications'!$A$3:$A$166,0),MATCH("Curb mass [kg]",'vehicles specifications'!$B$2:$CW$2,0))</f>
        <v>166.8</v>
      </c>
    </row>
    <row r="108" spans="1:2" x14ac:dyDescent="0.2">
      <c r="A108" t="s">
        <v>133</v>
      </c>
      <c r="B108">
        <f>INDEX('vehicles specifications'!$B$3:$CW$166,MATCH(B97,'vehicles specifications'!$A$3:$A$166,0),MATCH("Power [kW]",'vehicles specifications'!$B$2:$CW$2,0))</f>
        <v>14</v>
      </c>
    </row>
    <row r="109" spans="1:2" x14ac:dyDescent="0.2">
      <c r="A109" t="s">
        <v>652</v>
      </c>
      <c r="B109" s="20" t="s">
        <v>45</v>
      </c>
    </row>
    <row r="110" spans="1:2" x14ac:dyDescent="0.2">
      <c r="A110" t="s">
        <v>134</v>
      </c>
      <c r="B110">
        <f>INDEX('vehicles specifications'!$B$3:$CW$166,MATCH(B97,'vehicles specifications'!$A$3:$A$166,0),MATCH("Energy battery mass [kg]",'vehicles specifications'!$B$2:$CW$2,0))</f>
        <v>57.85</v>
      </c>
    </row>
    <row r="111" spans="1:2" x14ac:dyDescent="0.2">
      <c r="A111" t="s">
        <v>135</v>
      </c>
      <c r="B111">
        <f>INDEX('vehicles specifications'!$B$3:$CW$166,MATCH(B97,'vehicles specifications'!$A$3:$A$166,0),MATCH("Electric energy stored [kWh]",'vehicles specifications'!$B$2:$CW$2,0))</f>
        <v>17.8</v>
      </c>
    </row>
    <row r="112" spans="1:2" x14ac:dyDescent="0.2">
      <c r="A112" t="s">
        <v>588</v>
      </c>
      <c r="B112">
        <f>INDEX('vehicles specifications'!$B$3:$CW$166,MATCH(B97,'vehicles specifications'!$A$3:$A$166,0),MATCH("Electric energy available [kWh]",'vehicles specifications'!$B$2:$CW$2,0))</f>
        <v>14.240000000000002</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208.08927648351653</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11-35kW, NCA battery, 2040</v>
      </c>
      <c r="B124">
        <v>1</v>
      </c>
      <c r="C124" t="str">
        <f>B93</f>
        <v>CH</v>
      </c>
      <c r="D124" t="str">
        <f>B100</f>
        <v>unit</v>
      </c>
      <c r="F124" t="s">
        <v>84</v>
      </c>
      <c r="G124" t="s">
        <v>85</v>
      </c>
      <c r="H124" t="str">
        <f>B94</f>
        <v>Motorbike, electric, 11-35kW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4.05</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19</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760</v>
      </c>
      <c r="B129" s="11">
        <f>INDEX('vehicles specifications'!$B$3:$CW$166,MATCH(B97,'vehicles specifications'!$A$3:$A$166,0),MATCH(G129,'vehicles specifications'!$B$2:$CW$2,0))*INDEX('ei names mapping'!$B$137:$BL$300,MATCH(B97,'ei names mapping'!$A$137:$A$300,0),MATCH(G129,'ei names mapping'!$B$136:$BL$136,0))</f>
        <v>55.625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16.6875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76.95</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32</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-72.3125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166.8</v>
      </c>
      <c r="C135" t="s">
        <v>92</v>
      </c>
      <c r="D135" t="s">
        <v>233</v>
      </c>
      <c r="F135" t="s">
        <v>89</v>
      </c>
      <c r="H135" s="13" t="s">
        <v>841</v>
      </c>
    </row>
    <row r="136" spans="1:8" x14ac:dyDescent="0.2">
      <c r="A136" s="13" t="s">
        <v>441</v>
      </c>
      <c r="B136" s="2">
        <f>(B107/1000)*B119</f>
        <v>2652.12</v>
      </c>
      <c r="C136" t="s">
        <v>95</v>
      </c>
      <c r="D136" t="s">
        <v>233</v>
      </c>
      <c r="F136" t="s">
        <v>89</v>
      </c>
      <c r="H136" s="13" t="s">
        <v>441</v>
      </c>
    </row>
    <row r="138" spans="1:8" ht="16" x14ac:dyDescent="0.2">
      <c r="A138" s="10" t="s">
        <v>71</v>
      </c>
      <c r="B138" s="8" t="str">
        <f>B140&amp;", "&amp;B155&amp;" battery, "&amp;B142</f>
        <v>Motorbike, electric, 11-35kW, NCA battery, 2050</v>
      </c>
    </row>
    <row r="139" spans="1:8" x14ac:dyDescent="0.2">
      <c r="A139" t="s">
        <v>72</v>
      </c>
      <c r="B139" t="s">
        <v>37</v>
      </c>
    </row>
    <row r="140" spans="1:8" x14ac:dyDescent="0.2">
      <c r="A140" t="s">
        <v>86</v>
      </c>
      <c r="B140" t="s">
        <v>494</v>
      </c>
    </row>
    <row r="141" spans="1:8" x14ac:dyDescent="0.2">
      <c r="A141" t="s">
        <v>87</v>
      </c>
    </row>
    <row r="142" spans="1:8" x14ac:dyDescent="0.2">
      <c r="A142" t="s">
        <v>88</v>
      </c>
      <c r="B142">
        <v>2050</v>
      </c>
    </row>
    <row r="143" spans="1:8" x14ac:dyDescent="0.2">
      <c r="A143" t="s">
        <v>126</v>
      </c>
      <c r="B143" t="str">
        <f>B140&amp;" - "&amp;B142&amp;" - "&amp;B155&amp;" - "&amp;B139</f>
        <v>Motorbike, electric, 11-35kW - 2050 - NCA - CH</v>
      </c>
    </row>
    <row r="144" spans="1:8" x14ac:dyDescent="0.2">
      <c r="A144" t="s">
        <v>73</v>
      </c>
      <c r="B144" t="str">
        <f>B140</f>
        <v>Motorbike, electric, 11-35kW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38500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1.54</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2405</v>
      </c>
    </row>
    <row r="153" spans="1:2" x14ac:dyDescent="0.2">
      <c r="A153" t="s">
        <v>132</v>
      </c>
      <c r="B153" s="2">
        <f>INDEX('vehicles specifications'!$B$3:$CW$166,MATCH(B143,'vehicles specifications'!$A$3:$A$166,0),MATCH("Curb mass [kg]",'vehicles specifications'!$B$2:$CW$2,0))</f>
        <v>166.61</v>
      </c>
    </row>
    <row r="154" spans="1:2" x14ac:dyDescent="0.2">
      <c r="A154" t="s">
        <v>133</v>
      </c>
      <c r="B154">
        <f>INDEX('vehicles specifications'!$B$3:$CW$166,MATCH(B143,'vehicles specifications'!$A$3:$A$166,0),MATCH("Power [kW]",'vehicles specifications'!$B$2:$CW$2,0))</f>
        <v>14</v>
      </c>
    </row>
    <row r="155" spans="1:2" x14ac:dyDescent="0.2">
      <c r="A155" t="s">
        <v>652</v>
      </c>
      <c r="B155" s="20" t="s">
        <v>45</v>
      </c>
    </row>
    <row r="156" spans="1:2" x14ac:dyDescent="0.2">
      <c r="A156" t="s">
        <v>134</v>
      </c>
      <c r="B156">
        <f>INDEX('vehicles specifications'!$B$3:$CW$166,MATCH(B143,'vehicles specifications'!$A$3:$A$166,0),MATCH("Energy battery mass [kg]",'vehicles specifications'!$B$2:$CW$2,0))</f>
        <v>59.28</v>
      </c>
    </row>
    <row r="157" spans="1:2" x14ac:dyDescent="0.2">
      <c r="A157" t="s">
        <v>135</v>
      </c>
      <c r="B157">
        <f>INDEX('vehicles specifications'!$B$3:$CW$166,MATCH(B143,'vehicles specifications'!$A$3:$A$166,0),MATCH("Electric energy stored [kWh]",'vehicles specifications'!$B$2:$CW$2,0))</f>
        <v>22.8</v>
      </c>
    </row>
    <row r="158" spans="1:2" x14ac:dyDescent="0.2">
      <c r="A158" t="s">
        <v>588</v>
      </c>
      <c r="B158">
        <f>INDEX('vehicles specifications'!$B$3:$CW$166,MATCH(B143,'vehicles specifications'!$A$3:$A$166,0),MATCH("Electric energy available [kWh]",'vehicles specifications'!$B$2:$CW$2,0))</f>
        <v>18.240000000000002</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266.54132043956048</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11-35kW, NCA battery, 2050</v>
      </c>
      <c r="B170">
        <v>1</v>
      </c>
      <c r="C170" t="str">
        <f>B139</f>
        <v>CH</v>
      </c>
      <c r="D170" t="str">
        <f>B146</f>
        <v>unit</v>
      </c>
      <c r="F170" t="s">
        <v>84</v>
      </c>
      <c r="G170" t="s">
        <v>85</v>
      </c>
      <c r="H170" t="str">
        <f>B140</f>
        <v>Motorbike, electric, 11-35kW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5.6700000000000008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19</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760</v>
      </c>
      <c r="B175" s="11">
        <f>INDEX('vehicles specifications'!$B$3:$CW$166,MATCH(B143,'vehicles specifications'!$A$3:$A$166,0),MATCH(G175,'vehicles specifications'!$B$2:$CW$2,0))*INDEX('ei names mapping'!$B$137:$BL$300,MATCH(B143,'ei names mapping'!$A$137:$A$300,0),MATCH(G175,'ei names mapping'!$B$136:$BL$136,0))</f>
        <v>45.6</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13.68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75.33</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32</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-59.28</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166.61</v>
      </c>
      <c r="C181" t="s">
        <v>92</v>
      </c>
      <c r="D181" t="s">
        <v>233</v>
      </c>
      <c r="F181" t="s">
        <v>89</v>
      </c>
      <c r="H181" s="13" t="s">
        <v>841</v>
      </c>
    </row>
    <row r="182" spans="1:8" x14ac:dyDescent="0.2">
      <c r="A182" s="13" t="s">
        <v>441</v>
      </c>
      <c r="B182" s="2">
        <f>(B153/1000)*B165</f>
        <v>2649.0990000000002</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11-35kW, NCA battery, 2020</v>
      </c>
    </row>
    <row r="185" spans="1:8" x14ac:dyDescent="0.2">
      <c r="A185" t="s">
        <v>72</v>
      </c>
      <c r="B185" t="s">
        <v>37</v>
      </c>
    </row>
    <row r="186" spans="1:8" x14ac:dyDescent="0.2">
      <c r="A186" t="s">
        <v>86</v>
      </c>
      <c r="B186" t="s">
        <v>494</v>
      </c>
    </row>
    <row r="187" spans="1:8" x14ac:dyDescent="0.2">
      <c r="A187" t="s">
        <v>87</v>
      </c>
    </row>
    <row r="188" spans="1:8" x14ac:dyDescent="0.2">
      <c r="A188" t="s">
        <v>88</v>
      </c>
      <c r="B188">
        <v>2020</v>
      </c>
    </row>
    <row r="189" spans="1:8" x14ac:dyDescent="0.2">
      <c r="A189" t="s">
        <v>126</v>
      </c>
      <c r="B189" t="str">
        <f>B186&amp;" - "&amp;B188&amp;" - "&amp;B201&amp;" - "&amp;B185</f>
        <v>Motorbike, electric, 11-35kW - 2020 - NCA - CH</v>
      </c>
    </row>
    <row r="190" spans="1:8" x14ac:dyDescent="0.2">
      <c r="A190" t="s">
        <v>73</v>
      </c>
      <c r="B190" t="str">
        <f>"transport, "&amp;B186</f>
        <v>transport, Motorbike, electric, 11-35kW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38500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1.54</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2405</v>
      </c>
    </row>
    <row r="199" spans="1:2" x14ac:dyDescent="0.2">
      <c r="A199" t="s">
        <v>132</v>
      </c>
      <c r="B199" s="2">
        <f>INDEX('vehicles specifications'!$B$3:$CW$166,MATCH(B189,'vehicles specifications'!$A$3:$A$166,0),MATCH("Curb mass [kg]",'vehicles specifications'!$B$2:$CW$2,0))</f>
        <v>158.78260869565216</v>
      </c>
    </row>
    <row r="200" spans="1:2" x14ac:dyDescent="0.2">
      <c r="A200" t="s">
        <v>133</v>
      </c>
      <c r="B200">
        <f>INDEX('vehicles specifications'!$B$3:$CW$166,MATCH(B189,'vehicles specifications'!$A$3:$A$166,0),MATCH("Power [kW]",'vehicles specifications'!$B$2:$CW$2,0))</f>
        <v>14</v>
      </c>
    </row>
    <row r="201" spans="1:2" x14ac:dyDescent="0.2">
      <c r="A201" t="s">
        <v>652</v>
      </c>
      <c r="B201" s="20" t="s">
        <v>45</v>
      </c>
    </row>
    <row r="202" spans="1:2" x14ac:dyDescent="0.2">
      <c r="A202" t="s">
        <v>134</v>
      </c>
      <c r="B202">
        <f>INDEX('vehicles specifications'!$B$3:$CW$166,MATCH(B189,'vehicles specifications'!$A$3:$A$166,0),MATCH("Energy battery mass [kg]",'vehicles specifications'!$B$2:$CW$2,0))</f>
        <v>45.782608695652165</v>
      </c>
    </row>
    <row r="203" spans="1:2" x14ac:dyDescent="0.2">
      <c r="A203" t="s">
        <v>135</v>
      </c>
      <c r="B203">
        <f>INDEX('vehicles specifications'!$B$3:$CW$166,MATCH(B189,'vehicles specifications'!$A$3:$A$166,0),MATCH("Electric energy stored [kWh]",'vehicles specifications'!$B$2:$CW$2,0))</f>
        <v>8.1</v>
      </c>
    </row>
    <row r="204" spans="1:2" x14ac:dyDescent="0.2">
      <c r="A204" t="s">
        <v>588</v>
      </c>
      <c r="B204">
        <f>INDEX('vehicles specifications'!$B$3:$CW$166,MATCH(B189,'vehicles specifications'!$A$3:$A$166,0),MATCH("Electric energy available [kWh]",'vehicles specifications'!$B$2:$CW$2,0))</f>
        <v>6.48</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94.692311208791224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14 kW. Lifetime: 38500 km. Annual kilometers: 2405 km. Number of passengers: 1.1. Curb mass: 158.8 kg. Lightweighting of glider: 0%. Emission standard: None. Service visits throughout lifetime: 1.5. Range: 95 km. Battery capacity: 8.1 kWh. Available battery capacity: 6.48 kWh. Battery mass: 45.8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11-35kW, NCA battery, 2020</v>
      </c>
      <c r="B213">
        <v>1</v>
      </c>
      <c r="C213" t="str">
        <f>B185</f>
        <v>CH</v>
      </c>
      <c r="D213" t="s">
        <v>166</v>
      </c>
      <c r="F213" t="s">
        <v>84</v>
      </c>
      <c r="G213" t="s">
        <v>85</v>
      </c>
      <c r="H213" t="str">
        <f>B190</f>
        <v>transport, Motorbike, electric, 11-35kW</v>
      </c>
    </row>
    <row r="214" spans="1:8" x14ac:dyDescent="0.2">
      <c r="A214" t="str">
        <f>RIGHT(A213,LEN(A213)-11)</f>
        <v>Motorbike, electric, 11-35kW, NCA battery, 2020</v>
      </c>
      <c r="B214" s="7">
        <f>1/B194</f>
        <v>2.5974025974025975E-5</v>
      </c>
      <c r="C214" t="str">
        <f>B185</f>
        <v>CH</v>
      </c>
      <c r="D214" t="s">
        <v>76</v>
      </c>
      <c r="F214" t="s">
        <v>89</v>
      </c>
      <c r="H214" t="str">
        <f>RIGHT(H213,LEN(H213)-11)</f>
        <v>Motorbike, electric, 11-35kW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1.3279076086956522E-4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7.5275383069731625E-2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-8.6231900713164964E-6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-5.7036378145694137E-6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-3.1700419328860428E-6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11-35kW, NCA battery, 2030</v>
      </c>
    </row>
    <row r="224" spans="1:8" x14ac:dyDescent="0.2">
      <c r="A224" t="s">
        <v>72</v>
      </c>
      <c r="B224" t="s">
        <v>37</v>
      </c>
    </row>
    <row r="225" spans="1:2" x14ac:dyDescent="0.2">
      <c r="A225" t="s">
        <v>86</v>
      </c>
      <c r="B225" t="s">
        <v>494</v>
      </c>
    </row>
    <row r="226" spans="1:2" x14ac:dyDescent="0.2">
      <c r="A226" t="s">
        <v>87</v>
      </c>
    </row>
    <row r="227" spans="1:2" x14ac:dyDescent="0.2">
      <c r="A227" t="s">
        <v>88</v>
      </c>
      <c r="B227">
        <v>2030</v>
      </c>
    </row>
    <row r="228" spans="1:2" x14ac:dyDescent="0.2">
      <c r="A228" t="s">
        <v>126</v>
      </c>
      <c r="B228" t="str">
        <f>B225&amp;" - "&amp;B227&amp;" - "&amp;B240&amp;" - "&amp;B224</f>
        <v>Motorbike, electric, 11-35kW - 2030 - NCA - CH</v>
      </c>
    </row>
    <row r="229" spans="1:2" x14ac:dyDescent="0.2">
      <c r="A229" t="s">
        <v>73</v>
      </c>
      <c r="B229" t="str">
        <f>"transport, "&amp;B225</f>
        <v>transport, Motorbike, electric, 11-35kW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38500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1.54</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2405</v>
      </c>
    </row>
    <row r="238" spans="1:2" x14ac:dyDescent="0.2">
      <c r="A238" t="s">
        <v>132</v>
      </c>
      <c r="B238" s="2">
        <f>INDEX('vehicles specifications'!$B$3:$CW$166,MATCH(B228,'vehicles specifications'!$A$3:$A$166,0),MATCH("Curb mass [kg]",'vehicles specifications'!$B$2:$CW$2,0))</f>
        <v>166.03666666666666</v>
      </c>
    </row>
    <row r="239" spans="1:2" x14ac:dyDescent="0.2">
      <c r="A239" t="s">
        <v>133</v>
      </c>
      <c r="B239">
        <f>INDEX('vehicles specifications'!$B$3:$CW$166,MATCH(B228,'vehicles specifications'!$A$3:$A$166,0),MATCH("Power [kW]",'vehicles specifications'!$B$2:$CW$2,0))</f>
        <v>14</v>
      </c>
    </row>
    <row r="240" spans="1:2" x14ac:dyDescent="0.2">
      <c r="A240" t="s">
        <v>652</v>
      </c>
      <c r="B240" s="20" t="s">
        <v>45</v>
      </c>
    </row>
    <row r="241" spans="1:8" x14ac:dyDescent="0.2">
      <c r="A241" t="s">
        <v>134</v>
      </c>
      <c r="B241">
        <f>INDEX('vehicles specifications'!$B$3:$CW$166,MATCH(B228,'vehicles specifications'!$A$3:$A$166,0),MATCH("Energy battery mass [kg]",'vehicles specifications'!$B$2:$CW$2,0))</f>
        <v>55.466666666666669</v>
      </c>
    </row>
    <row r="242" spans="1:8" x14ac:dyDescent="0.2">
      <c r="A242" t="s">
        <v>135</v>
      </c>
      <c r="B242">
        <f>INDEX('vehicles specifications'!$B$3:$CW$166,MATCH(B228,'vehicles specifications'!$A$3:$A$166,0),MATCH("Electric energy stored [kWh]",'vehicles specifications'!$B$2:$CW$2,0))</f>
        <v>12.8</v>
      </c>
    </row>
    <row r="243" spans="1:8" x14ac:dyDescent="0.2">
      <c r="A243" t="s">
        <v>588</v>
      </c>
      <c r="B243">
        <f>INDEX('vehicles specifications'!$B$3:$CW$166,MATCH(B228,'vehicles specifications'!$A$3:$A$166,0),MATCH("Electric energy available [kWh]",'vehicles specifications'!$B$2:$CW$2,0))</f>
        <v>10.240000000000002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149.63723252747255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14 kW. Lifetime: 38500 km. Annual kilometers: 2405 km. Number of passengers: 1.1. Curb mass: 166 kg. Lightweighting of glider: 3%. Emission standard: None. Service visits throughout lifetime: 1.5. Range: 150 km. Battery capacity: 12.8 kWh. Available battery capacity: 10.24 kWh. Battery mass: 55.5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11-35kW, NCA battery, 2030</v>
      </c>
      <c r="B252">
        <v>1</v>
      </c>
      <c r="C252" t="str">
        <f>B224</f>
        <v>CH</v>
      </c>
      <c r="D252" t="s">
        <v>166</v>
      </c>
      <c r="F252" t="s">
        <v>84</v>
      </c>
      <c r="G252" t="s">
        <v>85</v>
      </c>
      <c r="H252" t="str">
        <f>B229</f>
        <v>transport, Motorbike, electric, 11-35kW</v>
      </c>
    </row>
    <row r="253" spans="1:8" x14ac:dyDescent="0.2">
      <c r="A253" t="str">
        <f>RIGHT(A252,LEN(A252)-11)</f>
        <v>Motorbike, electric, 11-35kW, NCA battery, 2030</v>
      </c>
      <c r="B253" s="7">
        <f>1/B233</f>
        <v>2.5974025974025975E-5</v>
      </c>
      <c r="C253" t="str">
        <f>B224</f>
        <v>CH</v>
      </c>
      <c r="D253" t="s">
        <v>76</v>
      </c>
      <c r="F253" t="s">
        <v>89</v>
      </c>
      <c r="H253" t="str">
        <f>RIGHT(H252,LEN(H252)-11)</f>
        <v>Motorbike, electric, 11-35kW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7.5275383069731625E-2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1.3668618999999998E-4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-8.8240366405718536E-6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-5.7903454773815019E-6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-3.2295454524199181E-6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11-35kW, NCA battery, 2040</v>
      </c>
    </row>
    <row r="263" spans="1:8" x14ac:dyDescent="0.2">
      <c r="A263" t="s">
        <v>72</v>
      </c>
      <c r="B263" t="s">
        <v>37</v>
      </c>
    </row>
    <row r="264" spans="1:8" x14ac:dyDescent="0.2">
      <c r="A264" t="s">
        <v>86</v>
      </c>
      <c r="B264" t="s">
        <v>494</v>
      </c>
    </row>
    <row r="265" spans="1:8" x14ac:dyDescent="0.2">
      <c r="A265" t="s">
        <v>87</v>
      </c>
    </row>
    <row r="266" spans="1:8" x14ac:dyDescent="0.2">
      <c r="A266" t="s">
        <v>88</v>
      </c>
      <c r="B266">
        <v>2040</v>
      </c>
    </row>
    <row r="267" spans="1:8" x14ac:dyDescent="0.2">
      <c r="A267" t="s">
        <v>126</v>
      </c>
      <c r="B267" t="str">
        <f>B264&amp;" - "&amp;B266&amp;" - "&amp;B279&amp;" - "&amp;B263</f>
        <v>Motorbike, electric, 11-35kW - 2040 - NCA - CH</v>
      </c>
    </row>
    <row r="268" spans="1:8" x14ac:dyDescent="0.2">
      <c r="A268" t="s">
        <v>73</v>
      </c>
      <c r="B268" t="str">
        <f>"transport, "&amp;B264</f>
        <v>transport, Motorbike, electric, 11-35kW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38500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1.54</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2405</v>
      </c>
    </row>
    <row r="277" spans="1:2" x14ac:dyDescent="0.2">
      <c r="A277" t="s">
        <v>132</v>
      </c>
      <c r="B277" s="2">
        <f>INDEX('vehicles specifications'!$B$3:$CW$166,MATCH(B267,'vehicles specifications'!$A$3:$A$166,0),MATCH("Curb mass [kg]",'vehicles specifications'!$B$2:$CW$2,0))</f>
        <v>166.8</v>
      </c>
    </row>
    <row r="278" spans="1:2" x14ac:dyDescent="0.2">
      <c r="A278" t="s">
        <v>133</v>
      </c>
      <c r="B278">
        <f>INDEX('vehicles specifications'!$B$3:$CW$166,MATCH(B267,'vehicles specifications'!$A$3:$A$166,0),MATCH("Power [kW]",'vehicles specifications'!$B$2:$CW$2,0))</f>
        <v>14</v>
      </c>
    </row>
    <row r="279" spans="1:2" x14ac:dyDescent="0.2">
      <c r="A279" t="s">
        <v>652</v>
      </c>
      <c r="B279" s="20" t="s">
        <v>45</v>
      </c>
    </row>
    <row r="280" spans="1:2" x14ac:dyDescent="0.2">
      <c r="A280" t="s">
        <v>134</v>
      </c>
      <c r="B280">
        <f>INDEX('vehicles specifications'!$B$3:$CW$166,MATCH(B267,'vehicles specifications'!$A$3:$A$166,0),MATCH("Energy battery mass [kg]",'vehicles specifications'!$B$2:$CW$2,0))</f>
        <v>57.85</v>
      </c>
    </row>
    <row r="281" spans="1:2" x14ac:dyDescent="0.2">
      <c r="A281" t="s">
        <v>135</v>
      </c>
      <c r="B281">
        <f>INDEX('vehicles specifications'!$B$3:$CW$166,MATCH(B267,'vehicles specifications'!$A$3:$A$166,0),MATCH("Electric energy stored [kWh]",'vehicles specifications'!$B$2:$CW$2,0))</f>
        <v>17.8</v>
      </c>
    </row>
    <row r="282" spans="1:2" x14ac:dyDescent="0.2">
      <c r="A282" t="s">
        <v>588</v>
      </c>
      <c r="B282">
        <f>INDEX('vehicles specifications'!$B$3:$CW$166,MATCH(B267,'vehicles specifications'!$A$3:$A$166,0),MATCH("Electric energy available [kWh]",'vehicles specifications'!$B$2:$CW$2,0))</f>
        <v>14.240000000000002</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208.08927648351653</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14 kW. Lifetime: 38500 km. Annual kilometers: 2405 km. Number of passengers: 1.1. Curb mass: 166.8 kg. Lightweighting of glider: 5%. Emission standard: None. Service visits throughout lifetime: 1.5. Range: 208 km. Battery capacity: 17.8 kWh. Available battery capacity: 14.24 kWh. Battery mass: 57.9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11-35kW, NCA battery, 2040</v>
      </c>
      <c r="B291">
        <v>1</v>
      </c>
      <c r="C291" t="str">
        <f>B263</f>
        <v>CH</v>
      </c>
      <c r="D291" t="s">
        <v>166</v>
      </c>
      <c r="F291" t="s">
        <v>84</v>
      </c>
      <c r="G291" t="s">
        <v>85</v>
      </c>
      <c r="H291" t="str">
        <f>B268</f>
        <v>transport, Motorbike, electric, 11-35kW</v>
      </c>
    </row>
    <row r="292" spans="1:8" x14ac:dyDescent="0.2">
      <c r="A292" t="str">
        <f>RIGHT(A291,LEN(A291)-11)</f>
        <v>Motorbike, electric, 11-35kW, NCA battery, 2040</v>
      </c>
      <c r="B292" s="7">
        <f>1/B272</f>
        <v>2.5974025974025975E-5</v>
      </c>
      <c r="C292" t="str">
        <f>B263</f>
        <v>CH</v>
      </c>
      <c r="D292" t="s">
        <v>76</v>
      </c>
      <c r="F292" t="s">
        <v>89</v>
      </c>
      <c r="H292" t="str">
        <f>RIGHT(H291,LEN(H291)-11)</f>
        <v>Motorbike, electric, 11-35kW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7.5275383069731625E-2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1.370961E-4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-8.845109296756298E-6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-5.7993671866676433E-6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-3.2357581705559849E-6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11-35kW, NCA battery, 2050</v>
      </c>
    </row>
    <row r="302" spans="1:8" x14ac:dyDescent="0.2">
      <c r="A302" t="s">
        <v>72</v>
      </c>
      <c r="B302" t="s">
        <v>37</v>
      </c>
    </row>
    <row r="303" spans="1:8" x14ac:dyDescent="0.2">
      <c r="A303" t="s">
        <v>86</v>
      </c>
      <c r="B303" t="s">
        <v>494</v>
      </c>
    </row>
    <row r="304" spans="1:8" x14ac:dyDescent="0.2">
      <c r="A304" t="s">
        <v>87</v>
      </c>
    </row>
    <row r="305" spans="1:2" x14ac:dyDescent="0.2">
      <c r="A305" t="s">
        <v>88</v>
      </c>
      <c r="B305">
        <v>2050</v>
      </c>
    </row>
    <row r="306" spans="1:2" x14ac:dyDescent="0.2">
      <c r="A306" t="s">
        <v>126</v>
      </c>
      <c r="B306" t="str">
        <f>B303&amp;" - "&amp;B305&amp;" - "&amp;B318&amp;" - "&amp;B302</f>
        <v>Motorbike, electric, 11-35kW - 2050 - NCA - CH</v>
      </c>
    </row>
    <row r="307" spans="1:2" x14ac:dyDescent="0.2">
      <c r="A307" t="s">
        <v>73</v>
      </c>
      <c r="B307" t="str">
        <f>"transport, "&amp;B303</f>
        <v>transport, Motorbike, electric, 11-35kW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38500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1.54</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2405</v>
      </c>
    </row>
    <row r="316" spans="1:2" x14ac:dyDescent="0.2">
      <c r="A316" t="s">
        <v>132</v>
      </c>
      <c r="B316" s="2">
        <f>INDEX('vehicles specifications'!$B$3:$CW$166,MATCH(B306,'vehicles specifications'!$A$3:$A$166,0),MATCH("Curb mass [kg]",'vehicles specifications'!$B$2:$CW$2,0))</f>
        <v>166.61</v>
      </c>
    </row>
    <row r="317" spans="1:2" x14ac:dyDescent="0.2">
      <c r="A317" t="s">
        <v>133</v>
      </c>
      <c r="B317">
        <f>INDEX('vehicles specifications'!$B$3:$CW$166,MATCH(B306,'vehicles specifications'!$A$3:$A$166,0),MATCH("Power [kW]",'vehicles specifications'!$B$2:$CW$2,0))</f>
        <v>14</v>
      </c>
    </row>
    <row r="318" spans="1:2" x14ac:dyDescent="0.2">
      <c r="A318" t="s">
        <v>652</v>
      </c>
      <c r="B318" s="20" t="s">
        <v>45</v>
      </c>
    </row>
    <row r="319" spans="1:2" x14ac:dyDescent="0.2">
      <c r="A319" t="s">
        <v>134</v>
      </c>
      <c r="B319">
        <f>INDEX('vehicles specifications'!$B$3:$CW$166,MATCH(B306,'vehicles specifications'!$A$3:$A$166,0),MATCH("Energy battery mass [kg]",'vehicles specifications'!$B$2:$CW$2,0))</f>
        <v>59.28</v>
      </c>
    </row>
    <row r="320" spans="1:2" x14ac:dyDescent="0.2">
      <c r="A320" t="s">
        <v>135</v>
      </c>
      <c r="B320">
        <f>INDEX('vehicles specifications'!$B$3:$CW$166,MATCH(B306,'vehicles specifications'!$A$3:$A$166,0),MATCH("Electric energy stored [kWh]",'vehicles specifications'!$B$2:$CW$2,0))</f>
        <v>22.8</v>
      </c>
    </row>
    <row r="321" spans="1:8" x14ac:dyDescent="0.2">
      <c r="A321" t="s">
        <v>588</v>
      </c>
      <c r="B321">
        <f>INDEX('vehicles specifications'!$B$3:$CW$166,MATCH(B306,'vehicles specifications'!$A$3:$A$166,0),MATCH("Electric energy available [kWh]",'vehicles specifications'!$B$2:$CW$2,0))</f>
        <v>18.240000000000002</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266.54132043956048</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14 kW. Lifetime: 38500 km. Annual kilometers: 2405 km. Number of passengers: 1.1. Curb mass: 166.6 kg. Lightweighting of glider: 7%. Emission standard: None. Service visits throughout lifetime: 1.5. Range: 267 km. Battery capacity: 22.8 kWh. Available battery capacity: 18.24 kWh. Battery mass: 59.3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11-35kW, NCA battery, 2050</v>
      </c>
      <c r="B330">
        <v>1</v>
      </c>
      <c r="C330" t="str">
        <f>B302</f>
        <v>CH</v>
      </c>
      <c r="D330" t="s">
        <v>166</v>
      </c>
      <c r="F330" t="s">
        <v>84</v>
      </c>
      <c r="G330" t="s">
        <v>85</v>
      </c>
      <c r="H330" t="str">
        <f>B307</f>
        <v>transport, Motorbike, electric, 11-35kW</v>
      </c>
    </row>
    <row r="331" spans="1:8" x14ac:dyDescent="0.2">
      <c r="A331" t="str">
        <f>RIGHT(A330,LEN(A330)-11)</f>
        <v>Motorbike, electric, 11-35kW, NCA battery, 2050</v>
      </c>
      <c r="B331" s="7">
        <f>1/B311</f>
        <v>2.5974025974025975E-5</v>
      </c>
      <c r="C331" t="str">
        <f>B302</f>
        <v>CH</v>
      </c>
      <c r="D331" t="s">
        <v>76</v>
      </c>
      <c r="F331" t="s">
        <v>89</v>
      </c>
      <c r="H331" t="str">
        <f>RIGHT(H330,LEN(H330)-11)</f>
        <v>Motorbike, electric, 11-35kW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7.5275383069731625E-2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4.0000000000000003E-5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1.3699407E-4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-8.8398652291641006E-6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-5.7971233927756468E-6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-3.2342126254824507E-6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638"/>
  <sheetViews>
    <sheetView topLeftCell="A322" workbookViewId="0">
      <selection activeCell="A349" sqref="A34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&gt;35kW, NMC battery, 2020</v>
      </c>
    </row>
    <row r="2" spans="1:2" x14ac:dyDescent="0.2">
      <c r="A2" t="s">
        <v>72</v>
      </c>
      <c r="B2" t="s">
        <v>37</v>
      </c>
    </row>
    <row r="3" spans="1:2" x14ac:dyDescent="0.2">
      <c r="A3" t="s">
        <v>86</v>
      </c>
      <c r="B3" t="s">
        <v>495</v>
      </c>
    </row>
    <row r="4" spans="1:2" x14ac:dyDescent="0.2">
      <c r="A4" t="s">
        <v>87</v>
      </c>
    </row>
    <row r="5" spans="1:2" x14ac:dyDescent="0.2">
      <c r="A5" t="s">
        <v>88</v>
      </c>
      <c r="B5">
        <v>2020</v>
      </c>
    </row>
    <row r="6" spans="1:2" x14ac:dyDescent="0.2">
      <c r="A6" t="s">
        <v>126</v>
      </c>
      <c r="B6" t="str">
        <f>B3&amp;" - "&amp;B5&amp;" - "&amp;B18&amp;" - "&amp;B2</f>
        <v>Motorbike, electric, &gt;35kW - 2020 - NMC - CH</v>
      </c>
    </row>
    <row r="7" spans="1:2" x14ac:dyDescent="0.2">
      <c r="A7" t="s">
        <v>73</v>
      </c>
      <c r="B7" t="str">
        <f>B3</f>
        <v>Motorbike, electric, &gt;35kW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40500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1.62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2896</v>
      </c>
    </row>
    <row r="16" spans="1:2" x14ac:dyDescent="0.2">
      <c r="A16" t="s">
        <v>132</v>
      </c>
      <c r="B16" s="2">
        <f>INDEX('vehicles specifications'!$B$3:$CW$166,MATCH(B6,'vehicles specifications'!$A$3:$A$166,0),MATCH("Curb mass [kg]",'vehicles specifications'!$B$2:$CW$2,0))</f>
        <v>254.89</v>
      </c>
    </row>
    <row r="17" spans="1:8" x14ac:dyDescent="0.2">
      <c r="A17" t="s">
        <v>133</v>
      </c>
      <c r="B17">
        <f>INDEX('vehicles specifications'!$B$3:$CW$166,MATCH(B6,'vehicles specifications'!$A$3:$A$166,0),MATCH("Power [kW]",'vehicles specifications'!$B$2:$CW$2,0))</f>
        <v>49</v>
      </c>
    </row>
    <row r="18" spans="1:8" x14ac:dyDescent="0.2">
      <c r="A18" t="s">
        <v>652</v>
      </c>
      <c r="B18" s="20" t="s">
        <v>43</v>
      </c>
    </row>
    <row r="19" spans="1:8" x14ac:dyDescent="0.2">
      <c r="A19" t="s">
        <v>134</v>
      </c>
      <c r="B19">
        <f>INDEX('vehicles specifications'!$B$3:$CW$166,MATCH(B6,'vehicles specifications'!$A$3:$A$166,0),MATCH("Energy battery mass [kg]",'vehicles specifications'!$B$2:$CW$2,0))</f>
        <v>107.25</v>
      </c>
    </row>
    <row r="20" spans="1:8" x14ac:dyDescent="0.2">
      <c r="A20" t="s">
        <v>135</v>
      </c>
      <c r="B20">
        <f>INDEX('vehicles specifications'!$B$3:$CW$166,MATCH(B6,'vehicles specifications'!$A$3:$A$166,0),MATCH("Electric energy stored [kWh]",'vehicles specifications'!$B$2:$CW$2,0))</f>
        <v>16.5</v>
      </c>
    </row>
    <row r="21" spans="1:8" x14ac:dyDescent="0.2">
      <c r="A21" t="s">
        <v>588</v>
      </c>
      <c r="B21">
        <f>INDEX('vehicles specifications'!$B$3:$CW$166,MATCH(B6,'vehicles specifications'!$A$3:$A$166,0),MATCH("Electric energy available [kWh]",'vehicles specifications'!$B$2:$CW$2,0))</f>
        <v>13.200000000000001</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172.96867841767528</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&gt;35kW, NMC battery, 2020</v>
      </c>
      <c r="B33">
        <v>1</v>
      </c>
      <c r="C33" t="str">
        <f>B2</f>
        <v>CH</v>
      </c>
      <c r="D33" t="str">
        <f>B9</f>
        <v>unit</v>
      </c>
      <c r="F33" t="s">
        <v>84</v>
      </c>
      <c r="G33" t="s">
        <v>85</v>
      </c>
      <c r="H33" t="str">
        <f>B3</f>
        <v>Motorbike, electric, &gt;35kW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111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13.74</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22.900000000000002</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tr">
        <f>INDEX('ei names mapping'!$B$4:$R$33,MATCH(B3,'ei names mapping'!$A$4:$A$33,0),MATCH(G37,'ei names mapping'!$B$3:$R$3,0))</f>
        <v>Battery cell, NMC-622</v>
      </c>
      <c r="B37" s="3">
        <f>INDEX('vehicles specifications'!$B$3:$CW$166,MATCH(B6,'vehicles specifications'!$A$3:$A$166,0),MATCH(G37,'vehicles specifications'!$B$2:$CW$2,0))*INDEX('ei names mapping'!$B$137:$BL$300,MATCH(B6,'ei names mapping'!$A$137:$A$300,0),MATCH(G37,'ei names mapping'!$B$136:$BL$136,0))</f>
        <v>123.75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37.125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111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36.64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-160.875</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254.89000000000001</v>
      </c>
      <c r="C43" t="s">
        <v>92</v>
      </c>
      <c r="D43" t="s">
        <v>233</v>
      </c>
      <c r="F43" t="s">
        <v>89</v>
      </c>
      <c r="H43" s="13" t="s">
        <v>841</v>
      </c>
    </row>
    <row r="44" spans="1:8" x14ac:dyDescent="0.2">
      <c r="A44" s="13" t="s">
        <v>441</v>
      </c>
      <c r="B44" s="3">
        <f>(B16/1000)*B28</f>
        <v>4052.7510000000002</v>
      </c>
      <c r="C44" t="s">
        <v>95</v>
      </c>
      <c r="D44" t="s">
        <v>233</v>
      </c>
      <c r="F44" t="s">
        <v>89</v>
      </c>
      <c r="H44" s="13" t="s">
        <v>441</v>
      </c>
    </row>
    <row r="45" spans="1:8" x14ac:dyDescent="0.2">
      <c r="B45" s="11"/>
    </row>
    <row r="46" spans="1:8" ht="16" x14ac:dyDescent="0.2">
      <c r="A46" s="10" t="s">
        <v>71</v>
      </c>
      <c r="B46" s="8" t="str">
        <f>B48&amp;", "&amp;B63&amp;" battery, "&amp;B50</f>
        <v>Motorbike, electric, &gt;35kW, NMC battery, 2030</v>
      </c>
    </row>
    <row r="47" spans="1:8" x14ac:dyDescent="0.2">
      <c r="A47" t="s">
        <v>72</v>
      </c>
      <c r="B47" t="s">
        <v>37</v>
      </c>
    </row>
    <row r="48" spans="1:8" x14ac:dyDescent="0.2">
      <c r="A48" t="s">
        <v>86</v>
      </c>
      <c r="B48" t="s">
        <v>495</v>
      </c>
    </row>
    <row r="49" spans="1:2" x14ac:dyDescent="0.2">
      <c r="A49" t="s">
        <v>87</v>
      </c>
    </row>
    <row r="50" spans="1:2" x14ac:dyDescent="0.2">
      <c r="A50" t="s">
        <v>88</v>
      </c>
      <c r="B50">
        <v>2030</v>
      </c>
    </row>
    <row r="51" spans="1:2" x14ac:dyDescent="0.2">
      <c r="A51" t="s">
        <v>126</v>
      </c>
      <c r="B51" t="str">
        <f>B48&amp;" - "&amp;B50&amp;" - "&amp;B63&amp;" - "&amp;B47</f>
        <v>Motorbike, electric, &gt;35kW - 2030 - NMC - CH</v>
      </c>
    </row>
    <row r="52" spans="1:2" x14ac:dyDescent="0.2">
      <c r="A52" t="s">
        <v>73</v>
      </c>
      <c r="B52" t="str">
        <f>B48</f>
        <v>Motorbike, electric, &gt;35kW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40500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1.62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2896</v>
      </c>
    </row>
    <row r="61" spans="1:2" x14ac:dyDescent="0.2">
      <c r="A61" t="s">
        <v>132</v>
      </c>
      <c r="B61" s="2">
        <f>INDEX('vehicles specifications'!$B$3:$CW$166,MATCH(B51,'vehicles specifications'!$A$3:$A$166,0),MATCH("Curb mass [kg]",'vehicles specifications'!$B$2:$CW$2,0))</f>
        <v>255.24333333333334</v>
      </c>
    </row>
    <row r="62" spans="1:2" x14ac:dyDescent="0.2">
      <c r="A62" t="s">
        <v>133</v>
      </c>
      <c r="B62">
        <f>INDEX('vehicles specifications'!$B$3:$CW$166,MATCH(B51,'vehicles specifications'!$A$3:$A$166,0),MATCH("Power [kW]",'vehicles specifications'!$B$2:$CW$2,0))</f>
        <v>49</v>
      </c>
    </row>
    <row r="63" spans="1:2" x14ac:dyDescent="0.2">
      <c r="A63" t="s">
        <v>652</v>
      </c>
      <c r="B63" s="20" t="s">
        <v>43</v>
      </c>
    </row>
    <row r="64" spans="1:2" x14ac:dyDescent="0.2">
      <c r="A64" t="s">
        <v>134</v>
      </c>
      <c r="B64">
        <f>INDEX('vehicles specifications'!$B$3:$CW$166,MATCH(B51,'vehicles specifications'!$A$3:$A$166,0),MATCH("Energy battery mass [kg]",'vehicles specifications'!$B$2:$CW$2,0))</f>
        <v>110.93333333333334</v>
      </c>
    </row>
    <row r="65" spans="1:8" x14ac:dyDescent="0.2">
      <c r="A65" t="s">
        <v>135</v>
      </c>
      <c r="B65">
        <f>INDEX('vehicles specifications'!$B$3:$CW$166,MATCH(B51,'vehicles specifications'!$A$3:$A$166,0),MATCH("Electric energy stored [kWh]",'vehicles specifications'!$B$2:$CW$2,0))</f>
        <v>25.6</v>
      </c>
    </row>
    <row r="66" spans="1:8" x14ac:dyDescent="0.2">
      <c r="A66" t="s">
        <v>588</v>
      </c>
      <c r="B66">
        <f>INDEX('vehicles specifications'!$B$3:$CW$166,MATCH(B51,'vehicles specifications'!$A$3:$A$166,0),MATCH("Electric energy available [kWh]",'vehicles specifications'!$B$2:$CW$2,0))</f>
        <v>20.480000000000004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268.363525302575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&gt;35kW, NMC battery, 2030</v>
      </c>
      <c r="B78">
        <v>1</v>
      </c>
      <c r="C78" t="str">
        <f>B47</f>
        <v>CH</v>
      </c>
      <c r="D78" t="str">
        <f>B54</f>
        <v>unit</v>
      </c>
      <c r="F78" t="s">
        <v>84</v>
      </c>
      <c r="G78" t="s">
        <v>85</v>
      </c>
      <c r="H78" t="str">
        <f>B48</f>
        <v>Motorbike, electric, &gt;35kW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111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3.33</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13.74</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22.900000000000002</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tr">
        <f>INDEX('ei names mapping'!$B$4:$R$33,MATCH(B48,'ei names mapping'!$A$4:$A$33,0),MATCH(G83,'ei names mapping'!$B$3:$R$3,0))</f>
        <v>Battery cell, NMC-622</v>
      </c>
      <c r="B83" s="11">
        <f>INDEX('vehicles specifications'!$B$3:$CW$166,MATCH(B51,'vehicles specifications'!$A$3:$A$166,0),MATCH(G83,'vehicles specifications'!$B$2:$CW$2,0))*INDEX('ei names mapping'!$B$137:$BL$300,MATCH(B51,'ei names mapping'!$A$137:$A$300,0),MATCH(G83,'ei names mapping'!$B$136:$BL$136,0))</f>
        <v>106.66666666666669</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32</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107.67</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36.64</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-138.66666666666669</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255.24333333333331</v>
      </c>
      <c r="C89" t="s">
        <v>92</v>
      </c>
      <c r="D89" t="s">
        <v>233</v>
      </c>
      <c r="F89" t="s">
        <v>89</v>
      </c>
      <c r="H89" s="13" t="s">
        <v>841</v>
      </c>
    </row>
    <row r="90" spans="1:8" x14ac:dyDescent="0.2">
      <c r="A90" s="13" t="s">
        <v>441</v>
      </c>
      <c r="B90" s="2">
        <f>(B61/1000)*B73</f>
        <v>4058.3689999999997</v>
      </c>
      <c r="C90" t="s">
        <v>95</v>
      </c>
      <c r="D90" t="s">
        <v>233</v>
      </c>
      <c r="F90" t="s">
        <v>89</v>
      </c>
      <c r="H90" s="13" t="s">
        <v>441</v>
      </c>
    </row>
    <row r="92" spans="1:8" ht="16" x14ac:dyDescent="0.2">
      <c r="A92" s="10" t="s">
        <v>71</v>
      </c>
      <c r="B92" s="8" t="str">
        <f>B94&amp;", "&amp;B109&amp;" battery, "&amp;B96</f>
        <v>Motorbike, electric, &gt;35kW, NMC battery, 2040</v>
      </c>
    </row>
    <row r="93" spans="1:8" x14ac:dyDescent="0.2">
      <c r="A93" t="s">
        <v>72</v>
      </c>
      <c r="B93" t="s">
        <v>37</v>
      </c>
    </row>
    <row r="94" spans="1:8" x14ac:dyDescent="0.2">
      <c r="A94" t="s">
        <v>86</v>
      </c>
      <c r="B94" t="s">
        <v>495</v>
      </c>
    </row>
    <row r="95" spans="1:8" x14ac:dyDescent="0.2">
      <c r="A95" t="s">
        <v>87</v>
      </c>
    </row>
    <row r="96" spans="1:8" x14ac:dyDescent="0.2">
      <c r="A96" t="s">
        <v>88</v>
      </c>
      <c r="B96">
        <v>2040</v>
      </c>
    </row>
    <row r="97" spans="1:2" x14ac:dyDescent="0.2">
      <c r="A97" t="s">
        <v>126</v>
      </c>
      <c r="B97" t="str">
        <f>B94&amp;" - "&amp;B96&amp;" - "&amp;B109&amp;" - "&amp;B93</f>
        <v>Motorbike, electric, &gt;35kW - 2040 - NMC - CH</v>
      </c>
    </row>
    <row r="98" spans="1:2" x14ac:dyDescent="0.2">
      <c r="A98" t="s">
        <v>73</v>
      </c>
      <c r="B98" t="str">
        <f>B94</f>
        <v>Motorbike, electric, &gt;35kW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40500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1.62</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2896</v>
      </c>
    </row>
    <row r="107" spans="1:2" x14ac:dyDescent="0.2">
      <c r="A107" t="s">
        <v>132</v>
      </c>
      <c r="B107" s="2">
        <f>INDEX('vehicles specifications'!$B$3:$CW$166,MATCH(B97,'vehicles specifications'!$A$3:$A$166,0),MATCH("Curb mass [kg]",'vehicles specifications'!$B$2:$CW$2,0))</f>
        <v>255.83999999999997</v>
      </c>
    </row>
    <row r="108" spans="1:2" x14ac:dyDescent="0.2">
      <c r="A108" t="s">
        <v>133</v>
      </c>
      <c r="B108">
        <f>INDEX('vehicles specifications'!$B$3:$CW$166,MATCH(B97,'vehicles specifications'!$A$3:$A$166,0),MATCH("Power [kW]",'vehicles specifications'!$B$2:$CW$2,0))</f>
        <v>49</v>
      </c>
    </row>
    <row r="109" spans="1:2" x14ac:dyDescent="0.2">
      <c r="A109" t="s">
        <v>652</v>
      </c>
      <c r="B109" s="20" t="s">
        <v>43</v>
      </c>
    </row>
    <row r="110" spans="1:2" x14ac:dyDescent="0.2">
      <c r="A110" t="s">
        <v>134</v>
      </c>
      <c r="B110">
        <f>INDEX('vehicles specifications'!$B$3:$CW$166,MATCH(B97,'vehicles specifications'!$A$3:$A$166,0),MATCH("Energy battery mass [kg]",'vehicles specifications'!$B$2:$CW$2,0))</f>
        <v>113.75</v>
      </c>
    </row>
    <row r="111" spans="1:2" x14ac:dyDescent="0.2">
      <c r="A111" t="s">
        <v>135</v>
      </c>
      <c r="B111">
        <f>INDEX('vehicles specifications'!$B$3:$CW$166,MATCH(B97,'vehicles specifications'!$A$3:$A$166,0),MATCH("Electric energy stored [kWh]",'vehicles specifications'!$B$2:$CW$2,0))</f>
        <v>35</v>
      </c>
    </row>
    <row r="112" spans="1:2" x14ac:dyDescent="0.2">
      <c r="A112" t="s">
        <v>588</v>
      </c>
      <c r="B112">
        <f>INDEX('vehicles specifications'!$B$3:$CW$166,MATCH(B97,'vehicles specifications'!$A$3:$A$166,0),MATCH("Electric energy available [kWh]",'vehicles specifications'!$B$2:$CW$2,0))</f>
        <v>28</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366.90325724961417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&gt;35kW, NMC battery, 2040</v>
      </c>
      <c r="B124">
        <v>1</v>
      </c>
      <c r="C124" t="str">
        <f>B93</f>
        <v>CH</v>
      </c>
      <c r="D124" t="str">
        <f>B100</f>
        <v>unit</v>
      </c>
      <c r="F124" t="s">
        <v>84</v>
      </c>
      <c r="G124" t="s">
        <v>85</v>
      </c>
      <c r="H124" t="str">
        <f>B94</f>
        <v>Motorbike, electric, &gt;35kW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111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5.5500000000000007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13.74</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22.900000000000002</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tr">
        <f>INDEX('ei names mapping'!$B$4:$R$33,MATCH(B94,'ei names mapping'!$A$4:$A$33,0),MATCH(G129,'ei names mapping'!$B$3:$R$3,0))</f>
        <v>Battery cell, NMC-622</v>
      </c>
      <c r="B129" s="11">
        <f>INDEX('vehicles specifications'!$B$3:$CW$166,MATCH(B97,'vehicles specifications'!$A$3:$A$166,0),MATCH(G129,'vehicles specifications'!$B$2:$CW$2,0))*INDEX('ei names mapping'!$B$137:$BL$300,MATCH(B97,'ei names mapping'!$A$137:$A$300,0),MATCH(G129,'ei names mapping'!$B$136:$BL$136,0))</f>
        <v>87.5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26.25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105.44999999999999</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36.64</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-113.75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255.83999999999995</v>
      </c>
      <c r="C135" t="s">
        <v>92</v>
      </c>
      <c r="D135" t="s">
        <v>233</v>
      </c>
      <c r="F135" t="s">
        <v>89</v>
      </c>
      <c r="H135" s="13" t="s">
        <v>841</v>
      </c>
    </row>
    <row r="136" spans="1:8" x14ac:dyDescent="0.2">
      <c r="A136" s="13" t="s">
        <v>441</v>
      </c>
      <c r="B136" s="2">
        <f>(B107/1000)*B119</f>
        <v>4067.8559999999993</v>
      </c>
      <c r="C136" t="s">
        <v>95</v>
      </c>
      <c r="D136" t="s">
        <v>233</v>
      </c>
      <c r="F136" t="s">
        <v>89</v>
      </c>
      <c r="H136" s="13" t="s">
        <v>441</v>
      </c>
    </row>
    <row r="138" spans="1:8" ht="16" x14ac:dyDescent="0.2">
      <c r="A138" s="10" t="s">
        <v>71</v>
      </c>
      <c r="B138" s="8" t="str">
        <f>B140&amp;", "&amp;B155&amp;" battery, "&amp;B142</f>
        <v>Motorbike, electric, &gt;35kW, NMC battery, 2050</v>
      </c>
    </row>
    <row r="139" spans="1:8" x14ac:dyDescent="0.2">
      <c r="A139" t="s">
        <v>72</v>
      </c>
      <c r="B139" t="s">
        <v>37</v>
      </c>
    </row>
    <row r="140" spans="1:8" x14ac:dyDescent="0.2">
      <c r="A140" t="s">
        <v>86</v>
      </c>
      <c r="B140" t="s">
        <v>495</v>
      </c>
    </row>
    <row r="141" spans="1:8" x14ac:dyDescent="0.2">
      <c r="A141" t="s">
        <v>87</v>
      </c>
    </row>
    <row r="142" spans="1:8" x14ac:dyDescent="0.2">
      <c r="A142" t="s">
        <v>88</v>
      </c>
      <c r="B142">
        <v>2050</v>
      </c>
    </row>
    <row r="143" spans="1:8" x14ac:dyDescent="0.2">
      <c r="A143" t="s">
        <v>126</v>
      </c>
      <c r="B143" t="str">
        <f>B140&amp;" - "&amp;B142&amp;" - "&amp;B155&amp;" - "&amp;B139</f>
        <v>Motorbike, electric, &gt;35kW - 2050 - NMC - CH</v>
      </c>
    </row>
    <row r="144" spans="1:8" x14ac:dyDescent="0.2">
      <c r="A144" t="s">
        <v>73</v>
      </c>
      <c r="B144" t="str">
        <f>B140</f>
        <v>Motorbike, electric, &gt;35kW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40500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1.62</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2896</v>
      </c>
    </row>
    <row r="153" spans="1:2" x14ac:dyDescent="0.2">
      <c r="A153" t="s">
        <v>132</v>
      </c>
      <c r="B153" s="2">
        <f>INDEX('vehicles specifications'!$B$3:$CW$166,MATCH(B143,'vehicles specifications'!$A$3:$A$166,0),MATCH("Curb mass [kg]",'vehicles specifications'!$B$2:$CW$2,0))</f>
        <v>255.57</v>
      </c>
    </row>
    <row r="154" spans="1:2" x14ac:dyDescent="0.2">
      <c r="A154" t="s">
        <v>133</v>
      </c>
      <c r="B154">
        <f>INDEX('vehicles specifications'!$B$3:$CW$166,MATCH(B143,'vehicles specifications'!$A$3:$A$166,0),MATCH("Power [kW]",'vehicles specifications'!$B$2:$CW$2,0))</f>
        <v>49</v>
      </c>
    </row>
    <row r="155" spans="1:2" x14ac:dyDescent="0.2">
      <c r="A155" t="s">
        <v>652</v>
      </c>
      <c r="B155" s="20" t="s">
        <v>43</v>
      </c>
    </row>
    <row r="156" spans="1:2" x14ac:dyDescent="0.2">
      <c r="A156" t="s">
        <v>134</v>
      </c>
      <c r="B156">
        <f>INDEX('vehicles specifications'!$B$3:$CW$166,MATCH(B143,'vehicles specifications'!$A$3:$A$166,0),MATCH("Energy battery mass [kg]",'vehicles specifications'!$B$2:$CW$2,0))</f>
        <v>115.7</v>
      </c>
    </row>
    <row r="157" spans="1:2" x14ac:dyDescent="0.2">
      <c r="A157" t="s">
        <v>135</v>
      </c>
      <c r="B157">
        <f>INDEX('vehicles specifications'!$B$3:$CW$166,MATCH(B143,'vehicles specifications'!$A$3:$A$166,0),MATCH("Electric energy stored [kWh]",'vehicles specifications'!$B$2:$CW$2,0))</f>
        <v>44.5</v>
      </c>
    </row>
    <row r="158" spans="1:2" x14ac:dyDescent="0.2">
      <c r="A158" t="s">
        <v>588</v>
      </c>
      <c r="B158">
        <f>INDEX('vehicles specifications'!$B$3:$CW$166,MATCH(B143,'vehicles specifications'!$A$3:$A$166,0),MATCH("Electric energy available [kWh]",'vehicles specifications'!$B$2:$CW$2,0))</f>
        <v>35.6</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466.49128421736663</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&gt;35kW, NMC battery, 2050</v>
      </c>
      <c r="B170">
        <v>1</v>
      </c>
      <c r="C170" t="str">
        <f>B139</f>
        <v>CH</v>
      </c>
      <c r="D170" t="str">
        <f>B146</f>
        <v>unit</v>
      </c>
      <c r="F170" t="s">
        <v>84</v>
      </c>
      <c r="G170" t="s">
        <v>85</v>
      </c>
      <c r="H170" t="str">
        <f>B140</f>
        <v>Motorbike, electric, &gt;35kW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111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3.7100000000000004</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13.74</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22.900000000000002</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tr">
        <f>INDEX('ei names mapping'!$B$4:$R$33,MATCH(B140,'ei names mapping'!$A$4:$A$33,0),MATCH(G175,'ei names mapping'!$B$3:$R$3,0))</f>
        <v>Battery cell, NMC-622</v>
      </c>
      <c r="B175" s="11">
        <f>INDEX('vehicles specifications'!$B$3:$CW$166,MATCH(B143,'vehicles specifications'!$A$3:$A$166,0),MATCH(G175,'vehicles specifications'!$B$2:$CW$2,0))*INDEX('ei names mapping'!$B$137:$BL$300,MATCH(B143,'ei names mapping'!$A$137:$A$300,0),MATCH(G175,'ei names mapping'!$B$136:$BL$136,0))</f>
        <v>178</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53.4</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103.22999999999999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36.64</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-231.4</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255.57000000000002</v>
      </c>
      <c r="C181" t="s">
        <v>92</v>
      </c>
      <c r="D181" t="s">
        <v>233</v>
      </c>
      <c r="F181" t="s">
        <v>89</v>
      </c>
      <c r="H181" s="13" t="s">
        <v>841</v>
      </c>
    </row>
    <row r="182" spans="1:8" x14ac:dyDescent="0.2">
      <c r="A182" s="13" t="s">
        <v>441</v>
      </c>
      <c r="B182" s="2">
        <f>(B153/1000)*B165</f>
        <v>4063.5630000000001</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&gt;35kW, NMC battery, 2020</v>
      </c>
    </row>
    <row r="185" spans="1:8" x14ac:dyDescent="0.2">
      <c r="A185" t="s">
        <v>72</v>
      </c>
      <c r="B185" t="s">
        <v>37</v>
      </c>
    </row>
    <row r="186" spans="1:8" x14ac:dyDescent="0.2">
      <c r="A186" t="s">
        <v>86</v>
      </c>
      <c r="B186" t="s">
        <v>495</v>
      </c>
    </row>
    <row r="187" spans="1:8" x14ac:dyDescent="0.2">
      <c r="A187" t="s">
        <v>87</v>
      </c>
    </row>
    <row r="188" spans="1:8" x14ac:dyDescent="0.2">
      <c r="A188" t="s">
        <v>88</v>
      </c>
      <c r="B188">
        <v>2020</v>
      </c>
    </row>
    <row r="189" spans="1:8" x14ac:dyDescent="0.2">
      <c r="A189" t="s">
        <v>126</v>
      </c>
      <c r="B189" t="str">
        <f>B186&amp;" - "&amp;B188&amp;" - "&amp;B201&amp;" - "&amp;B185</f>
        <v>Motorbike, electric, &gt;35kW - 2020 - NMC - CH</v>
      </c>
    </row>
    <row r="190" spans="1:8" x14ac:dyDescent="0.2">
      <c r="A190" t="s">
        <v>73</v>
      </c>
      <c r="B190" t="str">
        <f>"transport, "&amp;B186</f>
        <v>transport, Motorbike, electric, &gt;35kW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40500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1.62</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2896</v>
      </c>
    </row>
    <row r="199" spans="1:2" x14ac:dyDescent="0.2">
      <c r="A199" t="s">
        <v>132</v>
      </c>
      <c r="B199" s="2">
        <f>INDEX('vehicles specifications'!$B$3:$CW$166,MATCH(B189,'vehicles specifications'!$A$3:$A$166,0),MATCH("Curb mass [kg]",'vehicles specifications'!$B$2:$CW$2,0))</f>
        <v>254.89</v>
      </c>
    </row>
    <row r="200" spans="1:2" x14ac:dyDescent="0.2">
      <c r="A200" t="s">
        <v>133</v>
      </c>
      <c r="B200">
        <f>INDEX('vehicles specifications'!$B$3:$CW$166,MATCH(B189,'vehicles specifications'!$A$3:$A$166,0),MATCH("Power [kW]",'vehicles specifications'!$B$2:$CW$2,0))</f>
        <v>49</v>
      </c>
    </row>
    <row r="201" spans="1:2" x14ac:dyDescent="0.2">
      <c r="A201" t="s">
        <v>652</v>
      </c>
      <c r="B201" s="20" t="s">
        <v>43</v>
      </c>
    </row>
    <row r="202" spans="1:2" x14ac:dyDescent="0.2">
      <c r="A202" t="s">
        <v>134</v>
      </c>
      <c r="B202">
        <f>INDEX('vehicles specifications'!$B$3:$CW$166,MATCH(B189,'vehicles specifications'!$A$3:$A$166,0),MATCH("Energy battery mass [kg]",'vehicles specifications'!$B$2:$CW$2,0))</f>
        <v>107.25</v>
      </c>
    </row>
    <row r="203" spans="1:2" x14ac:dyDescent="0.2">
      <c r="A203" t="s">
        <v>135</v>
      </c>
      <c r="B203">
        <f>INDEX('vehicles specifications'!$B$3:$CW$166,MATCH(B189,'vehicles specifications'!$A$3:$A$166,0),MATCH("Electric energy stored [kWh]",'vehicles specifications'!$B$2:$CW$2,0))</f>
        <v>16.5</v>
      </c>
    </row>
    <row r="204" spans="1:2" x14ac:dyDescent="0.2">
      <c r="A204" t="s">
        <v>588</v>
      </c>
      <c r="B204">
        <f>INDEX('vehicles specifications'!$B$3:$CW$166,MATCH(B189,'vehicles specifications'!$A$3:$A$166,0),MATCH("Electric energy available [kWh]",'vehicles specifications'!$B$2:$CW$2,0))</f>
        <v>13.200000000000001</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172.96867841767528</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&gt;35kW, NMC battery, 2020</v>
      </c>
      <c r="B213">
        <v>1</v>
      </c>
      <c r="C213" t="str">
        <f>B185</f>
        <v>CH</v>
      </c>
      <c r="D213" t="s">
        <v>166</v>
      </c>
      <c r="F213" t="s">
        <v>84</v>
      </c>
      <c r="G213" t="s">
        <v>85</v>
      </c>
      <c r="H213" t="str">
        <f>B190</f>
        <v>transport, Motorbike, electric, &gt;35kW</v>
      </c>
    </row>
    <row r="214" spans="1:8" x14ac:dyDescent="0.2">
      <c r="A214" t="str">
        <f>RIGHT(A213,LEN(A213)-11)</f>
        <v>Motorbike, electric, &gt;35kW, NMC battery, 2020</v>
      </c>
      <c r="B214" s="7">
        <f>1/B194</f>
        <v>2.4691358024691357E-5</v>
      </c>
      <c r="C214" t="str">
        <f>B185</f>
        <v>CH</v>
      </c>
      <c r="D214" t="s">
        <v>76</v>
      </c>
      <c r="F214" t="s">
        <v>89</v>
      </c>
      <c r="H214" t="str">
        <f>RIGHT(H213,LEN(H213)-11)</f>
        <v>Motorbike, electric, &gt;35kW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1.8440043E-4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8.3945834198593472E-2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-1.1208085716166707E-5</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-6.7357087837460445E-6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-3.9013198843598195E-6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&gt;35kW, NMC battery, 2030</v>
      </c>
    </row>
    <row r="224" spans="1:8" x14ac:dyDescent="0.2">
      <c r="A224" t="s">
        <v>72</v>
      </c>
      <c r="B224" t="s">
        <v>37</v>
      </c>
    </row>
    <row r="225" spans="1:2" x14ac:dyDescent="0.2">
      <c r="A225" t="s">
        <v>86</v>
      </c>
      <c r="B225" t="s">
        <v>495</v>
      </c>
    </row>
    <row r="226" spans="1:2" x14ac:dyDescent="0.2">
      <c r="A226" t="s">
        <v>87</v>
      </c>
    </row>
    <row r="227" spans="1:2" x14ac:dyDescent="0.2">
      <c r="A227" t="s">
        <v>88</v>
      </c>
      <c r="B227">
        <v>2030</v>
      </c>
    </row>
    <row r="228" spans="1:2" x14ac:dyDescent="0.2">
      <c r="A228" t="s">
        <v>126</v>
      </c>
      <c r="B228" t="str">
        <f>B225&amp;" - "&amp;B227&amp;" - "&amp;B240&amp;" - "&amp;B224</f>
        <v>Motorbike, electric, &gt;35kW - 2030 - NMC - CH</v>
      </c>
    </row>
    <row r="229" spans="1:2" x14ac:dyDescent="0.2">
      <c r="A229" t="s">
        <v>73</v>
      </c>
      <c r="B229" t="str">
        <f>"transport, "&amp;B225</f>
        <v>transport, Motorbike, electric, &gt;35kW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40500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1.62</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2896</v>
      </c>
    </row>
    <row r="238" spans="1:2" x14ac:dyDescent="0.2">
      <c r="A238" t="s">
        <v>132</v>
      </c>
      <c r="B238" s="2">
        <f>INDEX('vehicles specifications'!$B$3:$CW$166,MATCH(B228,'vehicles specifications'!$A$3:$A$166,0),MATCH("Curb mass [kg]",'vehicles specifications'!$B$2:$CW$2,0))</f>
        <v>255.24333333333334</v>
      </c>
    </row>
    <row r="239" spans="1:2" x14ac:dyDescent="0.2">
      <c r="A239" t="s">
        <v>133</v>
      </c>
      <c r="B239">
        <f>INDEX('vehicles specifications'!$B$3:$CW$166,MATCH(B228,'vehicles specifications'!$A$3:$A$166,0),MATCH("Power [kW]",'vehicles specifications'!$B$2:$CW$2,0))</f>
        <v>49</v>
      </c>
    </row>
    <row r="240" spans="1:2" x14ac:dyDescent="0.2">
      <c r="A240" t="s">
        <v>652</v>
      </c>
      <c r="B240" s="20" t="s">
        <v>43</v>
      </c>
    </row>
    <row r="241" spans="1:8" x14ac:dyDescent="0.2">
      <c r="A241" t="s">
        <v>134</v>
      </c>
      <c r="B241">
        <f>INDEX('vehicles specifications'!$B$3:$CW$166,MATCH(B228,'vehicles specifications'!$A$3:$A$166,0),MATCH("Energy battery mass [kg]",'vehicles specifications'!$B$2:$CW$2,0))</f>
        <v>110.93333333333334</v>
      </c>
    </row>
    <row r="242" spans="1:8" x14ac:dyDescent="0.2">
      <c r="A242" t="s">
        <v>135</v>
      </c>
      <c r="B242">
        <f>INDEX('vehicles specifications'!$B$3:$CW$166,MATCH(B228,'vehicles specifications'!$A$3:$A$166,0),MATCH("Electric energy stored [kWh]",'vehicles specifications'!$B$2:$CW$2,0))</f>
        <v>25.6</v>
      </c>
    </row>
    <row r="243" spans="1:8" x14ac:dyDescent="0.2">
      <c r="A243" t="s">
        <v>588</v>
      </c>
      <c r="B243">
        <f>INDEX('vehicles specifications'!$B$3:$CW$166,MATCH(B228,'vehicles specifications'!$A$3:$A$166,0),MATCH("Electric energy available [kWh]",'vehicles specifications'!$B$2:$CW$2,0))</f>
        <v>20.480000000000004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268.363525302575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&gt;35kW, NMC battery, 2030</v>
      </c>
      <c r="B252">
        <v>1</v>
      </c>
      <c r="C252" t="str">
        <f>B224</f>
        <v>CH</v>
      </c>
      <c r="D252" t="s">
        <v>166</v>
      </c>
      <c r="F252" t="s">
        <v>84</v>
      </c>
      <c r="G252" t="s">
        <v>85</v>
      </c>
      <c r="H252" t="str">
        <f>B229</f>
        <v>transport, Motorbike, electric, &gt;35kW</v>
      </c>
    </row>
    <row r="253" spans="1:8" x14ac:dyDescent="0.2">
      <c r="A253" t="str">
        <f>RIGHT(A252,LEN(A252)-11)</f>
        <v>Motorbike, electric, &gt;35kW, NMC battery, 2030</v>
      </c>
      <c r="B253" s="7">
        <f>1/B233</f>
        <v>2.4691358024691357E-5</v>
      </c>
      <c r="C253" t="str">
        <f>B224</f>
        <v>CH</v>
      </c>
      <c r="D253" t="s">
        <v>76</v>
      </c>
      <c r="F253" t="s">
        <v>89</v>
      </c>
      <c r="H253" t="str">
        <f>RIGHT(H252,LEN(H252)-11)</f>
        <v>Motorbike, electric, &gt;35kW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8.3945834198593472E-2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1.8459017000000002E-4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-1.1217321401111864E-5</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-6.7391199251587888E-6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-3.9038159758224493E-6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&gt;35kW, NMC battery, 2040</v>
      </c>
    </row>
    <row r="263" spans="1:8" x14ac:dyDescent="0.2">
      <c r="A263" t="s">
        <v>72</v>
      </c>
      <c r="B263" t="s">
        <v>37</v>
      </c>
    </row>
    <row r="264" spans="1:8" x14ac:dyDescent="0.2">
      <c r="A264" t="s">
        <v>86</v>
      </c>
      <c r="B264" t="s">
        <v>495</v>
      </c>
    </row>
    <row r="265" spans="1:8" x14ac:dyDescent="0.2">
      <c r="A265" t="s">
        <v>87</v>
      </c>
    </row>
    <row r="266" spans="1:8" x14ac:dyDescent="0.2">
      <c r="A266" t="s">
        <v>88</v>
      </c>
      <c r="B266">
        <v>2040</v>
      </c>
    </row>
    <row r="267" spans="1:8" x14ac:dyDescent="0.2">
      <c r="A267" t="s">
        <v>126</v>
      </c>
      <c r="B267" t="str">
        <f>B264&amp;" - "&amp;B266&amp;" - "&amp;B279&amp;" - "&amp;B263</f>
        <v>Motorbike, electric, &gt;35kW - 2040 - NMC - CH</v>
      </c>
    </row>
    <row r="268" spans="1:8" x14ac:dyDescent="0.2">
      <c r="A268" t="s">
        <v>73</v>
      </c>
      <c r="B268" t="str">
        <f>"transport, "&amp;B264</f>
        <v>transport, Motorbike, electric, &gt;35kW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40500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1.62</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2896</v>
      </c>
    </row>
    <row r="277" spans="1:2" x14ac:dyDescent="0.2">
      <c r="A277" t="s">
        <v>132</v>
      </c>
      <c r="B277" s="2">
        <f>INDEX('vehicles specifications'!$B$3:$CW$166,MATCH(B267,'vehicles specifications'!$A$3:$A$166,0),MATCH("Curb mass [kg]",'vehicles specifications'!$B$2:$CW$2,0))</f>
        <v>255.83999999999997</v>
      </c>
    </row>
    <row r="278" spans="1:2" x14ac:dyDescent="0.2">
      <c r="A278" t="s">
        <v>133</v>
      </c>
      <c r="B278">
        <f>INDEX('vehicles specifications'!$B$3:$CW$166,MATCH(B267,'vehicles specifications'!$A$3:$A$166,0),MATCH("Power [kW]",'vehicles specifications'!$B$2:$CW$2,0))</f>
        <v>49</v>
      </c>
    </row>
    <row r="279" spans="1:2" x14ac:dyDescent="0.2">
      <c r="A279" t="s">
        <v>652</v>
      </c>
      <c r="B279" s="20" t="s">
        <v>43</v>
      </c>
    </row>
    <row r="280" spans="1:2" x14ac:dyDescent="0.2">
      <c r="A280" t="s">
        <v>134</v>
      </c>
      <c r="B280">
        <f>INDEX('vehicles specifications'!$B$3:$CW$166,MATCH(B267,'vehicles specifications'!$A$3:$A$166,0),MATCH("Energy battery mass [kg]",'vehicles specifications'!$B$2:$CW$2,0))</f>
        <v>113.75</v>
      </c>
    </row>
    <row r="281" spans="1:2" x14ac:dyDescent="0.2">
      <c r="A281" t="s">
        <v>135</v>
      </c>
      <c r="B281">
        <f>INDEX('vehicles specifications'!$B$3:$CW$166,MATCH(B267,'vehicles specifications'!$A$3:$A$166,0),MATCH("Electric energy stored [kWh]",'vehicles specifications'!$B$2:$CW$2,0))</f>
        <v>35</v>
      </c>
    </row>
    <row r="282" spans="1:2" x14ac:dyDescent="0.2">
      <c r="A282" t="s">
        <v>588</v>
      </c>
      <c r="B282">
        <f>INDEX('vehicles specifications'!$B$3:$CW$166,MATCH(B267,'vehicles specifications'!$A$3:$A$166,0),MATCH("Electric energy available [kWh]",'vehicles specifications'!$B$2:$CW$2,0))</f>
        <v>28</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366.90325724961417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&gt;35kW, NMC battery, 2040</v>
      </c>
      <c r="B291">
        <v>1</v>
      </c>
      <c r="C291" t="str">
        <f>B263</f>
        <v>CH</v>
      </c>
      <c r="D291" t="s">
        <v>166</v>
      </c>
      <c r="F291" t="s">
        <v>84</v>
      </c>
      <c r="G291" t="s">
        <v>85</v>
      </c>
      <c r="H291" t="str">
        <f>B268</f>
        <v>transport, Motorbike, electric, &gt;35kW</v>
      </c>
    </row>
    <row r="292" spans="1:8" x14ac:dyDescent="0.2">
      <c r="A292" t="str">
        <f>RIGHT(A291,LEN(A291)-11)</f>
        <v>Motorbike, electric, &gt;35kW, NMC battery, 2040</v>
      </c>
      <c r="B292" s="7">
        <f>1/B272</f>
        <v>2.4691358024691357E-5</v>
      </c>
      <c r="C292" t="str">
        <f>B263</f>
        <v>CH</v>
      </c>
      <c r="D292" t="s">
        <v>76</v>
      </c>
      <c r="F292" t="s">
        <v>89</v>
      </c>
      <c r="H292" t="str">
        <f>RIGHT(H291,LEN(H291)-11)</f>
        <v>Motorbike, electric, &gt;35kW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8.3945834198593472E-2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1.8491057999999998E-4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-1.1232913612431524E-5</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-6.7448750462924897E-6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-3.908028387730268E-6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&gt;35kW, NMC battery, 2050</v>
      </c>
    </row>
    <row r="302" spans="1:8" x14ac:dyDescent="0.2">
      <c r="A302" t="s">
        <v>72</v>
      </c>
      <c r="B302" t="s">
        <v>37</v>
      </c>
    </row>
    <row r="303" spans="1:8" x14ac:dyDescent="0.2">
      <c r="A303" t="s">
        <v>86</v>
      </c>
      <c r="B303" t="s">
        <v>495</v>
      </c>
    </row>
    <row r="304" spans="1:8" x14ac:dyDescent="0.2">
      <c r="A304" t="s">
        <v>87</v>
      </c>
    </row>
    <row r="305" spans="1:2" x14ac:dyDescent="0.2">
      <c r="A305" t="s">
        <v>88</v>
      </c>
      <c r="B305">
        <v>2050</v>
      </c>
    </row>
    <row r="306" spans="1:2" x14ac:dyDescent="0.2">
      <c r="A306" t="s">
        <v>126</v>
      </c>
      <c r="B306" t="str">
        <f>B303&amp;" - "&amp;B305&amp;" - "&amp;B318&amp;" - "&amp;B302</f>
        <v>Motorbike, electric, &gt;35kW - 2050 - NMC - CH</v>
      </c>
    </row>
    <row r="307" spans="1:2" x14ac:dyDescent="0.2">
      <c r="A307" t="s">
        <v>73</v>
      </c>
      <c r="B307" t="str">
        <f>"transport, "&amp;B303</f>
        <v>transport, Motorbike, electric, &gt;35kW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40500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1.62</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2896</v>
      </c>
    </row>
    <row r="316" spans="1:2" x14ac:dyDescent="0.2">
      <c r="A316" t="s">
        <v>132</v>
      </c>
      <c r="B316" s="2">
        <f>INDEX('vehicles specifications'!$B$3:$CW$166,MATCH(B306,'vehicles specifications'!$A$3:$A$166,0),MATCH("Curb mass [kg]",'vehicles specifications'!$B$2:$CW$2,0))</f>
        <v>255.57</v>
      </c>
    </row>
    <row r="317" spans="1:2" x14ac:dyDescent="0.2">
      <c r="A317" t="s">
        <v>133</v>
      </c>
      <c r="B317">
        <f>INDEX('vehicles specifications'!$B$3:$CW$166,MATCH(B306,'vehicles specifications'!$A$3:$A$166,0),MATCH("Power [kW]",'vehicles specifications'!$B$2:$CW$2,0))</f>
        <v>49</v>
      </c>
    </row>
    <row r="318" spans="1:2" x14ac:dyDescent="0.2">
      <c r="A318" t="s">
        <v>652</v>
      </c>
      <c r="B318" s="20" t="s">
        <v>43</v>
      </c>
    </row>
    <row r="319" spans="1:2" x14ac:dyDescent="0.2">
      <c r="A319" t="s">
        <v>134</v>
      </c>
      <c r="B319">
        <f>INDEX('vehicles specifications'!$B$3:$CW$166,MATCH(B306,'vehicles specifications'!$A$3:$A$166,0),MATCH("Energy battery mass [kg]",'vehicles specifications'!$B$2:$CW$2,0))</f>
        <v>115.7</v>
      </c>
    </row>
    <row r="320" spans="1:2" x14ac:dyDescent="0.2">
      <c r="A320" t="s">
        <v>135</v>
      </c>
      <c r="B320">
        <f>INDEX('vehicles specifications'!$B$3:$CW$166,MATCH(B306,'vehicles specifications'!$A$3:$A$166,0),MATCH("Electric energy stored [kWh]",'vehicles specifications'!$B$2:$CW$2,0))</f>
        <v>44.5</v>
      </c>
    </row>
    <row r="321" spans="1:8" x14ac:dyDescent="0.2">
      <c r="A321" t="s">
        <v>588</v>
      </c>
      <c r="B321">
        <f>INDEX('vehicles specifications'!$B$3:$CW$166,MATCH(B306,'vehicles specifications'!$A$3:$A$166,0),MATCH("Electric energy available [kWh]",'vehicles specifications'!$B$2:$CW$2,0))</f>
        <v>35.6</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466.49128421736663</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&gt;35kW, NMC battery, 2050</v>
      </c>
      <c r="B330">
        <v>1</v>
      </c>
      <c r="C330" t="str">
        <f>B302</f>
        <v>CH</v>
      </c>
      <c r="D330" t="s">
        <v>166</v>
      </c>
      <c r="F330" t="s">
        <v>84</v>
      </c>
      <c r="G330" t="s">
        <v>85</v>
      </c>
      <c r="H330" t="str">
        <f>B307</f>
        <v>transport, Motorbike, electric, &gt;35kW</v>
      </c>
    </row>
    <row r="331" spans="1:8" x14ac:dyDescent="0.2">
      <c r="A331" t="str">
        <f>RIGHT(A330,LEN(A330)-11)</f>
        <v>Motorbike, electric, &gt;35kW, NMC battery, 2050</v>
      </c>
      <c r="B331" s="7">
        <f>1/B311</f>
        <v>2.4691358024691357E-5</v>
      </c>
      <c r="C331" t="str">
        <f>B302</f>
        <v>CH</v>
      </c>
      <c r="D331" t="s">
        <v>76</v>
      </c>
      <c r="F331" t="s">
        <v>89</v>
      </c>
      <c r="H331" t="str">
        <f>RIGHT(H330,LEN(H330)-11)</f>
        <v>Motorbike, electric, &gt;35kW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8.3945834198593472E-2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6.4800000000000003E-5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1.8476559000000001E-4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-1.1225858525097952E-5</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-6.7422715821401537E-6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-3.9061226299997144E-6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638"/>
  <sheetViews>
    <sheetView topLeftCell="A322" workbookViewId="0">
      <selection activeCell="A356" sqref="A35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&gt;35kW, LFP battery, 2020</v>
      </c>
    </row>
    <row r="2" spans="1:2" x14ac:dyDescent="0.2">
      <c r="A2" t="s">
        <v>72</v>
      </c>
      <c r="B2" t="s">
        <v>37</v>
      </c>
    </row>
    <row r="3" spans="1:2" x14ac:dyDescent="0.2">
      <c r="A3" t="s">
        <v>86</v>
      </c>
      <c r="B3" t="s">
        <v>495</v>
      </c>
    </row>
    <row r="4" spans="1:2" x14ac:dyDescent="0.2">
      <c r="A4" t="s">
        <v>87</v>
      </c>
    </row>
    <row r="5" spans="1:2" x14ac:dyDescent="0.2">
      <c r="A5" t="s">
        <v>88</v>
      </c>
      <c r="B5">
        <v>2020</v>
      </c>
    </row>
    <row r="6" spans="1:2" x14ac:dyDescent="0.2">
      <c r="A6" t="s">
        <v>126</v>
      </c>
      <c r="B6" t="str">
        <f>B3&amp;" - "&amp;B5&amp;" - "&amp;B18&amp;" - "&amp;B2</f>
        <v>Motorbike, electric, &gt;35kW - 2020 - LFP - CH</v>
      </c>
    </row>
    <row r="7" spans="1:2" x14ac:dyDescent="0.2">
      <c r="A7" t="s">
        <v>73</v>
      </c>
      <c r="B7" t="str">
        <f>B3</f>
        <v>Motorbike, electric, &gt;35kW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40500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1.62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2896</v>
      </c>
    </row>
    <row r="16" spans="1:2" x14ac:dyDescent="0.2">
      <c r="A16" t="s">
        <v>132</v>
      </c>
      <c r="B16" s="2">
        <f>INDEX('vehicles specifications'!$B$3:$CW$166,MATCH(B6,'vehicles specifications'!$A$3:$A$166,0),MATCH("Curb mass [kg]",'vehicles specifications'!$B$2:$CW$2,0))</f>
        <v>279.64</v>
      </c>
    </row>
    <row r="17" spans="1:8" x14ac:dyDescent="0.2">
      <c r="A17" t="s">
        <v>133</v>
      </c>
      <c r="B17">
        <f>INDEX('vehicles specifications'!$B$3:$CW$166,MATCH(B6,'vehicles specifications'!$A$3:$A$166,0),MATCH("Power [kW]",'vehicles specifications'!$B$2:$CW$2,0))</f>
        <v>49</v>
      </c>
    </row>
    <row r="18" spans="1:8" x14ac:dyDescent="0.2">
      <c r="A18" t="s">
        <v>652</v>
      </c>
      <c r="B18" s="20" t="s">
        <v>44</v>
      </c>
    </row>
    <row r="19" spans="1:8" x14ac:dyDescent="0.2">
      <c r="A19" t="s">
        <v>134</v>
      </c>
      <c r="B19">
        <f>INDEX('vehicles specifications'!$B$3:$CW$166,MATCH(B6,'vehicles specifications'!$A$3:$A$166,0),MATCH("Energy battery mass [kg]",'vehicles specifications'!$B$2:$CW$2,0))</f>
        <v>132</v>
      </c>
    </row>
    <row r="20" spans="1:8" x14ac:dyDescent="0.2">
      <c r="A20" t="s">
        <v>135</v>
      </c>
      <c r="B20">
        <f>INDEX('vehicles specifications'!$B$3:$CW$166,MATCH(B6,'vehicles specifications'!$A$3:$A$166,0),MATCH("Electric energy stored [kWh]",'vehicles specifications'!$B$2:$CW$2,0))</f>
        <v>16.5</v>
      </c>
    </row>
    <row r="21" spans="1:8" x14ac:dyDescent="0.2">
      <c r="A21" t="s">
        <v>588</v>
      </c>
      <c r="B21">
        <f>INDEX('vehicles specifications'!$B$3:$CW$166,MATCH(B6,'vehicles specifications'!$A$3:$A$166,0),MATCH("Electric energy available [kWh]",'vehicles specifications'!$B$2:$CW$2,0))</f>
        <v>13.200000000000001</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172.96867841767528</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&gt;35kW, LFP battery, 2020</v>
      </c>
      <c r="B33">
        <v>1</v>
      </c>
      <c r="C33" t="str">
        <f>B2</f>
        <v>CH</v>
      </c>
      <c r="D33" t="str">
        <f>B9</f>
        <v>unit</v>
      </c>
      <c r="F33" t="s">
        <v>84</v>
      </c>
      <c r="G33" t="s">
        <v>85</v>
      </c>
      <c r="H33" t="str">
        <f>B3</f>
        <v>Motorbike, electric, &gt;35kW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111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13.74</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22.900000000000002</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759</v>
      </c>
      <c r="B37" s="3">
        <f>INDEX('vehicles specifications'!$B$3:$CW$166,MATCH(B6,'vehicles specifications'!$A$3:$A$166,0),MATCH(G37,'vehicles specifications'!$B$2:$CW$2,0))*INDEX('ei names mapping'!$B$137:$BL$300,MATCH(B6,'ei names mapping'!$A$137:$A$300,0),MATCH(G37,'ei names mapping'!$B$136:$BL$136,0))</f>
        <v>165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33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111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36.64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-198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279.64</v>
      </c>
      <c r="C43" t="s">
        <v>92</v>
      </c>
      <c r="D43" t="s">
        <v>233</v>
      </c>
      <c r="F43" t="s">
        <v>89</v>
      </c>
      <c r="H43" s="13" t="s">
        <v>841</v>
      </c>
    </row>
    <row r="44" spans="1:8" x14ac:dyDescent="0.2">
      <c r="A44" s="13" t="s">
        <v>441</v>
      </c>
      <c r="B44" s="3">
        <f>(B16/1000)*B28</f>
        <v>4446.2759999999998</v>
      </c>
      <c r="C44" t="s">
        <v>95</v>
      </c>
      <c r="D44" t="s">
        <v>233</v>
      </c>
      <c r="F44" t="s">
        <v>89</v>
      </c>
      <c r="H44" s="13" t="s">
        <v>441</v>
      </c>
    </row>
    <row r="45" spans="1:8" x14ac:dyDescent="0.2">
      <c r="B45" s="11"/>
    </row>
    <row r="46" spans="1:8" ht="16" x14ac:dyDescent="0.2">
      <c r="A46" s="10" t="s">
        <v>71</v>
      </c>
      <c r="B46" s="8" t="str">
        <f>B48&amp;", "&amp;B63&amp;" battery, "&amp;B50</f>
        <v>Motorbike, electric, &gt;35kW, LFP battery, 2030</v>
      </c>
    </row>
    <row r="47" spans="1:8" x14ac:dyDescent="0.2">
      <c r="A47" t="s">
        <v>72</v>
      </c>
      <c r="B47" t="s">
        <v>37</v>
      </c>
    </row>
    <row r="48" spans="1:8" x14ac:dyDescent="0.2">
      <c r="A48" t="s">
        <v>86</v>
      </c>
      <c r="B48" t="s">
        <v>495</v>
      </c>
    </row>
    <row r="49" spans="1:2" x14ac:dyDescent="0.2">
      <c r="A49" t="s">
        <v>87</v>
      </c>
    </row>
    <row r="50" spans="1:2" x14ac:dyDescent="0.2">
      <c r="A50" t="s">
        <v>88</v>
      </c>
      <c r="B50">
        <v>2030</v>
      </c>
    </row>
    <row r="51" spans="1:2" x14ac:dyDescent="0.2">
      <c r="A51" t="s">
        <v>126</v>
      </c>
      <c r="B51" t="str">
        <f>B48&amp;" - "&amp;B50&amp;" - "&amp;B63&amp;" - "&amp;B47</f>
        <v>Motorbike, electric, &gt;35kW - 2030 - LFP - CH</v>
      </c>
    </row>
    <row r="52" spans="1:2" x14ac:dyDescent="0.2">
      <c r="A52" t="s">
        <v>73</v>
      </c>
      <c r="B52" t="str">
        <f>B48</f>
        <v>Motorbike, electric, &gt;35kW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40500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1.62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2896</v>
      </c>
    </row>
    <row r="61" spans="1:2" x14ac:dyDescent="0.2">
      <c r="A61" t="s">
        <v>132</v>
      </c>
      <c r="B61" s="2">
        <f>INDEX('vehicles specifications'!$B$3:$CW$166,MATCH(B51,'vehicles specifications'!$A$3:$A$166,0),MATCH("Curb mass [kg]",'vehicles specifications'!$B$2:$CW$2,0))</f>
        <v>314.97666666666669</v>
      </c>
    </row>
    <row r="62" spans="1:2" x14ac:dyDescent="0.2">
      <c r="A62" t="s">
        <v>133</v>
      </c>
      <c r="B62">
        <f>INDEX('vehicles specifications'!$B$3:$CW$166,MATCH(B51,'vehicles specifications'!$A$3:$A$166,0),MATCH("Power [kW]",'vehicles specifications'!$B$2:$CW$2,0))</f>
        <v>49</v>
      </c>
    </row>
    <row r="63" spans="1:2" x14ac:dyDescent="0.2">
      <c r="A63" t="s">
        <v>652</v>
      </c>
      <c r="B63" s="20" t="s">
        <v>44</v>
      </c>
    </row>
    <row r="64" spans="1:2" x14ac:dyDescent="0.2">
      <c r="A64" t="s">
        <v>134</v>
      </c>
      <c r="B64">
        <f>INDEX('vehicles specifications'!$B$3:$CW$166,MATCH(B51,'vehicles specifications'!$A$3:$A$166,0),MATCH("Energy battery mass [kg]",'vehicles specifications'!$B$2:$CW$2,0))</f>
        <v>170.66666666666669</v>
      </c>
    </row>
    <row r="65" spans="1:8" x14ac:dyDescent="0.2">
      <c r="A65" t="s">
        <v>135</v>
      </c>
      <c r="B65">
        <f>INDEX('vehicles specifications'!$B$3:$CW$166,MATCH(B51,'vehicles specifications'!$A$3:$A$166,0),MATCH("Electric energy stored [kWh]",'vehicles specifications'!$B$2:$CW$2,0))</f>
        <v>25.6</v>
      </c>
    </row>
    <row r="66" spans="1:8" x14ac:dyDescent="0.2">
      <c r="A66" t="s">
        <v>588</v>
      </c>
      <c r="B66">
        <f>INDEX('vehicles specifications'!$B$3:$CW$166,MATCH(B51,'vehicles specifications'!$A$3:$A$166,0),MATCH("Electric energy available [kWh]",'vehicles specifications'!$B$2:$CW$2,0))</f>
        <v>20.480000000000004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268.363525302575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315 kg. Lightweighting of glider: 3%. Emission standard: None. Service visits throughout lifetime: 1.6. Range: 268 km. Battery capacity: 25.6 kWh. Available battery capacity: 20.48 kWh. Battery mass: 170.7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&gt;35kW, LFP battery, 2030</v>
      </c>
      <c r="B78">
        <v>1</v>
      </c>
      <c r="C78" t="str">
        <f>B47</f>
        <v>CH</v>
      </c>
      <c r="D78" t="str">
        <f>B54</f>
        <v>unit</v>
      </c>
      <c r="F78" t="s">
        <v>84</v>
      </c>
      <c r="G78" t="s">
        <v>85</v>
      </c>
      <c r="H78" t="str">
        <f>B48</f>
        <v>Motorbike, electric, &gt;35kW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111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3.33</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13.74</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22.900000000000002</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759</v>
      </c>
      <c r="B83" s="11">
        <f>INDEX('vehicles specifications'!$B$3:$CW$166,MATCH(B51,'vehicles specifications'!$A$3:$A$166,0),MATCH(G83,'vehicles specifications'!$B$2:$CW$2,0))*INDEX('ei names mapping'!$B$137:$BL$300,MATCH(B51,'ei names mapping'!$A$137:$A$300,0),MATCH(G83,'ei names mapping'!$B$136:$BL$136,0))</f>
        <v>177.77777777777777</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35.555555555555557</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107.67</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36.64</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-213.33333333333337</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314.97666666666669</v>
      </c>
      <c r="C89" t="s">
        <v>92</v>
      </c>
      <c r="D89" t="s">
        <v>233</v>
      </c>
      <c r="F89" t="s">
        <v>89</v>
      </c>
      <c r="H89" s="13" t="s">
        <v>841</v>
      </c>
    </row>
    <row r="90" spans="1:8" x14ac:dyDescent="0.2">
      <c r="A90" s="13" t="s">
        <v>441</v>
      </c>
      <c r="B90" s="2">
        <f>(B61/1000)*B73</f>
        <v>5008.1289999999999</v>
      </c>
      <c r="C90" t="s">
        <v>95</v>
      </c>
      <c r="D90" t="s">
        <v>233</v>
      </c>
      <c r="F90" t="s">
        <v>89</v>
      </c>
      <c r="H90" s="13" t="s">
        <v>441</v>
      </c>
    </row>
    <row r="92" spans="1:8" ht="16" x14ac:dyDescent="0.2">
      <c r="A92" s="10" t="s">
        <v>71</v>
      </c>
      <c r="B92" s="8" t="str">
        <f>B94&amp;", "&amp;B109&amp;" battery, "&amp;B96</f>
        <v>Motorbike, electric, &gt;35kW, LFP battery, 2040</v>
      </c>
    </row>
    <row r="93" spans="1:8" x14ac:dyDescent="0.2">
      <c r="A93" t="s">
        <v>72</v>
      </c>
      <c r="B93" t="s">
        <v>37</v>
      </c>
    </row>
    <row r="94" spans="1:8" x14ac:dyDescent="0.2">
      <c r="A94" t="s">
        <v>86</v>
      </c>
      <c r="B94" t="s">
        <v>495</v>
      </c>
    </row>
    <row r="95" spans="1:8" x14ac:dyDescent="0.2">
      <c r="A95" t="s">
        <v>87</v>
      </c>
    </row>
    <row r="96" spans="1:8" x14ac:dyDescent="0.2">
      <c r="A96" t="s">
        <v>88</v>
      </c>
      <c r="B96">
        <v>2040</v>
      </c>
    </row>
    <row r="97" spans="1:2" x14ac:dyDescent="0.2">
      <c r="A97" t="s">
        <v>126</v>
      </c>
      <c r="B97" t="str">
        <f>B94&amp;" - "&amp;B96&amp;" - "&amp;B109&amp;" - "&amp;B93</f>
        <v>Motorbike, electric, &gt;35kW - 2040 - LFP - CH</v>
      </c>
    </row>
    <row r="98" spans="1:2" x14ac:dyDescent="0.2">
      <c r="A98" t="s">
        <v>73</v>
      </c>
      <c r="B98" t="str">
        <f>B94</f>
        <v>Motorbike, electric, &gt;35kW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40500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1.62</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2896</v>
      </c>
    </row>
    <row r="107" spans="1:2" x14ac:dyDescent="0.2">
      <c r="A107" t="s">
        <v>132</v>
      </c>
      <c r="B107" s="2">
        <f>INDEX('vehicles specifications'!$B$3:$CW$166,MATCH(B97,'vehicles specifications'!$A$3:$A$166,0),MATCH("Curb mass [kg]",'vehicles specifications'!$B$2:$CW$2,0))</f>
        <v>375.42333333333329</v>
      </c>
    </row>
    <row r="108" spans="1:2" x14ac:dyDescent="0.2">
      <c r="A108" t="s">
        <v>133</v>
      </c>
      <c r="B108">
        <f>INDEX('vehicles specifications'!$B$3:$CW$166,MATCH(B97,'vehicles specifications'!$A$3:$A$166,0),MATCH("Power [kW]",'vehicles specifications'!$B$2:$CW$2,0))</f>
        <v>49</v>
      </c>
    </row>
    <row r="109" spans="1:2" x14ac:dyDescent="0.2">
      <c r="A109" t="s">
        <v>652</v>
      </c>
      <c r="B109" s="20" t="s">
        <v>44</v>
      </c>
    </row>
    <row r="110" spans="1:2" x14ac:dyDescent="0.2">
      <c r="A110" t="s">
        <v>134</v>
      </c>
      <c r="B110">
        <f>INDEX('vehicles specifications'!$B$3:$CW$166,MATCH(B97,'vehicles specifications'!$A$3:$A$166,0),MATCH("Energy battery mass [kg]",'vehicles specifications'!$B$2:$CW$2,0))</f>
        <v>233.33333333333334</v>
      </c>
    </row>
    <row r="111" spans="1:2" x14ac:dyDescent="0.2">
      <c r="A111" t="s">
        <v>135</v>
      </c>
      <c r="B111">
        <f>INDEX('vehicles specifications'!$B$3:$CW$166,MATCH(B97,'vehicles specifications'!$A$3:$A$166,0),MATCH("Electric energy stored [kWh]",'vehicles specifications'!$B$2:$CW$2,0))</f>
        <v>35</v>
      </c>
    </row>
    <row r="112" spans="1:2" x14ac:dyDescent="0.2">
      <c r="A112" t="s">
        <v>588</v>
      </c>
      <c r="B112">
        <f>INDEX('vehicles specifications'!$B$3:$CW$166,MATCH(B97,'vehicles specifications'!$A$3:$A$166,0),MATCH("Electric energy available [kWh]",'vehicles specifications'!$B$2:$CW$2,0))</f>
        <v>28</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366.90325724961417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375.4 kg. Lightweighting of glider: 5%. Emission standard: None. Service visits throughout lifetime: 1.6. Range: 367 km. Battery capacity: 35 kWh. Available battery capacity: 28 kWh. Battery mass: 233.3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&gt;35kW, LFP battery, 2040</v>
      </c>
      <c r="B124">
        <v>1</v>
      </c>
      <c r="C124" t="str">
        <f>B93</f>
        <v>CH</v>
      </c>
      <c r="D124" t="str">
        <f>B100</f>
        <v>unit</v>
      </c>
      <c r="F124" t="s">
        <v>84</v>
      </c>
      <c r="G124" t="s">
        <v>85</v>
      </c>
      <c r="H124" t="str">
        <f>B94</f>
        <v>Motorbike, electric, &gt;35kW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111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5.5500000000000007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13.74</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22.900000000000002</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759</v>
      </c>
      <c r="B129" s="11">
        <f>INDEX('vehicles specifications'!$B$3:$CW$166,MATCH(B97,'vehicles specifications'!$A$3:$A$166,0),MATCH(G129,'vehicles specifications'!$B$2:$CW$2,0))*INDEX('ei names mapping'!$B$137:$BL$300,MATCH(B97,'ei names mapping'!$A$137:$A$300,0),MATCH(G129,'ei names mapping'!$B$136:$BL$136,0))</f>
        <v>194.44444444444446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38.888888888888893</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105.44999999999999</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36.64</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-233.33333333333334</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375.42333333333329</v>
      </c>
      <c r="C135" t="s">
        <v>92</v>
      </c>
      <c r="D135" t="s">
        <v>233</v>
      </c>
      <c r="F135" t="s">
        <v>89</v>
      </c>
      <c r="H135" s="13" t="s">
        <v>841</v>
      </c>
    </row>
    <row r="136" spans="1:8" x14ac:dyDescent="0.2">
      <c r="A136" s="13" t="s">
        <v>441</v>
      </c>
      <c r="B136" s="2">
        <f>(B107/1000)*B119</f>
        <v>5969.2309999999989</v>
      </c>
      <c r="C136" t="s">
        <v>95</v>
      </c>
      <c r="D136" t="s">
        <v>233</v>
      </c>
      <c r="F136" t="s">
        <v>89</v>
      </c>
      <c r="H136" s="13" t="s">
        <v>441</v>
      </c>
    </row>
    <row r="138" spans="1:8" ht="16" x14ac:dyDescent="0.2">
      <c r="A138" s="10" t="s">
        <v>71</v>
      </c>
      <c r="B138" s="8" t="str">
        <f>B140&amp;", "&amp;B155&amp;" battery, "&amp;B142</f>
        <v>Motorbike, electric, &gt;35kW, LFP battery, 2050</v>
      </c>
    </row>
    <row r="139" spans="1:8" x14ac:dyDescent="0.2">
      <c r="A139" t="s">
        <v>72</v>
      </c>
      <c r="B139" t="s">
        <v>37</v>
      </c>
    </row>
    <row r="140" spans="1:8" x14ac:dyDescent="0.2">
      <c r="A140" t="s">
        <v>86</v>
      </c>
      <c r="B140" t="s">
        <v>495</v>
      </c>
    </row>
    <row r="141" spans="1:8" x14ac:dyDescent="0.2">
      <c r="A141" t="s">
        <v>87</v>
      </c>
    </row>
    <row r="142" spans="1:8" x14ac:dyDescent="0.2">
      <c r="A142" t="s">
        <v>88</v>
      </c>
      <c r="B142">
        <v>2050</v>
      </c>
    </row>
    <row r="143" spans="1:8" x14ac:dyDescent="0.2">
      <c r="A143" t="s">
        <v>126</v>
      </c>
      <c r="B143" t="str">
        <f>B140&amp;" - "&amp;B142&amp;" - "&amp;B155&amp;" - "&amp;B139</f>
        <v>Motorbike, electric, &gt;35kW - 2050 - LFP - CH</v>
      </c>
    </row>
    <row r="144" spans="1:8" x14ac:dyDescent="0.2">
      <c r="A144" t="s">
        <v>73</v>
      </c>
      <c r="B144" t="str">
        <f>B140</f>
        <v>Motorbike, electric, &gt;35kW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40500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1.62</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2896</v>
      </c>
    </row>
    <row r="153" spans="1:2" x14ac:dyDescent="0.2">
      <c r="A153" t="s">
        <v>132</v>
      </c>
      <c r="B153" s="2">
        <f>INDEX('vehicles specifications'!$B$3:$CW$166,MATCH(B143,'vehicles specifications'!$A$3:$A$166,0),MATCH("Curb mass [kg]",'vehicles specifications'!$B$2:$CW$2,0))</f>
        <v>406.87</v>
      </c>
    </row>
    <row r="154" spans="1:2" x14ac:dyDescent="0.2">
      <c r="A154" t="s">
        <v>133</v>
      </c>
      <c r="B154">
        <f>INDEX('vehicles specifications'!$B$3:$CW$166,MATCH(B143,'vehicles specifications'!$A$3:$A$166,0),MATCH("Power [kW]",'vehicles specifications'!$B$2:$CW$2,0))</f>
        <v>49</v>
      </c>
    </row>
    <row r="155" spans="1:2" x14ac:dyDescent="0.2">
      <c r="A155" t="s">
        <v>652</v>
      </c>
      <c r="B155" s="20" t="s">
        <v>44</v>
      </c>
    </row>
    <row r="156" spans="1:2" x14ac:dyDescent="0.2">
      <c r="A156" t="s">
        <v>134</v>
      </c>
      <c r="B156">
        <f>INDEX('vehicles specifications'!$B$3:$CW$166,MATCH(B143,'vehicles specifications'!$A$3:$A$166,0),MATCH("Energy battery mass [kg]",'vehicles specifications'!$B$2:$CW$2,0))</f>
        <v>267</v>
      </c>
    </row>
    <row r="157" spans="1:2" x14ac:dyDescent="0.2">
      <c r="A157" t="s">
        <v>135</v>
      </c>
      <c r="B157">
        <f>INDEX('vehicles specifications'!$B$3:$CW$166,MATCH(B143,'vehicles specifications'!$A$3:$A$166,0),MATCH("Electric energy stored [kWh]",'vehicles specifications'!$B$2:$CW$2,0))</f>
        <v>44.5</v>
      </c>
    </row>
    <row r="158" spans="1:2" x14ac:dyDescent="0.2">
      <c r="A158" t="s">
        <v>588</v>
      </c>
      <c r="B158">
        <f>INDEX('vehicles specifications'!$B$3:$CW$166,MATCH(B143,'vehicles specifications'!$A$3:$A$166,0),MATCH("Electric energy available [kWh]",'vehicles specifications'!$B$2:$CW$2,0))</f>
        <v>35.6</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466.49128421736663</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406.9 kg. Lightweighting of glider: 7%. Emission standard: None. Service visits throughout lifetime: 1.6. Range: 466 km. Battery capacity: 44.5 kWh. Available battery capacity: 35.6 kWh. Battery mass: 267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&gt;35kW, LFP battery, 2050</v>
      </c>
      <c r="B170">
        <v>1</v>
      </c>
      <c r="C170" t="str">
        <f>B139</f>
        <v>CH</v>
      </c>
      <c r="D170" t="str">
        <f>B146</f>
        <v>unit</v>
      </c>
      <c r="F170" t="s">
        <v>84</v>
      </c>
      <c r="G170" t="s">
        <v>85</v>
      </c>
      <c r="H170" t="str">
        <f>B140</f>
        <v>Motorbike, electric, &gt;35kW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111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3.7100000000000004</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13.74</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22.900000000000002</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759</v>
      </c>
      <c r="B175" s="11">
        <f>INDEX('vehicles specifications'!$B$3:$CW$166,MATCH(B143,'vehicles specifications'!$A$3:$A$166,0),MATCH(G175,'vehicles specifications'!$B$2:$CW$2,0))*INDEX('ei names mapping'!$B$137:$BL$300,MATCH(B143,'ei names mapping'!$A$137:$A$300,0),MATCH(G175,'ei names mapping'!$B$136:$BL$136,0))</f>
        <v>445</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89</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103.22999999999999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36.64</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-534</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406.87</v>
      </c>
      <c r="C181" t="s">
        <v>92</v>
      </c>
      <c r="D181" t="s">
        <v>233</v>
      </c>
      <c r="F181" t="s">
        <v>89</v>
      </c>
      <c r="H181" s="13" t="s">
        <v>841</v>
      </c>
    </row>
    <row r="182" spans="1:8" x14ac:dyDescent="0.2">
      <c r="A182" s="13" t="s">
        <v>441</v>
      </c>
      <c r="B182" s="2">
        <f>(B153/1000)*B165</f>
        <v>6469.2330000000002</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&gt;35kW, LFP battery, 2020</v>
      </c>
    </row>
    <row r="185" spans="1:8" x14ac:dyDescent="0.2">
      <c r="A185" t="s">
        <v>72</v>
      </c>
      <c r="B185" t="s">
        <v>37</v>
      </c>
    </row>
    <row r="186" spans="1:8" x14ac:dyDescent="0.2">
      <c r="A186" t="s">
        <v>86</v>
      </c>
      <c r="B186" t="s">
        <v>495</v>
      </c>
    </row>
    <row r="187" spans="1:8" x14ac:dyDescent="0.2">
      <c r="A187" t="s">
        <v>87</v>
      </c>
    </row>
    <row r="188" spans="1:8" x14ac:dyDescent="0.2">
      <c r="A188" t="s">
        <v>88</v>
      </c>
      <c r="B188">
        <v>2020</v>
      </c>
    </row>
    <row r="189" spans="1:8" x14ac:dyDescent="0.2">
      <c r="A189" t="s">
        <v>126</v>
      </c>
      <c r="B189" t="str">
        <f>B186&amp;" - "&amp;B188&amp;" - "&amp;B201&amp;" - "&amp;B185</f>
        <v>Motorbike, electric, &gt;35kW - 2020 - LFP - CH</v>
      </c>
    </row>
    <row r="190" spans="1:8" x14ac:dyDescent="0.2">
      <c r="A190" t="s">
        <v>73</v>
      </c>
      <c r="B190" t="str">
        <f>"transport, "&amp;B186</f>
        <v>transport, Motorbike, electric, &gt;35kW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40500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1.62</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2896</v>
      </c>
    </row>
    <row r="199" spans="1:2" x14ac:dyDescent="0.2">
      <c r="A199" t="s">
        <v>132</v>
      </c>
      <c r="B199" s="2">
        <f>INDEX('vehicles specifications'!$B$3:$CW$166,MATCH(B189,'vehicles specifications'!$A$3:$A$166,0),MATCH("Curb mass [kg]",'vehicles specifications'!$B$2:$CW$2,0))</f>
        <v>279.64</v>
      </c>
    </row>
    <row r="200" spans="1:2" x14ac:dyDescent="0.2">
      <c r="A200" t="s">
        <v>133</v>
      </c>
      <c r="B200">
        <f>INDEX('vehicles specifications'!$B$3:$CW$166,MATCH(B189,'vehicles specifications'!$A$3:$A$166,0),MATCH("Power [kW]",'vehicles specifications'!$B$2:$CW$2,0))</f>
        <v>49</v>
      </c>
    </row>
    <row r="201" spans="1:2" x14ac:dyDescent="0.2">
      <c r="A201" t="s">
        <v>652</v>
      </c>
      <c r="B201" s="20" t="s">
        <v>44</v>
      </c>
    </row>
    <row r="202" spans="1:2" x14ac:dyDescent="0.2">
      <c r="A202" t="s">
        <v>134</v>
      </c>
      <c r="B202">
        <f>INDEX('vehicles specifications'!$B$3:$CW$166,MATCH(B189,'vehicles specifications'!$A$3:$A$166,0),MATCH("Energy battery mass [kg]",'vehicles specifications'!$B$2:$CW$2,0))</f>
        <v>132</v>
      </c>
    </row>
    <row r="203" spans="1:2" x14ac:dyDescent="0.2">
      <c r="A203" t="s">
        <v>135</v>
      </c>
      <c r="B203">
        <f>INDEX('vehicles specifications'!$B$3:$CW$166,MATCH(B189,'vehicles specifications'!$A$3:$A$166,0),MATCH("Electric energy stored [kWh]",'vehicles specifications'!$B$2:$CW$2,0))</f>
        <v>16.5</v>
      </c>
    </row>
    <row r="204" spans="1:2" x14ac:dyDescent="0.2">
      <c r="A204" t="s">
        <v>588</v>
      </c>
      <c r="B204">
        <f>INDEX('vehicles specifications'!$B$3:$CW$166,MATCH(B189,'vehicles specifications'!$A$3:$A$166,0),MATCH("Electric energy available [kWh]",'vehicles specifications'!$B$2:$CW$2,0))</f>
        <v>13.200000000000001</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172.96867841767528</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279.6 kg. Lightweighting of glider: 0%. Emission standard: None. Service visits throughout lifetime: 1.6. Range: 173 km. Battery capacity: 16.5 kWh. Available battery capacity: 13.2 kWh. Battery mass: 132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&gt;35kW, LFP battery, 2020</v>
      </c>
      <c r="B213">
        <v>1</v>
      </c>
      <c r="C213" t="str">
        <f>B185</f>
        <v>CH</v>
      </c>
      <c r="D213" t="s">
        <v>166</v>
      </c>
      <c r="F213" t="s">
        <v>84</v>
      </c>
      <c r="G213" t="s">
        <v>85</v>
      </c>
      <c r="H213" t="str">
        <f>B190</f>
        <v>transport, Motorbike, electric, &gt;35kW</v>
      </c>
    </row>
    <row r="214" spans="1:8" x14ac:dyDescent="0.2">
      <c r="A214" t="str">
        <f>RIGHT(A213,LEN(A213)-11)</f>
        <v>Motorbike, electric, &gt;35kW, LFP battery, 2020</v>
      </c>
      <c r="B214" s="7">
        <f>1/B194</f>
        <v>2.4691358024691357E-5</v>
      </c>
      <c r="C214" t="str">
        <f>B185</f>
        <v>CH</v>
      </c>
      <c r="D214" t="s">
        <v>76</v>
      </c>
      <c r="F214" t="s">
        <v>89</v>
      </c>
      <c r="H214" t="str">
        <f>RIGHT(H213,LEN(H213)-11)</f>
        <v>Motorbike, electric, &gt;35kW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1.9769117999999999E-4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8.3945834198593472E-2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-1.1850982604150876E-5</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-6.96933211043913E-6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-4.0734045829292491E-6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&gt;35kW, LFP battery, 2030</v>
      </c>
    </row>
    <row r="224" spans="1:8" x14ac:dyDescent="0.2">
      <c r="A224" t="s">
        <v>72</v>
      </c>
      <c r="B224" t="s">
        <v>37</v>
      </c>
    </row>
    <row r="225" spans="1:2" x14ac:dyDescent="0.2">
      <c r="A225" t="s">
        <v>86</v>
      </c>
      <c r="B225" t="s">
        <v>495</v>
      </c>
    </row>
    <row r="226" spans="1:2" x14ac:dyDescent="0.2">
      <c r="A226" t="s">
        <v>87</v>
      </c>
    </row>
    <row r="227" spans="1:2" x14ac:dyDescent="0.2">
      <c r="A227" t="s">
        <v>88</v>
      </c>
      <c r="B227">
        <v>2030</v>
      </c>
    </row>
    <row r="228" spans="1:2" x14ac:dyDescent="0.2">
      <c r="A228" t="s">
        <v>126</v>
      </c>
      <c r="B228" t="str">
        <f>B225&amp;" - "&amp;B227&amp;" - "&amp;B240&amp;" - "&amp;B224</f>
        <v>Motorbike, electric, &gt;35kW - 2030 - LFP - CH</v>
      </c>
    </row>
    <row r="229" spans="1:2" x14ac:dyDescent="0.2">
      <c r="A229" t="s">
        <v>73</v>
      </c>
      <c r="B229" t="str">
        <f>"transport, "&amp;B225</f>
        <v>transport, Motorbike, electric, &gt;35kW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40500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1.62</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2896</v>
      </c>
    </row>
    <row r="238" spans="1:2" x14ac:dyDescent="0.2">
      <c r="A238" t="s">
        <v>132</v>
      </c>
      <c r="B238" s="2">
        <f>INDEX('vehicles specifications'!$B$3:$CW$166,MATCH(B228,'vehicles specifications'!$A$3:$A$166,0),MATCH("Curb mass [kg]",'vehicles specifications'!$B$2:$CW$2,0))</f>
        <v>314.97666666666669</v>
      </c>
    </row>
    <row r="239" spans="1:2" x14ac:dyDescent="0.2">
      <c r="A239" t="s">
        <v>133</v>
      </c>
      <c r="B239">
        <f>INDEX('vehicles specifications'!$B$3:$CW$166,MATCH(B228,'vehicles specifications'!$A$3:$A$166,0),MATCH("Power [kW]",'vehicles specifications'!$B$2:$CW$2,0))</f>
        <v>49</v>
      </c>
    </row>
    <row r="240" spans="1:2" x14ac:dyDescent="0.2">
      <c r="A240" t="s">
        <v>652</v>
      </c>
      <c r="B240" s="20" t="s">
        <v>44</v>
      </c>
    </row>
    <row r="241" spans="1:8" x14ac:dyDescent="0.2">
      <c r="A241" t="s">
        <v>134</v>
      </c>
      <c r="B241">
        <f>INDEX('vehicles specifications'!$B$3:$CW$166,MATCH(B228,'vehicles specifications'!$A$3:$A$166,0),MATCH("Energy battery mass [kg]",'vehicles specifications'!$B$2:$CW$2,0))</f>
        <v>170.66666666666669</v>
      </c>
    </row>
    <row r="242" spans="1:8" x14ac:dyDescent="0.2">
      <c r="A242" t="s">
        <v>135</v>
      </c>
      <c r="B242">
        <f>INDEX('vehicles specifications'!$B$3:$CW$166,MATCH(B228,'vehicles specifications'!$A$3:$A$166,0),MATCH("Electric energy stored [kWh]",'vehicles specifications'!$B$2:$CW$2,0))</f>
        <v>25.6</v>
      </c>
    </row>
    <row r="243" spans="1:8" x14ac:dyDescent="0.2">
      <c r="A243" t="s">
        <v>588</v>
      </c>
      <c r="B243">
        <f>INDEX('vehicles specifications'!$B$3:$CW$166,MATCH(B228,'vehicles specifications'!$A$3:$A$166,0),MATCH("Electric energy available [kWh]",'vehicles specifications'!$B$2:$CW$2,0))</f>
        <v>20.480000000000004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268.363525302575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315 kg. Lightweighting of glider: 3%. Emission standard: None. Service visits throughout lifetime: 1.6. Range: 268 km. Battery capacity: 25.6 kWh. Available battery capacity: 20.48 kWh. Battery mass: 170.7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&gt;35kW, LFP battery, 2030</v>
      </c>
      <c r="B252">
        <v>1</v>
      </c>
      <c r="C252" t="str">
        <f>B224</f>
        <v>CH</v>
      </c>
      <c r="D252" t="s">
        <v>166</v>
      </c>
      <c r="F252" t="s">
        <v>84</v>
      </c>
      <c r="G252" t="s">
        <v>85</v>
      </c>
      <c r="H252" t="str">
        <f>B229</f>
        <v>transport, Motorbike, electric, &gt;35kW</v>
      </c>
    </row>
    <row r="253" spans="1:8" x14ac:dyDescent="0.2">
      <c r="A253" t="str">
        <f>RIGHT(A252,LEN(A252)-11)</f>
        <v>Motorbike, electric, &gt;35kW, LFP battery, 2030</v>
      </c>
      <c r="B253" s="7">
        <f>1/B233</f>
        <v>2.4691358024691357E-5</v>
      </c>
      <c r="C253" t="str">
        <f>B224</f>
        <v>CH</v>
      </c>
      <c r="D253" t="s">
        <v>76</v>
      </c>
      <c r="F253" t="s">
        <v>89</v>
      </c>
      <c r="H253" t="str">
        <f>RIGHT(H252,LEN(H252)-11)</f>
        <v>Motorbike, electric, &gt;35kW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8.3945834198593472E-2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2.1666697000000002E-4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-1.2755613159758067E-5</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-7.2859417533801036E-6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-4.3101974946044252E-6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&gt;35kW, LFP battery, 2040</v>
      </c>
    </row>
    <row r="263" spans="1:8" x14ac:dyDescent="0.2">
      <c r="A263" t="s">
        <v>72</v>
      </c>
      <c r="B263" t="s">
        <v>37</v>
      </c>
    </row>
    <row r="264" spans="1:8" x14ac:dyDescent="0.2">
      <c r="A264" t="s">
        <v>86</v>
      </c>
      <c r="B264" t="s">
        <v>495</v>
      </c>
    </row>
    <row r="265" spans="1:8" x14ac:dyDescent="0.2">
      <c r="A265" t="s">
        <v>87</v>
      </c>
    </row>
    <row r="266" spans="1:8" x14ac:dyDescent="0.2">
      <c r="A266" t="s">
        <v>88</v>
      </c>
      <c r="B266">
        <v>2040</v>
      </c>
    </row>
    <row r="267" spans="1:8" x14ac:dyDescent="0.2">
      <c r="A267" t="s">
        <v>126</v>
      </c>
      <c r="B267" t="str">
        <f>B264&amp;" - "&amp;B266&amp;" - "&amp;B279&amp;" - "&amp;B263</f>
        <v>Motorbike, electric, &gt;35kW - 2040 - LFP - CH</v>
      </c>
    </row>
    <row r="268" spans="1:8" x14ac:dyDescent="0.2">
      <c r="A268" t="s">
        <v>73</v>
      </c>
      <c r="B268" t="str">
        <f>"transport, "&amp;B264</f>
        <v>transport, Motorbike, electric, &gt;35kW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40500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1.62</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2896</v>
      </c>
    </row>
    <row r="277" spans="1:2" x14ac:dyDescent="0.2">
      <c r="A277" t="s">
        <v>132</v>
      </c>
      <c r="B277" s="2">
        <f>INDEX('vehicles specifications'!$B$3:$CW$166,MATCH(B267,'vehicles specifications'!$A$3:$A$166,0),MATCH("Curb mass [kg]",'vehicles specifications'!$B$2:$CW$2,0))</f>
        <v>375.42333333333329</v>
      </c>
    </row>
    <row r="278" spans="1:2" x14ac:dyDescent="0.2">
      <c r="A278" t="s">
        <v>133</v>
      </c>
      <c r="B278">
        <f>INDEX('vehicles specifications'!$B$3:$CW$166,MATCH(B267,'vehicles specifications'!$A$3:$A$166,0),MATCH("Power [kW]",'vehicles specifications'!$B$2:$CW$2,0))</f>
        <v>49</v>
      </c>
    </row>
    <row r="279" spans="1:2" x14ac:dyDescent="0.2">
      <c r="A279" t="s">
        <v>652</v>
      </c>
      <c r="B279" s="20" t="s">
        <v>44</v>
      </c>
    </row>
    <row r="280" spans="1:2" x14ac:dyDescent="0.2">
      <c r="A280" t="s">
        <v>134</v>
      </c>
      <c r="B280">
        <f>INDEX('vehicles specifications'!$B$3:$CW$166,MATCH(B267,'vehicles specifications'!$A$3:$A$166,0),MATCH("Energy battery mass [kg]",'vehicles specifications'!$B$2:$CW$2,0))</f>
        <v>233.33333333333334</v>
      </c>
    </row>
    <row r="281" spans="1:2" x14ac:dyDescent="0.2">
      <c r="A281" t="s">
        <v>135</v>
      </c>
      <c r="B281">
        <f>INDEX('vehicles specifications'!$B$3:$CW$166,MATCH(B267,'vehicles specifications'!$A$3:$A$166,0),MATCH("Electric energy stored [kWh]",'vehicles specifications'!$B$2:$CW$2,0))</f>
        <v>35</v>
      </c>
    </row>
    <row r="282" spans="1:2" x14ac:dyDescent="0.2">
      <c r="A282" t="s">
        <v>588</v>
      </c>
      <c r="B282">
        <f>INDEX('vehicles specifications'!$B$3:$CW$166,MATCH(B267,'vehicles specifications'!$A$3:$A$166,0),MATCH("Electric energy available [kWh]",'vehicles specifications'!$B$2:$CW$2,0))</f>
        <v>28</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366.90325724961417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375.4 kg. Lightweighting of glider: 5%. Emission standard: None. Service visits throughout lifetime: 1.6. Range: 367 km. Battery capacity: 35 kWh. Available battery capacity: 28 kWh. Battery mass: 233.3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&gt;35kW, LFP battery, 2040</v>
      </c>
      <c r="B291">
        <v>1</v>
      </c>
      <c r="C291" t="str">
        <f>B263</f>
        <v>CH</v>
      </c>
      <c r="D291" t="s">
        <v>166</v>
      </c>
      <c r="F291" t="s">
        <v>84</v>
      </c>
      <c r="G291" t="s">
        <v>85</v>
      </c>
      <c r="H291" t="str">
        <f>B268</f>
        <v>transport, Motorbike, electric, &gt;35kW</v>
      </c>
    </row>
    <row r="292" spans="1:8" x14ac:dyDescent="0.2">
      <c r="A292" t="str">
        <f>RIGHT(A291,LEN(A291)-11)</f>
        <v>Motorbike, electric, &gt;35kW, LFP battery, 2040</v>
      </c>
      <c r="B292" s="7">
        <f>1/B272</f>
        <v>2.4691358024691357E-5</v>
      </c>
      <c r="C292" t="str">
        <f>B263</f>
        <v>CH</v>
      </c>
      <c r="D292" t="s">
        <v>76</v>
      </c>
      <c r="F292" t="s">
        <v>89</v>
      </c>
      <c r="H292" t="str">
        <f>RIGHT(H291,LEN(H291)-11)</f>
        <v>Motorbike, electric, &gt;35kW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8.3945834198593472E-2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2.4912683E-4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-1.4271223382393738E-5</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-7.7890046255676709E-6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-4.6945720226011785E-6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&gt;35kW, LFP battery, 2050</v>
      </c>
    </row>
    <row r="302" spans="1:8" x14ac:dyDescent="0.2">
      <c r="A302" t="s">
        <v>72</v>
      </c>
      <c r="B302" t="s">
        <v>37</v>
      </c>
    </row>
    <row r="303" spans="1:8" x14ac:dyDescent="0.2">
      <c r="A303" t="s">
        <v>86</v>
      </c>
      <c r="B303" t="s">
        <v>495</v>
      </c>
    </row>
    <row r="304" spans="1:8" x14ac:dyDescent="0.2">
      <c r="A304" t="s">
        <v>87</v>
      </c>
    </row>
    <row r="305" spans="1:2" x14ac:dyDescent="0.2">
      <c r="A305" t="s">
        <v>88</v>
      </c>
      <c r="B305">
        <v>2050</v>
      </c>
    </row>
    <row r="306" spans="1:2" x14ac:dyDescent="0.2">
      <c r="A306" t="s">
        <v>126</v>
      </c>
      <c r="B306" t="str">
        <f>B303&amp;" - "&amp;B305&amp;" - "&amp;B318&amp;" - "&amp;B302</f>
        <v>Motorbike, electric, &gt;35kW - 2050 - LFP - CH</v>
      </c>
    </row>
    <row r="307" spans="1:2" x14ac:dyDescent="0.2">
      <c r="A307" t="s">
        <v>73</v>
      </c>
      <c r="B307" t="str">
        <f>"transport, "&amp;B303</f>
        <v>transport, Motorbike, electric, &gt;35kW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40500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1.62</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2896</v>
      </c>
    </row>
    <row r="316" spans="1:2" x14ac:dyDescent="0.2">
      <c r="A316" t="s">
        <v>132</v>
      </c>
      <c r="B316" s="2">
        <f>INDEX('vehicles specifications'!$B$3:$CW$166,MATCH(B306,'vehicles specifications'!$A$3:$A$166,0),MATCH("Curb mass [kg]",'vehicles specifications'!$B$2:$CW$2,0))</f>
        <v>406.87</v>
      </c>
    </row>
    <row r="317" spans="1:2" x14ac:dyDescent="0.2">
      <c r="A317" t="s">
        <v>133</v>
      </c>
      <c r="B317">
        <f>INDEX('vehicles specifications'!$B$3:$CW$166,MATCH(B306,'vehicles specifications'!$A$3:$A$166,0),MATCH("Power [kW]",'vehicles specifications'!$B$2:$CW$2,0))</f>
        <v>49</v>
      </c>
    </row>
    <row r="318" spans="1:2" x14ac:dyDescent="0.2">
      <c r="A318" t="s">
        <v>652</v>
      </c>
      <c r="B318" s="20" t="s">
        <v>44</v>
      </c>
    </row>
    <row r="319" spans="1:2" x14ac:dyDescent="0.2">
      <c r="A319" t="s">
        <v>134</v>
      </c>
      <c r="B319">
        <f>INDEX('vehicles specifications'!$B$3:$CW$166,MATCH(B306,'vehicles specifications'!$A$3:$A$166,0),MATCH("Energy battery mass [kg]",'vehicles specifications'!$B$2:$CW$2,0))</f>
        <v>267</v>
      </c>
    </row>
    <row r="320" spans="1:2" x14ac:dyDescent="0.2">
      <c r="A320" t="s">
        <v>135</v>
      </c>
      <c r="B320">
        <f>INDEX('vehicles specifications'!$B$3:$CW$166,MATCH(B306,'vehicles specifications'!$A$3:$A$166,0),MATCH("Electric energy stored [kWh]",'vehicles specifications'!$B$2:$CW$2,0))</f>
        <v>44.5</v>
      </c>
    </row>
    <row r="321" spans="1:8" x14ac:dyDescent="0.2">
      <c r="A321" t="s">
        <v>588</v>
      </c>
      <c r="B321">
        <f>INDEX('vehicles specifications'!$B$3:$CW$166,MATCH(B306,'vehicles specifications'!$A$3:$A$166,0),MATCH("Electric energy available [kWh]",'vehicles specifications'!$B$2:$CW$2,0))</f>
        <v>35.6</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466.49128421736663</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406.9 kg. Lightweighting of glider: 7%. Emission standard: None. Service visits throughout lifetime: 1.6. Range: 466 km. Battery capacity: 44.5 kWh. Available battery capacity: 35.6 kWh. Battery mass: 267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&gt;35kW, LFP battery, 2050</v>
      </c>
      <c r="B330">
        <v>1</v>
      </c>
      <c r="C330" t="str">
        <f>B302</f>
        <v>CH</v>
      </c>
      <c r="D330" t="s">
        <v>166</v>
      </c>
      <c r="F330" t="s">
        <v>84</v>
      </c>
      <c r="G330" t="s">
        <v>85</v>
      </c>
      <c r="H330" t="str">
        <f>B307</f>
        <v>transport, Motorbike, electric, &gt;35kW</v>
      </c>
    </row>
    <row r="331" spans="1:8" x14ac:dyDescent="0.2">
      <c r="A331" t="str">
        <f>RIGHT(A330,LEN(A330)-11)</f>
        <v>Motorbike, electric, &gt;35kW, LFP battery, 2050</v>
      </c>
      <c r="B331" s="7">
        <f>1/B311</f>
        <v>2.4691358024691357E-5</v>
      </c>
      <c r="C331" t="str">
        <f>B302</f>
        <v>CH</v>
      </c>
      <c r="D331" t="s">
        <v>76</v>
      </c>
      <c r="F331" t="s">
        <v>89</v>
      </c>
      <c r="H331" t="str">
        <f>RIGHT(H330,LEN(H330)-11)</f>
        <v>Motorbike, electric, &gt;35kW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8.3945834198593472E-2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6.4800000000000003E-5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2.6601369000000001E-4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-1.5045655592632479E-5</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-8.0345690405014372E-6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-4.8856894240576595E-6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638"/>
  <sheetViews>
    <sheetView topLeftCell="A322" workbookViewId="0">
      <selection activeCell="B345" sqref="B345"/>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Motorbike, electric, &gt;35kW, NCA battery, 2020</v>
      </c>
    </row>
    <row r="2" spans="1:2" x14ac:dyDescent="0.2">
      <c r="A2" t="s">
        <v>72</v>
      </c>
      <c r="B2" t="s">
        <v>37</v>
      </c>
    </row>
    <row r="3" spans="1:2" x14ac:dyDescent="0.2">
      <c r="A3" t="s">
        <v>86</v>
      </c>
      <c r="B3" t="s">
        <v>495</v>
      </c>
    </row>
    <row r="4" spans="1:2" x14ac:dyDescent="0.2">
      <c r="A4" t="s">
        <v>87</v>
      </c>
    </row>
    <row r="5" spans="1:2" x14ac:dyDescent="0.2">
      <c r="A5" t="s">
        <v>88</v>
      </c>
      <c r="B5">
        <v>2020</v>
      </c>
    </row>
    <row r="6" spans="1:2" x14ac:dyDescent="0.2">
      <c r="A6" t="s">
        <v>126</v>
      </c>
      <c r="B6" t="str">
        <f>B3&amp;" - "&amp;B5&amp;" - "&amp;B18&amp;" - "&amp;B2</f>
        <v>Motorbike, electric, &gt;35kW - 2020 - NCA - CH</v>
      </c>
    </row>
    <row r="7" spans="1:2" x14ac:dyDescent="0.2">
      <c r="A7" t="s">
        <v>73</v>
      </c>
      <c r="B7" t="str">
        <f>B3</f>
        <v>Motorbike, electric, &gt;35kW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40500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1.62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2896</v>
      </c>
    </row>
    <row r="16" spans="1:2" x14ac:dyDescent="0.2">
      <c r="A16" t="s">
        <v>132</v>
      </c>
      <c r="B16" s="2">
        <f>INDEX('vehicles specifications'!$B$3:$CW$166,MATCH(B6,'vehicles specifications'!$A$3:$A$166,0),MATCH("Curb mass [kg]",'vehicles specifications'!$B$2:$CW$2,0))</f>
        <v>240.90086956521736</v>
      </c>
    </row>
    <row r="17" spans="1:8" x14ac:dyDescent="0.2">
      <c r="A17" t="s">
        <v>133</v>
      </c>
      <c r="B17">
        <f>INDEX('vehicles specifications'!$B$3:$CW$166,MATCH(B6,'vehicles specifications'!$A$3:$A$166,0),MATCH("Power [kW]",'vehicles specifications'!$B$2:$CW$2,0))</f>
        <v>49</v>
      </c>
    </row>
    <row r="18" spans="1:8" x14ac:dyDescent="0.2">
      <c r="A18" t="s">
        <v>652</v>
      </c>
      <c r="B18" s="20" t="s">
        <v>45</v>
      </c>
    </row>
    <row r="19" spans="1:8" x14ac:dyDescent="0.2">
      <c r="A19" t="s">
        <v>134</v>
      </c>
      <c r="B19">
        <f>INDEX('vehicles specifications'!$B$3:$CW$166,MATCH(B6,'vehicles specifications'!$A$3:$A$166,0),MATCH("Energy battery mass [kg]",'vehicles specifications'!$B$2:$CW$2,0))</f>
        <v>93.260869565217391</v>
      </c>
    </row>
    <row r="20" spans="1:8" x14ac:dyDescent="0.2">
      <c r="A20" t="s">
        <v>135</v>
      </c>
      <c r="B20">
        <f>INDEX('vehicles specifications'!$B$3:$CW$166,MATCH(B6,'vehicles specifications'!$A$3:$A$166,0),MATCH("Electric energy stored [kWh]",'vehicles specifications'!$B$2:$CW$2,0))</f>
        <v>16.5</v>
      </c>
    </row>
    <row r="21" spans="1:8" x14ac:dyDescent="0.2">
      <c r="A21" t="s">
        <v>588</v>
      </c>
      <c r="B21">
        <f>INDEX('vehicles specifications'!$B$3:$CW$166,MATCH(B6,'vehicles specifications'!$A$3:$A$166,0),MATCH("Electric energy available [kWh]",'vehicles specifications'!$B$2:$CW$2,0))</f>
        <v>13.200000000000001</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172.96867841767528</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Motorbike, electric, &gt;35kW, NCA battery, 2020</v>
      </c>
      <c r="B33">
        <v>1</v>
      </c>
      <c r="C33" t="str">
        <f>B2</f>
        <v>CH</v>
      </c>
      <c r="D33" t="str">
        <f>B9</f>
        <v>unit</v>
      </c>
      <c r="F33" t="s">
        <v>84</v>
      </c>
      <c r="G33" t="s">
        <v>85</v>
      </c>
      <c r="H33" t="str">
        <f>B3</f>
        <v>Motorbike, electric, &gt;35kW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111</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13.74</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22.900000000000002</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760</v>
      </c>
      <c r="B37" s="3">
        <f>INDEX('vehicles specifications'!$B$3:$CW$166,MATCH(B6,'vehicles specifications'!$A$3:$A$166,0),MATCH(G37,'vehicles specifications'!$B$2:$CW$2,0))*INDEX('ei names mapping'!$B$137:$BL$300,MATCH(B6,'ei names mapping'!$A$137:$A$300,0),MATCH(G37,'ei names mapping'!$B$136:$BL$136,0))</f>
        <v>143.47826086956522</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43.043478260869563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111</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36.64</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-186.52173913043478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s="3">
        <f>(B16/1000)*B29</f>
        <v>240.90086956521736</v>
      </c>
      <c r="C43" t="s">
        <v>92</v>
      </c>
      <c r="D43" t="s">
        <v>233</v>
      </c>
      <c r="F43" t="s">
        <v>89</v>
      </c>
      <c r="H43" s="13" t="s">
        <v>841</v>
      </c>
    </row>
    <row r="44" spans="1:8" x14ac:dyDescent="0.2">
      <c r="A44" s="13" t="s">
        <v>441</v>
      </c>
      <c r="B44" s="3">
        <f>(B16/1000)*B28</f>
        <v>3830.3238260869562</v>
      </c>
      <c r="C44" t="s">
        <v>95</v>
      </c>
      <c r="D44" t="s">
        <v>233</v>
      </c>
      <c r="F44" t="s">
        <v>89</v>
      </c>
      <c r="H44" s="13" t="s">
        <v>441</v>
      </c>
    </row>
    <row r="45" spans="1:8" x14ac:dyDescent="0.2">
      <c r="B45" s="11"/>
    </row>
    <row r="46" spans="1:8" ht="16" x14ac:dyDescent="0.2">
      <c r="A46" s="10" t="s">
        <v>71</v>
      </c>
      <c r="B46" s="8" t="str">
        <f>B48&amp;", "&amp;B63&amp;" battery, "&amp;B50</f>
        <v>Motorbike, electric, &gt;35kW, NCA battery, 2030</v>
      </c>
    </row>
    <row r="47" spans="1:8" x14ac:dyDescent="0.2">
      <c r="A47" t="s">
        <v>72</v>
      </c>
      <c r="B47" t="s">
        <v>37</v>
      </c>
    </row>
    <row r="48" spans="1:8" x14ac:dyDescent="0.2">
      <c r="A48" t="s">
        <v>86</v>
      </c>
      <c r="B48" t="s">
        <v>495</v>
      </c>
    </row>
    <row r="49" spans="1:2" x14ac:dyDescent="0.2">
      <c r="A49" t="s">
        <v>87</v>
      </c>
    </row>
    <row r="50" spans="1:2" x14ac:dyDescent="0.2">
      <c r="A50" t="s">
        <v>88</v>
      </c>
      <c r="B50">
        <v>2030</v>
      </c>
    </row>
    <row r="51" spans="1:2" x14ac:dyDescent="0.2">
      <c r="A51" t="s">
        <v>126</v>
      </c>
      <c r="B51" t="str">
        <f>B48&amp;" - "&amp;B50&amp;" - "&amp;B63&amp;" - "&amp;B47</f>
        <v>Motorbike, electric, &gt;35kW - 2030 - NCA - CH</v>
      </c>
    </row>
    <row r="52" spans="1:2" x14ac:dyDescent="0.2">
      <c r="A52" t="s">
        <v>73</v>
      </c>
      <c r="B52" t="str">
        <f>B48</f>
        <v>Motorbike, electric, &gt;35kW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40500</v>
      </c>
    </row>
    <row r="57" spans="1:2" x14ac:dyDescent="0.2">
      <c r="A57" t="s">
        <v>128</v>
      </c>
      <c r="B57">
        <f>INDEX('vehicles specifications'!$B$3:$CW$166,MATCH(B51,'vehicles specifications'!$A$3:$A$166,0),MATCH("Passengers [unit]",'vehicles specifications'!$B$2:$CW$2,0))</f>
        <v>1.1000000000000001</v>
      </c>
    </row>
    <row r="58" spans="1:2" x14ac:dyDescent="0.2">
      <c r="A58" t="s">
        <v>129</v>
      </c>
      <c r="B58">
        <f>INDEX('vehicles specifications'!$B$3:$CW$166,MATCH(B51,'vehicles specifications'!$A$3:$A$166,0),MATCH("Servicing [unit]",'vehicles specifications'!$B$2:$CW$2,0))</f>
        <v>1.62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2896</v>
      </c>
    </row>
    <row r="61" spans="1:2" x14ac:dyDescent="0.2">
      <c r="A61" t="s">
        <v>132</v>
      </c>
      <c r="B61" s="2">
        <f>INDEX('vehicles specifications'!$B$3:$CW$166,MATCH(B51,'vehicles specifications'!$A$3:$A$166,0),MATCH("Curb mass [kg]",'vehicles specifications'!$B$2:$CW$2,0))</f>
        <v>255.24333333333334</v>
      </c>
    </row>
    <row r="62" spans="1:2" x14ac:dyDescent="0.2">
      <c r="A62" t="s">
        <v>133</v>
      </c>
      <c r="B62">
        <f>INDEX('vehicles specifications'!$B$3:$CW$166,MATCH(B51,'vehicles specifications'!$A$3:$A$166,0),MATCH("Power [kW]",'vehicles specifications'!$B$2:$CW$2,0))</f>
        <v>49</v>
      </c>
    </row>
    <row r="63" spans="1:2" x14ac:dyDescent="0.2">
      <c r="A63" t="s">
        <v>652</v>
      </c>
      <c r="B63" s="20" t="s">
        <v>45</v>
      </c>
    </row>
    <row r="64" spans="1:2" x14ac:dyDescent="0.2">
      <c r="A64" t="s">
        <v>134</v>
      </c>
      <c r="B64">
        <f>INDEX('vehicles specifications'!$B$3:$CW$166,MATCH(B51,'vehicles specifications'!$A$3:$A$166,0),MATCH("Energy battery mass [kg]",'vehicles specifications'!$B$2:$CW$2,0))</f>
        <v>110.93333333333334</v>
      </c>
    </row>
    <row r="65" spans="1:8" x14ac:dyDescent="0.2">
      <c r="A65" t="s">
        <v>135</v>
      </c>
      <c r="B65">
        <f>INDEX('vehicles specifications'!$B$3:$CW$166,MATCH(B51,'vehicles specifications'!$A$3:$A$166,0),MATCH("Electric energy stored [kWh]",'vehicles specifications'!$B$2:$CW$2,0))</f>
        <v>25.6</v>
      </c>
    </row>
    <row r="66" spans="1:8" x14ac:dyDescent="0.2">
      <c r="A66" t="s">
        <v>588</v>
      </c>
      <c r="B66">
        <f>INDEX('vehicles specifications'!$B$3:$CW$166,MATCH(B51,'vehicles specifications'!$A$3:$A$166,0),MATCH("Electric energy available [kWh]",'vehicles specifications'!$B$2:$CW$2,0))</f>
        <v>20.480000000000004</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268.363525302575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Motorbike, electric, &gt;35kW, NCA battery, 2030</v>
      </c>
      <c r="B78">
        <v>1</v>
      </c>
      <c r="C78" t="str">
        <f>B47</f>
        <v>CH</v>
      </c>
      <c r="D78" t="str">
        <f>B54</f>
        <v>unit</v>
      </c>
      <c r="F78" t="s">
        <v>84</v>
      </c>
      <c r="G78" t="s">
        <v>85</v>
      </c>
      <c r="H78" t="str">
        <f>B48</f>
        <v>Motorbike, electric, &gt;35kW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111</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3.33</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13.74</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22.900000000000002</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760</v>
      </c>
      <c r="B83" s="11">
        <f>INDEX('vehicles specifications'!$B$3:$CW$166,MATCH(B51,'vehicles specifications'!$A$3:$A$166,0),MATCH(G83,'vehicles specifications'!$B$2:$CW$2,0))*INDEX('ei names mapping'!$B$137:$BL$300,MATCH(B51,'ei names mapping'!$A$137:$A$300,0),MATCH(G83,'ei names mapping'!$B$136:$BL$136,0))</f>
        <v>128</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38.400000000000006</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107.67</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36.64</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-166.4</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255.24333333333331</v>
      </c>
      <c r="C89" t="s">
        <v>92</v>
      </c>
      <c r="D89" t="s">
        <v>233</v>
      </c>
      <c r="F89" t="s">
        <v>89</v>
      </c>
      <c r="H89" s="13" t="s">
        <v>841</v>
      </c>
    </row>
    <row r="90" spans="1:8" x14ac:dyDescent="0.2">
      <c r="A90" s="13" t="s">
        <v>441</v>
      </c>
      <c r="B90" s="2">
        <f>(B61/1000)*B73</f>
        <v>4058.3689999999997</v>
      </c>
      <c r="C90" t="s">
        <v>95</v>
      </c>
      <c r="D90" t="s">
        <v>233</v>
      </c>
      <c r="F90" t="s">
        <v>89</v>
      </c>
      <c r="H90" s="13" t="s">
        <v>441</v>
      </c>
    </row>
    <row r="92" spans="1:8" ht="16" x14ac:dyDescent="0.2">
      <c r="A92" s="10" t="s">
        <v>71</v>
      </c>
      <c r="B92" s="8" t="str">
        <f>B94&amp;", "&amp;B109&amp;" battery, "&amp;B96</f>
        <v>Motorbike, electric, &gt;35kW, NCA battery, 2040</v>
      </c>
    </row>
    <row r="93" spans="1:8" x14ac:dyDescent="0.2">
      <c r="A93" t="s">
        <v>72</v>
      </c>
      <c r="B93" t="s">
        <v>37</v>
      </c>
    </row>
    <row r="94" spans="1:8" x14ac:dyDescent="0.2">
      <c r="A94" t="s">
        <v>86</v>
      </c>
      <c r="B94" t="s">
        <v>495</v>
      </c>
    </row>
    <row r="95" spans="1:8" x14ac:dyDescent="0.2">
      <c r="A95" t="s">
        <v>87</v>
      </c>
    </row>
    <row r="96" spans="1:8" x14ac:dyDescent="0.2">
      <c r="A96" t="s">
        <v>88</v>
      </c>
      <c r="B96">
        <v>2040</v>
      </c>
    </row>
    <row r="97" spans="1:2" x14ac:dyDescent="0.2">
      <c r="A97" t="s">
        <v>126</v>
      </c>
      <c r="B97" t="str">
        <f>B94&amp;" - "&amp;B96&amp;" - "&amp;B109&amp;" - "&amp;B93</f>
        <v>Motorbike, electric, &gt;35kW - 2040 - NCA - CH</v>
      </c>
    </row>
    <row r="98" spans="1:2" x14ac:dyDescent="0.2">
      <c r="A98" t="s">
        <v>73</v>
      </c>
      <c r="B98" t="str">
        <f>B94</f>
        <v>Motorbike, electric, &gt;35kW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40500</v>
      </c>
    </row>
    <row r="103" spans="1:2" x14ac:dyDescent="0.2">
      <c r="A103" t="s">
        <v>128</v>
      </c>
      <c r="B103">
        <f>INDEX('vehicles specifications'!$B$3:$CW$166,MATCH(B97,'vehicles specifications'!$A$3:$A$166,0),MATCH("Passengers [unit]",'vehicles specifications'!$B$2:$CW$2,0))</f>
        <v>1.1000000000000001</v>
      </c>
    </row>
    <row r="104" spans="1:2" x14ac:dyDescent="0.2">
      <c r="A104" t="s">
        <v>129</v>
      </c>
      <c r="B104">
        <f>INDEX('vehicles specifications'!$B$3:$CW$166,MATCH(B97,'vehicles specifications'!$A$3:$A$166,0),MATCH("Servicing [unit]",'vehicles specifications'!$B$2:$CW$2,0))</f>
        <v>1.62</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2896</v>
      </c>
    </row>
    <row r="107" spans="1:2" x14ac:dyDescent="0.2">
      <c r="A107" t="s">
        <v>132</v>
      </c>
      <c r="B107" s="2">
        <f>INDEX('vehicles specifications'!$B$3:$CW$166,MATCH(B97,'vehicles specifications'!$A$3:$A$166,0),MATCH("Curb mass [kg]",'vehicles specifications'!$B$2:$CW$2,0))</f>
        <v>255.83999999999997</v>
      </c>
    </row>
    <row r="108" spans="1:2" x14ac:dyDescent="0.2">
      <c r="A108" t="s">
        <v>133</v>
      </c>
      <c r="B108">
        <f>INDEX('vehicles specifications'!$B$3:$CW$166,MATCH(B97,'vehicles specifications'!$A$3:$A$166,0),MATCH("Power [kW]",'vehicles specifications'!$B$2:$CW$2,0))</f>
        <v>49</v>
      </c>
    </row>
    <row r="109" spans="1:2" x14ac:dyDescent="0.2">
      <c r="A109" t="s">
        <v>652</v>
      </c>
      <c r="B109" s="20" t="s">
        <v>45</v>
      </c>
    </row>
    <row r="110" spans="1:2" x14ac:dyDescent="0.2">
      <c r="A110" t="s">
        <v>134</v>
      </c>
      <c r="B110">
        <f>INDEX('vehicles specifications'!$B$3:$CW$166,MATCH(B97,'vehicles specifications'!$A$3:$A$166,0),MATCH("Energy battery mass [kg]",'vehicles specifications'!$B$2:$CW$2,0))</f>
        <v>113.75</v>
      </c>
    </row>
    <row r="111" spans="1:2" x14ac:dyDescent="0.2">
      <c r="A111" t="s">
        <v>135</v>
      </c>
      <c r="B111">
        <f>INDEX('vehicles specifications'!$B$3:$CW$166,MATCH(B97,'vehicles specifications'!$A$3:$A$166,0),MATCH("Electric energy stored [kWh]",'vehicles specifications'!$B$2:$CW$2,0))</f>
        <v>35</v>
      </c>
    </row>
    <row r="112" spans="1:2" x14ac:dyDescent="0.2">
      <c r="A112" t="s">
        <v>588</v>
      </c>
      <c r="B112">
        <f>INDEX('vehicles specifications'!$B$3:$CW$166,MATCH(B97,'vehicles specifications'!$A$3:$A$166,0),MATCH("Electric energy available [kWh]",'vehicles specifications'!$B$2:$CW$2,0))</f>
        <v>28</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366.90325724961417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Motorbike, electric, &gt;35kW, NCA battery, 2040</v>
      </c>
      <c r="B124">
        <v>1</v>
      </c>
      <c r="C124" t="str">
        <f>B93</f>
        <v>CH</v>
      </c>
      <c r="D124" t="str">
        <f>B100</f>
        <v>unit</v>
      </c>
      <c r="F124" t="s">
        <v>84</v>
      </c>
      <c r="G124" t="s">
        <v>85</v>
      </c>
      <c r="H124" t="str">
        <f>B94</f>
        <v>Motorbike, electric, &gt;35kW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111</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5.5500000000000007</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13.74</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22.900000000000002</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760</v>
      </c>
      <c r="B129" s="11">
        <f>INDEX('vehicles specifications'!$B$3:$CW$166,MATCH(B97,'vehicles specifications'!$A$3:$A$166,0),MATCH(G129,'vehicles specifications'!$B$2:$CW$2,0))*INDEX('ei names mapping'!$B$137:$BL$300,MATCH(B97,'ei names mapping'!$A$137:$A$300,0),MATCH(G129,'ei names mapping'!$B$136:$BL$136,0))</f>
        <v>109.375</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32.8125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105.44999999999999</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36.64</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-142.1875</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255.83999999999995</v>
      </c>
      <c r="C135" t="s">
        <v>92</v>
      </c>
      <c r="D135" t="s">
        <v>233</v>
      </c>
      <c r="F135" t="s">
        <v>89</v>
      </c>
      <c r="H135" s="13" t="s">
        <v>841</v>
      </c>
    </row>
    <row r="136" spans="1:8" x14ac:dyDescent="0.2">
      <c r="A136" s="13" t="s">
        <v>441</v>
      </c>
      <c r="B136" s="2">
        <f>(B107/1000)*B119</f>
        <v>4067.8559999999993</v>
      </c>
      <c r="C136" t="s">
        <v>95</v>
      </c>
      <c r="D136" t="s">
        <v>233</v>
      </c>
      <c r="F136" t="s">
        <v>89</v>
      </c>
      <c r="H136" s="13" t="s">
        <v>441</v>
      </c>
    </row>
    <row r="138" spans="1:8" ht="16" x14ac:dyDescent="0.2">
      <c r="A138" s="10" t="s">
        <v>71</v>
      </c>
      <c r="B138" s="8" t="str">
        <f>B140&amp;", "&amp;B155&amp;" battery, "&amp;B142</f>
        <v>Motorbike, electric, &gt;35kW, NCA battery, 2050</v>
      </c>
    </row>
    <row r="139" spans="1:8" x14ac:dyDescent="0.2">
      <c r="A139" t="s">
        <v>72</v>
      </c>
      <c r="B139" t="s">
        <v>37</v>
      </c>
    </row>
    <row r="140" spans="1:8" x14ac:dyDescent="0.2">
      <c r="A140" t="s">
        <v>86</v>
      </c>
      <c r="B140" t="s">
        <v>495</v>
      </c>
    </row>
    <row r="141" spans="1:8" x14ac:dyDescent="0.2">
      <c r="A141" t="s">
        <v>87</v>
      </c>
    </row>
    <row r="142" spans="1:8" x14ac:dyDescent="0.2">
      <c r="A142" t="s">
        <v>88</v>
      </c>
      <c r="B142">
        <v>2050</v>
      </c>
    </row>
    <row r="143" spans="1:8" x14ac:dyDescent="0.2">
      <c r="A143" t="s">
        <v>126</v>
      </c>
      <c r="B143" t="str">
        <f>B140&amp;" - "&amp;B142&amp;" - "&amp;B155&amp;" - "&amp;B139</f>
        <v>Motorbike, electric, &gt;35kW - 2050 - NCA - CH</v>
      </c>
    </row>
    <row r="144" spans="1:8" x14ac:dyDescent="0.2">
      <c r="A144" t="s">
        <v>73</v>
      </c>
      <c r="B144" t="str">
        <f>B140</f>
        <v>Motorbike, electric, &gt;35kW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40500</v>
      </c>
    </row>
    <row r="149" spans="1:2" x14ac:dyDescent="0.2">
      <c r="A149" t="s">
        <v>128</v>
      </c>
      <c r="B149">
        <f>INDEX('vehicles specifications'!$B$3:$CW$166,MATCH(B143,'vehicles specifications'!$A$3:$A$166,0),MATCH("Passengers [unit]",'vehicles specifications'!$B$2:$CW$2,0))</f>
        <v>1.1000000000000001</v>
      </c>
    </row>
    <row r="150" spans="1:2" x14ac:dyDescent="0.2">
      <c r="A150" t="s">
        <v>129</v>
      </c>
      <c r="B150">
        <f>INDEX('vehicles specifications'!$B$3:$CW$166,MATCH(B143,'vehicles specifications'!$A$3:$A$166,0),MATCH("Servicing [unit]",'vehicles specifications'!$B$2:$CW$2,0))</f>
        <v>1.62</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2896</v>
      </c>
    </row>
    <row r="153" spans="1:2" x14ac:dyDescent="0.2">
      <c r="A153" t="s">
        <v>132</v>
      </c>
      <c r="B153" s="2">
        <f>INDEX('vehicles specifications'!$B$3:$CW$166,MATCH(B143,'vehicles specifications'!$A$3:$A$166,0),MATCH("Curb mass [kg]",'vehicles specifications'!$B$2:$CW$2,0))</f>
        <v>255.57</v>
      </c>
    </row>
    <row r="154" spans="1:2" x14ac:dyDescent="0.2">
      <c r="A154" t="s">
        <v>133</v>
      </c>
      <c r="B154">
        <f>INDEX('vehicles specifications'!$B$3:$CW$166,MATCH(B143,'vehicles specifications'!$A$3:$A$166,0),MATCH("Power [kW]",'vehicles specifications'!$B$2:$CW$2,0))</f>
        <v>49</v>
      </c>
    </row>
    <row r="155" spans="1:2" x14ac:dyDescent="0.2">
      <c r="A155" t="s">
        <v>652</v>
      </c>
      <c r="B155" s="20" t="s">
        <v>45</v>
      </c>
    </row>
    <row r="156" spans="1:2" x14ac:dyDescent="0.2">
      <c r="A156" t="s">
        <v>134</v>
      </c>
      <c r="B156">
        <f>INDEX('vehicles specifications'!$B$3:$CW$166,MATCH(B143,'vehicles specifications'!$A$3:$A$166,0),MATCH("Energy battery mass [kg]",'vehicles specifications'!$B$2:$CW$2,0))</f>
        <v>115.7</v>
      </c>
    </row>
    <row r="157" spans="1:2" x14ac:dyDescent="0.2">
      <c r="A157" t="s">
        <v>135</v>
      </c>
      <c r="B157">
        <f>INDEX('vehicles specifications'!$B$3:$CW$166,MATCH(B143,'vehicles specifications'!$A$3:$A$166,0),MATCH("Electric energy stored [kWh]",'vehicles specifications'!$B$2:$CW$2,0))</f>
        <v>44.5</v>
      </c>
    </row>
    <row r="158" spans="1:2" x14ac:dyDescent="0.2">
      <c r="A158" t="s">
        <v>588</v>
      </c>
      <c r="B158">
        <f>INDEX('vehicles specifications'!$B$3:$CW$166,MATCH(B143,'vehicles specifications'!$A$3:$A$166,0),MATCH("Electric energy available [kWh]",'vehicles specifications'!$B$2:$CW$2,0))</f>
        <v>35.6</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466.49128421736663</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Motorbike, electric, &gt;35kW, NCA battery, 2050</v>
      </c>
      <c r="B170">
        <v>1</v>
      </c>
      <c r="C170" t="str">
        <f>B139</f>
        <v>CH</v>
      </c>
      <c r="D170" t="str">
        <f>B146</f>
        <v>unit</v>
      </c>
      <c r="F170" t="s">
        <v>84</v>
      </c>
      <c r="G170" t="s">
        <v>85</v>
      </c>
      <c r="H170" t="str">
        <f>B140</f>
        <v>Motorbike, electric, &gt;35kW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111</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7.7700000000000005</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13.74</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22.900000000000002</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760</v>
      </c>
      <c r="B175" s="11">
        <f>INDEX('vehicles specifications'!$B$3:$CW$166,MATCH(B143,'vehicles specifications'!$A$3:$A$166,0),MATCH(G175,'vehicles specifications'!$B$2:$CW$2,0))*INDEX('ei names mapping'!$B$137:$BL$300,MATCH(B143,'ei names mapping'!$A$137:$A$300,0),MATCH(G175,'ei names mapping'!$B$136:$BL$136,0))</f>
        <v>89</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26.7</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103.22999999999999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36.64</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-115.7</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255.57000000000002</v>
      </c>
      <c r="C181" t="s">
        <v>92</v>
      </c>
      <c r="D181" t="s">
        <v>233</v>
      </c>
      <c r="F181" t="s">
        <v>89</v>
      </c>
      <c r="H181" s="13" t="s">
        <v>841</v>
      </c>
    </row>
    <row r="182" spans="1:8" x14ac:dyDescent="0.2">
      <c r="A182" s="13" t="s">
        <v>441</v>
      </c>
      <c r="B182" s="2">
        <f>(B153/1000)*B165</f>
        <v>4063.5630000000001</v>
      </c>
      <c r="C182" t="s">
        <v>95</v>
      </c>
      <c r="D182" t="s">
        <v>233</v>
      </c>
      <c r="F182" t="s">
        <v>89</v>
      </c>
      <c r="H182" s="13" t="s">
        <v>441</v>
      </c>
    </row>
    <row r="183" spans="1:8" x14ac:dyDescent="0.2">
      <c r="B183" s="2"/>
    </row>
    <row r="184" spans="1:8" ht="16" x14ac:dyDescent="0.2">
      <c r="A184" s="10" t="s">
        <v>71</v>
      </c>
      <c r="B184" s="8" t="str">
        <f>"transport, "&amp;B186&amp;", "&amp;B201&amp;" battery, "&amp;B188</f>
        <v>transport, Motorbike, electric, &gt;35kW, NCA battery, 2020</v>
      </c>
    </row>
    <row r="185" spans="1:8" x14ac:dyDescent="0.2">
      <c r="A185" t="s">
        <v>72</v>
      </c>
      <c r="B185" t="s">
        <v>37</v>
      </c>
    </row>
    <row r="186" spans="1:8" x14ac:dyDescent="0.2">
      <c r="A186" t="s">
        <v>86</v>
      </c>
      <c r="B186" t="s">
        <v>495</v>
      </c>
    </row>
    <row r="187" spans="1:8" x14ac:dyDescent="0.2">
      <c r="A187" t="s">
        <v>87</v>
      </c>
    </row>
    <row r="188" spans="1:8" x14ac:dyDescent="0.2">
      <c r="A188" t="s">
        <v>88</v>
      </c>
      <c r="B188">
        <v>2020</v>
      </c>
    </row>
    <row r="189" spans="1:8" x14ac:dyDescent="0.2">
      <c r="A189" t="s">
        <v>126</v>
      </c>
      <c r="B189" t="str">
        <f>B186&amp;" - "&amp;B188&amp;" - "&amp;B201&amp;" - "&amp;B185</f>
        <v>Motorbike, electric, &gt;35kW - 2020 - NCA - CH</v>
      </c>
    </row>
    <row r="190" spans="1:8" x14ac:dyDescent="0.2">
      <c r="A190" t="s">
        <v>73</v>
      </c>
      <c r="B190" t="str">
        <f>"transport, "&amp;B186</f>
        <v>transport, Motorbike, electric, &gt;35kW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40500</v>
      </c>
    </row>
    <row r="195" spans="1:2" x14ac:dyDescent="0.2">
      <c r="A195" t="s">
        <v>128</v>
      </c>
      <c r="B195">
        <f>INDEX('vehicles specifications'!$B$3:$CW$166,MATCH(B189,'vehicles specifications'!$A$3:$A$166,0),MATCH("Passengers [unit]",'vehicles specifications'!$B$2:$CW$2,0))</f>
        <v>1.1000000000000001</v>
      </c>
    </row>
    <row r="196" spans="1:2" x14ac:dyDescent="0.2">
      <c r="A196" t="s">
        <v>129</v>
      </c>
      <c r="B196">
        <f>INDEX('vehicles specifications'!$B$3:$CW$166,MATCH(B189,'vehicles specifications'!$A$3:$A$166,0),MATCH("Servicing [unit]",'vehicles specifications'!$B$2:$CW$2,0))</f>
        <v>1.62</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2896</v>
      </c>
    </row>
    <row r="199" spans="1:2" x14ac:dyDescent="0.2">
      <c r="A199" t="s">
        <v>132</v>
      </c>
      <c r="B199" s="2">
        <f>INDEX('vehicles specifications'!$B$3:$CW$166,MATCH(B189,'vehicles specifications'!$A$3:$A$166,0),MATCH("Curb mass [kg]",'vehicles specifications'!$B$2:$CW$2,0))</f>
        <v>240.90086956521736</v>
      </c>
    </row>
    <row r="200" spans="1:2" x14ac:dyDescent="0.2">
      <c r="A200" t="s">
        <v>133</v>
      </c>
      <c r="B200">
        <f>INDEX('vehicles specifications'!$B$3:$CW$166,MATCH(B189,'vehicles specifications'!$A$3:$A$166,0),MATCH("Power [kW]",'vehicles specifications'!$B$2:$CW$2,0))</f>
        <v>49</v>
      </c>
    </row>
    <row r="201" spans="1:2" x14ac:dyDescent="0.2">
      <c r="A201" t="s">
        <v>652</v>
      </c>
      <c r="B201" s="20" t="s">
        <v>45</v>
      </c>
    </row>
    <row r="202" spans="1:2" x14ac:dyDescent="0.2">
      <c r="A202" t="s">
        <v>134</v>
      </c>
      <c r="B202">
        <f>INDEX('vehicles specifications'!$B$3:$CW$166,MATCH(B189,'vehicles specifications'!$A$3:$A$166,0),MATCH("Energy battery mass [kg]",'vehicles specifications'!$B$2:$CW$2,0))</f>
        <v>93.260869565217391</v>
      </c>
    </row>
    <row r="203" spans="1:2" x14ac:dyDescent="0.2">
      <c r="A203" t="s">
        <v>135</v>
      </c>
      <c r="B203">
        <f>INDEX('vehicles specifications'!$B$3:$CW$166,MATCH(B189,'vehicles specifications'!$A$3:$A$166,0),MATCH("Electric energy stored [kWh]",'vehicles specifications'!$B$2:$CW$2,0))</f>
        <v>16.5</v>
      </c>
    </row>
    <row r="204" spans="1:2" x14ac:dyDescent="0.2">
      <c r="A204" t="s">
        <v>588</v>
      </c>
      <c r="B204">
        <f>INDEX('vehicles specifications'!$B$3:$CW$166,MATCH(B189,'vehicles specifications'!$A$3:$A$166,0),MATCH("Electric energy available [kWh]",'vehicles specifications'!$B$2:$CW$2,0))</f>
        <v>13.200000000000001</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172.96867841767528</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"&amp;'lci-kick scooter - NMC'!B156</f>
        <v>Power: 49 kW. Lifetime: 40500 km. Annual kilometers: 2896 km. Number of passengers: 1.1. Curb mass: 240.9 kg. Lightweighting of glider: 0%. Emission standard: None. Service visits throughout lifetime: 1.6. Range: 173 km. Battery capacity: 16.5 kWh. Available battery capacity: 13.2 kWh. Battery mass: 93.3 kg. Battery replacement throughout lifetime: 1. Fuel tank capacity: 0 kWh. Fuel mass: 0 kg. Documentation: Life-cycle inventories for on-road vehicles, Sacchi R. (PSI), Bauer C. (PSI), 2021. 1.3</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Motorbike, electric, &gt;35kW, NCA battery, 2020</v>
      </c>
      <c r="B213">
        <v>1</v>
      </c>
      <c r="C213" t="str">
        <f>B185</f>
        <v>CH</v>
      </c>
      <c r="D213" t="s">
        <v>166</v>
      </c>
      <c r="F213" t="s">
        <v>84</v>
      </c>
      <c r="G213" t="s">
        <v>85</v>
      </c>
      <c r="H213" t="str">
        <f>B190</f>
        <v>transport, Motorbike, electric, &gt;35kW</v>
      </c>
    </row>
    <row r="214" spans="1:8" x14ac:dyDescent="0.2">
      <c r="A214" t="str">
        <f>RIGHT(A213,LEN(A213)-11)</f>
        <v>Motorbike, electric, &gt;35kW, NCA battery, 2020</v>
      </c>
      <c r="B214" s="7">
        <f>1/B194</f>
        <v>2.4691358024691357E-5</v>
      </c>
      <c r="C214" t="str">
        <f>B185</f>
        <v>CH</v>
      </c>
      <c r="D214" t="s">
        <v>76</v>
      </c>
      <c r="F214" t="s">
        <v>89</v>
      </c>
      <c r="H214" t="str">
        <f>RIGHT(H213,LEN(H213)-11)</f>
        <v>Motorbike, electric, &gt;35kW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1.7688826695652171E-4</v>
      </c>
      <c r="C215" t="str">
        <f>INDEX('ei names mapping'!$B$38:$R$67,MATCH(B186,'ei names mapping'!$A$4:$A$33,0),MATCH(G215,'ei names mapping'!$B$3:$R$3,0))</f>
        <v>CH</v>
      </c>
      <c r="D215" t="str">
        <f>INDEX('ei names mapping'!$B$104:$R$133,MATCH(B186,'ei names mapping'!$A$104:$A$133,0),MATCH(G215,'ei names mapping'!$B$3:$R$3,0))</f>
        <v>meter-year</v>
      </c>
      <c r="F215" t="s">
        <v>89</v>
      </c>
      <c r="G215" t="s">
        <v>105</v>
      </c>
      <c r="H215" t="str">
        <f>INDEX('ei names mapping'!$B$71:$R$100,MATCH(B186,'ei names mapping'!$A$4:$A$33,0),MATCH(G215,'ei names mapping'!$B$3:$R$3,0))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8.3945834198593472E-2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-1.0841022060127957E-5</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-6.5987627132065337E-6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-3.8015212607368517E-6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Motorbike, electric, &gt;35kW, NCA battery, 2030</v>
      </c>
    </row>
    <row r="224" spans="1:8" x14ac:dyDescent="0.2">
      <c r="A224" t="s">
        <v>72</v>
      </c>
      <c r="B224" t="s">
        <v>37</v>
      </c>
    </row>
    <row r="225" spans="1:2" x14ac:dyDescent="0.2">
      <c r="A225" t="s">
        <v>86</v>
      </c>
      <c r="B225" t="s">
        <v>495</v>
      </c>
    </row>
    <row r="226" spans="1:2" x14ac:dyDescent="0.2">
      <c r="A226" t="s">
        <v>87</v>
      </c>
    </row>
    <row r="227" spans="1:2" x14ac:dyDescent="0.2">
      <c r="A227" t="s">
        <v>88</v>
      </c>
      <c r="B227">
        <v>2030</v>
      </c>
    </row>
    <row r="228" spans="1:2" x14ac:dyDescent="0.2">
      <c r="A228" t="s">
        <v>126</v>
      </c>
      <c r="B228" t="str">
        <f>B225&amp;" - "&amp;B227&amp;" - "&amp;B240&amp;" - "&amp;B224</f>
        <v>Motorbike, electric, &gt;35kW - 2030 - NCA - CH</v>
      </c>
    </row>
    <row r="229" spans="1:2" x14ac:dyDescent="0.2">
      <c r="A229" t="s">
        <v>73</v>
      </c>
      <c r="B229" t="str">
        <f>"transport, "&amp;B225</f>
        <v>transport, Motorbike, electric, &gt;35kW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40500</v>
      </c>
    </row>
    <row r="234" spans="1:2" x14ac:dyDescent="0.2">
      <c r="A234" t="s">
        <v>128</v>
      </c>
      <c r="B234">
        <f>INDEX('vehicles specifications'!$B$3:$CW$166,MATCH(B228,'vehicles specifications'!$A$3:$A$166,0),MATCH("Passengers [unit]",'vehicles specifications'!$B$2:$CW$2,0))</f>
        <v>1.1000000000000001</v>
      </c>
    </row>
    <row r="235" spans="1:2" x14ac:dyDescent="0.2">
      <c r="A235" t="s">
        <v>129</v>
      </c>
      <c r="B235">
        <f>INDEX('vehicles specifications'!$B$3:$CW$166,MATCH(B228,'vehicles specifications'!$A$3:$A$166,0),MATCH("Servicing [unit]",'vehicles specifications'!$B$2:$CW$2,0))</f>
        <v>1.62</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2896</v>
      </c>
    </row>
    <row r="238" spans="1:2" x14ac:dyDescent="0.2">
      <c r="A238" t="s">
        <v>132</v>
      </c>
      <c r="B238" s="2">
        <f>INDEX('vehicles specifications'!$B$3:$CW$166,MATCH(B228,'vehicles specifications'!$A$3:$A$166,0),MATCH("Curb mass [kg]",'vehicles specifications'!$B$2:$CW$2,0))</f>
        <v>255.24333333333334</v>
      </c>
    </row>
    <row r="239" spans="1:2" x14ac:dyDescent="0.2">
      <c r="A239" t="s">
        <v>133</v>
      </c>
      <c r="B239">
        <f>INDEX('vehicles specifications'!$B$3:$CW$166,MATCH(B228,'vehicles specifications'!$A$3:$A$166,0),MATCH("Power [kW]",'vehicles specifications'!$B$2:$CW$2,0))</f>
        <v>49</v>
      </c>
    </row>
    <row r="240" spans="1:2" x14ac:dyDescent="0.2">
      <c r="A240" t="s">
        <v>652</v>
      </c>
      <c r="B240" s="20" t="s">
        <v>45</v>
      </c>
    </row>
    <row r="241" spans="1:8" x14ac:dyDescent="0.2">
      <c r="A241" t="s">
        <v>134</v>
      </c>
      <c r="B241">
        <f>INDEX('vehicles specifications'!$B$3:$CW$166,MATCH(B228,'vehicles specifications'!$A$3:$A$166,0),MATCH("Energy battery mass [kg]",'vehicles specifications'!$B$2:$CW$2,0))</f>
        <v>110.93333333333334</v>
      </c>
    </row>
    <row r="242" spans="1:8" x14ac:dyDescent="0.2">
      <c r="A242" t="s">
        <v>135</v>
      </c>
      <c r="B242">
        <f>INDEX('vehicles specifications'!$B$3:$CW$166,MATCH(B228,'vehicles specifications'!$A$3:$A$166,0),MATCH("Electric energy stored [kWh]",'vehicles specifications'!$B$2:$CW$2,0))</f>
        <v>25.6</v>
      </c>
    </row>
    <row r="243" spans="1:8" x14ac:dyDescent="0.2">
      <c r="A243" t="s">
        <v>588</v>
      </c>
      <c r="B243">
        <f>INDEX('vehicles specifications'!$B$3:$CW$166,MATCH(B228,'vehicles specifications'!$A$3:$A$166,0),MATCH("Electric energy available [kWh]",'vehicles specifications'!$B$2:$CW$2,0))</f>
        <v>20.480000000000004</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268.363525302575</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"&amp;'lci-kick scooter - NMC'!B195</f>
        <v>Power: 49 kW. Lifetime: 40500 km. Annual kilometers: 2896 km. Number of passengers: 1.1. Curb mass: 255.2 kg. Lightweighting of glider: 3%. Emission standard: None. Service visits throughout lifetime: 1.6. Range: 268 km. Battery capacity: 25.6 kWh. Available battery capacity: 20.48 kWh. Battery mass: 110.9 kg. Battery replacement throughout lifetime: 0.5. Fuel tank capacity: 0 kWh. Fuel mass: 0 kg. Documentation: Life-cycle inventories for on-road vehicles, Sacchi R. (PSI), Bauer C. (PSI), 2021. 0</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Motorbike, electric, &gt;35kW, NCA battery, 2030</v>
      </c>
      <c r="B252">
        <v>1</v>
      </c>
      <c r="C252" t="str">
        <f>B224</f>
        <v>CH</v>
      </c>
      <c r="D252" t="s">
        <v>166</v>
      </c>
      <c r="F252" t="s">
        <v>84</v>
      </c>
      <c r="G252" t="s">
        <v>85</v>
      </c>
      <c r="H252" t="str">
        <f>B229</f>
        <v>transport, Motorbike, electric, &gt;35kW</v>
      </c>
    </row>
    <row r="253" spans="1:8" x14ac:dyDescent="0.2">
      <c r="A253" t="str">
        <f>RIGHT(A252,LEN(A252)-11)</f>
        <v>Motorbike, electric, &gt;35kW, NCA battery, 2030</v>
      </c>
      <c r="B253" s="7">
        <f>1/B233</f>
        <v>2.4691358024691357E-5</v>
      </c>
      <c r="C253" t="str">
        <f>B224</f>
        <v>CH</v>
      </c>
      <c r="D253" t="s">
        <v>76</v>
      </c>
      <c r="F253" t="s">
        <v>89</v>
      </c>
      <c r="H253" t="str">
        <f>RIGHT(H252,LEN(H252)-11)</f>
        <v>Motorbike, electric, &gt;35kW</v>
      </c>
    </row>
    <row r="254" spans="1:8" x14ac:dyDescent="0.2">
      <c r="A254" t="str">
        <f>INDEX('ei names mapping'!$B$4:$R$33,MATCH(B225,'ei names mapping'!$A$4:$A$33,0),MATCH(G254,'ei names mapping'!$B$3:$R$3,0))</f>
        <v>road maintenance</v>
      </c>
      <c r="B254" s="7">
        <f>INDEX('vehicles specifications'!$B$3:$CW$166,MATCH(B228,'vehicles specifications'!$A$3:$A$166,0),MATCH(G254,'vehicles specifications'!$B$2:$CW$2,0))*INDEX('ei names mapping'!$B$137:$BL$300,MATCH(B228,'ei names mapping'!$A$137:$A$300,0),MATCH(G254,'ei names mapping'!$B$136:$BL$136,0))</f>
        <v>1.2899999999999999E-3</v>
      </c>
      <c r="C254" t="str">
        <f>INDEX('ei names mapping'!$B$38:$R$67,MATCH(B225,'ei names mapping'!$A$4:$A$33,0),MATCH(G254,'ei names mapping'!$B$3:$R$3,0))</f>
        <v>CH</v>
      </c>
      <c r="D254" t="str">
        <f>INDEX('ei names mapping'!$B$104:$BL$133,MATCH(B225,'ei names mapping'!$A$4:$A$33,0),MATCH(G254,'ei names mapping'!$B$3:$BL$3,0))</f>
        <v>meter-year</v>
      </c>
      <c r="F254" t="s">
        <v>89</v>
      </c>
      <c r="G254" t="s">
        <v>112</v>
      </c>
      <c r="H254" t="str">
        <f>INDEX('ei names mapping'!$B$71:$BL$100,MATCH(B225,'ei names mapping'!$A$4:$A$33,0),MATCH(G254,'ei names mapping'!$B$3:$BL$3,0))</f>
        <v>road maintenance</v>
      </c>
    </row>
    <row r="255" spans="1:8" x14ac:dyDescent="0.2">
      <c r="A255" t="str">
        <f>INDEX('ei names mapping'!$B$4:$R$33,MATCH(B225,'ei names mapping'!$A$4:$A$33,0),MATCH(G255,'ei names mapping'!$B$3:$R$3,0))</f>
        <v>market for electricity, low voltage</v>
      </c>
      <c r="B255" s="7">
        <f>INDEX('vehicles specifications'!$B$3:$CW$166,MATCH(B228,'vehicles specifications'!$A$3:$A$166,0),MATCH(G255,'vehicles specifications'!$B$2:$CW$2,0))*INDEX('ei names mapping'!$B$137:$BL$300,MATCH(B228,'ei names mapping'!$A$137:$A$300,0),MATCH(G255,'ei names mapping'!$B$136:$BL$136,0))</f>
        <v>8.3945834198593472E-2</v>
      </c>
      <c r="C255" t="str">
        <f>INDEX('ei names mapping'!$B$38:$R$67,MATCH($B$3,'ei names mapping'!$A$4:$A$33,0),MATCH(G255,'ei names mapping'!$B$3:$R$3,0))</f>
        <v>CH</v>
      </c>
      <c r="D255" t="str">
        <f>INDEX('ei names mapping'!$B$104:$R$133,MATCH($B$3,'ei names mapping'!$A$4:$A$33,0),MATCH(G255,'ei names mapping'!$B$3:$R$3,0))</f>
        <v>kilowatt hour</v>
      </c>
      <c r="F255" t="s">
        <v>89</v>
      </c>
      <c r="G255" t="s">
        <v>28</v>
      </c>
      <c r="H255" t="str">
        <f>INDEX('ei names mapping'!$B$71:$R$100,MATCH(B225,'ei names mapping'!$A$4:$A$33,0),MATCH(G255,'ei names mapping'!$B$3:$R$3,0))</f>
        <v>electricity, low voltage</v>
      </c>
    </row>
    <row r="256" spans="1:8" x14ac:dyDescent="0.2">
      <c r="A256" t="str">
        <f>INDEX('ei names mapping'!$B$4:$R$33,MATCH(B225,'ei names mapping'!$A$4:$A$33,0),MATCH(G256,'ei names mapping'!$B$3:$R$3,0))</f>
        <v>market for maintenance, electric scooter, without battery</v>
      </c>
      <c r="B256" s="7">
        <f>INDEX('vehicles specifications'!$B$3:$CW$166,MATCH(B228,'vehicles specifications'!$A$3:$A$166,0),MATCH(G256,'vehicles specifications'!$B$2:$CW$2,0))*INDEX('ei names mapping'!$B$137:$BL$300,MATCH(B228,'ei names mapping'!$A$137:$A$300,0),MATCH(G256,'ei names mapping'!$B$136:$BL$136,0))</f>
        <v>4.0000000000000003E-5</v>
      </c>
      <c r="C256" t="str">
        <f>INDEX('ei names mapping'!$B$38:$BL$67,MATCH(B225,'ei names mapping'!$A$4:$A$33,0),MATCH(G256,'ei names mapping'!$B$3:$BL$3,0))</f>
        <v>GLO</v>
      </c>
      <c r="D256" t="str">
        <f>INDEX('ei names mapping'!$B$104:$BL$133,MATCH(B225,'ei names mapping'!$A$4:$A$33,0),MATCH(G256,'ei names mapping'!$B$3:$BL$3,0))</f>
        <v>unit</v>
      </c>
      <c r="F256" t="s">
        <v>89</v>
      </c>
      <c r="G256" t="s">
        <v>118</v>
      </c>
      <c r="H256" t="str">
        <f>INDEX('ei names mapping'!$B$71:$BL$100,MATCH(B225,'ei names mapping'!$A$4:$A$33,0),MATCH(G256,'ei names mapping'!$B$3:$BL$3,0))</f>
        <v>maintenance, electric scooter, without battery</v>
      </c>
    </row>
    <row r="257" spans="1:8" x14ac:dyDescent="0.2">
      <c r="A257" t="str">
        <f>INDEX('ei names mapping'!$B$4:$R$33,MATCH(B225,'ei names mapping'!$A$4:$A$33,0),MATCH(G257,'ei names mapping'!$B$3:$R$3,0))</f>
        <v>road construction</v>
      </c>
      <c r="B257" s="7">
        <f>INDEX('vehicles specifications'!$B$3:$CW$166,MATCH(B228,'vehicles specifications'!$A$3:$A$166,0),MATCH(G257,'vehicles specifications'!$B$2:$CW$2,0))*INDEX('ei names mapping'!$B$137:$BL$300,MATCH(B228,'ei names mapping'!$A$137:$A$300,0),MATCH(G257,'ei names mapping'!$B$136:$BL$136,0))</f>
        <v>1.8459017000000002E-4</v>
      </c>
      <c r="C257" t="str">
        <f>INDEX('ei names mapping'!$B$38:$R$67,MATCH(B225,'ei names mapping'!$A$4:$A$33,0),MATCH(G257,'ei names mapping'!$B$3:$R$3,0))</f>
        <v>CH</v>
      </c>
      <c r="D257" t="str">
        <f>INDEX('ei names mapping'!$B$104:$R$133,MATCH(B225,'ei names mapping'!$A$104:$A$133,0),MATCH(G257,'ei names mapping'!$B$3:$R$3,0))</f>
        <v>meter-year</v>
      </c>
      <c r="F257" t="s">
        <v>89</v>
      </c>
      <c r="G257" t="s">
        <v>105</v>
      </c>
      <c r="H257" t="str">
        <f>INDEX('ei names mapping'!$B$71:$R$100,MATCH(B225,'ei names mapping'!$A$4:$A$33,0),MATCH(G257,'ei names mapping'!$B$3:$R$3,0))</f>
        <v>road</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-1.1217321401111864E-5</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-6.7391199251587888E-6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-3.9038159758224493E-6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Motorbike, electric, &gt;35kW, NCA battery, 2040</v>
      </c>
    </row>
    <row r="263" spans="1:8" x14ac:dyDescent="0.2">
      <c r="A263" t="s">
        <v>72</v>
      </c>
      <c r="B263" t="s">
        <v>37</v>
      </c>
    </row>
    <row r="264" spans="1:8" x14ac:dyDescent="0.2">
      <c r="A264" t="s">
        <v>86</v>
      </c>
      <c r="B264" t="s">
        <v>495</v>
      </c>
    </row>
    <row r="265" spans="1:8" x14ac:dyDescent="0.2">
      <c r="A265" t="s">
        <v>87</v>
      </c>
    </row>
    <row r="266" spans="1:8" x14ac:dyDescent="0.2">
      <c r="A266" t="s">
        <v>88</v>
      </c>
      <c r="B266">
        <v>2040</v>
      </c>
    </row>
    <row r="267" spans="1:8" x14ac:dyDescent="0.2">
      <c r="A267" t="s">
        <v>126</v>
      </c>
      <c r="B267" t="str">
        <f>B264&amp;" - "&amp;B266&amp;" - "&amp;B279&amp;" - "&amp;B263</f>
        <v>Motorbike, electric, &gt;35kW - 2040 - NCA - CH</v>
      </c>
    </row>
    <row r="268" spans="1:8" x14ac:dyDescent="0.2">
      <c r="A268" t="s">
        <v>73</v>
      </c>
      <c r="B268" t="str">
        <f>"transport, "&amp;B264</f>
        <v>transport, Motorbike, electric, &gt;35kW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40500</v>
      </c>
    </row>
    <row r="273" spans="1:2" x14ac:dyDescent="0.2">
      <c r="A273" t="s">
        <v>128</v>
      </c>
      <c r="B273">
        <f>INDEX('vehicles specifications'!$B$3:$CW$166,MATCH(B267,'vehicles specifications'!$A$3:$A$166,0),MATCH("Passengers [unit]",'vehicles specifications'!$B$2:$CW$2,0))</f>
        <v>1.1000000000000001</v>
      </c>
    </row>
    <row r="274" spans="1:2" x14ac:dyDescent="0.2">
      <c r="A274" t="s">
        <v>129</v>
      </c>
      <c r="B274">
        <f>INDEX('vehicles specifications'!$B$3:$CW$166,MATCH(B267,'vehicles specifications'!$A$3:$A$166,0),MATCH("Servicing [unit]",'vehicles specifications'!$B$2:$CW$2,0))</f>
        <v>1.62</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2896</v>
      </c>
    </row>
    <row r="277" spans="1:2" x14ac:dyDescent="0.2">
      <c r="A277" t="s">
        <v>132</v>
      </c>
      <c r="B277" s="2">
        <f>INDEX('vehicles specifications'!$B$3:$CW$166,MATCH(B267,'vehicles specifications'!$A$3:$A$166,0),MATCH("Curb mass [kg]",'vehicles specifications'!$B$2:$CW$2,0))</f>
        <v>255.83999999999997</v>
      </c>
    </row>
    <row r="278" spans="1:2" x14ac:dyDescent="0.2">
      <c r="A278" t="s">
        <v>133</v>
      </c>
      <c r="B278">
        <f>INDEX('vehicles specifications'!$B$3:$CW$166,MATCH(B267,'vehicles specifications'!$A$3:$A$166,0),MATCH("Power [kW]",'vehicles specifications'!$B$2:$CW$2,0))</f>
        <v>49</v>
      </c>
    </row>
    <row r="279" spans="1:2" x14ac:dyDescent="0.2">
      <c r="A279" t="s">
        <v>652</v>
      </c>
      <c r="B279" s="20" t="s">
        <v>45</v>
      </c>
    </row>
    <row r="280" spans="1:2" x14ac:dyDescent="0.2">
      <c r="A280" t="s">
        <v>134</v>
      </c>
      <c r="B280">
        <f>INDEX('vehicles specifications'!$B$3:$CW$166,MATCH(B267,'vehicles specifications'!$A$3:$A$166,0),MATCH("Energy battery mass [kg]",'vehicles specifications'!$B$2:$CW$2,0))</f>
        <v>113.75</v>
      </c>
    </row>
    <row r="281" spans="1:2" x14ac:dyDescent="0.2">
      <c r="A281" t="s">
        <v>135</v>
      </c>
      <c r="B281">
        <f>INDEX('vehicles specifications'!$B$3:$CW$166,MATCH(B267,'vehicles specifications'!$A$3:$A$166,0),MATCH("Electric energy stored [kWh]",'vehicles specifications'!$B$2:$CW$2,0))</f>
        <v>35</v>
      </c>
    </row>
    <row r="282" spans="1:2" x14ac:dyDescent="0.2">
      <c r="A282" t="s">
        <v>588</v>
      </c>
      <c r="B282">
        <f>INDEX('vehicles specifications'!$B$3:$CW$166,MATCH(B267,'vehicles specifications'!$A$3:$A$166,0),MATCH("Electric energy available [kWh]",'vehicles specifications'!$B$2:$CW$2,0))</f>
        <v>28</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366.90325724961417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"&amp;'lci-kick scooter - NMC'!B233</f>
        <v>Power: 49 kW. Lifetime: 40500 km. Annual kilometers: 2896 km. Number of passengers: 1.1. Curb mass: 255.8 kg. Lightweighting of glider: 5%. Emission standard: None. Service visits throughout lifetime: 1.6. Range: 367 km. Battery capacity: 35 kWh. Available battery capacity: 28 kWh. Battery mass: 113.8 kg. Battery replacement throughout lifetime: 0.3. Fuel tank capacity: 0 kWh. Fuel mass: 0 kg. Documentation: Life-cycle inventories for on-road vehicles, Sacchi R. (PSI), Bauer C. (PSI), 2021. 0</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Motorbike, electric, &gt;35kW, NCA battery, 2040</v>
      </c>
      <c r="B291">
        <v>1</v>
      </c>
      <c r="C291" t="str">
        <f>B263</f>
        <v>CH</v>
      </c>
      <c r="D291" t="s">
        <v>166</v>
      </c>
      <c r="F291" t="s">
        <v>84</v>
      </c>
      <c r="G291" t="s">
        <v>85</v>
      </c>
      <c r="H291" t="str">
        <f>B268</f>
        <v>transport, Motorbike, electric, &gt;35kW</v>
      </c>
    </row>
    <row r="292" spans="1:8" x14ac:dyDescent="0.2">
      <c r="A292" t="str">
        <f>RIGHT(A291,LEN(A291)-11)</f>
        <v>Motorbike, electric, &gt;35kW, NCA battery, 2040</v>
      </c>
      <c r="B292" s="7">
        <f>1/B272</f>
        <v>2.4691358024691357E-5</v>
      </c>
      <c r="C292" t="str">
        <f>B263</f>
        <v>CH</v>
      </c>
      <c r="D292" t="s">
        <v>76</v>
      </c>
      <c r="F292" t="s">
        <v>89</v>
      </c>
      <c r="H292" t="str">
        <f>RIGHT(H291,LEN(H291)-11)</f>
        <v>Motorbike, electric, &gt;35kW</v>
      </c>
    </row>
    <row r="293" spans="1:8" x14ac:dyDescent="0.2">
      <c r="A293" t="str">
        <f>INDEX('ei names mapping'!$B$4:$R$33,MATCH(B264,'ei names mapping'!$A$4:$A$33,0),MATCH(G293,'ei names mapping'!$B$3:$R$3,0))</f>
        <v>road maintenance</v>
      </c>
      <c r="B293" s="7">
        <f>INDEX('vehicles specifications'!$B$3:$CW$166,MATCH(B267,'vehicles specifications'!$A$3:$A$166,0),MATCH(G293,'vehicles specifications'!$B$2:$CW$2,0))*INDEX('ei names mapping'!$B$137:$BL$300,MATCH(B267,'ei names mapping'!$A$137:$A$300,0),MATCH(G293,'ei names mapping'!$B$136:$BL$136,0))</f>
        <v>1.2899999999999999E-3</v>
      </c>
      <c r="C293" t="str">
        <f>INDEX('ei names mapping'!$B$38:$R$67,MATCH(B264,'ei names mapping'!$A$4:$A$33,0),MATCH(G293,'ei names mapping'!$B$3:$R$3,0))</f>
        <v>CH</v>
      </c>
      <c r="D293" t="str">
        <f>INDEX('ei names mapping'!$B$104:$BL$133,MATCH(B264,'ei names mapping'!$A$4:$A$33,0),MATCH(G293,'ei names mapping'!$B$3:$BL$3,0))</f>
        <v>meter-year</v>
      </c>
      <c r="F293" t="s">
        <v>89</v>
      </c>
      <c r="G293" t="s">
        <v>112</v>
      </c>
      <c r="H293" t="str">
        <f>INDEX('ei names mapping'!$B$71:$BL$100,MATCH(B264,'ei names mapping'!$A$4:$A$33,0),MATCH(G293,'ei names mapping'!$B$3:$BL$3,0))</f>
        <v>road maintenance</v>
      </c>
    </row>
    <row r="294" spans="1:8" x14ac:dyDescent="0.2">
      <c r="A294" t="str">
        <f>INDEX('ei names mapping'!$B$4:$R$33,MATCH(B264,'ei names mapping'!$A$4:$A$33,0),MATCH(G294,'ei names mapping'!$B$3:$R$3,0))</f>
        <v>market for electricity, low voltage</v>
      </c>
      <c r="B294" s="7">
        <f>INDEX('vehicles specifications'!$B$3:$CW$166,MATCH(B267,'vehicles specifications'!$A$3:$A$166,0),MATCH(G294,'vehicles specifications'!$B$2:$CW$2,0))*INDEX('ei names mapping'!$B$137:$BL$300,MATCH(B267,'ei names mapping'!$A$137:$A$300,0),MATCH(G294,'ei names mapping'!$B$136:$BL$136,0))</f>
        <v>8.3945834198593472E-2</v>
      </c>
      <c r="C294" t="str">
        <f>INDEX('ei names mapping'!$B$38:$R$67,MATCH($B$3,'ei names mapping'!$A$4:$A$33,0),MATCH(G294,'ei names mapping'!$B$3:$R$3,0))</f>
        <v>CH</v>
      </c>
      <c r="D294" t="str">
        <f>INDEX('ei names mapping'!$B$104:$R$133,MATCH($B$3,'ei names mapping'!$A$4:$A$33,0),MATCH(G294,'ei names mapping'!$B$3:$R$3,0))</f>
        <v>kilowatt hour</v>
      </c>
      <c r="F294" t="s">
        <v>89</v>
      </c>
      <c r="G294" t="s">
        <v>28</v>
      </c>
      <c r="H294" t="str">
        <f>INDEX('ei names mapping'!$B$71:$R$100,MATCH(B264,'ei names mapping'!$A$4:$A$33,0),MATCH(G294,'ei names mapping'!$B$3:$R$3,0))</f>
        <v>electricity, low voltage</v>
      </c>
    </row>
    <row r="295" spans="1:8" x14ac:dyDescent="0.2">
      <c r="A295" t="str">
        <f>INDEX('ei names mapping'!$B$4:$R$33,MATCH(B264,'ei names mapping'!$A$4:$A$33,0),MATCH(G295,'ei names mapping'!$B$3:$R$3,0))</f>
        <v>market for maintenance, electric scooter, without battery</v>
      </c>
      <c r="B295" s="7">
        <f>INDEX('vehicles specifications'!$B$3:$CW$166,MATCH(B267,'vehicles specifications'!$A$3:$A$166,0),MATCH(G295,'vehicles specifications'!$B$2:$CW$2,0))*INDEX('ei names mapping'!$B$137:$BL$300,MATCH(B267,'ei names mapping'!$A$137:$A$300,0),MATCH(G295,'ei names mapping'!$B$136:$BL$136,0))</f>
        <v>4.0000000000000003E-5</v>
      </c>
      <c r="C295" t="str">
        <f>INDEX('ei names mapping'!$B$38:$BL$67,MATCH(B264,'ei names mapping'!$A$4:$A$33,0),MATCH(G295,'ei names mapping'!$B$3:$BL$3,0))</f>
        <v>GLO</v>
      </c>
      <c r="D295" t="str">
        <f>INDEX('ei names mapping'!$B$104:$BL$133,MATCH(B264,'ei names mapping'!$A$4:$A$33,0),MATCH(G295,'ei names mapping'!$B$3:$BL$3,0))</f>
        <v>unit</v>
      </c>
      <c r="F295" t="s">
        <v>89</v>
      </c>
      <c r="G295" t="s">
        <v>118</v>
      </c>
      <c r="H295" t="str">
        <f>INDEX('ei names mapping'!$B$71:$BL$100,MATCH(B264,'ei names mapping'!$A$4:$A$33,0),MATCH(G295,'ei names mapping'!$B$3:$BL$3,0))</f>
        <v>maintenance, electric scooter, without battery</v>
      </c>
    </row>
    <row r="296" spans="1:8" x14ac:dyDescent="0.2">
      <c r="A296" t="str">
        <f>INDEX('ei names mapping'!$B$4:$R$33,MATCH(B264,'ei names mapping'!$A$4:$A$33,0),MATCH(G296,'ei names mapping'!$B$3:$R$3,0))</f>
        <v>road construction</v>
      </c>
      <c r="B296" s="7">
        <f>INDEX('vehicles specifications'!$B$3:$CW$166,MATCH(B267,'vehicles specifications'!$A$3:$A$166,0),MATCH(G296,'vehicles specifications'!$B$2:$CW$2,0))*INDEX('ei names mapping'!$B$137:$BL$300,MATCH(B267,'ei names mapping'!$A$137:$A$300,0),MATCH(G296,'ei names mapping'!$B$136:$BL$136,0))</f>
        <v>1.8491057999999998E-4</v>
      </c>
      <c r="C296" t="str">
        <f>INDEX('ei names mapping'!$B$38:$R$67,MATCH(B264,'ei names mapping'!$A$4:$A$33,0),MATCH(G296,'ei names mapping'!$B$3:$R$3,0))</f>
        <v>CH</v>
      </c>
      <c r="D296" t="str">
        <f>INDEX('ei names mapping'!$B$104:$R$133,MATCH(B264,'ei names mapping'!$A$104:$A$133,0),MATCH(G296,'ei names mapping'!$B$3:$R$3,0))</f>
        <v>meter-year</v>
      </c>
      <c r="F296" t="s">
        <v>89</v>
      </c>
      <c r="G296" t="s">
        <v>105</v>
      </c>
      <c r="H296" t="str">
        <f>INDEX('ei names mapping'!$B$71:$R$100,MATCH(B264,'ei names mapping'!$A$4:$A$33,0),MATCH(G296,'ei names mapping'!$B$3:$R$3,0))</f>
        <v>road</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-1.1232913612431524E-5</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-6.7448750462924897E-6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-3.908028387730268E-6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Motorbike, electric, &gt;35kW, NCA battery, 2050</v>
      </c>
    </row>
    <row r="302" spans="1:8" x14ac:dyDescent="0.2">
      <c r="A302" t="s">
        <v>72</v>
      </c>
      <c r="B302" t="s">
        <v>37</v>
      </c>
    </row>
    <row r="303" spans="1:8" x14ac:dyDescent="0.2">
      <c r="A303" t="s">
        <v>86</v>
      </c>
      <c r="B303" t="s">
        <v>495</v>
      </c>
    </row>
    <row r="304" spans="1:8" x14ac:dyDescent="0.2">
      <c r="A304" t="s">
        <v>87</v>
      </c>
    </row>
    <row r="305" spans="1:2" x14ac:dyDescent="0.2">
      <c r="A305" t="s">
        <v>88</v>
      </c>
      <c r="B305">
        <v>2050</v>
      </c>
    </row>
    <row r="306" spans="1:2" x14ac:dyDescent="0.2">
      <c r="A306" t="s">
        <v>126</v>
      </c>
      <c r="B306" t="str">
        <f>B303&amp;" - "&amp;B305&amp;" - "&amp;B318&amp;" - "&amp;B302</f>
        <v>Motorbike, electric, &gt;35kW - 2050 - NCA - CH</v>
      </c>
    </row>
    <row r="307" spans="1:2" x14ac:dyDescent="0.2">
      <c r="A307" t="s">
        <v>73</v>
      </c>
      <c r="B307" t="str">
        <f>"transport, "&amp;B303</f>
        <v>transport, Motorbike, electric, &gt;35kW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40500</v>
      </c>
    </row>
    <row r="312" spans="1:2" x14ac:dyDescent="0.2">
      <c r="A312" t="s">
        <v>128</v>
      </c>
      <c r="B312">
        <f>INDEX('vehicles specifications'!$B$3:$CW$166,MATCH(B306,'vehicles specifications'!$A$3:$A$166,0),MATCH("Passengers [unit]",'vehicles specifications'!$B$2:$CW$2,0))</f>
        <v>1.1000000000000001</v>
      </c>
    </row>
    <row r="313" spans="1:2" x14ac:dyDescent="0.2">
      <c r="A313" t="s">
        <v>129</v>
      </c>
      <c r="B313">
        <f>INDEX('vehicles specifications'!$B$3:$CW$166,MATCH(B306,'vehicles specifications'!$A$3:$A$166,0),MATCH("Servicing [unit]",'vehicles specifications'!$B$2:$CW$2,0))</f>
        <v>1.62</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2896</v>
      </c>
    </row>
    <row r="316" spans="1:2" x14ac:dyDescent="0.2">
      <c r="A316" t="s">
        <v>132</v>
      </c>
      <c r="B316" s="2">
        <f>INDEX('vehicles specifications'!$B$3:$CW$166,MATCH(B306,'vehicles specifications'!$A$3:$A$166,0),MATCH("Curb mass [kg]",'vehicles specifications'!$B$2:$CW$2,0))</f>
        <v>255.57</v>
      </c>
    </row>
    <row r="317" spans="1:2" x14ac:dyDescent="0.2">
      <c r="A317" t="s">
        <v>133</v>
      </c>
      <c r="B317">
        <f>INDEX('vehicles specifications'!$B$3:$CW$166,MATCH(B306,'vehicles specifications'!$A$3:$A$166,0),MATCH("Power [kW]",'vehicles specifications'!$B$2:$CW$2,0))</f>
        <v>49</v>
      </c>
    </row>
    <row r="318" spans="1:2" x14ac:dyDescent="0.2">
      <c r="A318" t="s">
        <v>652</v>
      </c>
      <c r="B318" s="20" t="s">
        <v>45</v>
      </c>
    </row>
    <row r="319" spans="1:2" x14ac:dyDescent="0.2">
      <c r="A319" t="s">
        <v>134</v>
      </c>
      <c r="B319">
        <f>INDEX('vehicles specifications'!$B$3:$CW$166,MATCH(B306,'vehicles specifications'!$A$3:$A$166,0),MATCH("Energy battery mass [kg]",'vehicles specifications'!$B$2:$CW$2,0))</f>
        <v>115.7</v>
      </c>
    </row>
    <row r="320" spans="1:2" x14ac:dyDescent="0.2">
      <c r="A320" t="s">
        <v>135</v>
      </c>
      <c r="B320">
        <f>INDEX('vehicles specifications'!$B$3:$CW$166,MATCH(B306,'vehicles specifications'!$A$3:$A$166,0),MATCH("Electric energy stored [kWh]",'vehicles specifications'!$B$2:$CW$2,0))</f>
        <v>44.5</v>
      </c>
    </row>
    <row r="321" spans="1:8" x14ac:dyDescent="0.2">
      <c r="A321" t="s">
        <v>588</v>
      </c>
      <c r="B321">
        <f>INDEX('vehicles specifications'!$B$3:$CW$166,MATCH(B306,'vehicles specifications'!$A$3:$A$166,0),MATCH("Electric energy available [kWh]",'vehicles specifications'!$B$2:$CW$2,0))</f>
        <v>35.6</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466.49128421736663</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"&amp;'lci-kick scooter - NMC'!B271</f>
        <v>Power: 49 kW. Lifetime: 40500 km. Annual kilometers: 2896 km. Number of passengers: 1.1. Curb mass: 255.6 kg. Lightweighting of glider: 7%. Emission standard: None. Service visits throughout lifetime: 1.6. Range: 466 km. Battery capacity: 44.5 kWh. Available battery capacity: 35.6 kWh. Battery mass: 115.7 kg. Battery replacement throughout lifetime: 0. Fuel tank capacity: 0 kWh. Fuel mass: 0 kg. Documentation: Life-cycle inventories for on-road vehicles, Sacchi R. (PSI), Bauer C. (PSI), 2021. 890</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Motorbike, electric, &gt;35kW, NCA battery, 2050</v>
      </c>
      <c r="B330">
        <v>1</v>
      </c>
      <c r="C330" t="str">
        <f>B302</f>
        <v>CH</v>
      </c>
      <c r="D330" t="s">
        <v>166</v>
      </c>
      <c r="F330" t="s">
        <v>84</v>
      </c>
      <c r="G330" t="s">
        <v>85</v>
      </c>
      <c r="H330" t="str">
        <f>B307</f>
        <v>transport, Motorbike, electric, &gt;35kW</v>
      </c>
    </row>
    <row r="331" spans="1:8" x14ac:dyDescent="0.2">
      <c r="A331" t="str">
        <f>RIGHT(A330,LEN(A330)-11)</f>
        <v>Motorbike, electric, &gt;35kW, NCA battery, 2050</v>
      </c>
      <c r="B331" s="7">
        <f>1/B311</f>
        <v>2.4691358024691357E-5</v>
      </c>
      <c r="C331" t="str">
        <f>B302</f>
        <v>CH</v>
      </c>
      <c r="D331" t="s">
        <v>76</v>
      </c>
      <c r="F331" t="s">
        <v>89</v>
      </c>
      <c r="H331" t="str">
        <f>RIGHT(H330,LEN(H330)-11)</f>
        <v>Motorbike, electric, &gt;35kW</v>
      </c>
    </row>
    <row r="332" spans="1:8" x14ac:dyDescent="0.2">
      <c r="A332" t="str">
        <f>INDEX('ei names mapping'!$B$4:$R$33,MATCH(B303,'ei names mapping'!$A$4:$A$33,0),MATCH(G332,'ei names mapping'!$B$3:$R$3,0))</f>
        <v>road maintenance</v>
      </c>
      <c r="B332" s="7">
        <f>INDEX('vehicles specifications'!$B$3:$CW$166,MATCH(B306,'vehicles specifications'!$A$3:$A$166,0),MATCH(G332,'vehicles specifications'!$B$2:$CW$2,0))*INDEX('ei names mapping'!$B$137:$BL$300,MATCH(B306,'ei names mapping'!$A$137:$A$300,0),MATCH(G332,'ei names mapping'!$B$136:$BL$136,0))</f>
        <v>1.2899999999999999E-3</v>
      </c>
      <c r="C332" t="str">
        <f>INDEX('ei names mapping'!$B$38:$R$67,MATCH(B303,'ei names mapping'!$A$4:$A$33,0),MATCH(G332,'ei names mapping'!$B$3:$R$3,0))</f>
        <v>CH</v>
      </c>
      <c r="D332" t="str">
        <f>INDEX('ei names mapping'!$B$104:$BL$133,MATCH(B303,'ei names mapping'!$A$4:$A$33,0),MATCH(G332,'ei names mapping'!$B$3:$BL$3,0))</f>
        <v>meter-year</v>
      </c>
      <c r="F332" t="s">
        <v>89</v>
      </c>
      <c r="G332" t="s">
        <v>112</v>
      </c>
      <c r="H332" t="str">
        <f>INDEX('ei names mapping'!$B$71:$BL$100,MATCH(B303,'ei names mapping'!$A$4:$A$33,0),MATCH(G332,'ei names mapping'!$B$3:$BL$3,0))</f>
        <v>road maintenance</v>
      </c>
    </row>
    <row r="333" spans="1:8" x14ac:dyDescent="0.2">
      <c r="A333" t="str">
        <f>INDEX('ei names mapping'!$B$4:$R$33,MATCH(B303,'ei names mapping'!$A$4:$A$33,0),MATCH(G333,'ei names mapping'!$B$3:$R$3,0))</f>
        <v>market for electricity, low voltage</v>
      </c>
      <c r="B333" s="7">
        <f>INDEX('vehicles specifications'!$B$3:$CW$166,MATCH(B306,'vehicles specifications'!$A$3:$A$166,0),MATCH(G333,'vehicles specifications'!$B$2:$CW$2,0))*INDEX('ei names mapping'!$B$137:$BL$300,MATCH(B306,'ei names mapping'!$A$137:$A$300,0),MATCH(G333,'ei names mapping'!$B$136:$BL$136,0))</f>
        <v>8.3945834198593472E-2</v>
      </c>
      <c r="C333" t="str">
        <f>INDEX('ei names mapping'!$B$38:$R$67,MATCH($B$3,'ei names mapping'!$A$4:$A$33,0),MATCH(G333,'ei names mapping'!$B$3:$R$3,0))</f>
        <v>CH</v>
      </c>
      <c r="D333" t="str">
        <f>INDEX('ei names mapping'!$B$104:$R$133,MATCH($B$3,'ei names mapping'!$A$4:$A$33,0),MATCH(G333,'ei names mapping'!$B$3:$R$3,0))</f>
        <v>kilowatt hour</v>
      </c>
      <c r="F333" t="s">
        <v>89</v>
      </c>
      <c r="G333" t="s">
        <v>28</v>
      </c>
      <c r="H333" t="str">
        <f>INDEX('ei names mapping'!$B$71:$R$100,MATCH(B303,'ei names mapping'!$A$4:$A$33,0),MATCH(G333,'ei names mapping'!$B$3:$R$3,0))</f>
        <v>electricity, low voltage</v>
      </c>
    </row>
    <row r="334" spans="1:8" x14ac:dyDescent="0.2">
      <c r="A334" t="str">
        <f>INDEX('ei names mapping'!$B$4:$R$33,MATCH(B303,'ei names mapping'!$A$4:$A$33,0),MATCH(G334,'ei names mapping'!$B$3:$R$3,0))</f>
        <v>market for maintenance, electric scooter, without battery</v>
      </c>
      <c r="B334" s="7">
        <f>INDEX('vehicles specifications'!$B$3:$CW$166,MATCH(B306,'vehicles specifications'!$A$3:$A$166,0),MATCH(G334,'vehicles specifications'!$B$2:$CW$2,0))*INDEX('ei names mapping'!$B$137:$BL$300,MATCH(B306,'ei names mapping'!$A$137:$A$300,0),MATCH(G334,'ei names mapping'!$B$136:$BL$136,0))</f>
        <v>4.0000000000000003E-5</v>
      </c>
      <c r="C334" t="str">
        <f>INDEX('ei names mapping'!$B$38:$BL$67,MATCH(B303,'ei names mapping'!$A$4:$A$33,0),MATCH(G334,'ei names mapping'!$B$3:$BL$3,0))</f>
        <v>GLO</v>
      </c>
      <c r="D334" t="str">
        <f>INDEX('ei names mapping'!$B$104:$BL$133,MATCH(B303,'ei names mapping'!$A$4:$A$33,0),MATCH(G334,'ei names mapping'!$B$3:$BL$3,0))</f>
        <v>unit</v>
      </c>
      <c r="F334" t="s">
        <v>89</v>
      </c>
      <c r="G334" t="s">
        <v>118</v>
      </c>
      <c r="H334" t="str">
        <f>INDEX('ei names mapping'!$B$71:$BL$100,MATCH(B303,'ei names mapping'!$A$4:$A$33,0),MATCH(G334,'ei names mapping'!$B$3:$BL$3,0))</f>
        <v>maintenance, electric scooter, without battery</v>
      </c>
    </row>
    <row r="335" spans="1:8" x14ac:dyDescent="0.2">
      <c r="A335" t="str">
        <f>INDEX('ei names mapping'!$B$4:$R$33,MATCH(B303,'ei names mapping'!$A$4:$A$33,0),MATCH(G335,'ei names mapping'!$B$3:$R$3,0))</f>
        <v>road construction</v>
      </c>
      <c r="B335" s="7">
        <f>INDEX('vehicles specifications'!$B$3:$CW$166,MATCH(B306,'vehicles specifications'!$A$3:$A$166,0),MATCH(G335,'vehicles specifications'!$B$2:$CW$2,0))*INDEX('ei names mapping'!$B$137:$BL$300,MATCH(B306,'ei names mapping'!$A$137:$A$300,0),MATCH(G335,'ei names mapping'!$B$136:$BL$136,0))</f>
        <v>1.8476559000000001E-4</v>
      </c>
      <c r="C335" t="str">
        <f>INDEX('ei names mapping'!$B$38:$R$67,MATCH(B303,'ei names mapping'!$A$4:$A$33,0),MATCH(G335,'ei names mapping'!$B$3:$R$3,0))</f>
        <v>CH</v>
      </c>
      <c r="D335" t="str">
        <f>INDEX('ei names mapping'!$B$104:$R$133,MATCH(B303,'ei names mapping'!$A$104:$A$133,0),MATCH(G335,'ei names mapping'!$B$3:$R$3,0))</f>
        <v>meter-year</v>
      </c>
      <c r="F335" t="s">
        <v>89</v>
      </c>
      <c r="G335" t="s">
        <v>105</v>
      </c>
      <c r="H335" t="str">
        <f>INDEX('ei names mapping'!$B$71:$R$100,MATCH(B303,'ei names mapping'!$A$4:$A$33,0),MATCH(G335,'ei names mapping'!$B$3:$R$3,0))</f>
        <v>road</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-1.1225858525097952E-5</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-6.7422715821401537E-6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-3.9061226299997144E-6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row r="340" spans="1:8" ht="16" x14ac:dyDescent="0.2">
      <c r="A340" s="10"/>
      <c r="B340" s="8"/>
    </row>
    <row r="355" spans="1:2" x14ac:dyDescent="0.2">
      <c r="B355" s="2"/>
    </row>
    <row r="359" spans="1:2" x14ac:dyDescent="0.2">
      <c r="B359" s="2"/>
    </row>
    <row r="361" spans="1:2" x14ac:dyDescent="0.2">
      <c r="B361" s="2"/>
    </row>
    <row r="363" spans="1:2" x14ac:dyDescent="0.2">
      <c r="B363" s="6"/>
    </row>
    <row r="365" spans="1:2" ht="16" x14ac:dyDescent="0.2">
      <c r="A365" s="10"/>
    </row>
    <row r="368" spans="1:2" x14ac:dyDescent="0.2">
      <c r="B368" s="11"/>
    </row>
    <row r="369" spans="1:2" x14ac:dyDescent="0.2">
      <c r="B369" s="11"/>
    </row>
    <row r="370" spans="1:2" x14ac:dyDescent="0.2">
      <c r="B370" s="11"/>
    </row>
    <row r="371" spans="1:2" x14ac:dyDescent="0.2">
      <c r="B371" s="11"/>
    </row>
    <row r="372" spans="1:2" x14ac:dyDescent="0.2">
      <c r="B372" s="11"/>
    </row>
    <row r="373" spans="1:2" x14ac:dyDescent="0.2">
      <c r="B373" s="11"/>
    </row>
    <row r="374" spans="1:2" x14ac:dyDescent="0.2">
      <c r="B374" s="11"/>
    </row>
    <row r="375" spans="1:2" x14ac:dyDescent="0.2">
      <c r="B375" s="11"/>
    </row>
    <row r="376" spans="1:2" x14ac:dyDescent="0.2">
      <c r="B376" s="11"/>
    </row>
    <row r="377" spans="1:2" x14ac:dyDescent="0.2">
      <c r="B377" s="11"/>
    </row>
    <row r="378" spans="1:2" x14ac:dyDescent="0.2">
      <c r="B378" s="11"/>
    </row>
    <row r="379" spans="1:2" ht="16" x14ac:dyDescent="0.2">
      <c r="A379" s="10"/>
      <c r="B379" s="8"/>
    </row>
    <row r="394" spans="2:2" x14ac:dyDescent="0.2">
      <c r="B394" s="2"/>
    </row>
    <row r="398" spans="2:2" x14ac:dyDescent="0.2">
      <c r="B398" s="2"/>
    </row>
    <row r="400" spans="2:2" x14ac:dyDescent="0.2">
      <c r="B400" s="2"/>
    </row>
    <row r="402" spans="1:2" x14ac:dyDescent="0.2">
      <c r="B402" s="6"/>
    </row>
    <row r="404" spans="1:2" ht="16" x14ac:dyDescent="0.2">
      <c r="A404" s="10"/>
    </row>
    <row r="407" spans="1:2" x14ac:dyDescent="0.2">
      <c r="B407" s="11"/>
    </row>
    <row r="408" spans="1:2" x14ac:dyDescent="0.2">
      <c r="B408" s="11"/>
    </row>
    <row r="409" spans="1:2" x14ac:dyDescent="0.2">
      <c r="B409" s="11"/>
    </row>
    <row r="410" spans="1:2" x14ac:dyDescent="0.2">
      <c r="B410" s="11"/>
    </row>
    <row r="411" spans="1:2" x14ac:dyDescent="0.2">
      <c r="B411" s="11"/>
    </row>
    <row r="412" spans="1:2" x14ac:dyDescent="0.2">
      <c r="B412" s="11"/>
    </row>
    <row r="413" spans="1:2" x14ac:dyDescent="0.2">
      <c r="B413" s="11"/>
    </row>
    <row r="414" spans="1:2" x14ac:dyDescent="0.2">
      <c r="B414" s="11"/>
    </row>
    <row r="415" spans="1:2" x14ac:dyDescent="0.2">
      <c r="B415" s="11"/>
    </row>
    <row r="416" spans="1:2" x14ac:dyDescent="0.2">
      <c r="B416" s="11"/>
    </row>
    <row r="418" spans="1:2" ht="16" x14ac:dyDescent="0.2">
      <c r="A418" s="10"/>
      <c r="B418" s="8"/>
    </row>
    <row r="433" spans="1:2" x14ac:dyDescent="0.2">
      <c r="B433" s="2"/>
    </row>
    <row r="437" spans="1:2" x14ac:dyDescent="0.2">
      <c r="B437" s="2"/>
    </row>
    <row r="439" spans="1:2" x14ac:dyDescent="0.2">
      <c r="B439" s="2"/>
    </row>
    <row r="441" spans="1:2" x14ac:dyDescent="0.2">
      <c r="B441" s="6"/>
    </row>
    <row r="443" spans="1:2" ht="16" x14ac:dyDescent="0.2">
      <c r="A443" s="10"/>
    </row>
    <row r="446" spans="1:2" x14ac:dyDescent="0.2">
      <c r="B446" s="11"/>
    </row>
    <row r="447" spans="1:2" x14ac:dyDescent="0.2">
      <c r="B447" s="11"/>
    </row>
    <row r="448" spans="1:2" x14ac:dyDescent="0.2">
      <c r="B448" s="11"/>
    </row>
    <row r="449" spans="1:2" x14ac:dyDescent="0.2">
      <c r="B449" s="11"/>
    </row>
    <row r="450" spans="1:2" x14ac:dyDescent="0.2">
      <c r="B450" s="11"/>
    </row>
    <row r="451" spans="1:2" x14ac:dyDescent="0.2">
      <c r="B451" s="11"/>
    </row>
    <row r="452" spans="1:2" x14ac:dyDescent="0.2">
      <c r="B452" s="11"/>
    </row>
    <row r="453" spans="1:2" x14ac:dyDescent="0.2">
      <c r="B453" s="11"/>
    </row>
    <row r="454" spans="1:2" x14ac:dyDescent="0.2">
      <c r="B454" s="11"/>
    </row>
    <row r="455" spans="1:2" x14ac:dyDescent="0.2">
      <c r="B455" s="11"/>
    </row>
    <row r="457" spans="1:2" ht="16" x14ac:dyDescent="0.2">
      <c r="A457" s="10"/>
      <c r="B457" s="8"/>
    </row>
    <row r="472" spans="2:2" x14ac:dyDescent="0.2">
      <c r="B472" s="2"/>
    </row>
    <row r="476" spans="2:2" x14ac:dyDescent="0.2">
      <c r="B476" s="2"/>
    </row>
    <row r="478" spans="2:2" x14ac:dyDescent="0.2">
      <c r="B478" s="2"/>
    </row>
    <row r="480" spans="2:2" x14ac:dyDescent="0.2">
      <c r="B480" s="6"/>
    </row>
    <row r="482" spans="1:2" ht="16" x14ac:dyDescent="0.2">
      <c r="A482" s="10"/>
    </row>
    <row r="485" spans="1:2" x14ac:dyDescent="0.2">
      <c r="B485" s="11"/>
    </row>
    <row r="486" spans="1:2" x14ac:dyDescent="0.2">
      <c r="B486" s="11"/>
    </row>
    <row r="487" spans="1:2" x14ac:dyDescent="0.2">
      <c r="B487" s="11"/>
    </row>
    <row r="488" spans="1:2" x14ac:dyDescent="0.2">
      <c r="B488" s="11"/>
    </row>
    <row r="489" spans="1:2" x14ac:dyDescent="0.2">
      <c r="B489" s="11"/>
    </row>
    <row r="490" spans="1:2" x14ac:dyDescent="0.2">
      <c r="B490" s="11"/>
    </row>
    <row r="491" spans="1:2" x14ac:dyDescent="0.2">
      <c r="B491" s="11"/>
    </row>
    <row r="492" spans="1:2" x14ac:dyDescent="0.2">
      <c r="B492" s="11"/>
    </row>
    <row r="493" spans="1:2" x14ac:dyDescent="0.2">
      <c r="B493" s="11"/>
    </row>
    <row r="494" spans="1:2" x14ac:dyDescent="0.2">
      <c r="B494" s="11"/>
    </row>
    <row r="495" spans="1:2" x14ac:dyDescent="0.2">
      <c r="B495" s="2"/>
    </row>
    <row r="496" spans="1:2" ht="16" x14ac:dyDescent="0.2">
      <c r="A496" s="10"/>
      <c r="B496" s="8"/>
    </row>
    <row r="511" spans="2:2" x14ac:dyDescent="0.2">
      <c r="B511" s="2"/>
    </row>
    <row r="515" spans="1:2" x14ac:dyDescent="0.2">
      <c r="B515" s="2"/>
    </row>
    <row r="517" spans="1:2" x14ac:dyDescent="0.2">
      <c r="B517" s="2"/>
    </row>
    <row r="519" spans="1:2" x14ac:dyDescent="0.2">
      <c r="B519" s="6"/>
    </row>
    <row r="521" spans="1:2" ht="16" x14ac:dyDescent="0.2">
      <c r="A521" s="10"/>
    </row>
    <row r="524" spans="1:2" x14ac:dyDescent="0.2">
      <c r="B524" s="7"/>
    </row>
    <row r="525" spans="1:2" x14ac:dyDescent="0.2">
      <c r="B525" s="11"/>
    </row>
    <row r="526" spans="1:2" x14ac:dyDescent="0.2">
      <c r="B526" s="4"/>
    </row>
    <row r="527" spans="1:2" x14ac:dyDescent="0.2">
      <c r="B527" s="11"/>
    </row>
    <row r="528" spans="1:2" x14ac:dyDescent="0.2">
      <c r="B528" s="11"/>
    </row>
    <row r="529" spans="1:2" x14ac:dyDescent="0.2">
      <c r="B529" s="11"/>
    </row>
    <row r="530" spans="1:2" x14ac:dyDescent="0.2">
      <c r="B530" s="11"/>
    </row>
    <row r="531" spans="1:2" x14ac:dyDescent="0.2">
      <c r="B531" s="6"/>
    </row>
    <row r="532" spans="1:2" ht="16" x14ac:dyDescent="0.2">
      <c r="A532" s="10"/>
      <c r="B532" s="8"/>
    </row>
    <row r="547" spans="1:2" x14ac:dyDescent="0.2">
      <c r="B547" s="2"/>
    </row>
    <row r="551" spans="1:2" x14ac:dyDescent="0.2">
      <c r="B551" s="2"/>
    </row>
    <row r="553" spans="1:2" x14ac:dyDescent="0.2">
      <c r="B553" s="2"/>
    </row>
    <row r="555" spans="1:2" x14ac:dyDescent="0.2">
      <c r="B555" s="6"/>
    </row>
    <row r="557" spans="1:2" ht="16" x14ac:dyDescent="0.2">
      <c r="A557" s="10"/>
    </row>
    <row r="561" spans="1:2" x14ac:dyDescent="0.2">
      <c r="B561" s="11"/>
    </row>
    <row r="562" spans="1:2" x14ac:dyDescent="0.2">
      <c r="B562" s="4"/>
    </row>
    <row r="563" spans="1:2" x14ac:dyDescent="0.2">
      <c r="B563" s="11"/>
    </row>
    <row r="564" spans="1:2" x14ac:dyDescent="0.2">
      <c r="B564" s="11"/>
    </row>
    <row r="565" spans="1:2" x14ac:dyDescent="0.2">
      <c r="B565" s="11"/>
    </row>
    <row r="566" spans="1:2" x14ac:dyDescent="0.2">
      <c r="B566" s="11"/>
    </row>
    <row r="568" spans="1:2" ht="16" x14ac:dyDescent="0.2">
      <c r="A568" s="10"/>
      <c r="B568" s="8"/>
    </row>
    <row r="583" spans="2:2" x14ac:dyDescent="0.2">
      <c r="B583" s="2"/>
    </row>
    <row r="587" spans="2:2" x14ac:dyDescent="0.2">
      <c r="B587" s="2"/>
    </row>
    <row r="589" spans="2:2" x14ac:dyDescent="0.2">
      <c r="B589" s="2"/>
    </row>
    <row r="591" spans="2:2" x14ac:dyDescent="0.2">
      <c r="B591" s="6"/>
    </row>
    <row r="593" spans="1:2" ht="16" x14ac:dyDescent="0.2">
      <c r="A593" s="10"/>
    </row>
    <row r="597" spans="1:2" x14ac:dyDescent="0.2">
      <c r="B597" s="11"/>
    </row>
    <row r="598" spans="1:2" x14ac:dyDescent="0.2">
      <c r="B598" s="4"/>
    </row>
    <row r="599" spans="1:2" x14ac:dyDescent="0.2">
      <c r="B599" s="11"/>
    </row>
    <row r="600" spans="1:2" x14ac:dyDescent="0.2">
      <c r="B600" s="11"/>
    </row>
    <row r="601" spans="1:2" x14ac:dyDescent="0.2">
      <c r="B601" s="11"/>
    </row>
    <row r="602" spans="1:2" x14ac:dyDescent="0.2">
      <c r="B602" s="11"/>
    </row>
    <row r="604" spans="1:2" ht="16" x14ac:dyDescent="0.2">
      <c r="A604" s="10"/>
      <c r="B604" s="8"/>
    </row>
    <row r="619" spans="2:2" x14ac:dyDescent="0.2">
      <c r="B619" s="2"/>
    </row>
    <row r="623" spans="2:2" x14ac:dyDescent="0.2">
      <c r="B623" s="2"/>
    </row>
    <row r="625" spans="1:2" x14ac:dyDescent="0.2">
      <c r="B625" s="2"/>
    </row>
    <row r="627" spans="1:2" x14ac:dyDescent="0.2">
      <c r="B627" s="6"/>
    </row>
    <row r="629" spans="1:2" ht="16" x14ac:dyDescent="0.2">
      <c r="A629" s="10"/>
    </row>
    <row r="633" spans="1:2" x14ac:dyDescent="0.2">
      <c r="B633" s="11"/>
    </row>
    <row r="634" spans="1:2" x14ac:dyDescent="0.2">
      <c r="B634" s="4"/>
    </row>
    <row r="635" spans="1:2" x14ac:dyDescent="0.2">
      <c r="B635" s="11"/>
    </row>
    <row r="636" spans="1:2" x14ac:dyDescent="0.2">
      <c r="B636" s="11"/>
    </row>
    <row r="637" spans="1:2" x14ac:dyDescent="0.2">
      <c r="B637" s="11"/>
    </row>
    <row r="638" spans="1:2" x14ac:dyDescent="0.2">
      <c r="B638" s="11"/>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770"/>
  <sheetViews>
    <sheetView topLeftCell="A640" workbookViewId="0">
      <selection activeCell="B651" sqref="B651"/>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Motorbike, gasoline, 4-11kW, EURO-3, 2006</v>
      </c>
    </row>
    <row r="2" spans="1:2" x14ac:dyDescent="0.2">
      <c r="A2" t="s">
        <v>72</v>
      </c>
      <c r="B2" t="s">
        <v>37</v>
      </c>
    </row>
    <row r="3" spans="1:2" x14ac:dyDescent="0.2">
      <c r="A3" t="s">
        <v>86</v>
      </c>
      <c r="B3" t="s">
        <v>638</v>
      </c>
    </row>
    <row r="4" spans="1:2" x14ac:dyDescent="0.2">
      <c r="A4" t="s">
        <v>87</v>
      </c>
    </row>
    <row r="5" spans="1:2" x14ac:dyDescent="0.2">
      <c r="A5" t="s">
        <v>88</v>
      </c>
      <c r="B5">
        <v>2006</v>
      </c>
    </row>
    <row r="6" spans="1:2" x14ac:dyDescent="0.2">
      <c r="A6" t="s">
        <v>126</v>
      </c>
      <c r="B6" t="str">
        <f>B3&amp;" - "&amp;B5&amp;" - "&amp;B2</f>
        <v>Motorbike, gasoline, 4-11kW, EURO-3 - 2006 - CH</v>
      </c>
    </row>
    <row r="7" spans="1:2" x14ac:dyDescent="0.2">
      <c r="A7" t="s">
        <v>73</v>
      </c>
      <c r="B7" t="str">
        <f>B3</f>
        <v>Motorbike, gasoline, 4-11kW,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1776</v>
      </c>
    </row>
    <row r="16" spans="1:2" x14ac:dyDescent="0.2">
      <c r="A16" t="s">
        <v>132</v>
      </c>
      <c r="B16" s="2">
        <f>INDEX('vehicles specifications'!$B$3:$CW$166,MATCH(B6,'vehicles specifications'!$A$3:$A$166,0),MATCH("Curb mass [kg]",'vehicles specifications'!$B$2:$CW$2,0))</f>
        <v>122.27169718057486</v>
      </c>
    </row>
    <row r="17" spans="1:8" x14ac:dyDescent="0.2">
      <c r="A17" t="s">
        <v>133</v>
      </c>
      <c r="B17">
        <f>INDEX('vehicles specifications'!$B$3:$CW$166,MATCH(B6,'vehicles specifications'!$A$3:$A$166,0),MATCH("Power [kW]",'vehicles specifications'!$B$2:$CW$2,0))</f>
        <v>9</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79.875</v>
      </c>
    </row>
    <row r="21" spans="1:8" x14ac:dyDescent="0.2">
      <c r="A21" t="s">
        <v>139</v>
      </c>
      <c r="B21">
        <f>INDEX('vehicles specifications'!$B$3:$CW$166,MATCH(B6,'vehicles specifications'!$A$3:$A$166,0),MATCH("Fuel mass [kg]",'vehicles specifications'!$B$2:$CW$2,0))</f>
        <v>6.75</v>
      </c>
    </row>
    <row r="22" spans="1:8" x14ac:dyDescent="0.2">
      <c r="A22" t="s">
        <v>136</v>
      </c>
      <c r="B22" s="2">
        <f>INDEX('vehicles specifications'!$B$3:$CW$166,MATCH(B6,'vehicles specifications'!$A$3:$A$166,0),MATCH("Range [km]",'vehicles specifications'!$B$2:$CW$2,0))</f>
        <v>280.24124403890835</v>
      </c>
    </row>
    <row r="23" spans="1:8" x14ac:dyDescent="0.2">
      <c r="A23" t="s">
        <v>137</v>
      </c>
      <c r="B23" t="str">
        <f>INDEX('vehicles specifications'!$B$3:$CW$166,MATCH(B6,'vehicles specifications'!$A$3:$A$166,0),MATCH("Emission standard",'vehicles specifications'!$B$2:$CW$2,0))</f>
        <v>EURO-3</v>
      </c>
    </row>
    <row r="24" spans="1:8"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Motorbike, gasoline, 4-11kW, EURO-3, 2006</v>
      </c>
      <c r="B31">
        <v>1</v>
      </c>
      <c r="C31" t="str">
        <f>B2</f>
        <v>CH</v>
      </c>
      <c r="D31" t="str">
        <f>B9</f>
        <v>unit</v>
      </c>
      <c r="F31" t="s">
        <v>84</v>
      </c>
      <c r="G31" t="s">
        <v>85</v>
      </c>
      <c r="H31" t="str">
        <f>B3</f>
        <v>Motorbike, gasoline, 4-11kW, EURO-3</v>
      </c>
    </row>
    <row r="32" spans="1:8" x14ac:dyDescent="0.2">
      <c r="A32" t="str">
        <f>INDEX('ei names mapping'!$B$4:$R$33,MATCH(B3,'ei names mapping'!$A$4:$A$33,0),MATCH(G32,'ei names mapping'!$B$3:$R$3,0))</f>
        <v>motor scooter production</v>
      </c>
      <c r="B32" s="6">
        <f>INDEX('vehicles specifications'!$B$3:$CW$166,MATCH(B6,'vehicles specifications'!$A$3:$A$166,0),MATCH(G32,'vehicles specifications'!$B$2:$CW$2,0))*INDEX('ei names mapping'!$B$137:$BL$300,MATCH(B6,'ei names mapping'!$A$137:$A$300,0),MATCH(G32,'ei names mapping'!$B$136:$BL$136,0))</f>
        <v>0.7270425217814277</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6">
        <f>INDEX('vehicles specifications'!$B$3:$CW$166,MATCH(B6,'vehicles specifications'!$A$3:$A$166,0),MATCH(G33,'vehicles specifications'!$B$2:$CW$2,0))*INDEX('ei names mapping'!$B$137:$BL$300,MATCH(B6,'ei names mapping'!$A$137:$A$300,0),MATCH(G33,'ei names mapping'!$B$136:$BL$136,0))</f>
        <v>0.50892976524699929</v>
      </c>
      <c r="C33" t="str">
        <f>INDEX('ei names mapping'!$B$38:$R$67,MATCH(B3,'ei names mapping'!$A$4:$A$33,0),MATCH(G33,'ei names mapping'!$B$3:$R$3,0))</f>
        <v>RER</v>
      </c>
      <c r="D33" t="str">
        <f>INDEX('ei names mapping'!$B$104:$R$133,MATCH(B3,'ei names mapping'!$A$104:$A$133,0),MATCH(G33,'ei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6">
        <f>INDEX('vehicles specifications'!$B$3:$CW$166,MATCH(B6,'vehicles specifications'!$A$3:$A$166,0),MATCH(G34,'vehicles specifications'!$B$2:$CW$2,0))*INDEX('ei names mapping'!$B$137:$BL$300,MATCH(B6,'ei names mapping'!$A$137:$A$300,0),MATCH(G34,'ei names mapping'!$B$136:$BL$136,0))</f>
        <v>1.0125</v>
      </c>
      <c r="C34" t="str">
        <f>INDEX('ei names mapping'!$B$38:$R$67,MATCH(B3,'ei names mapping'!$A$4:$A$33,0),MATCH(G34,'ei names mapping'!$B$3:$R$3,0))</f>
        <v>RER</v>
      </c>
      <c r="D34" t="str">
        <f>INDEX('ei names mapping'!$B$104:$R$133,MATCH(B3,'ei names mapping'!$A$104:$A$133,0),MATCH(G34,'ei names mapping'!$B$3:$R$3,0))</f>
        <v>kilogram</v>
      </c>
      <c r="F34" t="s">
        <v>89</v>
      </c>
      <c r="G34" t="s">
        <v>24</v>
      </c>
      <c r="H34" t="str">
        <f>INDEX('ei names mapping'!$B$71:$R$100,MATCH(B3,'ei names mapping'!$A$4:$A$33,0),MATCH(G34,'ei names mapping'!$B$3:$R$3,0))</f>
        <v>polyethylene, high density, granulate</v>
      </c>
    </row>
    <row r="35" spans="1:8" x14ac:dyDescent="0.2">
      <c r="A35" t="s">
        <v>282</v>
      </c>
      <c r="B35" s="6">
        <f>B34/0.994</f>
        <v>1.0186116700201207</v>
      </c>
      <c r="C35" t="s">
        <v>92</v>
      </c>
      <c r="D35" t="s">
        <v>77</v>
      </c>
      <c r="F35" t="s">
        <v>89</v>
      </c>
      <c r="G35" t="s">
        <v>647</v>
      </c>
      <c r="H35" t="s">
        <v>282</v>
      </c>
    </row>
    <row r="36" spans="1:8" x14ac:dyDescent="0.2">
      <c r="A36" s="13" t="s">
        <v>840</v>
      </c>
      <c r="B36" s="2">
        <f>(B16/1000)*B27</f>
        <v>122.27169718057486</v>
      </c>
      <c r="C36" t="s">
        <v>92</v>
      </c>
      <c r="D36" t="s">
        <v>233</v>
      </c>
      <c r="F36" t="s">
        <v>89</v>
      </c>
      <c r="H36" s="13" t="s">
        <v>841</v>
      </c>
    </row>
    <row r="37" spans="1:8" x14ac:dyDescent="0.2">
      <c r="A37" s="13" t="s">
        <v>441</v>
      </c>
      <c r="B37" s="2">
        <f>(B16/1000)*B26</f>
        <v>1944.1199851711403</v>
      </c>
      <c r="C37" t="s">
        <v>95</v>
      </c>
      <c r="D37" t="s">
        <v>233</v>
      </c>
      <c r="F37" t="s">
        <v>89</v>
      </c>
      <c r="H37" s="13" t="s">
        <v>441</v>
      </c>
    </row>
    <row r="38" spans="1:8" x14ac:dyDescent="0.2">
      <c r="B38" s="11"/>
    </row>
    <row r="39" spans="1:8" ht="16" x14ac:dyDescent="0.2">
      <c r="A39" s="10" t="s">
        <v>71</v>
      </c>
      <c r="B39" s="8" t="str">
        <f>B41&amp;", "&amp;B43</f>
        <v>Motorbike, gasoline, 4-11kW, EURO-4, 2016</v>
      </c>
    </row>
    <row r="40" spans="1:8" x14ac:dyDescent="0.2">
      <c r="A40" t="s">
        <v>72</v>
      </c>
      <c r="B40" t="s">
        <v>37</v>
      </c>
    </row>
    <row r="41" spans="1:8" x14ac:dyDescent="0.2">
      <c r="A41" t="s">
        <v>86</v>
      </c>
      <c r="B41" t="s">
        <v>639</v>
      </c>
    </row>
    <row r="42" spans="1:8" x14ac:dyDescent="0.2">
      <c r="A42" t="s">
        <v>87</v>
      </c>
    </row>
    <row r="43" spans="1:8" x14ac:dyDescent="0.2">
      <c r="A43" t="s">
        <v>88</v>
      </c>
      <c r="B43">
        <v>2016</v>
      </c>
    </row>
    <row r="44" spans="1:8" x14ac:dyDescent="0.2">
      <c r="A44" t="s">
        <v>126</v>
      </c>
      <c r="B44" t="str">
        <f>B41&amp;" - "&amp;B43&amp;" - "&amp;B40</f>
        <v>Motorbike, gasoline, 4-11kW, EURO-4 - 2016 - CH</v>
      </c>
    </row>
    <row r="45" spans="1:8" x14ac:dyDescent="0.2">
      <c r="A45" t="s">
        <v>73</v>
      </c>
      <c r="B45" t="str">
        <f>B41</f>
        <v>Motorbike, gasoline, 4-11kW, EURO-4</v>
      </c>
    </row>
    <row r="46" spans="1:8" x14ac:dyDescent="0.2">
      <c r="A46" t="s">
        <v>74</v>
      </c>
      <c r="B46" t="s">
        <v>75</v>
      </c>
    </row>
    <row r="47" spans="1:8" x14ac:dyDescent="0.2">
      <c r="A47" t="s">
        <v>76</v>
      </c>
      <c r="B47" t="s">
        <v>76</v>
      </c>
    </row>
    <row r="48" spans="1:8" x14ac:dyDescent="0.2">
      <c r="A48" t="s">
        <v>78</v>
      </c>
      <c r="B48" t="s">
        <v>1143</v>
      </c>
    </row>
    <row r="49" spans="1:2" x14ac:dyDescent="0.2">
      <c r="A49" t="s">
        <v>127</v>
      </c>
      <c r="B49">
        <f>INDEX('vehicles specifications'!$B$3:$CW$166,MATCH(B44,'vehicles specifications'!$A$3:$A$166,0),MATCH("Lifetime [km]",'vehicles specifications'!$B$2:$CW$2,0))</f>
        <v>25000</v>
      </c>
    </row>
    <row r="50" spans="1:2" x14ac:dyDescent="0.2">
      <c r="A50" t="s">
        <v>128</v>
      </c>
      <c r="B50">
        <f>INDEX('vehicles specifications'!$B$3:$CW$166,MATCH(B44,'vehicles specifications'!$A$3:$A$166,0),MATCH("Passengers [unit]",'vehicles specifications'!$B$2:$CW$2,0))</f>
        <v>1.1000000000000001</v>
      </c>
    </row>
    <row r="51" spans="1:2" x14ac:dyDescent="0.2">
      <c r="A51" t="s">
        <v>129</v>
      </c>
      <c r="B51">
        <f>INDEX('vehicles specifications'!$B$3:$CW$166,MATCH(B44,'vehicles specifications'!$A$3:$A$166,0),MATCH("Servicing [unit]",'vehicles specifications'!$B$2:$CW$2,0))</f>
        <v>1</v>
      </c>
    </row>
    <row r="52" spans="1:2" x14ac:dyDescent="0.2">
      <c r="A52" t="s">
        <v>130</v>
      </c>
      <c r="B52">
        <f>INDEX('vehicles specifications'!$B$3:$CW$166,MATCH(B44,'vehicles specifications'!$A$3:$A$166,0),MATCH("Energy battery replacement [unit]",'vehicles specifications'!$B$2:$CW$2,0))</f>
        <v>0</v>
      </c>
    </row>
    <row r="53" spans="1:2" x14ac:dyDescent="0.2">
      <c r="A53" t="s">
        <v>131</v>
      </c>
      <c r="B53">
        <f>INDEX('vehicles specifications'!$B$3:$CW$166,MATCH(B44,'vehicles specifications'!$A$3:$A$166,0),MATCH("Annual kilometers [km]",'vehicles specifications'!$B$2:$CW$2,0))</f>
        <v>1776</v>
      </c>
    </row>
    <row r="54" spans="1:2" x14ac:dyDescent="0.2">
      <c r="A54" t="s">
        <v>132</v>
      </c>
      <c r="B54" s="2">
        <f>INDEX('vehicles specifications'!$B$3:$CW$166,MATCH(B44,'vehicles specifications'!$A$3:$A$166,0),MATCH("Curb mass [kg]",'vehicles specifications'!$B$2:$CW$2,0))</f>
        <v>120.308682371765</v>
      </c>
    </row>
    <row r="55" spans="1:2" x14ac:dyDescent="0.2">
      <c r="A55" t="s">
        <v>133</v>
      </c>
      <c r="B55">
        <f>INDEX('vehicles specifications'!$B$3:$CW$166,MATCH(B44,'vehicles specifications'!$A$3:$A$166,0),MATCH("Power [kW]",'vehicles specifications'!$B$2:$CW$2,0))</f>
        <v>9</v>
      </c>
    </row>
    <row r="56" spans="1:2" x14ac:dyDescent="0.2">
      <c r="A56" t="s">
        <v>134</v>
      </c>
      <c r="B56" t="str">
        <f>INDEX('vehicles specifications'!$B$3:$CW$166,MATCH(B44,'vehicles specifications'!$A$3:$A$166,0),MATCH("Energy battery mass [kg]",'vehicles specifications'!$B$2:$CW$2,0))</f>
        <v/>
      </c>
    </row>
    <row r="57" spans="1:2" x14ac:dyDescent="0.2">
      <c r="A57" t="s">
        <v>135</v>
      </c>
      <c r="B57">
        <f>INDEX('vehicles specifications'!$B$3:$CW$166,MATCH(B44,'vehicles specifications'!$A$3:$A$166,0),MATCH("Electric energy available [kWh]",'vehicles specifications'!$B$2:$CW$2,0))</f>
        <v>0</v>
      </c>
    </row>
    <row r="58" spans="1:2" x14ac:dyDescent="0.2">
      <c r="A58" t="s">
        <v>138</v>
      </c>
      <c r="B58" s="2">
        <f>INDEX('vehicles specifications'!$B$3:$CW$166,MATCH(B44,'vehicles specifications'!$A$3:$A$166,0),MATCH("Oxydation energy stored [kWh]",'vehicles specifications'!$B$2:$CW$2,0))</f>
        <v>79.875</v>
      </c>
    </row>
    <row r="59" spans="1:2" x14ac:dyDescent="0.2">
      <c r="A59" t="s">
        <v>139</v>
      </c>
      <c r="B59">
        <f>INDEX('vehicles specifications'!$B$3:$CW$166,MATCH(B44,'vehicles specifications'!$A$3:$A$166,0),MATCH("Fuel mass [kg]",'vehicles specifications'!$B$2:$CW$2,0))</f>
        <v>6.75</v>
      </c>
    </row>
    <row r="60" spans="1:2" x14ac:dyDescent="0.2">
      <c r="A60" t="s">
        <v>136</v>
      </c>
      <c r="B60" s="2">
        <f>INDEX('vehicles specifications'!$B$3:$CW$166,MATCH(B44,'vehicles specifications'!$A$3:$A$166,0),MATCH("Range [km]",'vehicles specifications'!$B$2:$CW$2,0))</f>
        <v>283.0436564792974</v>
      </c>
    </row>
    <row r="61" spans="1:2" x14ac:dyDescent="0.2">
      <c r="A61" t="s">
        <v>137</v>
      </c>
      <c r="B61" t="str">
        <f>INDEX('vehicles specifications'!$B$3:$CW$166,MATCH(B44,'vehicles specifications'!$A$3:$A$166,0),MATCH("Emission standard",'vehicles specifications'!$B$2:$CW$2,0))</f>
        <v>EURO-4</v>
      </c>
    </row>
    <row r="62" spans="1:2" x14ac:dyDescent="0.2">
      <c r="A62" t="s">
        <v>1174</v>
      </c>
      <c r="B62" s="6">
        <f>INDEX('vehicles specifications'!$B$3:$CW$166,MATCH(B44,'vehicles specifications'!$A$3:$A$166,0),MATCH("Lightweighting rate [%]",'vehicles specifications'!$B$2:$CW$2,0))</f>
        <v>-0.02</v>
      </c>
    </row>
    <row r="63" spans="1:2" x14ac:dyDescent="0.2">
      <c r="A63" t="s">
        <v>485</v>
      </c>
      <c r="B63" s="6" t="s">
        <v>486</v>
      </c>
    </row>
    <row r="64" spans="1:2" x14ac:dyDescent="0.2">
      <c r="A64" t="s">
        <v>487</v>
      </c>
      <c r="B64" s="2">
        <v>15900</v>
      </c>
    </row>
    <row r="65" spans="1:8" x14ac:dyDescent="0.2">
      <c r="A65" t="s">
        <v>488</v>
      </c>
      <c r="B65" s="2">
        <v>1000</v>
      </c>
    </row>
    <row r="66" spans="1:8" x14ac:dyDescent="0.2">
      <c r="A66" t="s">
        <v>83</v>
      </c>
      <c r="B66"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tr">
        <f>B39</f>
        <v>Motorbike, gasoline, 4-11kW, EURO-4, 2016</v>
      </c>
      <c r="B69">
        <v>1</v>
      </c>
      <c r="C69" t="str">
        <f>B40</f>
        <v>CH</v>
      </c>
      <c r="D69" t="str">
        <f>B47</f>
        <v>unit</v>
      </c>
      <c r="F69" t="s">
        <v>84</v>
      </c>
      <c r="G69" t="s">
        <v>85</v>
      </c>
      <c r="H69" t="str">
        <f>B41</f>
        <v>Motorbike, gasoline, 4-11kW, EURO-4</v>
      </c>
    </row>
    <row r="70" spans="1:8" x14ac:dyDescent="0.2">
      <c r="A70" t="str">
        <f>INDEX('ei names mapping'!$B$4:$R$33,MATCH(B41,'ei names mapping'!$A$4:$A$33,0),MATCH(G70,'ei names mapping'!$B$3:$R$3,0))</f>
        <v>motor scooter production</v>
      </c>
      <c r="B70" s="6">
        <f>INDEX('vehicles specifications'!$B$3:$CW$166,MATCH(B44,'vehicles specifications'!$A$3:$A$166,0),MATCH(G70,'vehicles specifications'!$B$2:$CW$2,0))*INDEX('ei names mapping'!$B$137:$BL$300,MATCH(B44,'ei names mapping'!$A$137:$A$300,0),MATCH(G70,'ei names mapping'!$B$136:$BL$136,0))</f>
        <v>0.7270425217814277</v>
      </c>
      <c r="C70" t="str">
        <f>INDEX('ei names mapping'!$B$38:$R$67,MATCH(B41,'ei names mapping'!$A$4:$A$33,0),MATCH(G70,'ei names mapping'!$B$3:$R$3,0))</f>
        <v>RER</v>
      </c>
      <c r="D70" t="str">
        <f>INDEX('ei names mapping'!$B$104:$R$133,MATCH(B41,'ei names mapping'!$A$104:$A$133,0),MATCH(G70,'ei names mapping'!$B$3:$R$3,0))</f>
        <v>unit</v>
      </c>
      <c r="F70" t="s">
        <v>89</v>
      </c>
      <c r="G70" t="s">
        <v>15</v>
      </c>
      <c r="H70" t="str">
        <f>INDEX('ei names mapping'!$B$71:$R$100,MATCH(B41,'ei names mapping'!$A$4:$A$33,0),MATCH(G70,'ei names mapping'!$B$3:$R$3,0))</f>
        <v>motor scooter, 50 cubic cm engine</v>
      </c>
    </row>
    <row r="71" spans="1:8" x14ac:dyDescent="0.2">
      <c r="A71" t="str">
        <f>INDEX('ei names mapping'!$B$4:$R$33,MATCH(B41,'ei names mapping'!$A$4:$A$33,0),MATCH(G71,'ei names mapping'!$B$3:$R$3,0))</f>
        <v>motor scooter production</v>
      </c>
      <c r="B71" s="6">
        <f>INDEX('vehicles specifications'!$B$3:$CW$166,MATCH(B44,'vehicles specifications'!$A$3:$A$166,0),MATCH(G71,'vehicles specifications'!$B$2:$CW$2,0))*INDEX('ei names mapping'!$B$137:$BL$300,MATCH(B44,'ei names mapping'!$A$137:$A$300,0),MATCH(G71,'ei names mapping'!$B$136:$BL$136,0))</f>
        <v>0.50892976524699929</v>
      </c>
      <c r="C71" t="str">
        <f>INDEX('ei names mapping'!$B$38:$R$67,MATCH(B41,'ei names mapping'!$A$4:$A$33,0),MATCH(G71,'ei names mapping'!$B$3:$R$3,0))</f>
        <v>RER</v>
      </c>
      <c r="D71" t="str">
        <f>INDEX('ei names mapping'!$B$104:$R$133,MATCH(B41,'ei names mapping'!$A$104:$A$133,0),MATCH(G71,'ei names mapping'!$B$3:$R$3,0))</f>
        <v>unit</v>
      </c>
      <c r="F71" t="s">
        <v>89</v>
      </c>
      <c r="G71" t="s">
        <v>16</v>
      </c>
      <c r="H71" t="str">
        <f>INDEX('ei names mapping'!$B$71:$R$100,MATCH(B41,'ei names mapping'!$A$4:$A$33,0),MATCH(G71,'ei names mapping'!$B$3:$R$3,0))</f>
        <v>motor scooter, 50 cubic cm engine</v>
      </c>
    </row>
    <row r="72" spans="1:8" x14ac:dyDescent="0.2">
      <c r="A72" t="str">
        <f>INDEX('ei names mapping'!$B$4:$R$33,MATCH(B41,'ei names mapping'!$A$4:$A$33,0),MATCH(G72,'ei names mapping'!$B$3:$R$3,0))</f>
        <v>polyethylene production, high density, granulate</v>
      </c>
      <c r="B72" s="6">
        <f>INDEX('vehicles specifications'!$B$3:$CW$166,MATCH(B44,'vehicles specifications'!$A$3:$A$166,0),MATCH(G72,'vehicles specifications'!$B$2:$CW$2,0))*INDEX('ei names mapping'!$B$137:$BL$300,MATCH(B44,'ei names mapping'!$A$137:$A$300,0),MATCH(G72,'ei names mapping'!$B$136:$BL$136,0))</f>
        <v>1.0125</v>
      </c>
      <c r="C72" t="str">
        <f>INDEX('ei names mapping'!$B$38:$R$67,MATCH(B41,'ei names mapping'!$A$4:$A$33,0),MATCH(G72,'ei names mapping'!$B$3:$R$3,0))</f>
        <v>RER</v>
      </c>
      <c r="D72" t="str">
        <f>INDEX('ei names mapping'!$B$104:$R$133,MATCH(B41,'ei names mapping'!$A$104:$A$133,0),MATCH(G72,'ei names mapping'!$B$3:$R$3,0))</f>
        <v>kilogram</v>
      </c>
      <c r="F72" t="s">
        <v>89</v>
      </c>
      <c r="G72" t="s">
        <v>24</v>
      </c>
      <c r="H72" t="str">
        <f>INDEX('ei names mapping'!$B$71:$R$100,MATCH(B41,'ei names mapping'!$A$4:$A$33,0),MATCH(G72,'ei names mapping'!$B$3:$R$3,0))</f>
        <v>polyethylene, high density, granulate</v>
      </c>
    </row>
    <row r="73" spans="1:8" x14ac:dyDescent="0.2">
      <c r="A73" t="s">
        <v>282</v>
      </c>
      <c r="B73" s="6">
        <f>B72/0.994</f>
        <v>1.0186116700201207</v>
      </c>
      <c r="C73" t="s">
        <v>92</v>
      </c>
      <c r="D73" t="s">
        <v>77</v>
      </c>
      <c r="F73" t="s">
        <v>89</v>
      </c>
      <c r="G73" t="s">
        <v>647</v>
      </c>
      <c r="H73" t="s">
        <v>282</v>
      </c>
    </row>
    <row r="74" spans="1:8" x14ac:dyDescent="0.2">
      <c r="A74" s="13" t="s">
        <v>840</v>
      </c>
      <c r="B74" s="2">
        <f>(B54/1000)*B65</f>
        <v>120.308682371765</v>
      </c>
      <c r="C74" t="s">
        <v>92</v>
      </c>
      <c r="D74" t="s">
        <v>233</v>
      </c>
      <c r="F74" t="s">
        <v>89</v>
      </c>
      <c r="H74" s="13" t="s">
        <v>841</v>
      </c>
    </row>
    <row r="75" spans="1:8" x14ac:dyDescent="0.2">
      <c r="A75" s="13" t="s">
        <v>441</v>
      </c>
      <c r="B75" s="2">
        <f>(B54/1000)*B64</f>
        <v>1912.9080497110635</v>
      </c>
      <c r="C75" t="s">
        <v>95</v>
      </c>
      <c r="D75" t="s">
        <v>233</v>
      </c>
      <c r="F75" t="s">
        <v>89</v>
      </c>
      <c r="H75" s="13" t="s">
        <v>441</v>
      </c>
    </row>
    <row r="77" spans="1:8" ht="16" x14ac:dyDescent="0.2">
      <c r="A77" s="10" t="s">
        <v>71</v>
      </c>
      <c r="B77" s="8" t="str">
        <f>B79&amp;", "&amp;B81</f>
        <v>Motorbike, gasoline, 4-11kW, EURO-5, 2020</v>
      </c>
    </row>
    <row r="78" spans="1:8" x14ac:dyDescent="0.2">
      <c r="A78" t="s">
        <v>72</v>
      </c>
      <c r="B78" t="s">
        <v>37</v>
      </c>
    </row>
    <row r="79" spans="1:8" x14ac:dyDescent="0.2">
      <c r="A79" t="s">
        <v>86</v>
      </c>
      <c r="B79" t="s">
        <v>640</v>
      </c>
    </row>
    <row r="80" spans="1:8" x14ac:dyDescent="0.2">
      <c r="A80" t="s">
        <v>87</v>
      </c>
    </row>
    <row r="81" spans="1:2" x14ac:dyDescent="0.2">
      <c r="A81" t="s">
        <v>88</v>
      </c>
      <c r="B81">
        <v>2020</v>
      </c>
    </row>
    <row r="82" spans="1:2" x14ac:dyDescent="0.2">
      <c r="A82" t="s">
        <v>126</v>
      </c>
      <c r="B82" t="str">
        <f>B79&amp;" - "&amp;B81&amp;" - "&amp;B78</f>
        <v>Motorbike, gasoline, 4-11kW, EURO-5 - 2020 - CH</v>
      </c>
    </row>
    <row r="83" spans="1:2" x14ac:dyDescent="0.2">
      <c r="A83" t="s">
        <v>73</v>
      </c>
      <c r="B83" t="str">
        <f>B79</f>
        <v>Motorbike, gasoline, 4-11kW, EURO-5</v>
      </c>
    </row>
    <row r="84" spans="1:2" x14ac:dyDescent="0.2">
      <c r="A84" t="s">
        <v>74</v>
      </c>
      <c r="B84" t="s">
        <v>75</v>
      </c>
    </row>
    <row r="85" spans="1:2" x14ac:dyDescent="0.2">
      <c r="A85" t="s">
        <v>76</v>
      </c>
      <c r="B85" t="s">
        <v>76</v>
      </c>
    </row>
    <row r="86" spans="1:2" x14ac:dyDescent="0.2">
      <c r="A86" t="s">
        <v>78</v>
      </c>
      <c r="B86" t="s">
        <v>1143</v>
      </c>
    </row>
    <row r="87" spans="1:2" x14ac:dyDescent="0.2">
      <c r="A87" t="s">
        <v>127</v>
      </c>
      <c r="B87">
        <f>INDEX('vehicles specifications'!$B$3:$CW$166,MATCH(B82,'vehicles specifications'!$A$3:$A$166,0),MATCH("Lifetime [km]",'vehicles specifications'!$B$2:$CW$2,0))</f>
        <v>25000</v>
      </c>
    </row>
    <row r="88" spans="1:2" x14ac:dyDescent="0.2">
      <c r="A88" t="s">
        <v>128</v>
      </c>
      <c r="B88">
        <f>INDEX('vehicles specifications'!$B$3:$CW$166,MATCH(B82,'vehicles specifications'!$A$3:$A$166,0),MATCH("Passengers [unit]",'vehicles specifications'!$B$2:$CW$2,0))</f>
        <v>1.1000000000000001</v>
      </c>
    </row>
    <row r="89" spans="1:2" x14ac:dyDescent="0.2">
      <c r="A89" t="s">
        <v>129</v>
      </c>
      <c r="B89">
        <f>INDEX('vehicles specifications'!$B$3:$CW$166,MATCH(B82,'vehicles specifications'!$A$3:$A$166,0),MATCH("Servicing [unit]",'vehicles specifications'!$B$2:$CW$2,0))</f>
        <v>1</v>
      </c>
    </row>
    <row r="90" spans="1:2" x14ac:dyDescent="0.2">
      <c r="A90" t="s">
        <v>130</v>
      </c>
      <c r="B90">
        <f>INDEX('vehicles specifications'!$B$3:$CW$166,MATCH(B82,'vehicles specifications'!$A$3:$A$166,0),MATCH("Energy battery replacement [unit]",'vehicles specifications'!$B$2:$CW$2,0))</f>
        <v>0</v>
      </c>
    </row>
    <row r="91" spans="1:2" x14ac:dyDescent="0.2">
      <c r="A91" t="s">
        <v>131</v>
      </c>
      <c r="B91">
        <f>INDEX('vehicles specifications'!$B$3:$CW$166,MATCH(B82,'vehicles specifications'!$A$3:$A$166,0),MATCH("Annual kilometers [km]",'vehicles specifications'!$B$2:$CW$2,0))</f>
        <v>1776</v>
      </c>
    </row>
    <row r="92" spans="1:2" x14ac:dyDescent="0.2">
      <c r="A92" t="s">
        <v>132</v>
      </c>
      <c r="B92" s="2">
        <f>INDEX('vehicles specifications'!$B$3:$CW$166,MATCH(B82,'vehicles specifications'!$A$3:$A$166,0),MATCH("Curb mass [kg]",'vehicles specifications'!$B$2:$CW$2,0))</f>
        <v>119.00000583255843</v>
      </c>
    </row>
    <row r="93" spans="1:2" x14ac:dyDescent="0.2">
      <c r="A93" t="s">
        <v>133</v>
      </c>
      <c r="B93">
        <f>INDEX('vehicles specifications'!$B$3:$CW$166,MATCH(B82,'vehicles specifications'!$A$3:$A$166,0),MATCH("Power [kW]",'vehicles specifications'!$B$2:$CW$2,0))</f>
        <v>9</v>
      </c>
    </row>
    <row r="94" spans="1:2" x14ac:dyDescent="0.2">
      <c r="A94" t="s">
        <v>134</v>
      </c>
      <c r="B94" t="str">
        <f>INDEX('vehicles specifications'!$B$3:$CW$166,MATCH(B82,'vehicles specifications'!$A$3:$A$166,0),MATCH("Energy battery mass [kg]",'vehicles specifications'!$B$2:$CW$2,0))</f>
        <v/>
      </c>
    </row>
    <row r="95" spans="1:2" x14ac:dyDescent="0.2">
      <c r="A95" t="s">
        <v>135</v>
      </c>
      <c r="B95">
        <f>INDEX('vehicles specifications'!$B$3:$CW$166,MATCH(B82,'vehicles specifications'!$A$3:$A$166,0),MATCH("Electric energy available [kWh]",'vehicles specifications'!$B$2:$CW$2,0))</f>
        <v>0</v>
      </c>
    </row>
    <row r="96" spans="1:2" x14ac:dyDescent="0.2">
      <c r="A96" t="s">
        <v>138</v>
      </c>
      <c r="B96" s="2">
        <f>INDEX('vehicles specifications'!$B$3:$CW$166,MATCH(B82,'vehicles specifications'!$A$3:$A$166,0),MATCH("Oxydation energy stored [kWh]",'vehicles specifications'!$B$2:$CW$2,0))</f>
        <v>79.875</v>
      </c>
    </row>
    <row r="97" spans="1:8" x14ac:dyDescent="0.2">
      <c r="A97" t="s">
        <v>139</v>
      </c>
      <c r="B97">
        <f>INDEX('vehicles specifications'!$B$3:$CW$166,MATCH(B82,'vehicles specifications'!$A$3:$A$166,0),MATCH("Fuel mass [kg]",'vehicles specifications'!$B$2:$CW$2,0))</f>
        <v>6.75</v>
      </c>
    </row>
    <row r="98" spans="1:8" x14ac:dyDescent="0.2">
      <c r="A98" t="s">
        <v>136</v>
      </c>
      <c r="B98" s="2">
        <f>INDEX('vehicles specifications'!$B$3:$CW$166,MATCH(B82,'vehicles specifications'!$A$3:$A$166,0),MATCH("Range [km]",'vehicles specifications'!$B$2:$CW$2,0))</f>
        <v>285.90268331242163</v>
      </c>
    </row>
    <row r="99" spans="1:8" x14ac:dyDescent="0.2">
      <c r="A99" t="s">
        <v>137</v>
      </c>
      <c r="B99" t="str">
        <f>INDEX('vehicles specifications'!$B$3:$CW$166,MATCH(B82,'vehicles specifications'!$A$3:$A$166,0),MATCH("Emission standard",'vehicles specifications'!$B$2:$CW$2,0))</f>
        <v>EURO-5</v>
      </c>
    </row>
    <row r="100" spans="1:8" x14ac:dyDescent="0.2">
      <c r="A100" t="s">
        <v>1174</v>
      </c>
      <c r="B100" s="6">
        <f>INDEX('vehicles specifications'!$B$3:$CW$166,MATCH(B82,'vehicles specifications'!$A$3:$A$166,0),MATCH("Lightweighting rate [%]",'vehicles specifications'!$B$2:$CW$2,0))</f>
        <v>0</v>
      </c>
    </row>
    <row r="101" spans="1:8" x14ac:dyDescent="0.2">
      <c r="A101" t="s">
        <v>485</v>
      </c>
      <c r="B101" s="6" t="s">
        <v>486</v>
      </c>
    </row>
    <row r="102" spans="1:8" x14ac:dyDescent="0.2">
      <c r="A102" t="s">
        <v>487</v>
      </c>
      <c r="B102" s="2">
        <v>15900</v>
      </c>
    </row>
    <row r="103" spans="1:8" x14ac:dyDescent="0.2">
      <c r="A103" t="s">
        <v>488</v>
      </c>
      <c r="B103" s="2">
        <v>1000</v>
      </c>
    </row>
    <row r="104" spans="1:8" x14ac:dyDescent="0.2">
      <c r="A104" t="s">
        <v>83</v>
      </c>
      <c r="B104"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tr">
        <f>B77</f>
        <v>Motorbike, gasoline, 4-11kW, EURO-5, 2020</v>
      </c>
      <c r="B107">
        <v>1</v>
      </c>
      <c r="C107" t="str">
        <f>B78</f>
        <v>CH</v>
      </c>
      <c r="D107" t="str">
        <f>B85</f>
        <v>unit</v>
      </c>
      <c r="F107" t="s">
        <v>84</v>
      </c>
      <c r="G107" t="s">
        <v>85</v>
      </c>
      <c r="H107" t="str">
        <f>B79</f>
        <v>Motorbike, gasoline, 4-11kW, EURO-5</v>
      </c>
    </row>
    <row r="108" spans="1:8" x14ac:dyDescent="0.2">
      <c r="A108" t="str">
        <f>INDEX('ei names mapping'!$B$4:$R$33,MATCH(B79,'ei names mapping'!$A$4:$A$33,0),MATCH(G108,'ei names mapping'!$B$3:$R$3,0))</f>
        <v>motor scooter production</v>
      </c>
      <c r="B108" s="6">
        <f>INDEX('vehicles specifications'!$B$3:$CW$166,MATCH(B82,'vehicles specifications'!$A$3:$A$166,0),MATCH(G108,'vehicles specifications'!$B$2:$CW$2,0))*INDEX('ei names mapping'!$B$137:$BL$300,MATCH(B82,'ei names mapping'!$A$137:$A$300,0),MATCH(G108,'ei names mapping'!$B$136:$BL$136,0))</f>
        <v>0.7270425217814277</v>
      </c>
      <c r="C108" t="str">
        <f>INDEX('ei names mapping'!$B$38:$R$67,MATCH(B79,'ei names mapping'!$A$4:$A$33,0),MATCH(G108,'ei names mapping'!$B$3:$R$3,0))</f>
        <v>RER</v>
      </c>
      <c r="D108" t="str">
        <f>INDEX('ei names mapping'!$B$104:$R$133,MATCH(B79,'ei names mapping'!$A$104:$A$133,0),MATCH(G108,'ei names mapping'!$B$3:$R$3,0))</f>
        <v>unit</v>
      </c>
      <c r="F108" t="s">
        <v>89</v>
      </c>
      <c r="G108" t="s">
        <v>15</v>
      </c>
      <c r="H108" t="str">
        <f>INDEX('ei names mapping'!$B$71:$R$100,MATCH(B79,'ei names mapping'!$A$4:$A$33,0),MATCH(G108,'ei names mapping'!$B$3:$R$3,0))</f>
        <v>motor scooter, 50 cubic cm engine</v>
      </c>
    </row>
    <row r="109" spans="1:8" x14ac:dyDescent="0.2">
      <c r="A109" t="str">
        <f>INDEX('ei names mapping'!$B$4:$R$33,MATCH(B79,'ei names mapping'!$A$4:$A$33,0),MATCH(G109,'ei names mapping'!$B$3:$R$3,0))</f>
        <v>motor scooter production</v>
      </c>
      <c r="B109" s="6">
        <f>INDEX('vehicles specifications'!$B$3:$CW$166,MATCH(B82,'vehicles specifications'!$A$3:$A$166,0),MATCH(G109,'vehicles specifications'!$B$2:$CW$2,0))*INDEX('ei names mapping'!$B$137:$BL$300,MATCH(B82,'ei names mapping'!$A$137:$A$300,0),MATCH(G109,'ei names mapping'!$B$136:$BL$136,0))</f>
        <v>0.50892976524699929</v>
      </c>
      <c r="C109" t="str">
        <f>INDEX('ei names mapping'!$B$38:$R$67,MATCH(B79,'ei names mapping'!$A$4:$A$33,0),MATCH(G109,'ei names mapping'!$B$3:$R$3,0))</f>
        <v>RER</v>
      </c>
      <c r="D109" t="str">
        <f>INDEX('ei names mapping'!$B$104:$R$133,MATCH(B79,'ei names mapping'!$A$104:$A$133,0),MATCH(G109,'ei names mapping'!$B$3:$R$3,0))</f>
        <v>unit</v>
      </c>
      <c r="F109" t="s">
        <v>89</v>
      </c>
      <c r="G109" t="s">
        <v>16</v>
      </c>
      <c r="H109" t="str">
        <f>INDEX('ei names mapping'!$B$71:$R$100,MATCH(B79,'ei names mapping'!$A$4:$A$33,0),MATCH(G109,'ei names mapping'!$B$3:$R$3,0))</f>
        <v>motor scooter, 50 cubic cm engine</v>
      </c>
    </row>
    <row r="110" spans="1:8" x14ac:dyDescent="0.2">
      <c r="A110" t="str">
        <f>INDEX('ei names mapping'!$B$4:$R$33,MATCH(B79,'ei names mapping'!$A$4:$A$33,0),MATCH(G110,'ei names mapping'!$B$3:$R$3,0))</f>
        <v>polyethylene production, high density, granulate</v>
      </c>
      <c r="B110" s="6">
        <f>INDEX('vehicles specifications'!$B$3:$CW$166,MATCH(B82,'vehicles specifications'!$A$3:$A$166,0),MATCH(G110,'vehicles specifications'!$B$2:$CW$2,0))*INDEX('ei names mapping'!$B$137:$BL$300,MATCH(B82,'ei names mapping'!$A$137:$A$300,0),MATCH(G110,'ei names mapping'!$B$136:$BL$136,0))</f>
        <v>1.0125</v>
      </c>
      <c r="C110" t="str">
        <f>INDEX('ei names mapping'!$B$38:$R$67,MATCH(B79,'ei names mapping'!$A$4:$A$33,0),MATCH(G110,'ei names mapping'!$B$3:$R$3,0))</f>
        <v>RER</v>
      </c>
      <c r="D110" t="str">
        <f>INDEX('ei names mapping'!$B$104:$R$133,MATCH(B79,'ei names mapping'!$A$104:$A$133,0),MATCH(G110,'ei names mapping'!$B$3:$R$3,0))</f>
        <v>kilogram</v>
      </c>
      <c r="F110" t="s">
        <v>89</v>
      </c>
      <c r="G110" t="s">
        <v>24</v>
      </c>
      <c r="H110" t="str">
        <f>INDEX('ei names mapping'!$B$71:$R$100,MATCH(B79,'ei names mapping'!$A$4:$A$33,0),MATCH(G110,'ei names mapping'!$B$3:$R$3,0))</f>
        <v>polyethylene, high density, granulate</v>
      </c>
    </row>
    <row r="111" spans="1:8" x14ac:dyDescent="0.2">
      <c r="A111" t="s">
        <v>282</v>
      </c>
      <c r="B111" s="6">
        <f>B110/0.994</f>
        <v>1.0186116700201207</v>
      </c>
      <c r="C111" t="s">
        <v>92</v>
      </c>
      <c r="D111" t="s">
        <v>77</v>
      </c>
      <c r="F111" t="s">
        <v>89</v>
      </c>
      <c r="G111" t="s">
        <v>647</v>
      </c>
      <c r="H111" t="s">
        <v>282</v>
      </c>
    </row>
    <row r="112" spans="1:8" x14ac:dyDescent="0.2">
      <c r="A112" s="13" t="s">
        <v>840</v>
      </c>
      <c r="B112" s="2">
        <f>(B92/1000)*B103</f>
        <v>119.00000583255843</v>
      </c>
      <c r="C112" t="s">
        <v>92</v>
      </c>
      <c r="D112" t="s">
        <v>233</v>
      </c>
      <c r="F112" t="s">
        <v>89</v>
      </c>
      <c r="H112" s="13" t="s">
        <v>841</v>
      </c>
    </row>
    <row r="113" spans="1:8" x14ac:dyDescent="0.2">
      <c r="A113" s="13" t="s">
        <v>441</v>
      </c>
      <c r="B113" s="2">
        <f>(B92/1000)*B102</f>
        <v>1892.100092737679</v>
      </c>
      <c r="C113" t="s">
        <v>95</v>
      </c>
      <c r="D113" t="s">
        <v>233</v>
      </c>
      <c r="F113" t="s">
        <v>89</v>
      </c>
      <c r="H113" s="13" t="s">
        <v>441</v>
      </c>
    </row>
    <row r="115" spans="1:8" ht="16" x14ac:dyDescent="0.2">
      <c r="A115" s="10" t="s">
        <v>71</v>
      </c>
      <c r="B115" s="8" t="str">
        <f>B117&amp;", "&amp;B119</f>
        <v>Motorbike, gasoline, 4-11kW, EURO-5, 2030</v>
      </c>
    </row>
    <row r="116" spans="1:8" x14ac:dyDescent="0.2">
      <c r="A116" t="s">
        <v>72</v>
      </c>
      <c r="B116" t="s">
        <v>37</v>
      </c>
    </row>
    <row r="117" spans="1:8" x14ac:dyDescent="0.2">
      <c r="A117" t="s">
        <v>86</v>
      </c>
      <c r="B117" t="s">
        <v>640</v>
      </c>
    </row>
    <row r="118" spans="1:8" x14ac:dyDescent="0.2">
      <c r="A118" t="s">
        <v>87</v>
      </c>
    </row>
    <row r="119" spans="1:8" x14ac:dyDescent="0.2">
      <c r="A119" t="s">
        <v>88</v>
      </c>
      <c r="B119">
        <v>2030</v>
      </c>
    </row>
    <row r="120" spans="1:8" x14ac:dyDescent="0.2">
      <c r="A120" t="s">
        <v>126</v>
      </c>
      <c r="B120" t="str">
        <f>B117&amp;" - "&amp;B119&amp;" - "&amp;B116</f>
        <v>Motorbike, gasoline, 4-11kW, EURO-5 - 2030 - CH</v>
      </c>
    </row>
    <row r="121" spans="1:8" x14ac:dyDescent="0.2">
      <c r="A121" t="s">
        <v>73</v>
      </c>
      <c r="B121" t="str">
        <f>B117</f>
        <v>Motorbike, gasoline, 4-11kW, EURO-5</v>
      </c>
    </row>
    <row r="122" spans="1:8" x14ac:dyDescent="0.2">
      <c r="A122" t="s">
        <v>74</v>
      </c>
      <c r="B122" t="s">
        <v>75</v>
      </c>
    </row>
    <row r="123" spans="1:8" x14ac:dyDescent="0.2">
      <c r="A123" t="s">
        <v>76</v>
      </c>
      <c r="B123" t="s">
        <v>76</v>
      </c>
    </row>
    <row r="124" spans="1:8" x14ac:dyDescent="0.2">
      <c r="A124" t="s">
        <v>78</v>
      </c>
      <c r="B124" t="s">
        <v>1143</v>
      </c>
    </row>
    <row r="125" spans="1:8" x14ac:dyDescent="0.2">
      <c r="A125" t="s">
        <v>127</v>
      </c>
      <c r="B125">
        <f>INDEX('vehicles specifications'!$B$3:$CW$166,MATCH(B120,'vehicles specifications'!$A$3:$A$166,0),MATCH("Lifetime [km]",'vehicles specifications'!$B$2:$CW$2,0))</f>
        <v>25000</v>
      </c>
    </row>
    <row r="126" spans="1:8" x14ac:dyDescent="0.2">
      <c r="A126" t="s">
        <v>128</v>
      </c>
      <c r="B126">
        <f>INDEX('vehicles specifications'!$B$3:$CW$166,MATCH(B120,'vehicles specifications'!$A$3:$A$166,0),MATCH("Passengers [unit]",'vehicles specifications'!$B$2:$CW$2,0))</f>
        <v>1.1000000000000001</v>
      </c>
    </row>
    <row r="127" spans="1:8" x14ac:dyDescent="0.2">
      <c r="A127" t="s">
        <v>129</v>
      </c>
      <c r="B127">
        <f>INDEX('vehicles specifications'!$B$3:$CW$166,MATCH(B120,'vehicles specifications'!$A$3:$A$166,0),MATCH("Servicing [unit]",'vehicles specifications'!$B$2:$CW$2,0))</f>
        <v>1</v>
      </c>
    </row>
    <row r="128" spans="1:8" x14ac:dyDescent="0.2">
      <c r="A128" t="s">
        <v>130</v>
      </c>
      <c r="B128">
        <f>INDEX('vehicles specifications'!$B$3:$CW$166,MATCH(B120,'vehicles specifications'!$A$3:$A$166,0),MATCH("Energy battery replacement [unit]",'vehicles specifications'!$B$2:$CW$2,0))</f>
        <v>0</v>
      </c>
    </row>
    <row r="129" spans="1:8" x14ac:dyDescent="0.2">
      <c r="A129" t="s">
        <v>131</v>
      </c>
      <c r="B129">
        <f>INDEX('vehicles specifications'!$B$3:$CW$166,MATCH(B120,'vehicles specifications'!$A$3:$A$166,0),MATCH("Annual kilometers [km]",'vehicles specifications'!$B$2:$CW$2,0))</f>
        <v>1776</v>
      </c>
    </row>
    <row r="130" spans="1:8" x14ac:dyDescent="0.2">
      <c r="A130" t="s">
        <v>132</v>
      </c>
      <c r="B130" s="2">
        <f>INDEX('vehicles specifications'!$B$3:$CW$166,MATCH(B120,'vehicles specifications'!$A$3:$A$166,0),MATCH("Curb mass [kg]",'vehicles specifications'!$B$2:$CW$2,0))</f>
        <v>117.03699102374857</v>
      </c>
    </row>
    <row r="131" spans="1:8" x14ac:dyDescent="0.2">
      <c r="A131" t="s">
        <v>133</v>
      </c>
      <c r="B131">
        <f>INDEX('vehicles specifications'!$B$3:$CW$166,MATCH(B120,'vehicles specifications'!$A$3:$A$166,0),MATCH("Power [kW]",'vehicles specifications'!$B$2:$CW$2,0))</f>
        <v>9</v>
      </c>
    </row>
    <row r="132" spans="1:8" x14ac:dyDescent="0.2">
      <c r="A132" t="s">
        <v>134</v>
      </c>
      <c r="B132" t="str">
        <f>INDEX('vehicles specifications'!$B$3:$CW$166,MATCH(B120,'vehicles specifications'!$A$3:$A$166,0),MATCH("Energy battery mass [kg]",'vehicles specifications'!$B$2:$CW$2,0))</f>
        <v/>
      </c>
    </row>
    <row r="133" spans="1:8" x14ac:dyDescent="0.2">
      <c r="A133" t="s">
        <v>135</v>
      </c>
      <c r="B133">
        <f>INDEX('vehicles specifications'!$B$3:$CW$166,MATCH(B120,'vehicles specifications'!$A$3:$A$166,0),MATCH("Electric energy available [kWh]",'vehicles specifications'!$B$2:$CW$2,0))</f>
        <v>0</v>
      </c>
    </row>
    <row r="134" spans="1:8" x14ac:dyDescent="0.2">
      <c r="A134" t="s">
        <v>138</v>
      </c>
      <c r="B134" s="2">
        <f>INDEX('vehicles specifications'!$B$3:$CW$166,MATCH(B120,'vehicles specifications'!$A$3:$A$166,0),MATCH("Oxydation energy stored [kWh]",'vehicles specifications'!$B$2:$CW$2,0))</f>
        <v>79.875</v>
      </c>
    </row>
    <row r="135" spans="1:8" x14ac:dyDescent="0.2">
      <c r="A135" t="s">
        <v>139</v>
      </c>
      <c r="B135">
        <f>INDEX('vehicles specifications'!$B$3:$CW$166,MATCH(B120,'vehicles specifications'!$A$3:$A$166,0),MATCH("Fuel mass [kg]",'vehicles specifications'!$B$2:$CW$2,0))</f>
        <v>6.75</v>
      </c>
    </row>
    <row r="136" spans="1:8" x14ac:dyDescent="0.2">
      <c r="A136" t="s">
        <v>136</v>
      </c>
      <c r="B136" s="2">
        <f>INDEX('vehicles specifications'!$B$3:$CW$166,MATCH(B120,'vehicles specifications'!$A$3:$A$166,0),MATCH("Range [km]",'vehicles specifications'!$B$2:$CW$2,0))</f>
        <v>288.7905892044663</v>
      </c>
    </row>
    <row r="137" spans="1:8" x14ac:dyDescent="0.2">
      <c r="A137" t="s">
        <v>137</v>
      </c>
      <c r="B137" t="str">
        <f>INDEX('vehicles specifications'!$B$3:$CW$166,MATCH(B120,'vehicles specifications'!$A$3:$A$166,0),MATCH("Emission standard",'vehicles specifications'!$B$2:$CW$2,0))</f>
        <v>EURO-5</v>
      </c>
    </row>
    <row r="138" spans="1:8" x14ac:dyDescent="0.2">
      <c r="A138" t="s">
        <v>1174</v>
      </c>
      <c r="B138" s="6">
        <f>INDEX('vehicles specifications'!$B$3:$CW$166,MATCH(B120,'vehicles specifications'!$A$3:$A$166,0),MATCH("Lightweighting rate [%]",'vehicles specifications'!$B$2:$CW$2,0))</f>
        <v>0.03</v>
      </c>
    </row>
    <row r="139" spans="1:8" x14ac:dyDescent="0.2">
      <c r="A139" t="s">
        <v>485</v>
      </c>
      <c r="B139" s="6" t="s">
        <v>486</v>
      </c>
    </row>
    <row r="140" spans="1:8" x14ac:dyDescent="0.2">
      <c r="A140" t="s">
        <v>487</v>
      </c>
      <c r="B140" s="2">
        <v>15900</v>
      </c>
    </row>
    <row r="141" spans="1:8" x14ac:dyDescent="0.2">
      <c r="A141" t="s">
        <v>488</v>
      </c>
      <c r="B141" s="2">
        <v>1000</v>
      </c>
    </row>
    <row r="142" spans="1:8" x14ac:dyDescent="0.2">
      <c r="A142" t="s">
        <v>83</v>
      </c>
      <c r="B142"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9 kW. Lifetime: 25000 km. Annual kilometers: 1776 km. Number of passengers: 1.1. Curb mass: 117 kg. Lightweighting of glider: 3%. Emission standard: EURO-5. Service visits throughout lifetime: 1. Range: 289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6" x14ac:dyDescent="0.2">
      <c r="A143" s="10" t="s">
        <v>79</v>
      </c>
    </row>
    <row r="144" spans="1:8" x14ac:dyDescent="0.2">
      <c r="A144" t="s">
        <v>80</v>
      </c>
      <c r="B144" t="s">
        <v>81</v>
      </c>
      <c r="C144" t="s">
        <v>72</v>
      </c>
      <c r="D144" t="s">
        <v>76</v>
      </c>
      <c r="E144" t="s">
        <v>82</v>
      </c>
      <c r="F144" t="s">
        <v>74</v>
      </c>
      <c r="G144" t="s">
        <v>83</v>
      </c>
      <c r="H144" t="s">
        <v>73</v>
      </c>
    </row>
    <row r="145" spans="1:8" x14ac:dyDescent="0.2">
      <c r="A145" t="str">
        <f>B115</f>
        <v>Motorbike, gasoline, 4-11kW, EURO-5, 2030</v>
      </c>
      <c r="B145">
        <v>1</v>
      </c>
      <c r="C145" t="str">
        <f>B116</f>
        <v>CH</v>
      </c>
      <c r="D145" t="str">
        <f>B123</f>
        <v>unit</v>
      </c>
      <c r="F145" t="s">
        <v>84</v>
      </c>
      <c r="G145" t="s">
        <v>85</v>
      </c>
      <c r="H145" t="str">
        <f>B117</f>
        <v>Motorbike, gasoline, 4-11kW, EURO-5</v>
      </c>
    </row>
    <row r="146" spans="1:8" x14ac:dyDescent="0.2">
      <c r="A146" t="str">
        <f>INDEX('ei names mapping'!$B$4:$R$33,MATCH(B117,'ei names mapping'!$A$4:$A$33,0),MATCH(G146,'ei names mapping'!$B$3:$R$3,0))</f>
        <v>motor scooter production</v>
      </c>
      <c r="B146" s="11">
        <f>INDEX('vehicles specifications'!$B$3:$CW$166,MATCH(B120,'vehicles specifications'!$A$3:$A$166,0),MATCH(G146,'vehicles specifications'!$B$2:$CW$2,0))*INDEX('ei names mapping'!$B$137:$BL$300,MATCH(B120,'ei names mapping'!$A$137:$A$300,0),MATCH(G146,'ei names mapping'!$B$136:$BL$136,0))</f>
        <v>0.7270425217814277</v>
      </c>
      <c r="C146" t="str">
        <f>INDEX('ei names mapping'!$B$38:$R$67,MATCH(B117,'ei names mapping'!$A$4:$A$33,0),MATCH(G146,'ei names mapping'!$B$3:$R$3,0))</f>
        <v>RER</v>
      </c>
      <c r="D146" t="str">
        <f>INDEX('ei names mapping'!$B$104:$R$133,MATCH(B117,'ei names mapping'!$A$104:$A$133,0),MATCH(G146,'ei names mapping'!$B$3:$R$3,0))</f>
        <v>unit</v>
      </c>
      <c r="F146" t="s">
        <v>89</v>
      </c>
      <c r="G146" t="s">
        <v>15</v>
      </c>
      <c r="H146" t="str">
        <f>INDEX('ei names mapping'!$B$71:$R$100,MATCH(B117,'ei names mapping'!$A$4:$A$33,0),MATCH(G146,'ei names mapping'!$B$3:$R$3,0))</f>
        <v>motor scooter, 50 cubic cm engine</v>
      </c>
    </row>
    <row r="147" spans="1:8" x14ac:dyDescent="0.2">
      <c r="A147" t="str">
        <f>INDEX('ei names mapping'!$B$4:$R$33,MATCH(B117,'ei names mapping'!$A$4:$A$33,0),MATCH(G147,'ei names mapping'!$B$3:$R$3,0))</f>
        <v>motor scooter production</v>
      </c>
      <c r="B147" s="11">
        <f>INDEX('vehicles specifications'!$B$3:$CW$166,MATCH(B120,'vehicles specifications'!$A$3:$A$166,0),MATCH(G147,'vehicles specifications'!$B$2:$CW$2,0))*INDEX('ei names mapping'!$B$137:$BL$300,MATCH(B120,'ei names mapping'!$A$137:$A$300,0),MATCH(G147,'ei names mapping'!$B$136:$BL$136,0))</f>
        <v>0.50892976524699929</v>
      </c>
      <c r="C147" t="str">
        <f>INDEX('ei names mapping'!$B$38:$R$67,MATCH(B117,'ei names mapping'!$A$4:$A$33,0),MATCH(G147,'ei names mapping'!$B$3:$R$3,0))</f>
        <v>RER</v>
      </c>
      <c r="D147" t="str">
        <f>INDEX('ei names mapping'!$B$104:$R$133,MATCH(B117,'ei names mapping'!$A$104:$A$133,0),MATCH(G147,'ei names mapping'!$B$3:$R$3,0))</f>
        <v>unit</v>
      </c>
      <c r="F147" t="s">
        <v>89</v>
      </c>
      <c r="G147" t="s">
        <v>16</v>
      </c>
      <c r="H147" t="str">
        <f>INDEX('ei names mapping'!$B$71:$R$100,MATCH(B117,'ei names mapping'!$A$4:$A$33,0),MATCH(G147,'ei names mapping'!$B$3:$R$3,0))</f>
        <v>motor scooter, 50 cubic cm engine</v>
      </c>
    </row>
    <row r="148" spans="1:8" x14ac:dyDescent="0.2">
      <c r="A148" t="str">
        <f>INDEX('ei names mapping'!$B$4:$R$33,MATCH(B117,'ei names mapping'!$A$4:$A$33,0),MATCH(G148,'ei names mapping'!$B$3:$R$3,0))</f>
        <v>Glider lightweighting</v>
      </c>
      <c r="B148" s="11">
        <f>INDEX('vehicles specifications'!$B$3:$CW$166,MATCH(B120,'vehicles specifications'!$A$3:$A$166,0),MATCH(G148,'vehicles specifications'!$B$2:$CW$2,0))*INDEX('ei names mapping'!$B$137:$BL$300,MATCH(B120,'ei names mapping'!$A$137:$A$300,0),MATCH(G148,'ei names mapping'!$B$136:$BL$136,0))</f>
        <v>1.9630148088098547</v>
      </c>
      <c r="C148" t="str">
        <f>INDEX('ei names mapping'!$B$38:$R$67,MATCH(B117,'ei names mapping'!$A$4:$A$33,0),MATCH(G148,'ei names mapping'!$B$3:$R$3,0))</f>
        <v>GLO</v>
      </c>
      <c r="D148" t="str">
        <f>INDEX('ei names mapping'!$B$104:$R$133,MATCH(B117,'ei names mapping'!$A$104:$A$133,0),MATCH(G148,'ei names mapping'!$B$3:$R$3,0))</f>
        <v>kilogram</v>
      </c>
      <c r="F148" t="s">
        <v>89</v>
      </c>
      <c r="G148" t="s">
        <v>14</v>
      </c>
      <c r="H148" t="str">
        <f>INDEX('ei names mapping'!$B$71:$R$100,MATCH(B117,'ei names mapping'!$A$4:$A$33,0),MATCH(G148,'ei names mapping'!$B$3:$R$3,0))</f>
        <v>Glider lightweighting</v>
      </c>
    </row>
    <row r="149" spans="1:8" x14ac:dyDescent="0.2">
      <c r="A149" t="str">
        <f>INDEX('ei names mapping'!$B$4:$R$33,MATCH(B117,'ei names mapping'!$A$4:$A$33,0),MATCH(G149,'ei names mapping'!$B$3:$R$3,0))</f>
        <v>polyethylene production, high density, granulate</v>
      </c>
      <c r="B149" s="11">
        <f>INDEX('vehicles specifications'!$B$3:$CW$166,MATCH(B120,'vehicles specifications'!$A$3:$A$166,0),MATCH(G149,'vehicles specifications'!$B$2:$CW$2,0))*INDEX('ei names mapping'!$B$137:$BL$300,MATCH(B120,'ei names mapping'!$A$137:$A$300,0),MATCH(G149,'ei names mapping'!$B$136:$BL$136,0))</f>
        <v>1.0125</v>
      </c>
      <c r="C149" t="str">
        <f>INDEX('ei names mapping'!$B$38:$R$67,MATCH(B117,'ei names mapping'!$A$4:$A$33,0),MATCH(G149,'ei names mapping'!$B$3:$R$3,0))</f>
        <v>RER</v>
      </c>
      <c r="D149" t="str">
        <f>INDEX('ei names mapping'!$B$104:$R$133,MATCH(B117,'ei names mapping'!$A$104:$A$133,0),MATCH(G149,'ei names mapping'!$B$3:$R$3,0))</f>
        <v>kilogram</v>
      </c>
      <c r="F149" t="s">
        <v>89</v>
      </c>
      <c r="G149" t="s">
        <v>24</v>
      </c>
      <c r="H149" t="str">
        <f>INDEX('ei names mapping'!$B$71:$R$100,MATCH(B117,'ei names mapping'!$A$4:$A$33,0),MATCH(G149,'ei names mapping'!$B$3:$R$3,0))</f>
        <v>polyethylene, high density, granulate</v>
      </c>
    </row>
    <row r="150" spans="1:8" x14ac:dyDescent="0.2">
      <c r="A150" t="s">
        <v>282</v>
      </c>
      <c r="B150" s="6">
        <f>B149/0.994</f>
        <v>1.0186116700201207</v>
      </c>
      <c r="C150" t="s">
        <v>92</v>
      </c>
      <c r="D150" t="s">
        <v>77</v>
      </c>
      <c r="F150" t="s">
        <v>89</v>
      </c>
      <c r="G150" t="s">
        <v>647</v>
      </c>
      <c r="H150" t="s">
        <v>282</v>
      </c>
    </row>
    <row r="151" spans="1:8" x14ac:dyDescent="0.2">
      <c r="A151" s="13" t="s">
        <v>840</v>
      </c>
      <c r="B151">
        <f>(B130/1000)*B141</f>
        <v>117.03699102374857</v>
      </c>
      <c r="C151" t="s">
        <v>92</v>
      </c>
      <c r="D151" t="s">
        <v>233</v>
      </c>
      <c r="F151" t="s">
        <v>89</v>
      </c>
      <c r="H151" s="13" t="s">
        <v>841</v>
      </c>
    </row>
    <row r="152" spans="1:8" x14ac:dyDescent="0.2">
      <c r="A152" s="13" t="s">
        <v>441</v>
      </c>
      <c r="B152" s="2">
        <f>(B130/1000)*B140</f>
        <v>1860.8881572776022</v>
      </c>
      <c r="C152" t="s">
        <v>95</v>
      </c>
      <c r="D152" t="s">
        <v>233</v>
      </c>
      <c r="F152" t="s">
        <v>89</v>
      </c>
      <c r="H152" s="13" t="s">
        <v>441</v>
      </c>
    </row>
    <row r="154" spans="1:8" ht="16" x14ac:dyDescent="0.2">
      <c r="A154" s="10" t="s">
        <v>71</v>
      </c>
      <c r="B154" s="8" t="str">
        <f>B156&amp;", "&amp;B158</f>
        <v>Motorbike, gasoline, 4-11kW, EURO-5, 2040</v>
      </c>
    </row>
    <row r="155" spans="1:8" x14ac:dyDescent="0.2">
      <c r="A155" t="s">
        <v>72</v>
      </c>
      <c r="B155" t="s">
        <v>37</v>
      </c>
    </row>
    <row r="156" spans="1:8" x14ac:dyDescent="0.2">
      <c r="A156" t="s">
        <v>86</v>
      </c>
      <c r="B156" t="s">
        <v>640</v>
      </c>
    </row>
    <row r="157" spans="1:8" x14ac:dyDescent="0.2">
      <c r="A157" t="s">
        <v>87</v>
      </c>
    </row>
    <row r="158" spans="1:8" x14ac:dyDescent="0.2">
      <c r="A158" t="s">
        <v>88</v>
      </c>
      <c r="B158">
        <v>2040</v>
      </c>
    </row>
    <row r="159" spans="1:8" x14ac:dyDescent="0.2">
      <c r="A159" t="s">
        <v>126</v>
      </c>
      <c r="B159" t="str">
        <f>B156&amp;" - "&amp;B158&amp;" - "&amp;B155</f>
        <v>Motorbike, gasoline, 4-11kW, EURO-5 - 2040 - CH</v>
      </c>
    </row>
    <row r="160" spans="1:8" x14ac:dyDescent="0.2">
      <c r="A160" t="s">
        <v>73</v>
      </c>
      <c r="B160" t="str">
        <f>B156</f>
        <v>Motorbike, gasoline, 4-11kW, EURO-5</v>
      </c>
    </row>
    <row r="161" spans="1:2" x14ac:dyDescent="0.2">
      <c r="A161" t="s">
        <v>74</v>
      </c>
      <c r="B161" t="s">
        <v>75</v>
      </c>
    </row>
    <row r="162" spans="1:2" x14ac:dyDescent="0.2">
      <c r="A162" t="s">
        <v>76</v>
      </c>
      <c r="B162" t="s">
        <v>76</v>
      </c>
    </row>
    <row r="163" spans="1:2" x14ac:dyDescent="0.2">
      <c r="A163" t="s">
        <v>78</v>
      </c>
      <c r="B163" t="s">
        <v>1143</v>
      </c>
    </row>
    <row r="164" spans="1:2" x14ac:dyDescent="0.2">
      <c r="A164" t="s">
        <v>127</v>
      </c>
      <c r="B164">
        <f>INDEX('vehicles specifications'!$B$3:$CW$166,MATCH(B159,'vehicles specifications'!$A$3:$A$166,0),MATCH("Lifetime [km]",'vehicles specifications'!$B$2:$CW$2,0))</f>
        <v>25000</v>
      </c>
    </row>
    <row r="165" spans="1:2" x14ac:dyDescent="0.2">
      <c r="A165" t="s">
        <v>128</v>
      </c>
      <c r="B165">
        <f>INDEX('vehicles specifications'!$B$3:$CW$166,MATCH(B159,'vehicles specifications'!$A$3:$A$166,0),MATCH("Passengers [unit]",'vehicles specifications'!$B$2:$CW$2,0))</f>
        <v>1.1000000000000001</v>
      </c>
    </row>
    <row r="166" spans="1:2" x14ac:dyDescent="0.2">
      <c r="A166" t="s">
        <v>129</v>
      </c>
      <c r="B166">
        <f>INDEX('vehicles specifications'!$B$3:$CW$166,MATCH(B159,'vehicles specifications'!$A$3:$A$166,0),MATCH("Servicing [unit]",'vehicles specifications'!$B$2:$CW$2,0))</f>
        <v>1</v>
      </c>
    </row>
    <row r="167" spans="1:2" x14ac:dyDescent="0.2">
      <c r="A167" t="s">
        <v>130</v>
      </c>
      <c r="B167">
        <f>INDEX('vehicles specifications'!$B$3:$CW$166,MATCH(B159,'vehicles specifications'!$A$3:$A$166,0),MATCH("Energy battery replacement [unit]",'vehicles specifications'!$B$2:$CW$2,0))</f>
        <v>0</v>
      </c>
    </row>
    <row r="168" spans="1:2" x14ac:dyDescent="0.2">
      <c r="A168" t="s">
        <v>131</v>
      </c>
      <c r="B168">
        <f>INDEX('vehicles specifications'!$B$3:$CW$166,MATCH(B159,'vehicles specifications'!$A$3:$A$166,0),MATCH("Annual kilometers [km]",'vehicles specifications'!$B$2:$CW$2,0))</f>
        <v>1776</v>
      </c>
    </row>
    <row r="169" spans="1:2" x14ac:dyDescent="0.2">
      <c r="A169" t="s">
        <v>132</v>
      </c>
      <c r="B169" s="2">
        <f>INDEX('vehicles specifications'!$B$3:$CW$166,MATCH(B159,'vehicles specifications'!$A$3:$A$166,0),MATCH("Curb mass [kg]",'vehicles specifications'!$B$2:$CW$2,0))</f>
        <v>115.728314484542</v>
      </c>
    </row>
    <row r="170" spans="1:2" x14ac:dyDescent="0.2">
      <c r="A170" t="s">
        <v>133</v>
      </c>
      <c r="B170">
        <f>INDEX('vehicles specifications'!$B$3:$CW$166,MATCH(B159,'vehicles specifications'!$A$3:$A$166,0),MATCH("Power [kW]",'vehicles specifications'!$B$2:$CW$2,0))</f>
        <v>9</v>
      </c>
    </row>
    <row r="171" spans="1:2" x14ac:dyDescent="0.2">
      <c r="A171" t="s">
        <v>134</v>
      </c>
      <c r="B171" t="str">
        <f>INDEX('vehicles specifications'!$B$3:$CW$166,MATCH(B159,'vehicles specifications'!$A$3:$A$166,0),MATCH("Energy battery mass [kg]",'vehicles specifications'!$B$2:$CW$2,0))</f>
        <v/>
      </c>
    </row>
    <row r="172" spans="1:2" x14ac:dyDescent="0.2">
      <c r="A172" t="s">
        <v>135</v>
      </c>
      <c r="B172">
        <f>INDEX('vehicles specifications'!$B$3:$CW$166,MATCH(B159,'vehicles specifications'!$A$3:$A$166,0),MATCH("Electric energy available [kWh]",'vehicles specifications'!$B$2:$CW$2,0))</f>
        <v>0</v>
      </c>
    </row>
    <row r="173" spans="1:2" x14ac:dyDescent="0.2">
      <c r="A173" t="s">
        <v>138</v>
      </c>
      <c r="B173" s="2">
        <f>INDEX('vehicles specifications'!$B$3:$CW$166,MATCH(B159,'vehicles specifications'!$A$3:$A$166,0),MATCH("Oxydation energy stored [kWh]",'vehicles specifications'!$B$2:$CW$2,0))</f>
        <v>79.875</v>
      </c>
    </row>
    <row r="174" spans="1:2" x14ac:dyDescent="0.2">
      <c r="A174" t="s">
        <v>139</v>
      </c>
      <c r="B174">
        <f>INDEX('vehicles specifications'!$B$3:$CW$166,MATCH(B159,'vehicles specifications'!$A$3:$A$166,0),MATCH("Fuel mass [kg]",'vehicles specifications'!$B$2:$CW$2,0))</f>
        <v>6.75</v>
      </c>
    </row>
    <row r="175" spans="1:2" x14ac:dyDescent="0.2">
      <c r="A175" t="s">
        <v>136</v>
      </c>
      <c r="B175" s="2">
        <f>INDEX('vehicles specifications'!$B$3:$CW$166,MATCH(B159,'vehicles specifications'!$A$3:$A$166,0),MATCH("Range [km]",'vehicles specifications'!$B$2:$CW$2,0))</f>
        <v>291.70766586309725</v>
      </c>
    </row>
    <row r="176" spans="1:2" x14ac:dyDescent="0.2">
      <c r="A176" t="s">
        <v>137</v>
      </c>
      <c r="B176" t="str">
        <f>INDEX('vehicles specifications'!$B$3:$CW$166,MATCH(B159,'vehicles specifications'!$A$3:$A$166,0),MATCH("Emission standard",'vehicles specifications'!$B$2:$CW$2,0))</f>
        <v>EURO-5</v>
      </c>
    </row>
    <row r="177" spans="1:8" x14ac:dyDescent="0.2">
      <c r="A177" t="s">
        <v>1174</v>
      </c>
      <c r="B177" s="6">
        <f>INDEX('vehicles specifications'!$B$3:$CW$166,MATCH(B159,'vehicles specifications'!$A$3:$A$166,0),MATCH("Lightweighting rate [%]",'vehicles specifications'!$B$2:$CW$2,0))</f>
        <v>0.05</v>
      </c>
    </row>
    <row r="178" spans="1:8" x14ac:dyDescent="0.2">
      <c r="A178" t="s">
        <v>485</v>
      </c>
      <c r="B178" s="6" t="s">
        <v>486</v>
      </c>
    </row>
    <row r="179" spans="1:8" x14ac:dyDescent="0.2">
      <c r="A179" t="s">
        <v>487</v>
      </c>
      <c r="B179" s="2">
        <v>15900</v>
      </c>
    </row>
    <row r="180" spans="1:8" x14ac:dyDescent="0.2">
      <c r="A180" t="s">
        <v>488</v>
      </c>
      <c r="B180" s="2">
        <v>1000</v>
      </c>
    </row>
    <row r="181" spans="1:8" x14ac:dyDescent="0.2">
      <c r="A181" t="s">
        <v>83</v>
      </c>
      <c r="B18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9 kW. Lifetime: 25000 km. Annual kilometers: 1776 km. Number of passengers: 1.1. Curb mass: 115.7 kg. Lightweighting of glider: 5%. Emission standard: EURO-5. Service visits throughout lifetime: 1. Range: 292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6" x14ac:dyDescent="0.2">
      <c r="A182" s="10" t="s">
        <v>79</v>
      </c>
    </row>
    <row r="183" spans="1:8" x14ac:dyDescent="0.2">
      <c r="A183" t="s">
        <v>80</v>
      </c>
      <c r="B183" t="s">
        <v>81</v>
      </c>
      <c r="C183" t="s">
        <v>72</v>
      </c>
      <c r="D183" t="s">
        <v>76</v>
      </c>
      <c r="E183" t="s">
        <v>82</v>
      </c>
      <c r="F183" t="s">
        <v>74</v>
      </c>
      <c r="G183" t="s">
        <v>83</v>
      </c>
      <c r="H183" t="s">
        <v>73</v>
      </c>
    </row>
    <row r="184" spans="1:8" x14ac:dyDescent="0.2">
      <c r="A184" t="str">
        <f>B154</f>
        <v>Motorbike, gasoline, 4-11kW, EURO-5, 2040</v>
      </c>
      <c r="B184">
        <v>1</v>
      </c>
      <c r="C184" t="str">
        <f>B155</f>
        <v>CH</v>
      </c>
      <c r="D184" t="str">
        <f>B162</f>
        <v>unit</v>
      </c>
      <c r="F184" t="s">
        <v>84</v>
      </c>
      <c r="G184" t="s">
        <v>85</v>
      </c>
      <c r="H184" t="str">
        <f>B156</f>
        <v>Motorbike, gasoline, 4-11kW, EURO-5</v>
      </c>
    </row>
    <row r="185" spans="1:8" x14ac:dyDescent="0.2">
      <c r="A185" t="str">
        <f>INDEX('ei names mapping'!$B$4:$R$33,MATCH(B156,'ei names mapping'!$A$4:$A$33,0),MATCH(G185,'ei names mapping'!$B$3:$R$3,0))</f>
        <v>motor scooter production</v>
      </c>
      <c r="B185" s="11">
        <f>INDEX('vehicles specifications'!$B$3:$CW$166,MATCH(B159,'vehicles specifications'!$A$3:$A$166,0),MATCH(G185,'vehicles specifications'!$B$2:$CW$2,0))*INDEX('ei names mapping'!$B$137:$BL$300,MATCH(B159,'ei names mapping'!$A$137:$A$300,0),MATCH(G185,'ei names mapping'!$B$136:$BL$136,0))</f>
        <v>0.7270425217814277</v>
      </c>
      <c r="C185" t="str">
        <f>INDEX('ei names mapping'!$B$38:$R$67,MATCH(B156,'ei names mapping'!$A$4:$A$33,0),MATCH(G185,'ei names mapping'!$B$3:$R$3,0))</f>
        <v>RER</v>
      </c>
      <c r="D185" t="str">
        <f>INDEX('ei names mapping'!$B$104:$R$133,MATCH(B156,'ei names mapping'!$A$104:$A$133,0),MATCH(G185,'ei names mapping'!$B$3:$R$3,0))</f>
        <v>unit</v>
      </c>
      <c r="F185" t="s">
        <v>89</v>
      </c>
      <c r="G185" t="s">
        <v>15</v>
      </c>
      <c r="H185" t="str">
        <f>INDEX('ei names mapping'!$B$71:$R$100,MATCH(B156,'ei names mapping'!$A$4:$A$33,0),MATCH(G185,'ei names mapping'!$B$3:$R$3,0))</f>
        <v>motor scooter, 50 cubic cm engine</v>
      </c>
    </row>
    <row r="186" spans="1:8" x14ac:dyDescent="0.2">
      <c r="A186" t="str">
        <f>INDEX('ei names mapping'!$B$4:$R$33,MATCH(B156,'ei names mapping'!$A$4:$A$33,0),MATCH(G186,'ei names mapping'!$B$3:$R$3,0))</f>
        <v>motor scooter production</v>
      </c>
      <c r="B186" s="11">
        <f>INDEX('vehicles specifications'!$B$3:$CW$166,MATCH(B159,'vehicles specifications'!$A$3:$A$166,0),MATCH(G186,'vehicles specifications'!$B$2:$CW$2,0))*INDEX('ei names mapping'!$B$137:$BL$300,MATCH(B159,'ei names mapping'!$A$137:$A$300,0),MATCH(G186,'ei names mapping'!$B$136:$BL$136,0))</f>
        <v>0.50892976524699929</v>
      </c>
      <c r="C186" t="str">
        <f>INDEX('ei names mapping'!$B$38:$R$67,MATCH(B156,'ei names mapping'!$A$4:$A$33,0),MATCH(G186,'ei names mapping'!$B$3:$R$3,0))</f>
        <v>RER</v>
      </c>
      <c r="D186" t="str">
        <f>INDEX('ei names mapping'!$B$104:$R$133,MATCH(B156,'ei names mapping'!$A$104:$A$133,0),MATCH(G186,'ei names mapping'!$B$3:$R$3,0))</f>
        <v>unit</v>
      </c>
      <c r="F186" t="s">
        <v>89</v>
      </c>
      <c r="G186" t="s">
        <v>16</v>
      </c>
      <c r="H186" t="str">
        <f>INDEX('ei names mapping'!$B$71:$R$100,MATCH(B156,'ei names mapping'!$A$4:$A$33,0),MATCH(G186,'ei names mapping'!$B$3:$R$3,0))</f>
        <v>motor scooter, 50 cubic cm engine</v>
      </c>
    </row>
    <row r="187" spans="1:8" x14ac:dyDescent="0.2">
      <c r="A187" t="str">
        <f>INDEX('ei names mapping'!$B$4:$R$33,MATCH(B156,'ei names mapping'!$A$4:$A$33,0),MATCH(G187,'ei names mapping'!$B$3:$R$3,0))</f>
        <v>Glider lightweighting</v>
      </c>
      <c r="B187" s="11">
        <f>INDEX('vehicles specifications'!$B$3:$CW$166,MATCH(B159,'vehicles specifications'!$A$3:$A$166,0),MATCH(G187,'vehicles specifications'!$B$2:$CW$2,0))*INDEX('ei names mapping'!$B$137:$BL$300,MATCH(B159,'ei names mapping'!$A$137:$A$300,0),MATCH(G187,'ei names mapping'!$B$136:$BL$136,0))</f>
        <v>3.2716913480164247</v>
      </c>
      <c r="C187" t="str">
        <f>INDEX('ei names mapping'!$B$38:$R$67,MATCH(B156,'ei names mapping'!$A$4:$A$33,0),MATCH(G187,'ei names mapping'!$B$3:$R$3,0))</f>
        <v>GLO</v>
      </c>
      <c r="D187" t="str">
        <f>INDEX('ei names mapping'!$B$104:$R$133,MATCH(B156,'ei names mapping'!$A$104:$A$133,0),MATCH(G187,'ei names mapping'!$B$3:$R$3,0))</f>
        <v>kilogram</v>
      </c>
      <c r="F187" t="s">
        <v>89</v>
      </c>
      <c r="G187" t="s">
        <v>14</v>
      </c>
      <c r="H187" t="str">
        <f>INDEX('ei names mapping'!$B$71:$R$100,MATCH(B156,'ei names mapping'!$A$4:$A$33,0),MATCH(G187,'ei names mapping'!$B$3:$R$3,0))</f>
        <v>Glider lightweighting</v>
      </c>
    </row>
    <row r="188" spans="1:8" x14ac:dyDescent="0.2">
      <c r="A188" t="str">
        <f>INDEX('ei names mapping'!$B$4:$R$33,MATCH(B156,'ei names mapping'!$A$4:$A$33,0),MATCH(G188,'ei names mapping'!$B$3:$R$3,0))</f>
        <v>polyethylene production, high density, granulate</v>
      </c>
      <c r="B188" s="11">
        <f>INDEX('vehicles specifications'!$B$3:$CW$166,MATCH(B159,'vehicles specifications'!$A$3:$A$166,0),MATCH(G188,'vehicles specifications'!$B$2:$CW$2,0))*INDEX('ei names mapping'!$B$137:$BL$300,MATCH(B159,'ei names mapping'!$A$137:$A$300,0),MATCH(G188,'ei names mapping'!$B$136:$BL$136,0))</f>
        <v>1.0125</v>
      </c>
      <c r="C188" t="str">
        <f>INDEX('ei names mapping'!$B$38:$R$67,MATCH(B156,'ei names mapping'!$A$4:$A$33,0),MATCH(G188,'ei names mapping'!$B$3:$R$3,0))</f>
        <v>RER</v>
      </c>
      <c r="D188" t="str">
        <f>INDEX('ei names mapping'!$B$104:$R$133,MATCH(B156,'ei names mapping'!$A$104:$A$133,0),MATCH(G188,'ei names mapping'!$B$3:$R$3,0))</f>
        <v>kilogram</v>
      </c>
      <c r="F188" t="s">
        <v>89</v>
      </c>
      <c r="G188" t="s">
        <v>24</v>
      </c>
      <c r="H188" t="str">
        <f>INDEX('ei names mapping'!$B$71:$R$100,MATCH(B156,'ei names mapping'!$A$4:$A$33,0),MATCH(G188,'ei names mapping'!$B$3:$R$3,0))</f>
        <v>polyethylene, high density, granulate</v>
      </c>
    </row>
    <row r="189" spans="1:8" x14ac:dyDescent="0.2">
      <c r="A189" t="s">
        <v>282</v>
      </c>
      <c r="B189" s="6">
        <f>B188/0.994</f>
        <v>1.0186116700201207</v>
      </c>
      <c r="C189" t="s">
        <v>92</v>
      </c>
      <c r="D189" t="s">
        <v>77</v>
      </c>
      <c r="F189" t="s">
        <v>89</v>
      </c>
      <c r="G189" t="s">
        <v>647</v>
      </c>
      <c r="H189" t="s">
        <v>282</v>
      </c>
    </row>
    <row r="190" spans="1:8" x14ac:dyDescent="0.2">
      <c r="A190" s="13" t="s">
        <v>840</v>
      </c>
      <c r="B190">
        <f>(B169/1000)*B180</f>
        <v>115.728314484542</v>
      </c>
      <c r="C190" t="s">
        <v>92</v>
      </c>
      <c r="D190" t="s">
        <v>233</v>
      </c>
      <c r="F190" t="s">
        <v>89</v>
      </c>
      <c r="H190" s="13" t="s">
        <v>841</v>
      </c>
    </row>
    <row r="191" spans="1:8" x14ac:dyDescent="0.2">
      <c r="A191" s="13" t="s">
        <v>441</v>
      </c>
      <c r="B191" s="2">
        <f>(B169/1000)*B179</f>
        <v>1840.0802003042179</v>
      </c>
      <c r="C191" t="s">
        <v>95</v>
      </c>
      <c r="D191" t="s">
        <v>233</v>
      </c>
      <c r="F191" t="s">
        <v>89</v>
      </c>
      <c r="H191" s="13" t="s">
        <v>441</v>
      </c>
    </row>
    <row r="193" spans="1:2" ht="16" x14ac:dyDescent="0.2">
      <c r="A193" s="10" t="s">
        <v>71</v>
      </c>
      <c r="B193" s="8" t="str">
        <f>B195&amp;", "&amp;B197</f>
        <v>Motorbike, gasoline, 4-11kW, EURO-5, 2050</v>
      </c>
    </row>
    <row r="194" spans="1:2" x14ac:dyDescent="0.2">
      <c r="A194" t="s">
        <v>72</v>
      </c>
      <c r="B194" t="s">
        <v>37</v>
      </c>
    </row>
    <row r="195" spans="1:2" x14ac:dyDescent="0.2">
      <c r="A195" t="s">
        <v>86</v>
      </c>
      <c r="B195" t="s">
        <v>640</v>
      </c>
    </row>
    <row r="196" spans="1:2" x14ac:dyDescent="0.2">
      <c r="A196" t="s">
        <v>87</v>
      </c>
    </row>
    <row r="197" spans="1:2" x14ac:dyDescent="0.2">
      <c r="A197" t="s">
        <v>88</v>
      </c>
      <c r="B197">
        <v>2050</v>
      </c>
    </row>
    <row r="198" spans="1:2" x14ac:dyDescent="0.2">
      <c r="A198" t="s">
        <v>126</v>
      </c>
      <c r="B198" t="str">
        <f>B195&amp;" - "&amp;B197&amp;" - "&amp;B194</f>
        <v>Motorbike, gasoline, 4-11kW, EURO-5 - 2050 - CH</v>
      </c>
    </row>
    <row r="199" spans="1:2" x14ac:dyDescent="0.2">
      <c r="A199" t="s">
        <v>73</v>
      </c>
      <c r="B199" t="str">
        <f>B195</f>
        <v>Motorbike, gasoline, 4-11kW, EURO-5</v>
      </c>
    </row>
    <row r="200" spans="1:2" x14ac:dyDescent="0.2">
      <c r="A200" t="s">
        <v>74</v>
      </c>
      <c r="B200" t="s">
        <v>75</v>
      </c>
    </row>
    <row r="201" spans="1:2" x14ac:dyDescent="0.2">
      <c r="A201" t="s">
        <v>76</v>
      </c>
      <c r="B201" t="s">
        <v>76</v>
      </c>
    </row>
    <row r="202" spans="1:2" x14ac:dyDescent="0.2">
      <c r="A202" t="s">
        <v>78</v>
      </c>
      <c r="B202" t="s">
        <v>1143</v>
      </c>
    </row>
    <row r="203" spans="1:2" x14ac:dyDescent="0.2">
      <c r="A203" t="s">
        <v>127</v>
      </c>
      <c r="B203">
        <f>INDEX('vehicles specifications'!$B$3:$CW$166,MATCH(B198,'vehicles specifications'!$A$3:$A$166,0),MATCH("Lifetime [km]",'vehicles specifications'!$B$2:$CW$2,0))</f>
        <v>25000</v>
      </c>
    </row>
    <row r="204" spans="1:2" x14ac:dyDescent="0.2">
      <c r="A204" t="s">
        <v>128</v>
      </c>
      <c r="B204">
        <f>INDEX('vehicles specifications'!$B$3:$CW$166,MATCH(B198,'vehicles specifications'!$A$3:$A$166,0),MATCH("Passengers [unit]",'vehicles specifications'!$B$2:$CW$2,0))</f>
        <v>1.1000000000000001</v>
      </c>
    </row>
    <row r="205" spans="1:2" x14ac:dyDescent="0.2">
      <c r="A205" t="s">
        <v>129</v>
      </c>
      <c r="B205">
        <f>INDEX('vehicles specifications'!$B$3:$CW$166,MATCH(B198,'vehicles specifications'!$A$3:$A$166,0),MATCH("Servicing [unit]",'vehicles specifications'!$B$2:$CW$2,0))</f>
        <v>1</v>
      </c>
    </row>
    <row r="206" spans="1:2" x14ac:dyDescent="0.2">
      <c r="A206" t="s">
        <v>130</v>
      </c>
      <c r="B206">
        <f>INDEX('vehicles specifications'!$B$3:$CW$166,MATCH(B198,'vehicles specifications'!$A$3:$A$166,0),MATCH("Energy battery replacement [unit]",'vehicles specifications'!$B$2:$CW$2,0))</f>
        <v>0</v>
      </c>
    </row>
    <row r="207" spans="1:2" x14ac:dyDescent="0.2">
      <c r="A207" t="s">
        <v>131</v>
      </c>
      <c r="B207">
        <f>INDEX('vehicles specifications'!$B$3:$CW$166,MATCH(B198,'vehicles specifications'!$A$3:$A$166,0),MATCH("Annual kilometers [km]",'vehicles specifications'!$B$2:$CW$2,0))</f>
        <v>1776</v>
      </c>
    </row>
    <row r="208" spans="1:2" x14ac:dyDescent="0.2">
      <c r="A208" t="s">
        <v>132</v>
      </c>
      <c r="B208" s="2">
        <f>INDEX('vehicles specifications'!$B$3:$CW$166,MATCH(B198,'vehicles specifications'!$A$3:$A$166,0),MATCH("Curb mass [kg]",'vehicles specifications'!$B$2:$CW$2,0))</f>
        <v>114.41963794533542</v>
      </c>
    </row>
    <row r="209" spans="1:8" x14ac:dyDescent="0.2">
      <c r="A209" t="s">
        <v>133</v>
      </c>
      <c r="B209">
        <f>INDEX('vehicles specifications'!$B$3:$CW$166,MATCH(B198,'vehicles specifications'!$A$3:$A$166,0),MATCH("Power [kW]",'vehicles specifications'!$B$2:$CW$2,0))</f>
        <v>9</v>
      </c>
    </row>
    <row r="210" spans="1:8" x14ac:dyDescent="0.2">
      <c r="A210" t="s">
        <v>134</v>
      </c>
      <c r="B210" t="str">
        <f>INDEX('vehicles specifications'!$B$3:$CW$166,MATCH(B198,'vehicles specifications'!$A$3:$A$166,0),MATCH("Energy battery mass [kg]",'vehicles specifications'!$B$2:$CW$2,0))</f>
        <v/>
      </c>
    </row>
    <row r="211" spans="1:8" x14ac:dyDescent="0.2">
      <c r="A211" t="s">
        <v>135</v>
      </c>
      <c r="B211">
        <f>INDEX('vehicles specifications'!$B$3:$CW$166,MATCH(B198,'vehicles specifications'!$A$3:$A$166,0),MATCH("Electric energy available [kWh]",'vehicles specifications'!$B$2:$CW$2,0))</f>
        <v>0</v>
      </c>
    </row>
    <row r="212" spans="1:8" x14ac:dyDescent="0.2">
      <c r="A212" t="s">
        <v>138</v>
      </c>
      <c r="B212" s="2">
        <f>INDEX('vehicles specifications'!$B$3:$CW$166,MATCH(B198,'vehicles specifications'!$A$3:$A$166,0),MATCH("Oxydation energy stored [kWh]",'vehicles specifications'!$B$2:$CW$2,0))</f>
        <v>79.875</v>
      </c>
    </row>
    <row r="213" spans="1:8" x14ac:dyDescent="0.2">
      <c r="A213" t="s">
        <v>139</v>
      </c>
      <c r="B213">
        <f>INDEX('vehicles specifications'!$B$3:$CW$166,MATCH(B198,'vehicles specifications'!$A$3:$A$166,0),MATCH("Fuel mass [kg]",'vehicles specifications'!$B$2:$CW$2,0))</f>
        <v>6.75</v>
      </c>
    </row>
    <row r="214" spans="1:8" x14ac:dyDescent="0.2">
      <c r="A214" t="s">
        <v>136</v>
      </c>
      <c r="B214" s="2">
        <f>INDEX('vehicles specifications'!$B$3:$CW$166,MATCH(B198,'vehicles specifications'!$A$3:$A$166,0),MATCH("Range [km]",'vehicles specifications'!$B$2:$CW$2,0))</f>
        <v>294.65420794252248</v>
      </c>
    </row>
    <row r="215" spans="1:8" x14ac:dyDescent="0.2">
      <c r="A215" t="s">
        <v>137</v>
      </c>
      <c r="B215" t="str">
        <f>INDEX('vehicles specifications'!$B$3:$CW$166,MATCH(B198,'vehicles specifications'!$A$3:$A$166,0),MATCH("Emission standard",'vehicles specifications'!$B$2:$CW$2,0))</f>
        <v>EURO-5</v>
      </c>
    </row>
    <row r="216" spans="1:8" x14ac:dyDescent="0.2">
      <c r="A216" t="s">
        <v>1174</v>
      </c>
      <c r="B216" s="6">
        <f>INDEX('vehicles specifications'!$B$3:$CW$166,MATCH(B198,'vehicles specifications'!$A$3:$A$166,0),MATCH("Lightweighting rate [%]",'vehicles specifications'!$B$2:$CW$2,0))</f>
        <v>7.0000000000000007E-2</v>
      </c>
    </row>
    <row r="217" spans="1:8" x14ac:dyDescent="0.2">
      <c r="A217" t="s">
        <v>485</v>
      </c>
      <c r="B217" s="6" t="s">
        <v>486</v>
      </c>
    </row>
    <row r="218" spans="1:8" x14ac:dyDescent="0.2">
      <c r="A218" t="s">
        <v>487</v>
      </c>
      <c r="B218" s="2">
        <v>15900</v>
      </c>
    </row>
    <row r="219" spans="1:8" x14ac:dyDescent="0.2">
      <c r="A219" t="s">
        <v>488</v>
      </c>
      <c r="B219" s="2">
        <v>1000</v>
      </c>
    </row>
    <row r="220" spans="1:8" x14ac:dyDescent="0.2">
      <c r="A220" t="s">
        <v>83</v>
      </c>
      <c r="B220"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9 kW. Lifetime: 25000 km. Annual kilometers: 1776 km. Number of passengers: 1.1. Curb mass: 114.4 kg. Lightweighting of glider: 7%. Emission standard: EURO-5. Service visits throughout lifetime: 1. Range: 295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6" x14ac:dyDescent="0.2">
      <c r="A221" s="10" t="s">
        <v>79</v>
      </c>
    </row>
    <row r="222" spans="1:8" x14ac:dyDescent="0.2">
      <c r="A222" t="s">
        <v>80</v>
      </c>
      <c r="B222" t="s">
        <v>81</v>
      </c>
      <c r="C222" t="s">
        <v>72</v>
      </c>
      <c r="D222" t="s">
        <v>76</v>
      </c>
      <c r="E222" t="s">
        <v>82</v>
      </c>
      <c r="F222" t="s">
        <v>74</v>
      </c>
      <c r="G222" t="s">
        <v>83</v>
      </c>
      <c r="H222" t="s">
        <v>73</v>
      </c>
    </row>
    <row r="223" spans="1:8" x14ac:dyDescent="0.2">
      <c r="A223" t="str">
        <f>B193</f>
        <v>Motorbike, gasoline, 4-11kW, EURO-5, 2050</v>
      </c>
      <c r="B223">
        <v>1</v>
      </c>
      <c r="C223" t="str">
        <f>B194</f>
        <v>CH</v>
      </c>
      <c r="D223" t="str">
        <f>B201</f>
        <v>unit</v>
      </c>
      <c r="F223" t="s">
        <v>84</v>
      </c>
      <c r="G223" t="s">
        <v>85</v>
      </c>
      <c r="H223" t="str">
        <f>B195</f>
        <v>Motorbike, gasoline, 4-11kW, EURO-5</v>
      </c>
    </row>
    <row r="224" spans="1:8" x14ac:dyDescent="0.2">
      <c r="A224" t="str">
        <f>INDEX('ei names mapping'!$B$4:$R$33,MATCH(B195,'ei names mapping'!$A$4:$A$33,0),MATCH(G224,'ei names mapping'!$B$3:$R$3,0))</f>
        <v>motor scooter production</v>
      </c>
      <c r="B224" s="11">
        <f>INDEX('vehicles specifications'!$B$3:$CW$166,MATCH(B198,'vehicles specifications'!$A$3:$A$166,0),MATCH(G224,'vehicles specifications'!$B$2:$CW$2,0))*INDEX('ei names mapping'!$B$137:$BL$300,MATCH(B198,'ei names mapping'!$A$137:$A$300,0),MATCH(G224,'ei names mapping'!$B$136:$BL$136,0))</f>
        <v>0.7270425217814277</v>
      </c>
      <c r="C224" t="str">
        <f>INDEX('ei names mapping'!$B$38:$R$67,MATCH(B195,'ei names mapping'!$A$4:$A$33,0),MATCH(G224,'ei names mapping'!$B$3:$R$3,0))</f>
        <v>RER</v>
      </c>
      <c r="D224" t="str">
        <f>INDEX('ei names mapping'!$B$104:$R$133,MATCH(B195,'ei names mapping'!$A$104:$A$133,0),MATCH(G224,'ei names mapping'!$B$3:$R$3,0))</f>
        <v>unit</v>
      </c>
      <c r="F224" t="s">
        <v>89</v>
      </c>
      <c r="G224" t="s">
        <v>15</v>
      </c>
      <c r="H224" t="str">
        <f>INDEX('ei names mapping'!$B$71:$R$100,MATCH(B195,'ei names mapping'!$A$4:$A$33,0),MATCH(G224,'ei names mapping'!$B$3:$R$3,0))</f>
        <v>motor scooter, 50 cubic cm engine</v>
      </c>
    </row>
    <row r="225" spans="1:8" x14ac:dyDescent="0.2">
      <c r="A225" t="str">
        <f>INDEX('ei names mapping'!$B$4:$R$33,MATCH(B195,'ei names mapping'!$A$4:$A$33,0),MATCH(G225,'ei names mapping'!$B$3:$R$3,0))</f>
        <v>motor scooter production</v>
      </c>
      <c r="B225" s="11">
        <f>INDEX('vehicles specifications'!$B$3:$CW$166,MATCH(B198,'vehicles specifications'!$A$3:$A$166,0),MATCH(G225,'vehicles specifications'!$B$2:$CW$2,0))*INDEX('ei names mapping'!$B$137:$BL$300,MATCH(B198,'ei names mapping'!$A$137:$A$300,0),MATCH(G225,'ei names mapping'!$B$136:$BL$136,0))</f>
        <v>0.50892976524699929</v>
      </c>
      <c r="C225" t="str">
        <f>INDEX('ei names mapping'!$B$38:$R$67,MATCH(B195,'ei names mapping'!$A$4:$A$33,0),MATCH(G225,'ei names mapping'!$B$3:$R$3,0))</f>
        <v>RER</v>
      </c>
      <c r="D225" t="str">
        <f>INDEX('ei names mapping'!$B$104:$R$133,MATCH(B195,'ei names mapping'!$A$104:$A$133,0),MATCH(G225,'ei names mapping'!$B$3:$R$3,0))</f>
        <v>unit</v>
      </c>
      <c r="F225" t="s">
        <v>89</v>
      </c>
      <c r="G225" t="s">
        <v>16</v>
      </c>
      <c r="H225" t="str">
        <f>INDEX('ei names mapping'!$B$71:$R$100,MATCH(B195,'ei names mapping'!$A$4:$A$33,0),MATCH(G225,'ei names mapping'!$B$3:$R$3,0))</f>
        <v>motor scooter, 50 cubic cm engine</v>
      </c>
    </row>
    <row r="226" spans="1:8" x14ac:dyDescent="0.2">
      <c r="A226" t="str">
        <f>INDEX('ei names mapping'!$B$4:$R$33,MATCH(B195,'ei names mapping'!$A$4:$A$33,0),MATCH(G226,'ei names mapping'!$B$3:$R$3,0))</f>
        <v>Glider lightweighting</v>
      </c>
      <c r="B226" s="11">
        <f>INDEX('vehicles specifications'!$B$3:$CW$166,MATCH(B198,'vehicles specifications'!$A$3:$A$166,0),MATCH(G226,'vehicles specifications'!$B$2:$CW$2,0))*INDEX('ei names mapping'!$B$137:$BL$300,MATCH(B198,'ei names mapping'!$A$137:$A$300,0),MATCH(G226,'ei names mapping'!$B$136:$BL$136,0))</f>
        <v>4.5803678872229945</v>
      </c>
      <c r="C226" t="str">
        <f>INDEX('ei names mapping'!$B$38:$R$67,MATCH(B195,'ei names mapping'!$A$4:$A$33,0),MATCH(G226,'ei names mapping'!$B$3:$R$3,0))</f>
        <v>GLO</v>
      </c>
      <c r="D226" t="str">
        <f>INDEX('ei names mapping'!$B$104:$R$133,MATCH(B195,'ei names mapping'!$A$104:$A$133,0),MATCH(G226,'ei names mapping'!$B$3:$R$3,0))</f>
        <v>kilogram</v>
      </c>
      <c r="F226" t="s">
        <v>89</v>
      </c>
      <c r="G226" t="s">
        <v>14</v>
      </c>
      <c r="H226" t="str">
        <f>INDEX('ei names mapping'!$B$71:$R$100,MATCH(B195,'ei names mapping'!$A$4:$A$33,0),MATCH(G226,'ei names mapping'!$B$3:$R$3,0))</f>
        <v>Glider lightweighting</v>
      </c>
    </row>
    <row r="227" spans="1:8" x14ac:dyDescent="0.2">
      <c r="A227" t="str">
        <f>INDEX('ei names mapping'!$B$4:$R$33,MATCH(B195,'ei names mapping'!$A$4:$A$33,0),MATCH(G227,'ei names mapping'!$B$3:$R$3,0))</f>
        <v>polyethylene production, high density, granulate</v>
      </c>
      <c r="B227" s="11">
        <f>INDEX('vehicles specifications'!$B$3:$CW$166,MATCH(B198,'vehicles specifications'!$A$3:$A$166,0),MATCH(G227,'vehicles specifications'!$B$2:$CW$2,0))*INDEX('ei names mapping'!$B$137:$BL$300,MATCH(B198,'ei names mapping'!$A$137:$A$300,0),MATCH(G227,'ei names mapping'!$B$136:$BL$136,0))</f>
        <v>1.0125</v>
      </c>
      <c r="C227" t="str">
        <f>INDEX('ei names mapping'!$B$38:$R$67,MATCH(B195,'ei names mapping'!$A$4:$A$33,0),MATCH(G227,'ei names mapping'!$B$3:$R$3,0))</f>
        <v>RER</v>
      </c>
      <c r="D227" t="str">
        <f>INDEX('ei names mapping'!$B$104:$R$133,MATCH(B195,'ei names mapping'!$A$104:$A$133,0),MATCH(G227,'ei names mapping'!$B$3:$R$3,0))</f>
        <v>kilogram</v>
      </c>
      <c r="F227" t="s">
        <v>89</v>
      </c>
      <c r="G227" t="s">
        <v>24</v>
      </c>
      <c r="H227" t="str">
        <f>INDEX('ei names mapping'!$B$71:$R$100,MATCH(B195,'ei names mapping'!$A$4:$A$33,0),MATCH(G227,'ei names mapping'!$B$3:$R$3,0))</f>
        <v>polyethylene, high density, granulate</v>
      </c>
    </row>
    <row r="228" spans="1:8" x14ac:dyDescent="0.2">
      <c r="A228" t="s">
        <v>282</v>
      </c>
      <c r="B228" s="6">
        <f>B227/0.994</f>
        <v>1.0186116700201207</v>
      </c>
      <c r="C228" t="s">
        <v>92</v>
      </c>
      <c r="D228" t="s">
        <v>77</v>
      </c>
      <c r="F228" t="s">
        <v>89</v>
      </c>
      <c r="G228" t="s">
        <v>647</v>
      </c>
      <c r="H228" t="s">
        <v>282</v>
      </c>
    </row>
    <row r="229" spans="1:8" x14ac:dyDescent="0.2">
      <c r="A229" s="13" t="s">
        <v>840</v>
      </c>
      <c r="B229">
        <f>(B208/1000)*B219</f>
        <v>114.41963794533542</v>
      </c>
      <c r="C229" t="s">
        <v>92</v>
      </c>
      <c r="D229" t="s">
        <v>233</v>
      </c>
      <c r="F229" t="s">
        <v>89</v>
      </c>
      <c r="H229" s="13" t="s">
        <v>841</v>
      </c>
    </row>
    <row r="230" spans="1:8" x14ac:dyDescent="0.2">
      <c r="A230" s="13" t="s">
        <v>441</v>
      </c>
      <c r="B230" s="2">
        <f>(B208/1000)*B218</f>
        <v>1819.2722433308334</v>
      </c>
      <c r="C230" t="s">
        <v>95</v>
      </c>
      <c r="D230" t="s">
        <v>233</v>
      </c>
      <c r="F230" t="s">
        <v>89</v>
      </c>
      <c r="H230" s="13" t="s">
        <v>441</v>
      </c>
    </row>
    <row r="232" spans="1:8" ht="16" x14ac:dyDescent="0.2">
      <c r="A232" s="10" t="s">
        <v>71</v>
      </c>
      <c r="B232" s="8" t="str">
        <f>"transport, "&amp;B234&amp;", "&amp;B236</f>
        <v>transport, Motorbike, gasoline, 4-11kW, EURO-3, 2006</v>
      </c>
    </row>
    <row r="233" spans="1:8" x14ac:dyDescent="0.2">
      <c r="A233" t="s">
        <v>72</v>
      </c>
      <c r="B233" t="s">
        <v>37</v>
      </c>
    </row>
    <row r="234" spans="1:8" x14ac:dyDescent="0.2">
      <c r="A234" t="s">
        <v>86</v>
      </c>
      <c r="B234" t="s">
        <v>638</v>
      </c>
    </row>
    <row r="235" spans="1:8" x14ac:dyDescent="0.2">
      <c r="A235" t="s">
        <v>87</v>
      </c>
    </row>
    <row r="236" spans="1:8" x14ac:dyDescent="0.2">
      <c r="A236" t="s">
        <v>88</v>
      </c>
      <c r="B236">
        <v>2006</v>
      </c>
    </row>
    <row r="237" spans="1:8" x14ac:dyDescent="0.2">
      <c r="A237" t="s">
        <v>126</v>
      </c>
      <c r="B237" t="str">
        <f>B234&amp;" - "&amp;B236&amp;" - "&amp;B233</f>
        <v>Motorbike, gasoline, 4-11kW, EURO-3 - 2006 - CH</v>
      </c>
    </row>
    <row r="238" spans="1:8" x14ac:dyDescent="0.2">
      <c r="A238" t="s">
        <v>73</v>
      </c>
      <c r="B238" t="str">
        <f>"transport, "&amp;B234</f>
        <v>transport, Motorbike, gasoline, 4-11kW, EURO-3</v>
      </c>
    </row>
    <row r="239" spans="1:8" x14ac:dyDescent="0.2">
      <c r="A239" t="s">
        <v>74</v>
      </c>
      <c r="B239" t="s">
        <v>75</v>
      </c>
    </row>
    <row r="240" spans="1:8" x14ac:dyDescent="0.2">
      <c r="A240" t="s">
        <v>76</v>
      </c>
      <c r="B240" t="s">
        <v>166</v>
      </c>
    </row>
    <row r="241" spans="1:2" x14ac:dyDescent="0.2">
      <c r="A241" t="s">
        <v>78</v>
      </c>
      <c r="B241" t="s">
        <v>1143</v>
      </c>
    </row>
    <row r="242" spans="1:2" x14ac:dyDescent="0.2">
      <c r="A242" t="s">
        <v>127</v>
      </c>
      <c r="B242">
        <f>INDEX('vehicles specifications'!$B$3:$CW$166,MATCH(B237,'vehicles specifications'!$A$3:$A$166,0),MATCH("Lifetime [km]",'vehicles specifications'!$B$2:$CW$2,0))</f>
        <v>25000</v>
      </c>
    </row>
    <row r="243" spans="1:2" x14ac:dyDescent="0.2">
      <c r="A243" t="s">
        <v>128</v>
      </c>
      <c r="B243">
        <f>INDEX('vehicles specifications'!$B$3:$CW$166,MATCH(B237,'vehicles specifications'!$A$3:$A$166,0),MATCH("Passengers [unit]",'vehicles specifications'!$B$2:$CW$2,0))</f>
        <v>1.1000000000000001</v>
      </c>
    </row>
    <row r="244" spans="1:2" x14ac:dyDescent="0.2">
      <c r="A244" t="s">
        <v>129</v>
      </c>
      <c r="B244">
        <f>INDEX('vehicles specifications'!$B$3:$CW$166,MATCH(B237,'vehicles specifications'!$A$3:$A$166,0),MATCH("Servicing [unit]",'vehicles specifications'!$B$2:$CW$2,0))</f>
        <v>1</v>
      </c>
    </row>
    <row r="245" spans="1:2" x14ac:dyDescent="0.2">
      <c r="A245" t="s">
        <v>130</v>
      </c>
      <c r="B245">
        <f>INDEX('vehicles specifications'!$B$3:$CW$166,MATCH(B237,'vehicles specifications'!$A$3:$A$166,0),MATCH("Energy battery replacement [unit]",'vehicles specifications'!$B$2:$CW$2,0))</f>
        <v>0</v>
      </c>
    </row>
    <row r="246" spans="1:2" x14ac:dyDescent="0.2">
      <c r="A246" t="s">
        <v>131</v>
      </c>
      <c r="B246">
        <f>INDEX('vehicles specifications'!$B$3:$CW$166,MATCH(B237,'vehicles specifications'!$A$3:$A$166,0),MATCH("Annual kilometers [km]",'vehicles specifications'!$B$2:$CW$2,0))</f>
        <v>1776</v>
      </c>
    </row>
    <row r="247" spans="1:2" x14ac:dyDescent="0.2">
      <c r="A247" t="s">
        <v>132</v>
      </c>
      <c r="B247" s="2">
        <f>INDEX('vehicles specifications'!$B$3:$CW$166,MATCH(B237,'vehicles specifications'!$A$3:$A$166,0),MATCH("Curb mass [kg]",'vehicles specifications'!$B$2:$CW$2,0))</f>
        <v>122.27169718057486</v>
      </c>
    </row>
    <row r="248" spans="1:2" x14ac:dyDescent="0.2">
      <c r="A248" t="s">
        <v>133</v>
      </c>
      <c r="B248">
        <f>INDEX('vehicles specifications'!$B$3:$CW$166,MATCH(B237,'vehicles specifications'!$A$3:$A$166,0),MATCH("Power [kW]",'vehicles specifications'!$B$2:$CW$2,0))</f>
        <v>9</v>
      </c>
    </row>
    <row r="249" spans="1:2" x14ac:dyDescent="0.2">
      <c r="A249" t="s">
        <v>134</v>
      </c>
      <c r="B249" t="str">
        <f>INDEX('vehicles specifications'!$B$3:$CW$166,MATCH(B237,'vehicles specifications'!$A$3:$A$166,0),MATCH("Energy battery mass [kg]",'vehicles specifications'!$B$2:$CW$2,0))</f>
        <v/>
      </c>
    </row>
    <row r="250" spans="1:2" x14ac:dyDescent="0.2">
      <c r="A250" t="s">
        <v>135</v>
      </c>
      <c r="B250">
        <f>INDEX('vehicles specifications'!$B$3:$CW$166,MATCH(B237,'vehicles specifications'!$A$3:$A$166,0),MATCH("Electric energy available [kWh]",'vehicles specifications'!$B$2:$CW$2,0))</f>
        <v>0</v>
      </c>
    </row>
    <row r="251" spans="1:2" x14ac:dyDescent="0.2">
      <c r="A251" t="s">
        <v>138</v>
      </c>
      <c r="B251" s="2">
        <f>INDEX('vehicles specifications'!$B$3:$CW$166,MATCH(B237,'vehicles specifications'!$A$3:$A$166,0),MATCH("Oxydation energy stored [kWh]",'vehicles specifications'!$B$2:$CW$2,0))</f>
        <v>79.875</v>
      </c>
    </row>
    <row r="252" spans="1:2" x14ac:dyDescent="0.2">
      <c r="A252" t="s">
        <v>139</v>
      </c>
      <c r="B252">
        <f>INDEX('vehicles specifications'!$B$3:$CW$166,MATCH(B237,'vehicles specifications'!$A$3:$A$166,0),MATCH("Fuel mass [kg]",'vehicles specifications'!$B$2:$CW$2,0))</f>
        <v>6.75</v>
      </c>
    </row>
    <row r="253" spans="1:2" x14ac:dyDescent="0.2">
      <c r="A253" t="s">
        <v>136</v>
      </c>
      <c r="B253" s="2">
        <f>INDEX('vehicles specifications'!$B$3:$CW$166,MATCH(B237,'vehicles specifications'!$A$3:$A$166,0),MATCH("Range [km]",'vehicles specifications'!$B$2:$CW$2,0))</f>
        <v>280.24124403890835</v>
      </c>
    </row>
    <row r="254" spans="1:2" x14ac:dyDescent="0.2">
      <c r="A254" t="s">
        <v>137</v>
      </c>
      <c r="B254" t="str">
        <f>INDEX('vehicles specifications'!$B$3:$CW$166,MATCH(B237,'vehicles specifications'!$A$3:$A$166,0),MATCH("Emission standard",'vehicles specifications'!$B$2:$CW$2,0))</f>
        <v>EURO-3</v>
      </c>
    </row>
    <row r="255" spans="1:2" x14ac:dyDescent="0.2">
      <c r="A255" t="s">
        <v>1174</v>
      </c>
      <c r="B255" s="6">
        <f>INDEX('vehicles specifications'!$B$3:$CW$166,MATCH(B237,'vehicles specifications'!$A$3:$A$166,0),MATCH("Lightweighting rate [%]",'vehicles specifications'!$B$2:$CW$2,0))</f>
        <v>-0.05</v>
      </c>
    </row>
    <row r="256" spans="1:2" x14ac:dyDescent="0.2">
      <c r="A256" t="s">
        <v>83</v>
      </c>
      <c r="B256"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v>
      </c>
    </row>
    <row r="257" spans="1:8" ht="16" x14ac:dyDescent="0.2">
      <c r="A257" s="10" t="s">
        <v>79</v>
      </c>
    </row>
    <row r="258" spans="1:8" x14ac:dyDescent="0.2">
      <c r="A258" t="s">
        <v>80</v>
      </c>
      <c r="B258" t="s">
        <v>81</v>
      </c>
      <c r="C258" t="s">
        <v>72</v>
      </c>
      <c r="D258" t="s">
        <v>76</v>
      </c>
      <c r="E258" t="s">
        <v>82</v>
      </c>
      <c r="F258" t="s">
        <v>74</v>
      </c>
      <c r="G258" t="s">
        <v>83</v>
      </c>
      <c r="H258" t="s">
        <v>73</v>
      </c>
    </row>
    <row r="259" spans="1:8" x14ac:dyDescent="0.2">
      <c r="A259" t="str">
        <f>B232</f>
        <v>transport, Motorbike, gasoline, 4-11kW, EURO-3, 2006</v>
      </c>
      <c r="B259">
        <v>1</v>
      </c>
      <c r="C259" t="str">
        <f>B233</f>
        <v>CH</v>
      </c>
      <c r="D259" t="s">
        <v>166</v>
      </c>
      <c r="F259" t="s">
        <v>84</v>
      </c>
      <c r="G259" t="s">
        <v>85</v>
      </c>
      <c r="H259" t="str">
        <f>B238</f>
        <v>transport, Motorbike, gasoline, 4-11kW, EURO-3</v>
      </c>
    </row>
    <row r="260" spans="1:8" x14ac:dyDescent="0.2">
      <c r="A260" t="str">
        <f>RIGHT(A259,LEN(A259)-11)</f>
        <v>Motorbike, gasoline, 4-11kW, EURO-3, 2006</v>
      </c>
      <c r="B260" s="7">
        <f>1/B242</f>
        <v>4.0000000000000003E-5</v>
      </c>
      <c r="C260" t="str">
        <f>B233</f>
        <v>CH</v>
      </c>
      <c r="D260" t="s">
        <v>76</v>
      </c>
      <c r="F260" t="s">
        <v>89</v>
      </c>
      <c r="H260" t="str">
        <f>RIGHT(H259,LEN(H259)-11)</f>
        <v>Motorbike, gasoline, 4-11kW, EURO-3</v>
      </c>
    </row>
    <row r="261" spans="1:8" x14ac:dyDescent="0.2">
      <c r="A261" t="str">
        <f>INDEX('ei names mapping'!$B$4:$R$33,MATCH(B234,'ei names mapping'!$A$4:$A$33,0),MATCH(G261,'ei names mapping'!$B$3:$R$3,0))</f>
        <v>road construction</v>
      </c>
      <c r="B261" s="7">
        <f>INDEX('vehicles specifications'!$B$3:$CW$166,MATCH(B237,'vehicles specifications'!$A$3:$A$166,0),MATCH(G261,'vehicles specifications'!$B$2:$CW$2,0))*INDEX('ei names mapping'!$B$137:$BL$300,MATCH(B237,'ei names mapping'!$A$137:$A$300,0),MATCH(G261,'ei names mapping'!$B$136:$BL$136,0))</f>
        <v>1.131844013859687E-4</v>
      </c>
      <c r="C261" t="str">
        <f>INDEX('ei names mapping'!$B$38:$R$67,MATCH(B234,'ei names mapping'!$A$4:$A$33,0),MATCH(G261,'ei names mapping'!$B$3:$R$3,0))</f>
        <v>CH</v>
      </c>
      <c r="D261" t="str">
        <f>INDEX('ei names mapping'!$B$104:$BL$133,MATCH(B234,'ei names mapping'!$A$4:$A$33,0),MATCH(G261,'ei names mapping'!$B$3:$BL$3,0))</f>
        <v>meter-year</v>
      </c>
      <c r="F261" t="s">
        <v>89</v>
      </c>
      <c r="G261" t="s">
        <v>105</v>
      </c>
      <c r="H261" t="str">
        <f>INDEX('ei names mapping'!$B$71:$BL$100,MATCH(B234,'ei names mapping'!$A$4:$A$33,0),MATCH(G261,'ei names mapping'!$B$3:$BL$3,0))</f>
        <v>road</v>
      </c>
    </row>
    <row r="262" spans="1:8" x14ac:dyDescent="0.2">
      <c r="A262" t="str">
        <f>INDEX('ei names mapping'!$B$4:$R$33,MATCH(B234,'ei names mapping'!$A$4:$A$33,0),MATCH(G262,'ei names mapping'!$B$3:$R$3,0))</f>
        <v>road maintenance</v>
      </c>
      <c r="B262" s="7">
        <f>INDEX('vehicles specifications'!$B$3:$CW$166,MATCH(B237,'vehicles specifications'!$A$3:$A$166,0),MATCH(G262,'vehicles specifications'!$B$2:$CW$2,0))*INDEX('ei names mapping'!$B$137:$BL$300,MATCH(B237,'ei names mapping'!$A$137:$A$300,0),MATCH(G262,'ei names mapping'!$B$136:$BL$136,0))</f>
        <v>1.2899999999999999E-3</v>
      </c>
      <c r="C262" t="str">
        <f>INDEX('ei names mapping'!$B$38:$R$67,MATCH(B234,'ei names mapping'!$A$4:$A$33,0),MATCH(G262,'ei names mapping'!$B$3:$R$3,0))</f>
        <v>CH</v>
      </c>
      <c r="D262" t="str">
        <f>INDEX('ei names mapping'!$B$104:$BL$133,MATCH(B234,'ei names mapping'!$A$4:$A$33,0),MATCH(G262,'ei names mapping'!$B$3:$BL$3,0))</f>
        <v>meter-year</v>
      </c>
      <c r="F262" t="s">
        <v>89</v>
      </c>
      <c r="G262" t="s">
        <v>112</v>
      </c>
      <c r="H262" t="str">
        <f>INDEX('ei names mapping'!$B$71:$BL$100,MATCH(B234,'ei names mapping'!$A$4:$A$33,0),MATCH(G262,'ei names mapping'!$B$3:$BL$3,0))</f>
        <v>road maintenance</v>
      </c>
    </row>
    <row r="263" spans="1:8" x14ac:dyDescent="0.2">
      <c r="A263" t="str">
        <f>INDEX('ei names mapping'!$B$4:$R$33,MATCH(B234,'ei names mapping'!$A$4:$A$33,0),MATCH(G263,'ei names mapping'!$B$3:$R$3,0))</f>
        <v>maintenance, motor scooter</v>
      </c>
      <c r="B263" s="7">
        <f>INDEX('vehicles specifications'!$B$3:$CW$166,MATCH(B237,'vehicles specifications'!$A$3:$A$166,0),MATCH(G263,'vehicles specifications'!$B$2:$CW$2,0))*INDEX('ei names mapping'!$B$137:$BL$300,MATCH(B237,'ei names mapping'!$A$137:$A$300,0),MATCH(G263,'ei names mapping'!$B$136:$BL$136,0))</f>
        <v>4.0000000000000003E-5</v>
      </c>
      <c r="C263" t="str">
        <f>INDEX('ei names mapping'!$B$38:$BL$67,MATCH(B234,'ei names mapping'!$A$4:$A$33,0),MATCH(G263,'ei names mapping'!$B$3:$BL$3,0))</f>
        <v>CH</v>
      </c>
      <c r="D263" t="str">
        <f>INDEX('ei names mapping'!$B$104:$BL$133,MATCH(B234,'ei names mapping'!$A$4:$A$33,0),MATCH(G263,'ei names mapping'!$B$3:$BL$3,0))</f>
        <v>unit</v>
      </c>
      <c r="F263" t="s">
        <v>89</v>
      </c>
      <c r="G263" t="s">
        <v>118</v>
      </c>
      <c r="H263" t="str">
        <f>INDEX('ei names mapping'!$B$71:$BL$100,MATCH(B234,'ei names mapping'!$A$4:$A$33,0),MATCH(G263,'ei names mapping'!$B$3:$BL$3,0))</f>
        <v>maintenance, motor scooter</v>
      </c>
    </row>
    <row r="264" spans="1:8" x14ac:dyDescent="0.2">
      <c r="A264" t="str">
        <f>INDEX('ei names mapping'!$B$4:$R$33,MATCH(B234,'ei names mapping'!$A$4:$A$33,0),MATCH(G264,'ei names mapping'!$B$3:$R$3,0))</f>
        <v>fuel supply for gasoline vehicles</v>
      </c>
      <c r="B264" s="7">
        <f>INDEX('vehicles specifications'!$B$3:$CW$166,MATCH(B237,'vehicles specifications'!$A$3:$A$166,0),MATCH(G264,'vehicles specifications'!$B$2:$CW$2,0))*INDEX('ei names mapping'!$B$137:$BL$300,MATCH(B237,'ei names mapping'!$A$137:$A$300,0),MATCH(G264,'ei names mapping'!$B$136:$BL$136,0))</f>
        <v>2.4086390363949564E-2</v>
      </c>
      <c r="C264" t="str">
        <f>INDEX('ei names mapping'!$B$38:$BL$67,MATCH(B234,'ei names mapping'!$A$4:$A$33,0),MATCH(G264,'ei names mapping'!$B$3:$BL$3,0))</f>
        <v>CH</v>
      </c>
      <c r="D264" t="str">
        <f>INDEX('ei names mapping'!$B$104:$BL$133,MATCH(B234,'ei names mapping'!$A$4:$A$33,0),MATCH(G264,'ei names mapping'!$B$3:$BL$3,0))</f>
        <v>kilogram</v>
      </c>
      <c r="F264" t="s">
        <v>89</v>
      </c>
      <c r="G264" t="s">
        <v>27</v>
      </c>
      <c r="H264" t="str">
        <f>INDEX('ei names mapping'!$B$71:$BL$100,MATCH(B234,'ei names mapping'!$A$4:$A$33,0),MATCH(G264,'ei names mapping'!$B$3:$BL$3,0))</f>
        <v>gasoline blend</v>
      </c>
    </row>
    <row r="265" spans="1:8" x14ac:dyDescent="0.2">
      <c r="A265" t="str">
        <f>INDEX('ei names mapping'!$B$4:$BL$33,MATCH(B234,'ei names mapping'!$A$4:$A$33,0),MATCH(G265,'ei names mapping'!$B$3:$BL$3,0))</f>
        <v>Carbon dioxide, fossil</v>
      </c>
      <c r="B265" s="11">
        <f>INDEX('vehicles specifications'!$B$3:$CW$166,MATCH(B237,'vehicles specifications'!$A$3:$A$166,0),MATCH(G265,'vehicles specifications'!$B$2:$CW$2,0))*INDEX('ei names mapping'!$B$137:$BL$300,MATCH(B237,'ei names mapping'!$A$137:$A$300,0),MATCH(G265,'ei names mapping'!$B$136:$BL$136,0))</f>
        <v>7.4723690553888014E-2</v>
      </c>
      <c r="D265" t="str">
        <f>INDEX('ei names mapping'!$B$104:$BL$133,MATCH(B234,'ei names mapping'!$A$4:$A$33,0),MATCH(G265,'ei names mapping'!$B$3:$BL$3,0))</f>
        <v>kilogram</v>
      </c>
      <c r="E265" t="str">
        <f>INDEX('ei names mapping'!$B$305:$BL$335,MATCH(B234,'ei names mapping'!$A$4:$A$33,0),MATCH(G265,'ei names mapping'!$B$3:$BL$3,0))</f>
        <v>air::urban air close to ground</v>
      </c>
      <c r="F265" t="s">
        <v>167</v>
      </c>
      <c r="G265" t="s">
        <v>66</v>
      </c>
    </row>
    <row r="266" spans="1:8" x14ac:dyDescent="0.2">
      <c r="A266" t="str">
        <f>INDEX('ei names mapping'!$B$4:$BL$33,MATCH(B234,'ei names mapping'!$A$4:$A$33,0),MATCH(G266,'ei names mapping'!$B$3:$BL$3,0))</f>
        <v>Carbon dioxide, from soil or biomass stock</v>
      </c>
      <c r="B266" s="11">
        <f>INDEX('vehicles specifications'!$B$3:$CW$166,MATCH(B237,'vehicles specifications'!$A$3:$A$166,0),MATCH(G266,'vehicles specifications'!$B$2:$CW$2,0))*INDEX('ei names mapping'!$B$137:$BL$300,MATCH(B237,'ei names mapping'!$A$137:$A$300,0),MATCH(G266,'ei names mapping'!$B$136:$BL$136,0))</f>
        <v>9.0757518891361954E-4</v>
      </c>
      <c r="D266" t="str">
        <f>INDEX('ei names mapping'!$B$104:$BL$133,MATCH(B234,'ei names mapping'!$A$4:$A$33,0),MATCH(G266,'ei names mapping'!$B$3:$BL$3,0))</f>
        <v>kilogram</v>
      </c>
      <c r="E266" t="str">
        <f>INDEX('ei names mapping'!$B$305:$BL$335,MATCH(B234,'ei names mapping'!$A$4:$A$33,0),MATCH(G266,'ei names mapping'!$B$3:$BL$3,0))</f>
        <v>air::urban air close to ground</v>
      </c>
      <c r="F266" t="s">
        <v>167</v>
      </c>
      <c r="G266" t="s">
        <v>843</v>
      </c>
    </row>
    <row r="267" spans="1:8" x14ac:dyDescent="0.2">
      <c r="A267" t="str">
        <f>INDEX('ei names mapping'!$B$4:$BL$33,MATCH(B234,'ei names mapping'!$A$4:$A$33,0),MATCH(G267,'ei names mapping'!$B$3:$BL$3,0))</f>
        <v>Sulfur dioxide</v>
      </c>
      <c r="B267" s="7">
        <f>INDEX('vehicles specifications'!$B$3:$CW$166,MATCH(B237,'vehicles specifications'!$A$3:$A$166,0),MATCH(G267,'vehicles specifications'!$B$2:$CW$2,0))*INDEX('ei names mapping'!$B$137:$BL$300,MATCH(B237,'ei names mapping'!$A$137:$A$300,0),MATCH(G267,'ei names mapping'!$B$136:$BL$136,0))</f>
        <v>3.8538224582319301E-7</v>
      </c>
      <c r="D267" t="str">
        <f>INDEX('ei names mapping'!$B$104:$BL$133,MATCH(B234,'ei names mapping'!$A$4:$A$33,0),MATCH(G267,'ei names mapping'!$B$3:$BL$3,0))</f>
        <v>kilogram</v>
      </c>
      <c r="E267" t="str">
        <f>INDEX('ei names mapping'!$B$305:$BL$335,MATCH(B234,'ei names mapping'!$A$4:$A$33,0),MATCH(G267,'ei names mapping'!$B$3:$BL$3,0))</f>
        <v>air::urban air close to ground</v>
      </c>
      <c r="F267" t="s">
        <v>167</v>
      </c>
      <c r="G267" t="s">
        <v>67</v>
      </c>
    </row>
    <row r="268" spans="1:8" x14ac:dyDescent="0.2">
      <c r="A268" t="str">
        <f>INDEX('ei names mapping'!$B$4:$BL$33,MATCH(B234,'ei names mapping'!$A$4:$A$33,0),MATCH(G268,'ei names mapping'!$B$3:$BL$3,0))</f>
        <v>Benzene</v>
      </c>
      <c r="B268" s="7">
        <f>INDEX('vehicles specifications'!$B$3:$CW$166,MATCH(B237,'vehicles specifications'!$A$3:$A$166,0),MATCH(G268,'vehicles specifications'!$B$2:$CW$2,0))*INDEX('ei names mapping'!$B$137:$BL$300,MATCH(B237,'ei names mapping'!$A$137:$A$300,0),MATCH(G268,'ei names mapping'!$B$136:$BL$136,0))</f>
        <v>3.6529704169004323E-6</v>
      </c>
      <c r="D268" t="str">
        <f>INDEX('ei names mapping'!$B$104:$BL$133,MATCH(B234,'ei names mapping'!$A$4:$A$33,0),MATCH(G268,'ei names mapping'!$B$3:$BL$3,0))</f>
        <v>kilogram</v>
      </c>
      <c r="E268" t="str">
        <f>INDEX('ei names mapping'!$B$305:$BL$335,MATCH(B234,'ei names mapping'!$A$4:$A$33,0),MATCH(G268,'ei names mapping'!$B$3:$BL$3,0))</f>
        <v>air::urban air close to ground</v>
      </c>
      <c r="F268" t="s">
        <v>167</v>
      </c>
      <c r="G268" t="s">
        <v>55</v>
      </c>
    </row>
    <row r="269" spans="1:8" x14ac:dyDescent="0.2">
      <c r="A269" t="str">
        <f>INDEX('ei names mapping'!$B$4:$BL$33,MATCH(B234,'ei names mapping'!$A$4:$A$33,0),MATCH(G269,'ei names mapping'!$B$3:$BL$3,0))</f>
        <v>Methane, fossil</v>
      </c>
      <c r="B269" s="7">
        <f>INDEX('vehicles specifications'!$B$3:$CW$166,MATCH(B237,'vehicles specifications'!$A$3:$A$166,0),MATCH(G269,'vehicles specifications'!$B$2:$CW$2,0))*INDEX('ei names mapping'!$B$137:$BL$300,MATCH(B237,'ei names mapping'!$A$137:$A$300,0),MATCH(G269,'ei names mapping'!$B$136:$BL$136,0))</f>
        <v>5.0143885394914575E-5</v>
      </c>
      <c r="D269" t="str">
        <f>INDEX('ei names mapping'!$B$104:$BL$133,MATCH(B234,'ei names mapping'!$A$4:$A$33,0),MATCH(G269,'ei names mapping'!$B$3:$BL$3,0))</f>
        <v>kilogram</v>
      </c>
      <c r="E269" t="str">
        <f>INDEX('ei names mapping'!$B$305:$BL$335,MATCH(B234,'ei names mapping'!$A$4:$A$33,0),MATCH(G269,'ei names mapping'!$B$3:$BL$3,0))</f>
        <v>air::urban air close to ground</v>
      </c>
      <c r="F269" t="s">
        <v>167</v>
      </c>
      <c r="G269" t="s">
        <v>56</v>
      </c>
    </row>
    <row r="270" spans="1:8" x14ac:dyDescent="0.2">
      <c r="A270" t="str">
        <f>INDEX('ei names mapping'!$B$4:$BL$33,MATCH(B234,'ei names mapping'!$A$4:$A$33,0),MATCH(G270,'ei names mapping'!$B$3:$BL$3,0))</f>
        <v>Carbon monoxide, fossil</v>
      </c>
      <c r="B270" s="7">
        <f>INDEX('vehicles specifications'!$B$3:$CW$166,MATCH(B237,'vehicles specifications'!$A$3:$A$166,0),MATCH(G270,'vehicles specifications'!$B$2:$CW$2,0))*INDEX('ei names mapping'!$B$137:$BL$300,MATCH(B237,'ei names mapping'!$A$137:$A$300,0),MATCH(G270,'ei names mapping'!$B$136:$BL$136,0))</f>
        <v>7.0250030559411121E-4</v>
      </c>
      <c r="D270" t="str">
        <f>INDEX('ei names mapping'!$B$104:$BL$133,MATCH(B234,'ei names mapping'!$A$4:$A$33,0),MATCH(G270,'ei names mapping'!$B$3:$BL$3,0))</f>
        <v>kilogram</v>
      </c>
      <c r="E270" t="str">
        <f>INDEX('ei names mapping'!$B$305:$BL$335,MATCH(B234,'ei names mapping'!$A$4:$A$33,0),MATCH(G270,'ei names mapping'!$B$3:$BL$3,0))</f>
        <v>air::urban air close to ground</v>
      </c>
      <c r="F270" t="s">
        <v>167</v>
      </c>
      <c r="G270" t="s">
        <v>57</v>
      </c>
    </row>
    <row r="271" spans="1:8" x14ac:dyDescent="0.2">
      <c r="A271" t="str">
        <f>INDEX('ei names mapping'!$B$4:$BL$33,MATCH(B234,'ei names mapping'!$A$4:$A$33,0),MATCH(G271,'ei names mapping'!$B$3:$BL$3,0))</f>
        <v>Dinitrogen monoxide</v>
      </c>
      <c r="B271" s="7">
        <f>INDEX('vehicles specifications'!$B$3:$CW$166,MATCH(B237,'vehicles specifications'!$A$3:$A$166,0),MATCH(G271,'vehicles specifications'!$B$2:$CW$2,0))*INDEX('ei names mapping'!$B$137:$BL$300,MATCH(B237,'ei names mapping'!$A$137:$A$300,0),MATCH(G271,'ei names mapping'!$B$136:$BL$136,0))</f>
        <v>1.7908530498183775E-6</v>
      </c>
      <c r="D271" t="str">
        <f>INDEX('ei names mapping'!$B$104:$BL$133,MATCH(B234,'ei names mapping'!$A$4:$A$33,0),MATCH(G271,'ei names mapping'!$B$3:$BL$3,0))</f>
        <v>kilogram</v>
      </c>
      <c r="E271" t="str">
        <f>INDEX('ei names mapping'!$B$305:$BL$335,MATCH(B234,'ei names mapping'!$A$4:$A$33,0),MATCH(G271,'ei names mapping'!$B$3:$BL$3,0))</f>
        <v>air::urban air close to ground</v>
      </c>
      <c r="F271" t="s">
        <v>167</v>
      </c>
      <c r="G271" t="s">
        <v>58</v>
      </c>
    </row>
    <row r="272" spans="1:8" x14ac:dyDescent="0.2">
      <c r="A272" t="str">
        <f>INDEX('ei names mapping'!$B$4:$BL$33,MATCH(B234,'ei names mapping'!$A$4:$A$33,0),MATCH(G272,'ei names mapping'!$B$3:$BL$3,0))</f>
        <v>Ammonia</v>
      </c>
      <c r="B272" s="7">
        <f>INDEX('vehicles specifications'!$B$3:$CW$166,MATCH(B237,'vehicles specifications'!$A$3:$A$166,0),MATCH(G272,'vehicles specifications'!$B$2:$CW$2,0))*INDEX('ei names mapping'!$B$137:$BL$300,MATCH(B237,'ei names mapping'!$A$137:$A$300,0),MATCH(G272,'ei names mapping'!$B$136:$BL$136,0))</f>
        <v>1.7908530498183775E-6</v>
      </c>
      <c r="D272" t="str">
        <f>INDEX('ei names mapping'!$B$104:$BL$133,MATCH(B234,'ei names mapping'!$A$4:$A$33,0),MATCH(G272,'ei names mapping'!$B$3:$BL$3,0))</f>
        <v>kilogram</v>
      </c>
      <c r="E272" t="str">
        <f>INDEX('ei names mapping'!$B$305:$BL$335,MATCH(B234,'ei names mapping'!$A$4:$A$33,0),MATCH(G272,'ei names mapping'!$B$3:$BL$3,0))</f>
        <v>air::urban air close to ground</v>
      </c>
      <c r="F272" t="s">
        <v>167</v>
      </c>
      <c r="G272" t="s">
        <v>59</v>
      </c>
    </row>
    <row r="273" spans="1:7" x14ac:dyDescent="0.2">
      <c r="A273" t="str">
        <f>INDEX('ei names mapping'!$B$4:$BL$33,MATCH(B234,'ei names mapping'!$A$4:$A$33,0),MATCH(G273,'ei names mapping'!$B$3:$BL$3,0))</f>
        <v>Nitrogen oxides</v>
      </c>
      <c r="B273" s="7">
        <f>INDEX('vehicles specifications'!$B$3:$CW$166,MATCH(B237,'vehicles specifications'!$A$3:$A$166,0),MATCH(G273,'vehicles specifications'!$B$2:$CW$2,0))*INDEX('ei names mapping'!$B$137:$BL$300,MATCH(B237,'ei names mapping'!$A$137:$A$300,0),MATCH(G273,'ei names mapping'!$B$136:$BL$136,0))</f>
        <v>9.5536088059378408E-5</v>
      </c>
      <c r="D273" t="str">
        <f>INDEX('ei names mapping'!$B$104:$BL$133,MATCH(B234,'ei names mapping'!$A$4:$A$33,0),MATCH(G273,'ei names mapping'!$B$3:$BL$3,0))</f>
        <v>kilogram</v>
      </c>
      <c r="E273" t="str">
        <f>INDEX('ei names mapping'!$B$305:$BL$335,MATCH(B234,'ei names mapping'!$A$4:$A$33,0),MATCH(G273,'ei names mapping'!$B$3:$BL$3,0))</f>
        <v>air::urban air close to ground</v>
      </c>
      <c r="F273" t="s">
        <v>167</v>
      </c>
      <c r="G273" t="s">
        <v>60</v>
      </c>
    </row>
    <row r="274" spans="1:7" x14ac:dyDescent="0.2">
      <c r="A274" t="str">
        <f>INDEX('ei names mapping'!$B$4:$BL$33,MATCH(B$234,'ei names mapping'!$A$4:$A$33,0),MATCH(G274,'ei names mapping'!$B$3:$BL$3,0))</f>
        <v>Particulates, &lt; 2.5 um</v>
      </c>
      <c r="B274" s="7">
        <f>INDEX('vehicles specifications'!$B$3:$CW$166,MATCH(B$237,'vehicles specifications'!$A$3:$A$166,0),MATCH(G274,'vehicles specifications'!$B$2:$CW$2,0))*INDEX('ei names mapping'!$B$137:$BL$300,MATCH(B$237,'ei names mapping'!$A$137:$A$300,0),MATCH(G274,'ei names mapping'!$B$136:$BL$136,0))</f>
        <v>4.4771326245459437E-6</v>
      </c>
      <c r="D274" t="str">
        <f>INDEX('ei names mapping'!$B$104:$BL$133,MATCH(B$234,'ei names mapping'!$A$4:$A$33,0),MATCH(G274,'ei names mapping'!$B$3:$BL$3,0))</f>
        <v>kilogram</v>
      </c>
      <c r="E274" t="str">
        <f>INDEX('ei names mapping'!$B$305:$BL$335,MATCH(B$234,'ei names mapping'!$A$4:$A$33,0),MATCH(G274,'ei names mapping'!$B$3:$BL$3,0))</f>
        <v>air::urban air close to ground</v>
      </c>
      <c r="F274" t="s">
        <v>167</v>
      </c>
      <c r="G274" t="s">
        <v>62</v>
      </c>
    </row>
    <row r="275" spans="1:7" x14ac:dyDescent="0.2">
      <c r="A275" t="str">
        <f>INDEX('ei names mapping'!$B$4:$BL$33,MATCH(B$234,'ei names mapping'!$A$4:$A$33,0),MATCH(G275,'ei names mapping'!$B$3:$BL$3,0))</f>
        <v>NMVOC, non-methane volatile organic compounds, unspecified origin</v>
      </c>
      <c r="B275" s="7">
        <f>INDEX('vehicles specifications'!$B$3:$CW$166,MATCH(B$237,'vehicles specifications'!$A$3:$A$166,0),MATCH(G275,'vehicles specifications'!$B$2:$CW$2,0))*INDEX('ei names mapping'!$B$137:$BL$300,MATCH(B$237,'ei names mapping'!$A$137:$A$300,0),MATCH(G275,'ei names mapping'!$B$136:$BL$136,0))</f>
        <v>2.9458178549122205E-5</v>
      </c>
      <c r="D275" t="str">
        <f>INDEX('ei names mapping'!$B$104:$BL$133,MATCH(B$234,'ei names mapping'!$A$4:$A$33,0),MATCH(G275,'ei names mapping'!$B$3:$BL$3,0))</f>
        <v>kilogram</v>
      </c>
      <c r="E275" t="str">
        <f>INDEX('ei names mapping'!$B$305:$BL$335,MATCH(B$234,'ei names mapping'!$A$4:$A$33,0),MATCH(G275,'ei names mapping'!$B$3:$BL$3,0))</f>
        <v>air::urban air close to ground</v>
      </c>
      <c r="F275" t="s">
        <v>167</v>
      </c>
      <c r="G275" t="s">
        <v>593</v>
      </c>
    </row>
    <row r="276" spans="1:7" x14ac:dyDescent="0.2">
      <c r="A276" t="str">
        <f>INDEX('ei names mapping'!$B$4:$BL$33,MATCH(B$234,'ei names mapping'!$A$4:$A$33,0),MATCH(G276,'ei names mapping'!$B$3:$BL$3,0))</f>
        <v>Ethane</v>
      </c>
      <c r="B276" s="7">
        <f>INDEX('vehicles specifications'!$B$3:$CW$166,MATCH(B$237,'vehicles specifications'!$A$3:$A$166,0),MATCH(G276,'vehicles specifications'!$B$2:$CW$2,0))*INDEX('ei names mapping'!$B$137:$BL$300,MATCH(B$237,'ei names mapping'!$A$137:$A$300,0),MATCH(G276,'ei names mapping'!$B$136:$BL$136,0))</f>
        <v>2.077179256668873E-6</v>
      </c>
      <c r="D276" t="str">
        <f>INDEX('ei names mapping'!$B$104:$BL$133,MATCH(B$234,'ei names mapping'!$A$4:$A$33,0),MATCH(G276,'ei names mapping'!$B$3:$BL$3,0))</f>
        <v>kilogram</v>
      </c>
      <c r="E276" t="str">
        <f>INDEX('ei names mapping'!$B$305:$BL$335,MATCH(B$234,'ei names mapping'!$A$4:$A$33,0),MATCH(G276,'ei names mapping'!$B$3:$BL$3,0))</f>
        <v>air::urban air close to ground</v>
      </c>
      <c r="F276" t="s">
        <v>167</v>
      </c>
      <c r="G276" t="s">
        <v>541</v>
      </c>
    </row>
    <row r="277" spans="1:7" x14ac:dyDescent="0.2">
      <c r="A277" t="str">
        <f>INDEX('ei names mapping'!$B$4:$BL$33,MATCH(B$234,'ei names mapping'!$A$4:$A$33,0),MATCH(G277,'ei names mapping'!$B$3:$BL$3,0))</f>
        <v>Propane</v>
      </c>
      <c r="B277" s="7">
        <f>INDEX('vehicles specifications'!$B$3:$CW$166,MATCH(B$237,'vehicles specifications'!$A$3:$A$166,0),MATCH(G277,'vehicles specifications'!$B$2:$CW$2,0))*INDEX('ei names mapping'!$B$137:$BL$300,MATCH(B$237,'ei names mapping'!$A$137:$A$300,0),MATCH(G277,'ei names mapping'!$B$136:$BL$136,0))</f>
        <v>4.232496917977328E-7</v>
      </c>
      <c r="D277" t="str">
        <f>INDEX('ei names mapping'!$B$104:$BL$133,MATCH(B$234,'ei names mapping'!$A$4:$A$33,0),MATCH(G277,'ei names mapping'!$B$3:$BL$3,0))</f>
        <v>kilogram</v>
      </c>
      <c r="E277" t="str">
        <f>INDEX('ei names mapping'!$B$305:$BL$335,MATCH(B$234,'ei names mapping'!$A$4:$A$33,0),MATCH(G277,'ei names mapping'!$B$3:$BL$3,0))</f>
        <v>air::urban air close to ground</v>
      </c>
      <c r="F277" t="s">
        <v>167</v>
      </c>
      <c r="G277" t="s">
        <v>542</v>
      </c>
    </row>
    <row r="278" spans="1:7" x14ac:dyDescent="0.2">
      <c r="A278" t="str">
        <f>INDEX('ei names mapping'!$B$4:$BL$33,MATCH(B$234,'ei names mapping'!$A$4:$A$33,0),MATCH(G278,'ei names mapping'!$B$3:$BL$3,0))</f>
        <v>Butane</v>
      </c>
      <c r="B278" s="7">
        <f>INDEX('vehicles specifications'!$B$3:$CW$166,MATCH(B$237,'vehicles specifications'!$A$3:$A$166,0),MATCH(G278,'vehicles specifications'!$B$2:$CW$2,0))*INDEX('ei names mapping'!$B$137:$BL$300,MATCH(B$237,'ei names mapping'!$A$137:$A$300,0),MATCH(G278,'ei names mapping'!$B$136:$BL$136,0))</f>
        <v>3.4120436692617235E-6</v>
      </c>
      <c r="D278" t="str">
        <f>INDEX('ei names mapping'!$B$104:$BL$133,MATCH(B$234,'ei names mapping'!$A$4:$A$33,0),MATCH(G278,'ei names mapping'!$B$3:$BL$3,0))</f>
        <v>kilogram</v>
      </c>
      <c r="E278" t="str">
        <f>INDEX('ei names mapping'!$B$305:$BL$335,MATCH(B$234,'ei names mapping'!$A$4:$A$33,0),MATCH(G278,'ei names mapping'!$B$3:$BL$3,0))</f>
        <v>air::urban air close to ground</v>
      </c>
      <c r="F278" t="s">
        <v>167</v>
      </c>
      <c r="G278" t="s">
        <v>543</v>
      </c>
    </row>
    <row r="279" spans="1:7" x14ac:dyDescent="0.2">
      <c r="A279" t="str">
        <f>INDEX('ei names mapping'!$B$4:$BL$33,MATCH(B$234,'ei names mapping'!$A$4:$A$33,0),MATCH(G279,'ei names mapping'!$B$3:$BL$3,0))</f>
        <v>Pentane</v>
      </c>
      <c r="B279" s="7">
        <f>INDEX('vehicles specifications'!$B$3:$CW$166,MATCH(B$237,'vehicles specifications'!$A$3:$A$166,0),MATCH(G279,'vehicles specifications'!$B$2:$CW$2,0))*INDEX('ei names mapping'!$B$137:$BL$300,MATCH(B$237,'ei names mapping'!$A$137:$A$300,0),MATCH(G279,'ei names mapping'!$B$136:$BL$136,0))</f>
        <v>1.3999797497925008E-6</v>
      </c>
      <c r="D279" t="str">
        <f>INDEX('ei names mapping'!$B$104:$BL$133,MATCH(B$234,'ei names mapping'!$A$4:$A$33,0),MATCH(G279,'ei names mapping'!$B$3:$BL$3,0))</f>
        <v>kilogram</v>
      </c>
      <c r="E279" t="str">
        <f>INDEX('ei names mapping'!$B$305:$BL$335,MATCH(B$234,'ei names mapping'!$A$4:$A$33,0),MATCH(G279,'ei names mapping'!$B$3:$BL$3,0))</f>
        <v>air::urban air close to ground</v>
      </c>
      <c r="F279" t="s">
        <v>167</v>
      </c>
      <c r="G279" t="s">
        <v>544</v>
      </c>
    </row>
    <row r="280" spans="1:7" x14ac:dyDescent="0.2">
      <c r="A280" t="str">
        <f>INDEX('ei names mapping'!$B$4:$BL$33,MATCH(B$234,'ei names mapping'!$A$4:$A$33,0),MATCH(G280,'ei names mapping'!$B$3:$BL$3,0))</f>
        <v>Hexane</v>
      </c>
      <c r="B280" s="7">
        <f>INDEX('vehicles specifications'!$B$3:$CW$166,MATCH(B$237,'vehicles specifications'!$A$3:$A$166,0),MATCH(G280,'vehicles specifications'!$B$2:$CW$2,0))*INDEX('ei names mapping'!$B$137:$BL$300,MATCH(B$237,'ei names mapping'!$A$137:$A$300,0),MATCH(G280,'ei names mapping'!$B$136:$BL$136,0))</f>
        <v>1.0483569289143844E-6</v>
      </c>
      <c r="D280" t="str">
        <f>INDEX('ei names mapping'!$B$104:$BL$133,MATCH(B$234,'ei names mapping'!$A$4:$A$33,0),MATCH(G280,'ei names mapping'!$B$3:$BL$3,0))</f>
        <v>kilogram</v>
      </c>
      <c r="E280" t="str">
        <f>INDEX('ei names mapping'!$B$305:$BL$335,MATCH(B$234,'ei names mapping'!$A$4:$A$33,0),MATCH(G280,'ei names mapping'!$B$3:$BL$3,0))</f>
        <v>air::urban air close to ground</v>
      </c>
      <c r="F280" t="s">
        <v>167</v>
      </c>
      <c r="G280" t="s">
        <v>545</v>
      </c>
    </row>
    <row r="281" spans="1:7" x14ac:dyDescent="0.2">
      <c r="A281" t="str">
        <f>INDEX('ei names mapping'!$B$4:$BL$33,MATCH(B$234,'ei names mapping'!$A$4:$A$33,0),MATCH(G281,'ei names mapping'!$B$3:$BL$3,0))</f>
        <v>Cyclohexane</v>
      </c>
      <c r="B281" s="7">
        <f>INDEX('vehicles specifications'!$B$3:$CW$166,MATCH(B$237,'vehicles specifications'!$A$3:$A$166,0),MATCH(G281,'vehicles specifications'!$B$2:$CW$2,0))*INDEX('ei names mapping'!$B$137:$BL$300,MATCH(B$237,'ei names mapping'!$A$137:$A$300,0),MATCH(G281,'ei names mapping'!$B$136:$BL$136,0))</f>
        <v>7.4231484407602367E-7</v>
      </c>
      <c r="D281" t="str">
        <f>INDEX('ei names mapping'!$B$104:$BL$133,MATCH(B$234,'ei names mapping'!$A$4:$A$33,0),MATCH(G281,'ei names mapping'!$B$3:$BL$3,0))</f>
        <v>kilogram</v>
      </c>
      <c r="E281" t="str">
        <f>INDEX('ei names mapping'!$B$305:$BL$335,MATCH(B$234,'ei names mapping'!$A$4:$A$33,0),MATCH(G281,'ei names mapping'!$B$3:$BL$3,0))</f>
        <v>air::urban air close to ground</v>
      </c>
      <c r="F281" t="s">
        <v>167</v>
      </c>
      <c r="G281" t="s">
        <v>546</v>
      </c>
    </row>
    <row r="282" spans="1:7" x14ac:dyDescent="0.2">
      <c r="A282" t="str">
        <f>INDEX('ei names mapping'!$B$4:$BL$33,MATCH(B$234,'ei names mapping'!$A$4:$A$33,0),MATCH(G282,'ei names mapping'!$B$3:$BL$3,0))</f>
        <v>Heptane</v>
      </c>
      <c r="B282" s="7">
        <f>INDEX('vehicles specifications'!$B$3:$CW$166,MATCH(B$237,'vehicles specifications'!$A$3:$A$166,0),MATCH(G282,'vehicles specifications'!$B$2:$CW$2,0))*INDEX('ei names mapping'!$B$137:$BL$300,MATCH(B$237,'ei names mapping'!$A$137:$A$300,0),MATCH(G282,'ei names mapping'!$B$136:$BL$136,0))</f>
        <v>4.8185349527741892E-7</v>
      </c>
      <c r="D282" t="str">
        <f>INDEX('ei names mapping'!$B$104:$BL$133,MATCH(B$234,'ei names mapping'!$A$4:$A$33,0),MATCH(G282,'ei names mapping'!$B$3:$BL$3,0))</f>
        <v>kilogram</v>
      </c>
      <c r="E282" t="str">
        <f>INDEX('ei names mapping'!$B$305:$BL$335,MATCH(B$234,'ei names mapping'!$A$4:$A$33,0),MATCH(G282,'ei names mapping'!$B$3:$BL$3,0))</f>
        <v>air::urban air close to ground</v>
      </c>
      <c r="F282" t="s">
        <v>167</v>
      </c>
      <c r="G282" t="s">
        <v>547</v>
      </c>
    </row>
    <row r="283" spans="1:7" x14ac:dyDescent="0.2">
      <c r="A283" t="str">
        <f>INDEX('ei names mapping'!$B$4:$BL$33,MATCH(B$234,'ei names mapping'!$A$4:$A$33,0),MATCH(G283,'ei names mapping'!$B$3:$BL$3,0))</f>
        <v>Ethene</v>
      </c>
      <c r="B283" s="7">
        <f>INDEX('vehicles specifications'!$B$3:$CW$166,MATCH(B$237,'vehicles specifications'!$A$3:$A$166,0),MATCH(G283,'vehicles specifications'!$B$2:$CW$2,0))*INDEX('ei names mapping'!$B$137:$BL$300,MATCH(B$237,'ei names mapping'!$A$137:$A$300,0),MATCH(G283,'ei names mapping'!$B$136:$BL$136,0))</f>
        <v>4.7534196155745371E-6</v>
      </c>
      <c r="D283" t="str">
        <f>INDEX('ei names mapping'!$B$104:$BL$133,MATCH(B$234,'ei names mapping'!$A$4:$A$33,0),MATCH(G283,'ei names mapping'!$B$3:$BL$3,0))</f>
        <v>kilogram</v>
      </c>
      <c r="E283" t="str">
        <f>INDEX('ei names mapping'!$B$305:$BL$335,MATCH(B$234,'ei names mapping'!$A$4:$A$33,0),MATCH(G283,'ei names mapping'!$B$3:$BL$3,0))</f>
        <v>air::urban air close to ground</v>
      </c>
      <c r="F283" t="s">
        <v>167</v>
      </c>
      <c r="G283" t="s">
        <v>548</v>
      </c>
    </row>
    <row r="284" spans="1:7" x14ac:dyDescent="0.2">
      <c r="A284" t="str">
        <f>INDEX('ei names mapping'!$B$4:$BL$33,MATCH(B$234,'ei names mapping'!$A$4:$A$33,0),MATCH(G284,'ei names mapping'!$B$3:$BL$3,0))</f>
        <v>Propene</v>
      </c>
      <c r="B284" s="7">
        <f>INDEX('vehicles specifications'!$B$3:$CW$166,MATCH(B$237,'vehicles specifications'!$A$3:$A$166,0),MATCH(G284,'vehicles specifications'!$B$2:$CW$2,0))*INDEX('ei names mapping'!$B$137:$BL$300,MATCH(B$237,'ei names mapping'!$A$137:$A$300,0),MATCH(G284,'ei names mapping'!$B$136:$BL$136,0))</f>
        <v>2.4874058810266758E-6</v>
      </c>
      <c r="D284" t="str">
        <f>INDEX('ei names mapping'!$B$104:$BL$133,MATCH(B$234,'ei names mapping'!$A$4:$A$33,0),MATCH(G284,'ei names mapping'!$B$3:$BL$3,0))</f>
        <v>kilogram</v>
      </c>
      <c r="E284" t="str">
        <f>INDEX('ei names mapping'!$B$305:$BL$335,MATCH(B$234,'ei names mapping'!$A$4:$A$33,0),MATCH(G284,'ei names mapping'!$B$3:$BL$3,0))</f>
        <v>air::urban air close to ground</v>
      </c>
      <c r="F284" t="s">
        <v>167</v>
      </c>
      <c r="G284" t="s">
        <v>549</v>
      </c>
    </row>
    <row r="285" spans="1:7" x14ac:dyDescent="0.2">
      <c r="A285" t="str">
        <f>INDEX('ei names mapping'!$B$4:$BL$33,MATCH(B$234,'ei names mapping'!$A$4:$A$33,0),MATCH(G285,'ei names mapping'!$B$3:$BL$3,0))</f>
        <v>1-Pentene</v>
      </c>
      <c r="B285" s="7">
        <f>INDEX('vehicles specifications'!$B$3:$CW$166,MATCH(B$237,'vehicles specifications'!$A$3:$A$166,0),MATCH(G285,'vehicles specifications'!$B$2:$CW$2,0))*INDEX('ei names mapping'!$B$137:$BL$300,MATCH(B$237,'ei names mapping'!$A$137:$A$300,0),MATCH(G285,'ei names mapping'!$B$136:$BL$136,0))</f>
        <v>7.162687091961634E-8</v>
      </c>
      <c r="D285" t="str">
        <f>INDEX('ei names mapping'!$B$104:$BL$133,MATCH(B$234,'ei names mapping'!$A$4:$A$33,0),MATCH(G285,'ei names mapping'!$B$3:$BL$3,0))</f>
        <v>kilogram</v>
      </c>
      <c r="E285" t="str">
        <f>INDEX('ei names mapping'!$B$305:$BL$335,MATCH(B$234,'ei names mapping'!$A$4:$A$33,0),MATCH(G285,'ei names mapping'!$B$3:$BL$3,0))</f>
        <v>air::urban air close to ground</v>
      </c>
      <c r="F285" t="s">
        <v>167</v>
      </c>
      <c r="G285" t="s">
        <v>550</v>
      </c>
    </row>
    <row r="286" spans="1:7" x14ac:dyDescent="0.2">
      <c r="A286" t="str">
        <f>INDEX('ei names mapping'!$B$4:$BL$33,MATCH(B$234,'ei names mapping'!$A$4:$A$33,0),MATCH(G286,'ei names mapping'!$B$3:$BL$3,0))</f>
        <v>Toluene</v>
      </c>
      <c r="B286" s="7">
        <f>INDEX('vehicles specifications'!$B$3:$CW$166,MATCH(B$237,'vehicles specifications'!$A$3:$A$166,0),MATCH(G286,'vehicles specifications'!$B$2:$CW$2,0))*INDEX('ei names mapping'!$B$137:$BL$300,MATCH(B$237,'ei names mapping'!$A$137:$A$300,0),MATCH(G286,'ei names mapping'!$B$136:$BL$136,0))</f>
        <v>7.1496640245217014E-6</v>
      </c>
      <c r="D286" t="str">
        <f>INDEX('ei names mapping'!$B$104:$BL$133,MATCH(B$234,'ei names mapping'!$A$4:$A$33,0),MATCH(G286,'ei names mapping'!$B$3:$BL$3,0))</f>
        <v>kilogram</v>
      </c>
      <c r="E286" t="str">
        <f>INDEX('ei names mapping'!$B$305:$BL$335,MATCH(B$234,'ei names mapping'!$A$4:$A$33,0),MATCH(G286,'ei names mapping'!$B$3:$BL$3,0))</f>
        <v>air::urban air close to ground</v>
      </c>
      <c r="F286" t="s">
        <v>167</v>
      </c>
      <c r="G286" t="s">
        <v>551</v>
      </c>
    </row>
    <row r="287" spans="1:7" x14ac:dyDescent="0.2">
      <c r="A287" t="str">
        <f>INDEX('ei names mapping'!$B$4:$BL$33,MATCH(B$234,'ei names mapping'!$A$4:$A$33,0),MATCH(G287,'ei names mapping'!$B$3:$BL$3,0))</f>
        <v>m-Xylene</v>
      </c>
      <c r="B287" s="7">
        <f>INDEX('vehicles specifications'!$B$3:$CW$166,MATCH(B$237,'vehicles specifications'!$A$3:$A$166,0),MATCH(G287,'vehicles specifications'!$B$2:$CW$2,0))*INDEX('ei names mapping'!$B$137:$BL$300,MATCH(B$237,'ei names mapping'!$A$137:$A$300,0),MATCH(G287,'ei names mapping'!$B$136:$BL$136,0))</f>
        <v>3.5357628099410601E-6</v>
      </c>
      <c r="D287" t="str">
        <f>INDEX('ei names mapping'!$B$104:$BL$133,MATCH(B$234,'ei names mapping'!$A$4:$A$33,0),MATCH(G287,'ei names mapping'!$B$3:$BL$3,0))</f>
        <v>kilogram</v>
      </c>
      <c r="E287" t="str">
        <f>INDEX('ei names mapping'!$B$305:$BL$335,MATCH(B$234,'ei names mapping'!$A$4:$A$33,0),MATCH(G287,'ei names mapping'!$B$3:$BL$3,0))</f>
        <v>air::urban air close to ground</v>
      </c>
      <c r="F287" t="s">
        <v>167</v>
      </c>
      <c r="G287" t="s">
        <v>552</v>
      </c>
    </row>
    <row r="288" spans="1:7" x14ac:dyDescent="0.2">
      <c r="A288" t="str">
        <f>INDEX('ei names mapping'!$B$4:$BL$33,MATCH(B$234,'ei names mapping'!$A$4:$A$33,0),MATCH(G288,'ei names mapping'!$B$3:$BL$3,0))</f>
        <v>o-Xylene</v>
      </c>
      <c r="B288" s="7">
        <f>INDEX('vehicles specifications'!$B$3:$CW$166,MATCH(B$237,'vehicles specifications'!$A$3:$A$166,0),MATCH(G288,'vehicles specifications'!$B$2:$CW$2,0))*INDEX('ei names mapping'!$B$137:$BL$300,MATCH(B$237,'ei names mapping'!$A$137:$A$300,0),MATCH(G288,'ei names mapping'!$B$136:$BL$136,0))</f>
        <v>1.471606620712117E-6</v>
      </c>
      <c r="D288" t="str">
        <f>INDEX('ei names mapping'!$B$104:$BL$133,MATCH(B$234,'ei names mapping'!$A$4:$A$33,0),MATCH(G288,'ei names mapping'!$B$3:$BL$3,0))</f>
        <v>kilogram</v>
      </c>
      <c r="E288" t="str">
        <f>INDEX('ei names mapping'!$B$305:$BL$335,MATCH(B$234,'ei names mapping'!$A$4:$A$33,0),MATCH(G288,'ei names mapping'!$B$3:$BL$3,0))</f>
        <v>air::urban air close to ground</v>
      </c>
      <c r="F288" t="s">
        <v>167</v>
      </c>
      <c r="G288" t="s">
        <v>553</v>
      </c>
    </row>
    <row r="289" spans="1:7" x14ac:dyDescent="0.2">
      <c r="A289" t="str">
        <f>INDEX('ei names mapping'!$B$4:$BL$33,MATCH(B$234,'ei names mapping'!$A$4:$A$33,0),MATCH(G289,'ei names mapping'!$B$3:$BL$3,0))</f>
        <v>Formaldehyde</v>
      </c>
      <c r="B289" s="7">
        <f>INDEX('vehicles specifications'!$B$3:$CW$166,MATCH(B$237,'vehicles specifications'!$A$3:$A$166,0),MATCH(G289,'vehicles specifications'!$B$2:$CW$2,0))*INDEX('ei names mapping'!$B$137:$BL$300,MATCH(B$237,'ei names mapping'!$A$137:$A$300,0),MATCH(G289,'ei names mapping'!$B$136:$BL$136,0))</f>
        <v>1.1069607323940704E-6</v>
      </c>
      <c r="D289" t="str">
        <f>INDEX('ei names mapping'!$B$104:$BL$133,MATCH(B$234,'ei names mapping'!$A$4:$A$33,0),MATCH(G289,'ei names mapping'!$B$3:$BL$3,0))</f>
        <v>kilogram</v>
      </c>
      <c r="E289" t="str">
        <f>INDEX('ei names mapping'!$B$305:$BL$335,MATCH(B$234,'ei names mapping'!$A$4:$A$33,0),MATCH(G289,'ei names mapping'!$B$3:$BL$3,0))</f>
        <v>air::urban air close to ground</v>
      </c>
      <c r="F289" t="s">
        <v>167</v>
      </c>
      <c r="G289" t="s">
        <v>554</v>
      </c>
    </row>
    <row r="290" spans="1:7" x14ac:dyDescent="0.2">
      <c r="A290" t="str">
        <f>INDEX('ei names mapping'!$B$4:$BL$33,MATCH(B$234,'ei names mapping'!$A$4:$A$33,0),MATCH(G290,'ei names mapping'!$B$3:$BL$3,0))</f>
        <v>Acetaldehyde</v>
      </c>
      <c r="B290" s="7">
        <f>INDEX('vehicles specifications'!$B$3:$CW$166,MATCH(B$237,'vehicles specifications'!$A$3:$A$166,0),MATCH(G290,'vehicles specifications'!$B$2:$CW$2,0))*INDEX('ei names mapping'!$B$137:$BL$300,MATCH(B$237,'ei names mapping'!$A$137:$A$300,0),MATCH(G290,'ei names mapping'!$B$136:$BL$136,0))</f>
        <v>4.8836502899738398E-7</v>
      </c>
      <c r="D290" t="str">
        <f>INDEX('ei names mapping'!$B$104:$BL$133,MATCH(B$234,'ei names mapping'!$A$4:$A$33,0),MATCH(G290,'ei names mapping'!$B$3:$BL$3,0))</f>
        <v>kilogram</v>
      </c>
      <c r="E290" t="str">
        <f>INDEX('ei names mapping'!$B$305:$BL$335,MATCH(B$234,'ei names mapping'!$A$4:$A$33,0),MATCH(G290,'ei names mapping'!$B$3:$BL$3,0))</f>
        <v>air::urban air close to ground</v>
      </c>
      <c r="F290" t="s">
        <v>167</v>
      </c>
      <c r="G290" t="s">
        <v>555</v>
      </c>
    </row>
    <row r="291" spans="1:7" x14ac:dyDescent="0.2">
      <c r="A291" t="str">
        <f>INDEX('ei names mapping'!$B$4:$BL$33,MATCH(B$234,'ei names mapping'!$A$4:$A$33,0),MATCH(G291,'ei names mapping'!$B$3:$BL$3,0))</f>
        <v>Benzaldehyde</v>
      </c>
      <c r="B291" s="7">
        <f>INDEX('vehicles specifications'!$B$3:$CW$166,MATCH(B$237,'vehicles specifications'!$A$3:$A$166,0),MATCH(G291,'vehicles specifications'!$B$2:$CW$2,0))*INDEX('ei names mapping'!$B$137:$BL$300,MATCH(B$237,'ei names mapping'!$A$137:$A$300,0),MATCH(G291,'ei names mapping'!$B$136:$BL$136,0))</f>
        <v>1.4325374183923268E-7</v>
      </c>
      <c r="D291" t="str">
        <f>INDEX('ei names mapping'!$B$104:$BL$133,MATCH(B$234,'ei names mapping'!$A$4:$A$33,0),MATCH(G291,'ei names mapping'!$B$3:$BL$3,0))</f>
        <v>kilogram</v>
      </c>
      <c r="E291" t="str">
        <f>INDEX('ei names mapping'!$B$305:$BL$335,MATCH(B$234,'ei names mapping'!$A$4:$A$33,0),MATCH(G291,'ei names mapping'!$B$3:$BL$3,0))</f>
        <v>air::urban air close to ground</v>
      </c>
      <c r="F291" t="s">
        <v>167</v>
      </c>
      <c r="G291" t="s">
        <v>556</v>
      </c>
    </row>
    <row r="292" spans="1:7" x14ac:dyDescent="0.2">
      <c r="A292" t="str">
        <f>INDEX('ei names mapping'!$B$4:$BL$33,MATCH(B$234,'ei names mapping'!$A$4:$A$33,0),MATCH(G292,'ei names mapping'!$B$3:$BL$3,0))</f>
        <v>Acetone</v>
      </c>
      <c r="B292" s="7">
        <f>INDEX('vehicles specifications'!$B$3:$CW$166,MATCH(B$237,'vehicles specifications'!$A$3:$A$166,0),MATCH(G292,'vehicles specifications'!$B$2:$CW$2,0))*INDEX('ei names mapping'!$B$137:$BL$300,MATCH(B$237,'ei names mapping'!$A$137:$A$300,0),MATCH(G292,'ei names mapping'!$B$136:$BL$136,0))</f>
        <v>3.972035569178724E-7</v>
      </c>
      <c r="D292" t="str">
        <f>INDEX('ei names mapping'!$B$104:$BL$133,MATCH(B$234,'ei names mapping'!$A$4:$A$33,0),MATCH(G292,'ei names mapping'!$B$3:$BL$3,0))</f>
        <v>kilogram</v>
      </c>
      <c r="E292" t="str">
        <f>INDEX('ei names mapping'!$B$305:$BL$335,MATCH(B$234,'ei names mapping'!$A$4:$A$33,0),MATCH(G292,'ei names mapping'!$B$3:$BL$3,0))</f>
        <v>air::urban air close to ground</v>
      </c>
      <c r="F292" t="s">
        <v>167</v>
      </c>
      <c r="G292" t="s">
        <v>557</v>
      </c>
    </row>
    <row r="293" spans="1:7" x14ac:dyDescent="0.2">
      <c r="A293" t="str">
        <f>INDEX('ei names mapping'!$B$4:$BL$33,MATCH(B$234,'ei names mapping'!$A$4:$A$33,0),MATCH(G293,'ei names mapping'!$B$3:$BL$3,0))</f>
        <v>Methyl ethyl ketone</v>
      </c>
      <c r="B293" s="7">
        <f>INDEX('vehicles specifications'!$B$3:$CW$166,MATCH(B$237,'vehicles specifications'!$A$3:$A$166,0),MATCH(G293,'vehicles specifications'!$B$2:$CW$2,0))*INDEX('ei names mapping'!$B$137:$BL$300,MATCH(B$237,'ei names mapping'!$A$137:$A$300,0),MATCH(G293,'ei names mapping'!$B$136:$BL$136,0))</f>
        <v>3.25576685998256E-8</v>
      </c>
      <c r="D293" t="str">
        <f>INDEX('ei names mapping'!$B$104:$BL$133,MATCH(B$234,'ei names mapping'!$A$4:$A$33,0),MATCH(G293,'ei names mapping'!$B$3:$BL$3,0))</f>
        <v>kilogram</v>
      </c>
      <c r="E293" t="str">
        <f>INDEX('ei names mapping'!$B$305:$BL$335,MATCH(B$234,'ei names mapping'!$A$4:$A$33,0),MATCH(G293,'ei names mapping'!$B$3:$BL$3,0))</f>
        <v>air::urban air close to ground</v>
      </c>
      <c r="F293" t="s">
        <v>167</v>
      </c>
      <c r="G293" t="s">
        <v>560</v>
      </c>
    </row>
    <row r="294" spans="1:7" x14ac:dyDescent="0.2">
      <c r="A294" t="str">
        <f>INDEX('ei names mapping'!$B$4:$BL$33,MATCH(B$234,'ei names mapping'!$A$4:$A$33,0),MATCH(G294,'ei names mapping'!$B$3:$BL$3,0))</f>
        <v>Acrolein</v>
      </c>
      <c r="B294" s="7">
        <f>INDEX('vehicles specifications'!$B$3:$CW$166,MATCH(B$237,'vehicles specifications'!$A$3:$A$166,0),MATCH(G294,'vehicles specifications'!$B$2:$CW$2,0))*INDEX('ei names mapping'!$B$137:$BL$300,MATCH(B$237,'ei names mapping'!$A$137:$A$300,0),MATCH(G294,'ei names mapping'!$B$136:$BL$136,0))</f>
        <v>1.2371914067933729E-7</v>
      </c>
      <c r="D294" t="str">
        <f>INDEX('ei names mapping'!$B$104:$BL$133,MATCH(B$234,'ei names mapping'!$A$4:$A$33,0),MATCH(G294,'ei names mapping'!$B$3:$BL$3,0))</f>
        <v>kilogram</v>
      </c>
      <c r="E294" t="str">
        <f>INDEX('ei names mapping'!$B$305:$BL$335,MATCH(B$234,'ei names mapping'!$A$4:$A$33,0),MATCH(G294,'ei names mapping'!$B$3:$BL$3,0))</f>
        <v>air::urban air close to ground</v>
      </c>
      <c r="F294" t="s">
        <v>167</v>
      </c>
      <c r="G294" t="s">
        <v>558</v>
      </c>
    </row>
    <row r="295" spans="1:7" x14ac:dyDescent="0.2">
      <c r="A295" t="str">
        <f>INDEX('ei names mapping'!$B$4:$BL$33,MATCH(B$234,'ei names mapping'!$A$4:$A$33,0),MATCH(G295,'ei names mapping'!$B$3:$BL$3,0))</f>
        <v>Styrene</v>
      </c>
      <c r="B295" s="7">
        <f>INDEX('vehicles specifications'!$B$3:$CW$166,MATCH(B$237,'vehicles specifications'!$A$3:$A$166,0),MATCH(G295,'vehicles specifications'!$B$2:$CW$2,0))*INDEX('ei names mapping'!$B$137:$BL$300,MATCH(B$237,'ei names mapping'!$A$137:$A$300,0),MATCH(G295,'ei names mapping'!$B$136:$BL$136,0))</f>
        <v>6.5766490571647714E-7</v>
      </c>
      <c r="D295" t="str">
        <f>INDEX('ei names mapping'!$B$104:$BL$133,MATCH(B$234,'ei names mapping'!$A$4:$A$33,0),MATCH(G295,'ei names mapping'!$B$3:$BL$3,0))</f>
        <v>kilogram</v>
      </c>
      <c r="E295" t="str">
        <f>INDEX('ei names mapping'!$B$305:$BL$335,MATCH(B$234,'ei names mapping'!$A$4:$A$33,0),MATCH(G295,'ei names mapping'!$B$3:$BL$3,0))</f>
        <v>air::urban air close to ground</v>
      </c>
      <c r="F295" t="s">
        <v>167</v>
      </c>
      <c r="G295" t="s">
        <v>559</v>
      </c>
    </row>
    <row r="296" spans="1:7" x14ac:dyDescent="0.2">
      <c r="A296" t="str">
        <f>INDEX('ei names mapping'!$B$4:$BL$33,MATCH(B$234,'ei names mapping'!$A$4:$A$33,0),MATCH(G296,'ei names mapping'!$B$3:$BL$3,0))</f>
        <v>PAH, polycyclic aromatic hydrocarbons</v>
      </c>
      <c r="B296" s="7">
        <f>INDEX('vehicles specifications'!$B$3:$CW$166,MATCH(B$237,'vehicles specifications'!$A$3:$A$166,0),MATCH(G296,'vehicles specifications'!$B$2:$CW$2,0))*INDEX('ei names mapping'!$B$137:$BL$300,MATCH(B$237,'ei names mapping'!$A$137:$A$300,0),MATCH(G296,'ei names mapping'!$B$136:$BL$136,0))</f>
        <v>8.4017863498230475E-10</v>
      </c>
      <c r="D296" t="str">
        <f>INDEX('ei names mapping'!$B$104:$BL$133,MATCH(B$234,'ei names mapping'!$A$4:$A$33,0),MATCH(G296,'ei names mapping'!$B$3:$BL$3,0))</f>
        <v>kilogram</v>
      </c>
      <c r="E296" t="str">
        <f>INDEX('ei names mapping'!$B$305:$BL$335,MATCH(B$234,'ei names mapping'!$A$4:$A$33,0),MATCH(G296,'ei names mapping'!$B$3:$BL$3,0))</f>
        <v>air::urban air close to ground</v>
      </c>
      <c r="F296" t="s">
        <v>167</v>
      </c>
      <c r="G296" t="s">
        <v>561</v>
      </c>
    </row>
    <row r="297" spans="1:7" x14ac:dyDescent="0.2">
      <c r="A297" t="str">
        <f>INDEX('ei names mapping'!$B$4:$BL$33,MATCH(B$234,'ei names mapping'!$A$4:$A$33,0),MATCH(G297,'ei names mapping'!$B$3:$BL$3,0))</f>
        <v>Arsenic</v>
      </c>
      <c r="B297" s="7">
        <f>INDEX('vehicles specifications'!$B$3:$CW$166,MATCH(B$237,'vehicles specifications'!$A$3:$A$166,0),MATCH(G297,'vehicles specifications'!$B$2:$CW$2,0))*INDEX('ei names mapping'!$B$137:$BL$300,MATCH(B$237,'ei names mapping'!$A$137:$A$300,0),MATCH(G297,'ei names mapping'!$B$136:$BL$136,0))</f>
        <v>7.2429192670888341E-12</v>
      </c>
      <c r="D297" t="str">
        <f>INDEX('ei names mapping'!$B$104:$BL$133,MATCH(B$234,'ei names mapping'!$A$4:$A$33,0),MATCH(G297,'ei names mapping'!$B$3:$BL$3,0))</f>
        <v>kilogram</v>
      </c>
      <c r="E297" t="str">
        <f>INDEX('ei names mapping'!$B$305:$BL$335,MATCH(B$234,'ei names mapping'!$A$4:$A$33,0),MATCH(G297,'ei names mapping'!$B$3:$BL$3,0))</f>
        <v>air::urban air close to ground</v>
      </c>
      <c r="F297" t="s">
        <v>167</v>
      </c>
      <c r="G297" t="s">
        <v>562</v>
      </c>
    </row>
    <row r="298" spans="1:7" x14ac:dyDescent="0.2">
      <c r="A298" t="str">
        <f>INDEX('ei names mapping'!$B$4:$BL$33,MATCH(B$234,'ei names mapping'!$A$4:$A$33,0),MATCH(G298,'ei names mapping'!$B$3:$BL$3,0))</f>
        <v>Selenium</v>
      </c>
      <c r="B298" s="7">
        <f>INDEX('vehicles specifications'!$B$3:$CW$166,MATCH(B$237,'vehicles specifications'!$A$3:$A$166,0),MATCH(G298,'vehicles specifications'!$B$2:$CW$2,0))*INDEX('ei names mapping'!$B$137:$BL$300,MATCH(B$237,'ei names mapping'!$A$137:$A$300,0),MATCH(G298,'ei names mapping'!$B$136:$BL$136,0))</f>
        <v>4.8286128447258891E-12</v>
      </c>
      <c r="D298" t="str">
        <f>INDEX('ei names mapping'!$B$104:$BL$133,MATCH(B$234,'ei names mapping'!$A$4:$A$33,0),MATCH(G298,'ei names mapping'!$B$3:$BL$3,0))</f>
        <v>kilogram</v>
      </c>
      <c r="E298" t="str">
        <f>INDEX('ei names mapping'!$B$305:$BL$335,MATCH(B$234,'ei names mapping'!$A$4:$A$33,0),MATCH(G298,'ei names mapping'!$B$3:$BL$3,0))</f>
        <v>air::urban air close to ground</v>
      </c>
      <c r="F298" t="s">
        <v>167</v>
      </c>
      <c r="G298" t="s">
        <v>563</v>
      </c>
    </row>
    <row r="299" spans="1:7" x14ac:dyDescent="0.2">
      <c r="A299" t="str">
        <f>INDEX('ei names mapping'!$B$4:$BL$33,MATCH(B$234,'ei names mapping'!$A$4:$A$33,0),MATCH(G299,'ei names mapping'!$B$3:$BL$3,0))</f>
        <v>Zinc</v>
      </c>
      <c r="B299" s="7">
        <f>INDEX('vehicles specifications'!$B$3:$CW$166,MATCH(B$237,'vehicles specifications'!$A$3:$A$166,0),MATCH(G299,'vehicles specifications'!$B$2:$CW$2,0))*INDEX('ei names mapping'!$B$137:$BL$300,MATCH(B$237,'ei names mapping'!$A$137:$A$300,0),MATCH(G299,'ei names mapping'!$B$136:$BL$136,0))</f>
        <v>5.2149018723039611E-8</v>
      </c>
      <c r="D299" t="str">
        <f>INDEX('ei names mapping'!$B$104:$BL$133,MATCH(B$234,'ei names mapping'!$A$4:$A$33,0),MATCH(G299,'ei names mapping'!$B$3:$BL$3,0))</f>
        <v>kilogram</v>
      </c>
      <c r="E299" t="str">
        <f>INDEX('ei names mapping'!$B$305:$BL$335,MATCH(B$234,'ei names mapping'!$A$4:$A$33,0),MATCH(G299,'ei names mapping'!$B$3:$BL$3,0))</f>
        <v>air::urban air close to ground</v>
      </c>
      <c r="F299" t="s">
        <v>167</v>
      </c>
      <c r="G299" t="s">
        <v>564</v>
      </c>
    </row>
    <row r="300" spans="1:7" x14ac:dyDescent="0.2">
      <c r="A300" t="str">
        <f>INDEX('ei names mapping'!$B$4:$BL$33,MATCH(B$234,'ei names mapping'!$A$4:$A$33,0),MATCH(G300,'ei names mapping'!$B$3:$BL$3,0))</f>
        <v>Copper</v>
      </c>
      <c r="B300" s="7">
        <f>INDEX('vehicles specifications'!$B$3:$CW$166,MATCH(B$237,'vehicles specifications'!$A$3:$A$166,0),MATCH(G300,'vehicles specifications'!$B$2:$CW$2,0))*INDEX('ei names mapping'!$B$137:$BL$300,MATCH(B$237,'ei names mapping'!$A$137:$A$300,0),MATCH(G300,'ei names mapping'!$B$136:$BL$136,0))</f>
        <v>1.0140086973924367E-9</v>
      </c>
      <c r="D300" t="str">
        <f>INDEX('ei names mapping'!$B$104:$BL$133,MATCH(B$234,'ei names mapping'!$A$4:$A$33,0),MATCH(G300,'ei names mapping'!$B$3:$BL$3,0))</f>
        <v>kilogram</v>
      </c>
      <c r="E300" t="str">
        <f>INDEX('ei names mapping'!$B$305:$BL$335,MATCH(B$234,'ei names mapping'!$A$4:$A$33,0),MATCH(G300,'ei names mapping'!$B$3:$BL$3,0))</f>
        <v>air::urban air close to ground</v>
      </c>
      <c r="F300" t="s">
        <v>167</v>
      </c>
      <c r="G300" t="s">
        <v>522</v>
      </c>
    </row>
    <row r="301" spans="1:7" x14ac:dyDescent="0.2">
      <c r="A301" t="str">
        <f>INDEX('ei names mapping'!$B$4:$BL$33,MATCH(B$234,'ei names mapping'!$A$4:$A$33,0),MATCH(G301,'ei names mapping'!$B$3:$BL$3,0))</f>
        <v>Nickel</v>
      </c>
      <c r="B301" s="7">
        <f>INDEX('vehicles specifications'!$B$3:$CW$166,MATCH(B$237,'vehicles specifications'!$A$3:$A$166,0),MATCH(G301,'vehicles specifications'!$B$2:$CW$2,0))*INDEX('ei names mapping'!$B$137:$BL$300,MATCH(B$237,'ei names mapping'!$A$137:$A$300,0),MATCH(G301,'ei names mapping'!$B$136:$BL$136,0))</f>
        <v>3.1385983490718282E-10</v>
      </c>
      <c r="D301" t="str">
        <f>INDEX('ei names mapping'!$B$104:$BL$133,MATCH(B$234,'ei names mapping'!$A$4:$A$33,0),MATCH(G301,'ei names mapping'!$B$3:$BL$3,0))</f>
        <v>kilogram</v>
      </c>
      <c r="E301" t="str">
        <f>INDEX('ei names mapping'!$B$305:$BL$335,MATCH(B$234,'ei names mapping'!$A$4:$A$33,0),MATCH(G301,'ei names mapping'!$B$3:$BL$3,0))</f>
        <v>air::urban air close to ground</v>
      </c>
      <c r="F301" t="s">
        <v>167</v>
      </c>
      <c r="G301" t="s">
        <v>524</v>
      </c>
    </row>
    <row r="302" spans="1:7" x14ac:dyDescent="0.2">
      <c r="A302" t="str">
        <f>INDEX('ei names mapping'!$B$4:$BL$33,MATCH(B$234,'ei names mapping'!$A$4:$A$33,0),MATCH(G302,'ei names mapping'!$B$3:$BL$3,0))</f>
        <v>Chromium</v>
      </c>
      <c r="B302" s="7">
        <f>INDEX('vehicles specifications'!$B$3:$CW$166,MATCH(B$237,'vehicles specifications'!$A$3:$A$166,0),MATCH(G302,'vehicles specifications'!$B$2:$CW$2,0))*INDEX('ei names mapping'!$B$137:$BL$300,MATCH(B$237,'ei names mapping'!$A$137:$A$300,0),MATCH(G302,'ei names mapping'!$B$136:$BL$136,0))</f>
        <v>3.862890275780712E-10</v>
      </c>
      <c r="D302" t="str">
        <f>INDEX('ei names mapping'!$B$104:$BL$133,MATCH(B$234,'ei names mapping'!$A$4:$A$33,0),MATCH(G302,'ei names mapping'!$B$3:$BL$3,0))</f>
        <v>kilogram</v>
      </c>
      <c r="E302" t="str">
        <f>INDEX('ei names mapping'!$B$305:$BL$335,MATCH(B$234,'ei names mapping'!$A$4:$A$33,0),MATCH(G302,'ei names mapping'!$B$3:$BL$3,0))</f>
        <v>air::urban air close to ground</v>
      </c>
      <c r="F302" t="s">
        <v>167</v>
      </c>
      <c r="G302" t="s">
        <v>523</v>
      </c>
    </row>
    <row r="303" spans="1:7" x14ac:dyDescent="0.2">
      <c r="A303" t="str">
        <f>INDEX('ei names mapping'!$B$4:$BL$33,MATCH(B$234,'ei names mapping'!$A$4:$A$33,0),MATCH(G303,'ei names mapping'!$B$3:$BL$3,0))</f>
        <v>Chromium VI</v>
      </c>
      <c r="B303" s="7">
        <f>INDEX('vehicles specifications'!$B$3:$CW$166,MATCH(B$237,'vehicles specifications'!$A$3:$A$166,0),MATCH(G303,'vehicles specifications'!$B$2:$CW$2,0))*INDEX('ei names mapping'!$B$137:$BL$300,MATCH(B$237,'ei names mapping'!$A$137:$A$300,0),MATCH(G303,'ei names mapping'!$B$136:$BL$136,0))</f>
        <v>7.7257805515614221E-13</v>
      </c>
      <c r="D303" t="str">
        <f>INDEX('ei names mapping'!$B$104:$BL$133,MATCH(B$234,'ei names mapping'!$A$4:$A$33,0),MATCH(G303,'ei names mapping'!$B$3:$BL$3,0))</f>
        <v>kilogram</v>
      </c>
      <c r="E303" t="str">
        <f>INDEX('ei names mapping'!$B$305:$BL$335,MATCH(B$234,'ei names mapping'!$A$4:$A$33,0),MATCH(G303,'ei names mapping'!$B$3:$BL$3,0))</f>
        <v>air::urban air close to ground</v>
      </c>
      <c r="F303" t="s">
        <v>167</v>
      </c>
      <c r="G303" t="s">
        <v>567</v>
      </c>
    </row>
    <row r="304" spans="1:7" x14ac:dyDescent="0.2">
      <c r="A304" t="str">
        <f>INDEX('ei names mapping'!$B$4:$BL$33,MATCH(B$234,'ei names mapping'!$A$4:$A$33,0),MATCH(G304,'ei names mapping'!$B$3:$BL$3,0))</f>
        <v>Mercury</v>
      </c>
      <c r="B304" s="7">
        <f>INDEX('vehicles specifications'!$B$3:$CW$166,MATCH(B$237,'vehicles specifications'!$A$3:$A$166,0),MATCH(G304,'vehicles specifications'!$B$2:$CW$2,0))*INDEX('ei names mapping'!$B$137:$BL$300,MATCH(B$237,'ei names mapping'!$A$137:$A$300,0),MATCH(G304,'ei names mapping'!$B$136:$BL$136,0))</f>
        <v>2.1004465874557619E-10</v>
      </c>
      <c r="D304" t="str">
        <f>INDEX('ei names mapping'!$B$104:$BL$133,MATCH(B$234,'ei names mapping'!$A$4:$A$33,0),MATCH(G304,'ei names mapping'!$B$3:$BL$3,0))</f>
        <v>kilogram</v>
      </c>
      <c r="E304" t="str">
        <f>INDEX('ei names mapping'!$B$305:$BL$335,MATCH(B$234,'ei names mapping'!$A$4:$A$33,0),MATCH(G304,'ei names mapping'!$B$3:$BL$3,0))</f>
        <v>air::urban air close to ground</v>
      </c>
      <c r="F304" t="s">
        <v>167</v>
      </c>
      <c r="G304" t="s">
        <v>565</v>
      </c>
    </row>
    <row r="305" spans="1:8" x14ac:dyDescent="0.2">
      <c r="A305" t="str">
        <f>INDEX('ei names mapping'!$B$4:$BL$33,MATCH(B$234,'ei names mapping'!$A$4:$A$33,0),MATCH(G305,'ei names mapping'!$B$3:$BL$3,0))</f>
        <v>Cadmium</v>
      </c>
      <c r="B305" s="7">
        <f>INDEX('vehicles specifications'!$B$3:$CW$166,MATCH(B$237,'vehicles specifications'!$A$3:$A$166,0),MATCH(G305,'vehicles specifications'!$B$2:$CW$2,0))*INDEX('ei names mapping'!$B$137:$BL$300,MATCH(B$237,'ei names mapping'!$A$137:$A$300,0),MATCH(G305,'ei names mapping'!$B$136:$BL$136,0))</f>
        <v>2.6074509361519809E-10</v>
      </c>
      <c r="D305" t="str">
        <f>INDEX('ei names mapping'!$B$104:$BL$133,MATCH(B$234,'ei names mapping'!$A$4:$A$33,0),MATCH(G305,'ei names mapping'!$B$3:$BL$3,0))</f>
        <v>kilogram</v>
      </c>
      <c r="E305" t="str">
        <f>INDEX('ei names mapping'!$B$305:$BL$335,MATCH(B$234,'ei names mapping'!$A$4:$A$33,0),MATCH(G305,'ei names mapping'!$B$3:$BL$3,0))</f>
        <v>air::urban air close to ground</v>
      </c>
      <c r="F305" t="s">
        <v>167</v>
      </c>
      <c r="G305" t="s">
        <v>566</v>
      </c>
    </row>
    <row r="306" spans="1:8" x14ac:dyDescent="0.2">
      <c r="A306" t="str">
        <f>INDEX('ei names mapping'!$B$4:$BL$33,MATCH(B234,'ei names mapping'!$A$4:$A$33,0),MATCH(G306,'ei names mapping'!$B$3:$BL$3,0))</f>
        <v>treatment of road wear emissions, passenger car</v>
      </c>
      <c r="B306" s="7">
        <f>INDEX('vehicles specifications'!$B$3:$CW$166,MATCH(B237,'vehicles specifications'!$A$3:$A$166,0),MATCH(G306,'vehicles specifications'!$B$2:$CW$2,0))*INDEX('ei names mapping'!$B$137:$BL$300,MATCH(B237,'ei names mapping'!$A$137:$A$300,0),MATCH(G306,'ei names mapping'!$B$136:$BL$136,0))</f>
        <v>-7.5947471854411634E-6</v>
      </c>
      <c r="C306" t="str">
        <f>INDEX('ei names mapping'!$B$38:$BL$67,MATCH(B234,'ei names mapping'!$A$4:$A$33,0),MATCH(G306,'ei names mapping'!$B$3:$BL$3,0))</f>
        <v>RER</v>
      </c>
      <c r="D306" t="str">
        <f>INDEX('ei names mapping'!$B$104:$BL$133,MATCH(B234,'ei names mapping'!$A$4:$A$33,0),MATCH(G306,'ei names mapping'!$B$3:$BL$3,0))</f>
        <v>kilogram</v>
      </c>
      <c r="F306" t="s">
        <v>89</v>
      </c>
      <c r="G306" t="s">
        <v>29</v>
      </c>
      <c r="H306" t="str">
        <f>INDEX('ei names mapping'!$B$71:$BL$100,MATCH(B234,'ei names mapping'!$A$4:$A$33,0),MATCH(G306,'ei names mapping'!$B$3:$BL$3,0))</f>
        <v>road wear emissions, passenger car</v>
      </c>
    </row>
    <row r="307" spans="1:8" x14ac:dyDescent="0.2">
      <c r="A307" t="str">
        <f>INDEX('ei names mapping'!$B$4:$BL$33,MATCH(B234,'ei names mapping'!$A$4:$A$33,0),MATCH(G307,'ei names mapping'!$B$3:$BL$3,0))</f>
        <v>treatment of tyre wear emissions, passenger car</v>
      </c>
      <c r="B307" s="7">
        <f>INDEX('vehicles specifications'!$B$3:$CW$166,MATCH(B237,'vehicles specifications'!$A$3:$A$166,0),MATCH(G307,'vehicles specifications'!$B$2:$CW$2,0))*INDEX('ei names mapping'!$B$137:$BL$300,MATCH(B237,'ei names mapping'!$A$137:$A$300,0),MATCH(G307,'ei names mapping'!$B$136:$BL$136,0))</f>
        <v>-5.7749536926761575E-6</v>
      </c>
      <c r="C307" t="str">
        <f>INDEX('ei names mapping'!$B$38:$BL$67,MATCH(B234,'ei names mapping'!$A$4:$A$33,0),MATCH(G307,'ei names mapping'!$B$3:$BL$3,0))</f>
        <v>RER</v>
      </c>
      <c r="D307" t="str">
        <f>INDEX('ei names mapping'!$B$104:$BL$133,MATCH(B234,'ei names mapping'!$A$4:$A$33,0),MATCH(G307,'ei names mapping'!$B$3:$BL$3,0))</f>
        <v>kilogram</v>
      </c>
      <c r="F307" t="s">
        <v>89</v>
      </c>
      <c r="G307" t="s">
        <v>30</v>
      </c>
      <c r="H307" t="str">
        <f>INDEX('ei names mapping'!$B$71:$BL$100,MATCH(B234,'ei names mapping'!$A$4:$A$33,0),MATCH(G307,'ei names mapping'!$B$3:$BL$3,0))</f>
        <v>tyre wear emissions, passenger car</v>
      </c>
    </row>
    <row r="308" spans="1:8" x14ac:dyDescent="0.2">
      <c r="A308" t="str">
        <f>INDEX('ei names mapping'!$B$4:$BL$33,MATCH(B234,'ei names mapping'!$A$4:$A$33,0),MATCH(G308,'ei names mapping'!$B$3:$BL$3,0))</f>
        <v>treatment of brake wear emissions, passenger car</v>
      </c>
      <c r="B308" s="7">
        <f>INDEX('vehicles specifications'!$B$3:$CW$166,MATCH(B237,'vehicles specifications'!$A$3:$A$166,0),MATCH(G308,'vehicles specifications'!$B$2:$CW$2,0))*INDEX('ei names mapping'!$B$137:$BL$300,MATCH(B237,'ei names mapping'!$A$137:$A$300,0),MATCH(G308,'ei names mapping'!$B$136:$BL$136,0))</f>
        <v>-4.1370727127059103E-6</v>
      </c>
      <c r="C308" t="str">
        <f>INDEX('ei names mapping'!$B$38:$BL$67,MATCH(B234,'ei names mapping'!$A$4:$A$33,0),MATCH(G308,'ei names mapping'!$B$3:$BL$3,0))</f>
        <v>RER</v>
      </c>
      <c r="D308" t="str">
        <f>INDEX('ei names mapping'!$B$104:$BL$133,MATCH(B234,'ei names mapping'!$A$4:$A$33,0),MATCH(G308,'ei names mapping'!$B$3:$BL$3,0))</f>
        <v>kilogram</v>
      </c>
      <c r="F308" t="s">
        <v>89</v>
      </c>
      <c r="G308" t="s">
        <v>31</v>
      </c>
      <c r="H308" t="str">
        <f>INDEX('ei names mapping'!$B$71:$BL$100,MATCH(B234,'ei names mapping'!$A$4:$A$33,0),MATCH(G308,'ei names mapping'!$B$3:$BL$3,0))</f>
        <v>brake wear emissions, passenger car</v>
      </c>
    </row>
    <row r="310" spans="1:8" ht="16" x14ac:dyDescent="0.2">
      <c r="A310" s="10" t="s">
        <v>71</v>
      </c>
      <c r="B310" s="8" t="str">
        <f>"transport, "&amp;B312&amp;", "&amp;B314</f>
        <v>transport, Motorbike, gasoline, 4-11kW, EURO-4, 2016</v>
      </c>
    </row>
    <row r="311" spans="1:8" x14ac:dyDescent="0.2">
      <c r="A311" t="s">
        <v>72</v>
      </c>
      <c r="B311" t="s">
        <v>37</v>
      </c>
    </row>
    <row r="312" spans="1:8" x14ac:dyDescent="0.2">
      <c r="A312" t="s">
        <v>86</v>
      </c>
      <c r="B312" t="s">
        <v>639</v>
      </c>
    </row>
    <row r="313" spans="1:8" x14ac:dyDescent="0.2">
      <c r="A313" t="s">
        <v>87</v>
      </c>
    </row>
    <row r="314" spans="1:8" x14ac:dyDescent="0.2">
      <c r="A314" t="s">
        <v>88</v>
      </c>
      <c r="B314">
        <v>2016</v>
      </c>
    </row>
    <row r="315" spans="1:8" x14ac:dyDescent="0.2">
      <c r="A315" t="s">
        <v>126</v>
      </c>
      <c r="B315" t="str">
        <f>B312&amp;" - "&amp;B314&amp;" - "&amp;B311</f>
        <v>Motorbike, gasoline, 4-11kW, EURO-4 - 2016 - CH</v>
      </c>
    </row>
    <row r="316" spans="1:8" x14ac:dyDescent="0.2">
      <c r="A316" t="s">
        <v>73</v>
      </c>
      <c r="B316" t="str">
        <f>"transport, "&amp;B312</f>
        <v>transport, Motorbike, gasoline, 4-11kW, EURO-4</v>
      </c>
    </row>
    <row r="317" spans="1:8" x14ac:dyDescent="0.2">
      <c r="A317" t="s">
        <v>74</v>
      </c>
      <c r="B317" t="s">
        <v>75</v>
      </c>
    </row>
    <row r="318" spans="1:8" x14ac:dyDescent="0.2">
      <c r="A318" t="s">
        <v>76</v>
      </c>
      <c r="B318" t="s">
        <v>166</v>
      </c>
    </row>
    <row r="319" spans="1:8" x14ac:dyDescent="0.2">
      <c r="A319" t="s">
        <v>78</v>
      </c>
      <c r="B319" t="s">
        <v>1143</v>
      </c>
    </row>
    <row r="320" spans="1:8" x14ac:dyDescent="0.2">
      <c r="A320" t="s">
        <v>127</v>
      </c>
      <c r="B320">
        <f>INDEX('vehicles specifications'!$B$3:$CW$166,MATCH(B315,'vehicles specifications'!$A$3:$A$166,0),MATCH("Lifetime [km]",'vehicles specifications'!$B$2:$CW$2,0))</f>
        <v>25000</v>
      </c>
    </row>
    <row r="321" spans="1:8" x14ac:dyDescent="0.2">
      <c r="A321" t="s">
        <v>128</v>
      </c>
      <c r="B321">
        <f>INDEX('vehicles specifications'!$B$3:$CW$166,MATCH(B315,'vehicles specifications'!$A$3:$A$166,0),MATCH("Passengers [unit]",'vehicles specifications'!$B$2:$CW$2,0))</f>
        <v>1.1000000000000001</v>
      </c>
    </row>
    <row r="322" spans="1:8" x14ac:dyDescent="0.2">
      <c r="A322" t="s">
        <v>129</v>
      </c>
      <c r="B322">
        <f>INDEX('vehicles specifications'!$B$3:$CW$166,MATCH(B315,'vehicles specifications'!$A$3:$A$166,0),MATCH("Servicing [unit]",'vehicles specifications'!$B$2:$CW$2,0))</f>
        <v>1</v>
      </c>
    </row>
    <row r="323" spans="1:8" x14ac:dyDescent="0.2">
      <c r="A323" t="s">
        <v>130</v>
      </c>
      <c r="B323">
        <f>INDEX('vehicles specifications'!$B$3:$CW$166,MATCH(B315,'vehicles specifications'!$A$3:$A$166,0),MATCH("Energy battery replacement [unit]",'vehicles specifications'!$B$2:$CW$2,0))</f>
        <v>0</v>
      </c>
    </row>
    <row r="324" spans="1:8" x14ac:dyDescent="0.2">
      <c r="A324" t="s">
        <v>131</v>
      </c>
      <c r="B324">
        <f>INDEX('vehicles specifications'!$B$3:$CW$166,MATCH(B315,'vehicles specifications'!$A$3:$A$166,0),MATCH("Annual kilometers [km]",'vehicles specifications'!$B$2:$CW$2,0))</f>
        <v>1776</v>
      </c>
    </row>
    <row r="325" spans="1:8" x14ac:dyDescent="0.2">
      <c r="A325" t="s">
        <v>132</v>
      </c>
      <c r="B325" s="2">
        <f>INDEX('vehicles specifications'!$B$3:$CW$166,MATCH(B315,'vehicles specifications'!$A$3:$A$166,0),MATCH("Curb mass [kg]",'vehicles specifications'!$B$2:$CW$2,0))</f>
        <v>120.308682371765</v>
      </c>
    </row>
    <row r="326" spans="1:8" x14ac:dyDescent="0.2">
      <c r="A326" t="s">
        <v>133</v>
      </c>
      <c r="B326">
        <f>INDEX('vehicles specifications'!$B$3:$CW$166,MATCH(B315,'vehicles specifications'!$A$3:$A$166,0),MATCH("Power [kW]",'vehicles specifications'!$B$2:$CW$2,0))</f>
        <v>9</v>
      </c>
    </row>
    <row r="327" spans="1:8" x14ac:dyDescent="0.2">
      <c r="A327" t="s">
        <v>134</v>
      </c>
      <c r="B327" t="str">
        <f>INDEX('vehicles specifications'!$B$3:$CW$166,MATCH(B315,'vehicles specifications'!$A$3:$A$166,0),MATCH("Energy battery mass [kg]",'vehicles specifications'!$B$2:$CW$2,0))</f>
        <v/>
      </c>
    </row>
    <row r="328" spans="1:8" x14ac:dyDescent="0.2">
      <c r="A328" t="s">
        <v>135</v>
      </c>
      <c r="B328">
        <f>INDEX('vehicles specifications'!$B$3:$CW$166,MATCH(B315,'vehicles specifications'!$A$3:$A$166,0),MATCH("Electric energy available [kWh]",'vehicles specifications'!$B$2:$CW$2,0))</f>
        <v>0</v>
      </c>
    </row>
    <row r="329" spans="1:8" x14ac:dyDescent="0.2">
      <c r="A329" t="s">
        <v>138</v>
      </c>
      <c r="B329" s="2">
        <f>INDEX('vehicles specifications'!$B$3:$CW$166,MATCH(B315,'vehicles specifications'!$A$3:$A$166,0),MATCH("Oxydation energy stored [kWh]",'vehicles specifications'!$B$2:$CW$2,0))</f>
        <v>79.875</v>
      </c>
    </row>
    <row r="330" spans="1:8" x14ac:dyDescent="0.2">
      <c r="A330" t="s">
        <v>139</v>
      </c>
      <c r="B330">
        <f>INDEX('vehicles specifications'!$B$3:$CW$166,MATCH(B315,'vehicles specifications'!$A$3:$A$166,0),MATCH("Fuel mass [kg]",'vehicles specifications'!$B$2:$CW$2,0))</f>
        <v>6.75</v>
      </c>
    </row>
    <row r="331" spans="1:8" x14ac:dyDescent="0.2">
      <c r="A331" t="s">
        <v>136</v>
      </c>
      <c r="B331" s="2">
        <f>INDEX('vehicles specifications'!$B$3:$CW$166,MATCH(B315,'vehicles specifications'!$A$3:$A$166,0),MATCH("Range [km]",'vehicles specifications'!$B$2:$CW$2,0))</f>
        <v>283.0436564792974</v>
      </c>
    </row>
    <row r="332" spans="1:8" x14ac:dyDescent="0.2">
      <c r="A332" t="s">
        <v>137</v>
      </c>
      <c r="B332" t="str">
        <f>INDEX('vehicles specifications'!$B$3:$CW$166,MATCH(B315,'vehicles specifications'!$A$3:$A$166,0),MATCH("Emission standard",'vehicles specifications'!$B$2:$CW$2,0))</f>
        <v>EURO-4</v>
      </c>
    </row>
    <row r="333" spans="1:8" x14ac:dyDescent="0.2">
      <c r="A333" t="s">
        <v>1174</v>
      </c>
      <c r="B333" s="6">
        <f>INDEX('vehicles specifications'!$B$3:$CW$166,MATCH(B315,'vehicles specifications'!$A$3:$A$166,0),MATCH("Lightweighting rate [%]",'vehicles specifications'!$B$2:$CW$2,0))</f>
        <v>-0.02</v>
      </c>
    </row>
    <row r="334" spans="1:8" x14ac:dyDescent="0.2">
      <c r="A334" t="s">
        <v>83</v>
      </c>
      <c r="B334"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v>
      </c>
    </row>
    <row r="335" spans="1:8" ht="16" x14ac:dyDescent="0.2">
      <c r="A335" s="10" t="s">
        <v>79</v>
      </c>
    </row>
    <row r="336" spans="1:8" x14ac:dyDescent="0.2">
      <c r="A336" t="s">
        <v>80</v>
      </c>
      <c r="B336" t="s">
        <v>81</v>
      </c>
      <c r="C336" t="s">
        <v>72</v>
      </c>
      <c r="D336" t="s">
        <v>76</v>
      </c>
      <c r="E336" t="s">
        <v>82</v>
      </c>
      <c r="F336" t="s">
        <v>74</v>
      </c>
      <c r="G336" t="s">
        <v>83</v>
      </c>
      <c r="H336" t="s">
        <v>73</v>
      </c>
    </row>
    <row r="337" spans="1:8" x14ac:dyDescent="0.2">
      <c r="A337" t="str">
        <f>B310</f>
        <v>transport, Motorbike, gasoline, 4-11kW, EURO-4, 2016</v>
      </c>
      <c r="B337">
        <v>1</v>
      </c>
      <c r="C337" t="str">
        <f>B311</f>
        <v>CH</v>
      </c>
      <c r="D337" t="s">
        <v>166</v>
      </c>
      <c r="F337" t="s">
        <v>84</v>
      </c>
      <c r="G337" t="s">
        <v>85</v>
      </c>
      <c r="H337" t="str">
        <f>B316</f>
        <v>transport, Motorbike, gasoline, 4-11kW, EURO-4</v>
      </c>
    </row>
    <row r="338" spans="1:8" x14ac:dyDescent="0.2">
      <c r="A338" t="str">
        <f>RIGHT(A337,LEN(A337)-11)</f>
        <v>Motorbike, gasoline, 4-11kW, EURO-4, 2016</v>
      </c>
      <c r="B338" s="7">
        <f>1/B320</f>
        <v>4.0000000000000003E-5</v>
      </c>
      <c r="C338" t="str">
        <f>B311</f>
        <v>CH</v>
      </c>
      <c r="D338" t="s">
        <v>76</v>
      </c>
      <c r="F338" t="s">
        <v>89</v>
      </c>
      <c r="H338" t="str">
        <f>RIGHT(H337,LEN(H337)-11)</f>
        <v>Motorbike, gasoline, 4-11kW, EURO-4</v>
      </c>
    </row>
    <row r="339" spans="1:8" x14ac:dyDescent="0.2">
      <c r="A339" t="str">
        <f>INDEX('ei names mapping'!$B$4:$R$33,MATCH(B312,'ei names mapping'!$A$4:$A$33,0),MATCH(G339,'ei names mapping'!$B$3:$R$3,0))</f>
        <v>road construction</v>
      </c>
      <c r="B339" s="7">
        <f>INDEX('vehicles specifications'!$B$3:$CW$166,MATCH(B315,'vehicles specifications'!$A$3:$A$166,0),MATCH(G339,'vehicles specifications'!$B$2:$CW$2,0))*INDEX('ei names mapping'!$B$137:$BL$300,MATCH(B315,'ei names mapping'!$A$137:$A$300,0),MATCH(G339,'ei names mapping'!$B$136:$BL$136,0))</f>
        <v>1.1213026243363781E-4</v>
      </c>
      <c r="C339" t="str">
        <f>INDEX('ei names mapping'!$B$38:$R$67,MATCH(B312,'ei names mapping'!$A$4:$A$33,0),MATCH(G339,'ei names mapping'!$B$3:$R$3,0))</f>
        <v>CH</v>
      </c>
      <c r="D339" t="str">
        <f>INDEX('ei names mapping'!$B$104:$BL$133,MATCH(B312,'ei names mapping'!$A$4:$A$33,0),MATCH(G339,'ei names mapping'!$B$3:$BL$3,0))</f>
        <v>meter-year</v>
      </c>
      <c r="F339" t="s">
        <v>89</v>
      </c>
      <c r="G339" t="s">
        <v>105</v>
      </c>
      <c r="H339" t="str">
        <f>INDEX('ei names mapping'!$B$71:$BL$100,MATCH(B312,'ei names mapping'!$A$4:$A$33,0),MATCH(G339,'ei names mapping'!$B$3:$BL$3,0))</f>
        <v>road</v>
      </c>
    </row>
    <row r="340" spans="1:8" x14ac:dyDescent="0.2">
      <c r="A340" t="str">
        <f>INDEX('ei names mapping'!$B$4:$R$33,MATCH(B312,'ei names mapping'!$A$4:$A$33,0),MATCH(G340,'ei names mapping'!$B$3:$R$3,0))</f>
        <v>road maintenance</v>
      </c>
      <c r="B340" s="7">
        <f>INDEX('vehicles specifications'!$B$3:$CW$166,MATCH(B315,'vehicles specifications'!$A$3:$A$166,0),MATCH(G340,'vehicles specifications'!$B$2:$CW$2,0))*INDEX('ei names mapping'!$B$137:$BL$300,MATCH(B315,'ei names mapping'!$A$137:$A$300,0),MATCH(G340,'ei names mapping'!$B$136:$BL$136,0))</f>
        <v>1.2899999999999999E-3</v>
      </c>
      <c r="C340" t="str">
        <f>INDEX('ei names mapping'!$B$38:$R$67,MATCH(B312,'ei names mapping'!$A$4:$A$33,0),MATCH(G340,'ei names mapping'!$B$3:$R$3,0))</f>
        <v>CH</v>
      </c>
      <c r="D340" t="str">
        <f>INDEX('ei names mapping'!$B$104:$BL$133,MATCH(B312,'ei names mapping'!$A$4:$A$33,0),MATCH(G340,'ei names mapping'!$B$3:$BL$3,0))</f>
        <v>meter-year</v>
      </c>
      <c r="F340" t="s">
        <v>89</v>
      </c>
      <c r="G340" t="s">
        <v>112</v>
      </c>
      <c r="H340" t="str">
        <f>INDEX('ei names mapping'!$B$71:$BL$100,MATCH(B312,'ei names mapping'!$A$4:$A$33,0),MATCH(G340,'ei names mapping'!$B$3:$BL$3,0))</f>
        <v>road maintenance</v>
      </c>
    </row>
    <row r="341" spans="1:8" x14ac:dyDescent="0.2">
      <c r="A341" t="str">
        <f>INDEX('ei names mapping'!$B$4:$R$33,MATCH(B312,'ei names mapping'!$A$4:$A$33,0),MATCH(G341,'ei names mapping'!$B$3:$R$3,0))</f>
        <v>maintenance, motor scooter</v>
      </c>
      <c r="B341" s="7">
        <f>INDEX('vehicles specifications'!$B$3:$CW$166,MATCH(B315,'vehicles specifications'!$A$3:$A$166,0),MATCH(G341,'vehicles specifications'!$B$2:$CW$2,0))*INDEX('ei names mapping'!$B$137:$BL$300,MATCH(B315,'ei names mapping'!$A$137:$A$300,0),MATCH(G341,'ei names mapping'!$B$136:$BL$136,0))</f>
        <v>4.0000000000000003E-5</v>
      </c>
      <c r="C341" t="str">
        <f>INDEX('ei names mapping'!$B$38:$BL$67,MATCH(B312,'ei names mapping'!$A$4:$A$33,0),MATCH(G341,'ei names mapping'!$B$3:$BL$3,0))</f>
        <v>CH</v>
      </c>
      <c r="D341" t="str">
        <f>INDEX('ei names mapping'!$B$104:$BL$133,MATCH(B312,'ei names mapping'!$A$4:$A$33,0),MATCH(G341,'ei names mapping'!$B$3:$BL$3,0))</f>
        <v>unit</v>
      </c>
      <c r="F341" t="s">
        <v>89</v>
      </c>
      <c r="G341" t="s">
        <v>118</v>
      </c>
      <c r="H341" t="str">
        <f>INDEX('ei names mapping'!$B$71:$BL$100,MATCH(B312,'ei names mapping'!$A$4:$A$33,0),MATCH(G341,'ei names mapping'!$B$3:$BL$3,0))</f>
        <v>maintenance, motor scooter</v>
      </c>
    </row>
    <row r="342" spans="1:8" x14ac:dyDescent="0.2">
      <c r="A342" t="str">
        <f>INDEX('ei names mapping'!$B$4:$R$33,MATCH(B312,'ei names mapping'!$A$4:$A$33,0),MATCH(G342,'ei names mapping'!$B$3:$R$3,0))</f>
        <v>fuel supply for gasoline vehicles</v>
      </c>
      <c r="B342" s="7">
        <f>INDEX('vehicles specifications'!$B$3:$CW$166,MATCH(B315,'vehicles specifications'!$A$3:$A$166,0),MATCH(G342,'vehicles specifications'!$B$2:$CW$2,0))*INDEX('ei names mapping'!$B$137:$BL$300,MATCH(B315,'ei names mapping'!$A$137:$A$300,0),MATCH(G342,'ei names mapping'!$B$136:$BL$136,0))</f>
        <v>2.3847911251435212E-2</v>
      </c>
      <c r="C342" t="str">
        <f>INDEX('ei names mapping'!$B$38:$BL$67,MATCH(B312,'ei names mapping'!$A$4:$A$33,0),MATCH(G342,'ei names mapping'!$B$3:$BL$3,0))</f>
        <v>CH</v>
      </c>
      <c r="D342" t="str">
        <f>INDEX('ei names mapping'!$B$104:$BL$133,MATCH(B312,'ei names mapping'!$A$4:$A$33,0),MATCH(G342,'ei names mapping'!$B$3:$BL$3,0))</f>
        <v>kilogram</v>
      </c>
      <c r="F342" t="s">
        <v>89</v>
      </c>
      <c r="G342" t="s">
        <v>27</v>
      </c>
      <c r="H342" t="str">
        <f>INDEX('ei names mapping'!$B$71:$BL$100,MATCH(B312,'ei names mapping'!$A$4:$A$33,0),MATCH(G342,'ei names mapping'!$B$3:$BL$3,0))</f>
        <v>gasoline blend</v>
      </c>
    </row>
    <row r="343" spans="1:8" x14ac:dyDescent="0.2">
      <c r="A343" t="str">
        <f>INDEX('ei names mapping'!$B$4:$BL$33,MATCH(B312,'ei names mapping'!$A$4:$A$33,0),MATCH(G343,'ei names mapping'!$B$3:$BL$3,0))</f>
        <v>Carbon dioxide, fossil</v>
      </c>
      <c r="B343" s="11">
        <f>INDEX('vehicles specifications'!$B$3:$CW$166,MATCH(B315,'vehicles specifications'!$A$3:$A$166,0),MATCH(G343,'vehicles specifications'!$B$2:$CW$2,0))*INDEX('ei names mapping'!$B$137:$BL$300,MATCH(B315,'ei names mapping'!$A$137:$A$300,0),MATCH(G343,'ei names mapping'!$B$136:$BL$136,0))</f>
        <v>7.3983852033552483E-2</v>
      </c>
      <c r="D343" t="str">
        <f>INDEX('ei names mapping'!$B$104:$BL$133,MATCH(B312,'ei names mapping'!$A$4:$A$33,0),MATCH(G343,'ei names mapping'!$B$3:$BL$3,0))</f>
        <v>kilogram</v>
      </c>
      <c r="E343" t="str">
        <f>INDEX('ei names mapping'!$B$305:$BL$335,MATCH(B312,'ei names mapping'!$A$4:$A$33,0),MATCH(G343,'ei names mapping'!$B$3:$BL$3,0))</f>
        <v>air::urban air close to ground</v>
      </c>
      <c r="F343" t="s">
        <v>167</v>
      </c>
      <c r="G343" t="s">
        <v>66</v>
      </c>
    </row>
    <row r="344" spans="1:8" x14ac:dyDescent="0.2">
      <c r="A344" t="str">
        <f>INDEX('ei names mapping'!$B$4:$BL$33,MATCH(B312,'ei names mapping'!$A$4:$A$33,0),MATCH(G344,'ei names mapping'!$B$3:$BL$3,0))</f>
        <v>Carbon dioxide, from soil or biomass stock</v>
      </c>
      <c r="B344" s="11">
        <f>INDEX('vehicles specifications'!$B$3:$CW$166,MATCH(B315,'vehicles specifications'!$A$3:$A$166,0),MATCH(G344,'vehicles specifications'!$B$2:$CW$2,0))*INDEX('ei names mapping'!$B$137:$BL$300,MATCH(B315,'ei names mapping'!$A$137:$A$300,0),MATCH(G344,'ei names mapping'!$B$136:$BL$136,0))</f>
        <v>8.9858929595407883E-4</v>
      </c>
      <c r="D344" t="str">
        <f>INDEX('ei names mapping'!$B$104:$BL$133,MATCH(B312,'ei names mapping'!$A$4:$A$33,0),MATCH(G344,'ei names mapping'!$B$3:$BL$3,0))</f>
        <v>kilogram</v>
      </c>
      <c r="E344" t="str">
        <f>INDEX('ei names mapping'!$B$305:$BL$335,MATCH(B312,'ei names mapping'!$A$4:$A$33,0),MATCH(G344,'ei names mapping'!$B$3:$BL$3,0))</f>
        <v>air::urban air close to ground</v>
      </c>
      <c r="F344" t="s">
        <v>167</v>
      </c>
      <c r="G344" t="s">
        <v>843</v>
      </c>
    </row>
    <row r="345" spans="1:8" x14ac:dyDescent="0.2">
      <c r="A345" t="str">
        <f>INDEX('ei names mapping'!$B$4:$BL$33,MATCH(B312,'ei names mapping'!$A$4:$A$33,0),MATCH(G345,'ei names mapping'!$B$3:$BL$3,0))</f>
        <v>Sulfur dioxide</v>
      </c>
      <c r="B345" s="7">
        <f>INDEX('vehicles specifications'!$B$3:$CW$166,MATCH(B315,'vehicles specifications'!$A$3:$A$166,0),MATCH(G345,'vehicles specifications'!$B$2:$CW$2,0))*INDEX('ei names mapping'!$B$137:$BL$300,MATCH(B315,'ei names mapping'!$A$137:$A$300,0),MATCH(G345,'ei names mapping'!$B$136:$BL$136,0))</f>
        <v>3.8156658002296336E-7</v>
      </c>
      <c r="D345" t="str">
        <f>INDEX('ei names mapping'!$B$104:$BL$133,MATCH(B312,'ei names mapping'!$A$4:$A$33,0),MATCH(G345,'ei names mapping'!$B$3:$BL$3,0))</f>
        <v>kilogram</v>
      </c>
      <c r="E345" t="str">
        <f>INDEX('ei names mapping'!$B$305:$BL$335,MATCH(B312,'ei names mapping'!$A$4:$A$33,0),MATCH(G345,'ei names mapping'!$B$3:$BL$3,0))</f>
        <v>air::urban air close to ground</v>
      </c>
      <c r="F345" t="s">
        <v>167</v>
      </c>
      <c r="G345" t="s">
        <v>67</v>
      </c>
    </row>
    <row r="346" spans="1:8" x14ac:dyDescent="0.2">
      <c r="A346" t="str">
        <f>INDEX('ei names mapping'!$B$4:$BL$33,MATCH(B312,'ei names mapping'!$A$4:$A$33,0),MATCH(G346,'ei names mapping'!$B$3:$BL$3,0))</f>
        <v>Benzene</v>
      </c>
      <c r="B346" s="7">
        <f>INDEX('vehicles specifications'!$B$3:$CW$166,MATCH(B315,'vehicles specifications'!$A$3:$A$166,0),MATCH(G346,'vehicles specifications'!$B$2:$CW$2,0))*INDEX('ei names mapping'!$B$137:$BL$300,MATCH(B315,'ei names mapping'!$A$137:$A$300,0),MATCH(G346,'ei names mapping'!$B$136:$BL$136,0))</f>
        <v>5.1657452836225586E-6</v>
      </c>
      <c r="D346" t="str">
        <f>INDEX('ei names mapping'!$B$104:$BL$133,MATCH(B312,'ei names mapping'!$A$4:$A$33,0),MATCH(G346,'ei names mapping'!$B$3:$BL$3,0))</f>
        <v>kilogram</v>
      </c>
      <c r="E346" t="str">
        <f>INDEX('ei names mapping'!$B$305:$BL$335,MATCH(B312,'ei names mapping'!$A$4:$A$33,0),MATCH(G346,'ei names mapping'!$B$3:$BL$3,0))</f>
        <v>air::urban air close to ground</v>
      </c>
      <c r="F346" t="s">
        <v>167</v>
      </c>
      <c r="G346" t="s">
        <v>55</v>
      </c>
    </row>
    <row r="347" spans="1:8" x14ac:dyDescent="0.2">
      <c r="A347" t="str">
        <f>INDEX('ei names mapping'!$B$4:$BL$33,MATCH(B312,'ei names mapping'!$A$4:$A$33,0),MATCH(G347,'ei names mapping'!$B$3:$BL$3,0))</f>
        <v>Methane, fossil</v>
      </c>
      <c r="B347" s="7">
        <f>INDEX('vehicles specifications'!$B$3:$CW$166,MATCH(B315,'vehicles specifications'!$A$3:$A$166,0),MATCH(G347,'vehicles specifications'!$B$2:$CW$2,0))*INDEX('ei names mapping'!$B$137:$BL$300,MATCH(B315,'ei names mapping'!$A$137:$A$300,0),MATCH(G347,'ei names mapping'!$B$136:$BL$136,0))</f>
        <v>5.6307019006388424E-5</v>
      </c>
      <c r="D347" t="str">
        <f>INDEX('ei names mapping'!$B$104:$BL$133,MATCH(B312,'ei names mapping'!$A$4:$A$33,0),MATCH(G347,'ei names mapping'!$B$3:$BL$3,0))</f>
        <v>kilogram</v>
      </c>
      <c r="E347" t="str">
        <f>INDEX('ei names mapping'!$B$305:$BL$335,MATCH(B312,'ei names mapping'!$A$4:$A$33,0),MATCH(G347,'ei names mapping'!$B$3:$BL$3,0))</f>
        <v>air::urban air close to ground</v>
      </c>
      <c r="F347" t="s">
        <v>167</v>
      </c>
      <c r="G347" t="s">
        <v>56</v>
      </c>
    </row>
    <row r="348" spans="1:8" x14ac:dyDescent="0.2">
      <c r="A348" t="str">
        <f>INDEX('ei names mapping'!$B$4:$BL$33,MATCH(B312,'ei names mapping'!$A$4:$A$33,0),MATCH(G348,'ei names mapping'!$B$3:$BL$3,0))</f>
        <v>Carbon monoxide, fossil</v>
      </c>
      <c r="B348" s="7">
        <f>INDEX('vehicles specifications'!$B$3:$CW$166,MATCH(B315,'vehicles specifications'!$A$3:$A$166,0),MATCH(G348,'vehicles specifications'!$B$2:$CW$2,0))*INDEX('ei names mapping'!$B$137:$BL$300,MATCH(B315,'ei names mapping'!$A$137:$A$300,0),MATCH(G348,'ei names mapping'!$B$136:$BL$136,0))</f>
        <v>8.2177593124772407E-4</v>
      </c>
      <c r="D348" t="str">
        <f>INDEX('ei names mapping'!$B$104:$BL$133,MATCH(B312,'ei names mapping'!$A$4:$A$33,0),MATCH(G348,'ei names mapping'!$B$3:$BL$3,0))</f>
        <v>kilogram</v>
      </c>
      <c r="E348" t="str">
        <f>INDEX('ei names mapping'!$B$305:$BL$335,MATCH(B312,'ei names mapping'!$A$4:$A$33,0),MATCH(G348,'ei names mapping'!$B$3:$BL$3,0))</f>
        <v>air::urban air close to ground</v>
      </c>
      <c r="F348" t="s">
        <v>167</v>
      </c>
      <c r="G348" t="s">
        <v>57</v>
      </c>
    </row>
    <row r="349" spans="1:8" x14ac:dyDescent="0.2">
      <c r="A349" t="str">
        <f>INDEX('ei names mapping'!$B$4:$BL$33,MATCH(B312,'ei names mapping'!$A$4:$A$33,0),MATCH(G349,'ei names mapping'!$B$3:$BL$3,0))</f>
        <v>Dinitrogen monoxide</v>
      </c>
      <c r="B349" s="7">
        <f>INDEX('vehicles specifications'!$B$3:$CW$166,MATCH(B315,'vehicles specifications'!$A$3:$A$166,0),MATCH(G349,'vehicles specifications'!$B$2:$CW$2,0))*INDEX('ei names mapping'!$B$137:$BL$300,MATCH(B315,'ei names mapping'!$A$137:$A$300,0),MATCH(G349,'ei names mapping'!$B$136:$BL$136,0))</f>
        <v>2.0109649645138723E-6</v>
      </c>
      <c r="D349" t="str">
        <f>INDEX('ei names mapping'!$B$104:$BL$133,MATCH(B312,'ei names mapping'!$A$4:$A$33,0),MATCH(G349,'ei names mapping'!$B$3:$BL$3,0))</f>
        <v>kilogram</v>
      </c>
      <c r="E349" t="str">
        <f>INDEX('ei names mapping'!$B$305:$BL$335,MATCH(B312,'ei names mapping'!$A$4:$A$33,0),MATCH(G349,'ei names mapping'!$B$3:$BL$3,0))</f>
        <v>air::urban air close to ground</v>
      </c>
      <c r="F349" t="s">
        <v>167</v>
      </c>
      <c r="G349" t="s">
        <v>58</v>
      </c>
    </row>
    <row r="350" spans="1:8" x14ac:dyDescent="0.2">
      <c r="A350" t="str">
        <f>INDEX('ei names mapping'!$B$4:$BL$33,MATCH(B312,'ei names mapping'!$A$4:$A$33,0),MATCH(G350,'ei names mapping'!$B$3:$BL$3,0))</f>
        <v>Ammonia</v>
      </c>
      <c r="B350" s="7">
        <f>INDEX('vehicles specifications'!$B$3:$CW$166,MATCH(B315,'vehicles specifications'!$A$3:$A$166,0),MATCH(G350,'vehicles specifications'!$B$2:$CW$2,0))*INDEX('ei names mapping'!$B$137:$BL$300,MATCH(B315,'ei names mapping'!$A$137:$A$300,0),MATCH(G350,'ei names mapping'!$B$136:$BL$136,0))</f>
        <v>2.0109649645138723E-6</v>
      </c>
      <c r="D350" t="str">
        <f>INDEX('ei names mapping'!$B$104:$BL$133,MATCH(B312,'ei names mapping'!$A$4:$A$33,0),MATCH(G350,'ei names mapping'!$B$3:$BL$3,0))</f>
        <v>kilogram</v>
      </c>
      <c r="E350" t="str">
        <f>INDEX('ei names mapping'!$B$305:$BL$335,MATCH(B312,'ei names mapping'!$A$4:$A$33,0),MATCH(G350,'ei names mapping'!$B$3:$BL$3,0))</f>
        <v>air::urban air close to ground</v>
      </c>
      <c r="F350" t="s">
        <v>167</v>
      </c>
      <c r="G350" t="s">
        <v>59</v>
      </c>
    </row>
    <row r="351" spans="1:8" x14ac:dyDescent="0.2">
      <c r="A351" t="str">
        <f>INDEX('ei names mapping'!$B$4:$BL$33,MATCH(B312,'ei names mapping'!$A$4:$A$33,0),MATCH(G351,'ei names mapping'!$B$3:$BL$3,0))</f>
        <v>Nitrogen oxides</v>
      </c>
      <c r="B351" s="7">
        <f>INDEX('vehicles specifications'!$B$3:$CW$166,MATCH(B315,'vehicles specifications'!$A$3:$A$166,0),MATCH(G351,'vehicles specifications'!$B$2:$CW$2,0))*INDEX('ei names mapping'!$B$137:$BL$300,MATCH(B315,'ei names mapping'!$A$137:$A$300,0),MATCH(G351,'ei names mapping'!$B$136:$BL$136,0))</f>
        <v>2.7297678240826657E-5</v>
      </c>
      <c r="D351" t="str">
        <f>INDEX('ei names mapping'!$B$104:$BL$133,MATCH(B312,'ei names mapping'!$A$4:$A$33,0),MATCH(G351,'ei names mapping'!$B$3:$BL$3,0))</f>
        <v>kilogram</v>
      </c>
      <c r="E351" t="str">
        <f>INDEX('ei names mapping'!$B$305:$BL$335,MATCH(B312,'ei names mapping'!$A$4:$A$33,0),MATCH(G351,'ei names mapping'!$B$3:$BL$3,0))</f>
        <v>air::urban air close to ground</v>
      </c>
      <c r="F351" t="s">
        <v>167</v>
      </c>
      <c r="G351" t="s">
        <v>60</v>
      </c>
    </row>
    <row r="352" spans="1:8" x14ac:dyDescent="0.2">
      <c r="A352" t="str">
        <f>INDEX('ei names mapping'!$B$4:$BL$33,MATCH(B312,'ei names mapping'!$A$4:$A$33,0),MATCH(G352,'ei names mapping'!$B$3:$BL$3,0))</f>
        <v>Particulates, &lt; 2.5 um</v>
      </c>
      <c r="B352" s="7">
        <f>INDEX('vehicles specifications'!$B$3:$CW$166,MATCH(B$315,'vehicles specifications'!$A$3:$A$166,0),MATCH(G352,'vehicles specifications'!$B$2:$CW$2,0))*INDEX('ei names mapping'!$B$137:$BL$300,MATCH(B$315,'ei names mapping'!$A$137:$A$300,0),MATCH(G352,'ei names mapping'!$B$136:$BL$136,0))</f>
        <v>5.0274124112846799E-6</v>
      </c>
      <c r="D352" t="str">
        <f>INDEX('ei names mapping'!$B$104:$BL$133,MATCH(B312,'ei names mapping'!$A$4:$A$33,0),MATCH(G352,'ei names mapping'!$B$3:$BL$3,0))</f>
        <v>kilogram</v>
      </c>
      <c r="E352" t="str">
        <f>INDEX('ei names mapping'!$B$305:$BL$335,MATCH(B312,'ei names mapping'!$A$4:$A$33,0),MATCH(G352,'ei names mapping'!$B$3:$BL$3,0))</f>
        <v>air::urban air close to ground</v>
      </c>
      <c r="F352" t="s">
        <v>167</v>
      </c>
      <c r="G352" t="s">
        <v>62</v>
      </c>
    </row>
    <row r="353" spans="1:7" x14ac:dyDescent="0.2">
      <c r="A353" t="str">
        <f>INDEX('ei names mapping'!$B$4:$BL$33,MATCH(B$234,'ei names mapping'!$A$4:$A$33,0),MATCH(G353,'ei names mapping'!$B$3:$BL$3,0))</f>
        <v>NMVOC, non-methane volatile organic compounds, unspecified origin</v>
      </c>
      <c r="B353" s="7">
        <f>INDEX('vehicles specifications'!$B$3:$CW$166,MATCH(B$315,'vehicles specifications'!$A$3:$A$166,0),MATCH(G353,'vehicles specifications'!$B$2:$CW$2,0))*INDEX('ei names mapping'!$B$137:$BL$300,MATCH(B$315,'ei names mapping'!$A$137:$A$300,0),MATCH(G353,'ei names mapping'!$B$136:$BL$136,0))</f>
        <v>4.1657453944934862E-5</v>
      </c>
      <c r="D353" t="str">
        <f>INDEX('ei names mapping'!$B$104:$BL$133,MATCH(B$234,'ei names mapping'!$A$4:$A$33,0),MATCH(G353,'ei names mapping'!$B$3:$BL$3,0))</f>
        <v>kilogram</v>
      </c>
      <c r="E353" t="str">
        <f>INDEX('ei names mapping'!$B$305:$BL$335,MATCH(B$234,'ei names mapping'!$A$4:$A$33,0),MATCH(G353,'ei names mapping'!$B$3:$BL$3,0))</f>
        <v>air::urban air close to ground</v>
      </c>
      <c r="F353" t="s">
        <v>167</v>
      </c>
      <c r="G353" t="s">
        <v>593</v>
      </c>
    </row>
    <row r="354" spans="1:7" x14ac:dyDescent="0.2">
      <c r="A354" t="str">
        <f>INDEX('ei names mapping'!$B$4:$BL$33,MATCH(B$234,'ei names mapping'!$A$4:$A$33,0),MATCH(G354,'ei names mapping'!$B$3:$BL$3,0))</f>
        <v>Ethane</v>
      </c>
      <c r="B354" s="7">
        <f>INDEX('vehicles specifications'!$B$3:$CW$166,MATCH(B$315,'vehicles specifications'!$A$3:$A$166,0),MATCH(G354,'vehicles specifications'!$B$2:$CW$2,0))*INDEX('ei names mapping'!$B$137:$BL$300,MATCH(B$315,'ei names mapping'!$A$137:$A$300,0),MATCH(G354,'ei names mapping'!$B$136:$BL$136,0))</f>
        <v>2.9373845730402788E-6</v>
      </c>
      <c r="D354" t="str">
        <f>INDEX('ei names mapping'!$B$104:$BL$133,MATCH(B$234,'ei names mapping'!$A$4:$A$33,0),MATCH(G354,'ei names mapping'!$B$3:$BL$3,0))</f>
        <v>kilogram</v>
      </c>
      <c r="E354" t="str">
        <f>INDEX('ei names mapping'!$B$305:$BL$335,MATCH(B$234,'ei names mapping'!$A$4:$A$33,0),MATCH(G354,'ei names mapping'!$B$3:$BL$3,0))</f>
        <v>air::urban air close to ground</v>
      </c>
      <c r="F354" t="s">
        <v>167</v>
      </c>
      <c r="G354" t="s">
        <v>541</v>
      </c>
    </row>
    <row r="355" spans="1:7" x14ac:dyDescent="0.2">
      <c r="A355" t="str">
        <f>INDEX('ei names mapping'!$B$4:$BL$33,MATCH(B$234,'ei names mapping'!$A$4:$A$33,0),MATCH(G355,'ei names mapping'!$B$3:$BL$3,0))</f>
        <v>Propane</v>
      </c>
      <c r="B355" s="7">
        <f>INDEX('vehicles specifications'!$B$3:$CW$166,MATCH(B$315,'vehicles specifications'!$A$3:$A$166,0),MATCH(G355,'vehicles specifications'!$B$2:$CW$2,0))*INDEX('ei names mapping'!$B$137:$BL$300,MATCH(B$315,'ei names mapping'!$A$137:$A$300,0),MATCH(G355,'ei names mapping'!$B$136:$BL$136,0))</f>
        <v>5.9852663713986867E-7</v>
      </c>
      <c r="D355" t="str">
        <f>INDEX('ei names mapping'!$B$104:$BL$133,MATCH(B$234,'ei names mapping'!$A$4:$A$33,0),MATCH(G355,'ei names mapping'!$B$3:$BL$3,0))</f>
        <v>kilogram</v>
      </c>
      <c r="E355" t="str">
        <f>INDEX('ei names mapping'!$B$305:$BL$335,MATCH(B$234,'ei names mapping'!$A$4:$A$33,0),MATCH(G355,'ei names mapping'!$B$3:$BL$3,0))</f>
        <v>air::urban air close to ground</v>
      </c>
      <c r="F355" t="s">
        <v>167</v>
      </c>
      <c r="G355" t="s">
        <v>542</v>
      </c>
    </row>
    <row r="356" spans="1:7" x14ac:dyDescent="0.2">
      <c r="A356" t="str">
        <f>INDEX('ei names mapping'!$B$4:$BL$33,MATCH(B$234,'ei names mapping'!$A$4:$A$33,0),MATCH(G356,'ei names mapping'!$B$3:$BL$3,0))</f>
        <v>Butane</v>
      </c>
      <c r="B356" s="7">
        <f>INDEX('vehicles specifications'!$B$3:$CW$166,MATCH(B$315,'vehicles specifications'!$A$3:$A$166,0),MATCH(G356,'vehicles specifications'!$B$2:$CW$2,0))*INDEX('ei names mapping'!$B$137:$BL$300,MATCH(B$315,'ei names mapping'!$A$137:$A$300,0),MATCH(G356,'ei names mapping'!$B$136:$BL$136,0))</f>
        <v>4.8250455055583258E-6</v>
      </c>
      <c r="D356" t="str">
        <f>INDEX('ei names mapping'!$B$104:$BL$133,MATCH(B$234,'ei names mapping'!$A$4:$A$33,0),MATCH(G356,'ei names mapping'!$B$3:$BL$3,0))</f>
        <v>kilogram</v>
      </c>
      <c r="E356" t="str">
        <f>INDEX('ei names mapping'!$B$305:$BL$335,MATCH(B$234,'ei names mapping'!$A$4:$A$33,0),MATCH(G356,'ei names mapping'!$B$3:$BL$3,0))</f>
        <v>air::urban air close to ground</v>
      </c>
      <c r="F356" t="s">
        <v>167</v>
      </c>
      <c r="G356" t="s">
        <v>543</v>
      </c>
    </row>
    <row r="357" spans="1:7" x14ac:dyDescent="0.2">
      <c r="A357" t="str">
        <f>INDEX('ei names mapping'!$B$4:$BL$33,MATCH(B$234,'ei names mapping'!$A$4:$A$33,0),MATCH(G357,'ei names mapping'!$B$3:$BL$3,0))</f>
        <v>Pentane</v>
      </c>
      <c r="B357" s="7">
        <f>INDEX('vehicles specifications'!$B$3:$CW$166,MATCH(B$315,'vehicles specifications'!$A$3:$A$166,0),MATCH(G357,'vehicles specifications'!$B$2:$CW$2,0))*INDEX('ei names mapping'!$B$137:$BL$300,MATCH(B$315,'ei names mapping'!$A$137:$A$300,0),MATCH(G357,'ei names mapping'!$B$136:$BL$136,0))</f>
        <v>1.9797419536164887E-6</v>
      </c>
      <c r="D357" t="str">
        <f>INDEX('ei names mapping'!$B$104:$BL$133,MATCH(B$234,'ei names mapping'!$A$4:$A$33,0),MATCH(G357,'ei names mapping'!$B$3:$BL$3,0))</f>
        <v>kilogram</v>
      </c>
      <c r="E357" t="str">
        <f>INDEX('ei names mapping'!$B$305:$BL$335,MATCH(B$234,'ei names mapping'!$A$4:$A$33,0),MATCH(G357,'ei names mapping'!$B$3:$BL$3,0))</f>
        <v>air::urban air close to ground</v>
      </c>
      <c r="F357" t="s">
        <v>167</v>
      </c>
      <c r="G357" t="s">
        <v>544</v>
      </c>
    </row>
    <row r="358" spans="1:7" x14ac:dyDescent="0.2">
      <c r="A358" t="str">
        <f>INDEX('ei names mapping'!$B$4:$BL$33,MATCH(B$234,'ei names mapping'!$A$4:$A$33,0),MATCH(G358,'ei names mapping'!$B$3:$BL$3,0))</f>
        <v>Hexane</v>
      </c>
      <c r="B358" s="7">
        <f>INDEX('vehicles specifications'!$B$3:$CW$166,MATCH(B$315,'vehicles specifications'!$A$3:$A$166,0),MATCH(G358,'vehicles specifications'!$B$2:$CW$2,0))*INDEX('ei names mapping'!$B$137:$BL$300,MATCH(B$315,'ei names mapping'!$A$137:$A$300,0),MATCH(G358,'ei names mapping'!$B$136:$BL$136,0))</f>
        <v>1.4825044396849054E-6</v>
      </c>
      <c r="D358" t="str">
        <f>INDEX('ei names mapping'!$B$104:$BL$133,MATCH(B$234,'ei names mapping'!$A$4:$A$33,0),MATCH(G358,'ei names mapping'!$B$3:$BL$3,0))</f>
        <v>kilogram</v>
      </c>
      <c r="E358" t="str">
        <f>INDEX('ei names mapping'!$B$305:$BL$335,MATCH(B$234,'ei names mapping'!$A$4:$A$33,0),MATCH(G358,'ei names mapping'!$B$3:$BL$3,0))</f>
        <v>air::urban air close to ground</v>
      </c>
      <c r="F358" t="s">
        <v>167</v>
      </c>
      <c r="G358" t="s">
        <v>545</v>
      </c>
    </row>
    <row r="359" spans="1:7" x14ac:dyDescent="0.2">
      <c r="A359" t="str">
        <f>INDEX('ei names mapping'!$B$4:$BL$33,MATCH(B$234,'ei names mapping'!$A$4:$A$33,0),MATCH(G359,'ei names mapping'!$B$3:$BL$3,0))</f>
        <v>Cyclohexane</v>
      </c>
      <c r="B359" s="7">
        <f>INDEX('vehicles specifications'!$B$3:$CW$166,MATCH(B$315,'vehicles specifications'!$A$3:$A$166,0),MATCH(G359,'vehicles specifications'!$B$2:$CW$2,0))*INDEX('ei names mapping'!$B$137:$BL$300,MATCH(B$315,'ei names mapping'!$A$137:$A$300,0),MATCH(G359,'ei names mapping'!$B$136:$BL$136,0))</f>
        <v>1.0497236405222313E-6</v>
      </c>
      <c r="D359" t="str">
        <f>INDEX('ei names mapping'!$B$104:$BL$133,MATCH(B$234,'ei names mapping'!$A$4:$A$33,0),MATCH(G359,'ei names mapping'!$B$3:$BL$3,0))</f>
        <v>kilogram</v>
      </c>
      <c r="E359" t="str">
        <f>INDEX('ei names mapping'!$B$305:$BL$335,MATCH(B$234,'ei names mapping'!$A$4:$A$33,0),MATCH(G359,'ei names mapping'!$B$3:$BL$3,0))</f>
        <v>air::urban air close to ground</v>
      </c>
      <c r="F359" t="s">
        <v>167</v>
      </c>
      <c r="G359" t="s">
        <v>546</v>
      </c>
    </row>
    <row r="360" spans="1:7" x14ac:dyDescent="0.2">
      <c r="A360" t="str">
        <f>INDEX('ei names mapping'!$B$4:$BL$33,MATCH(B$234,'ei names mapping'!$A$4:$A$33,0),MATCH(G360,'ei names mapping'!$B$3:$BL$3,0))</f>
        <v>Heptane</v>
      </c>
      <c r="B360" s="7">
        <f>INDEX('vehicles specifications'!$B$3:$CW$166,MATCH(B$315,'vehicles specifications'!$A$3:$A$166,0),MATCH(G360,'vehicles specifications'!$B$2:$CW$2,0))*INDEX('ei names mapping'!$B$137:$BL$300,MATCH(B$315,'ei names mapping'!$A$137:$A$300,0),MATCH(G360,'ei names mapping'!$B$136:$BL$136,0))</f>
        <v>6.8139955612846592E-7</v>
      </c>
      <c r="D360" t="str">
        <f>INDEX('ei names mapping'!$B$104:$BL$133,MATCH(B$234,'ei names mapping'!$A$4:$A$33,0),MATCH(G360,'ei names mapping'!$B$3:$BL$3,0))</f>
        <v>kilogram</v>
      </c>
      <c r="E360" t="str">
        <f>INDEX('ei names mapping'!$B$305:$BL$335,MATCH(B$234,'ei names mapping'!$A$4:$A$33,0),MATCH(G360,'ei names mapping'!$B$3:$BL$3,0))</f>
        <v>air::urban air close to ground</v>
      </c>
      <c r="F360" t="s">
        <v>167</v>
      </c>
      <c r="G360" t="s">
        <v>547</v>
      </c>
    </row>
    <row r="361" spans="1:7" x14ac:dyDescent="0.2">
      <c r="A361" t="str">
        <f>INDEX('ei names mapping'!$B$4:$BL$33,MATCH(B$234,'ei names mapping'!$A$4:$A$33,0),MATCH(G361,'ei names mapping'!$B$3:$BL$3,0))</f>
        <v>Ethene</v>
      </c>
      <c r="B361" s="7">
        <f>INDEX('vehicles specifications'!$B$3:$CW$166,MATCH(B$315,'vehicles specifications'!$A$3:$A$166,0),MATCH(G361,'vehicles specifications'!$B$2:$CW$2,0))*INDEX('ei names mapping'!$B$137:$BL$300,MATCH(B$315,'ei names mapping'!$A$137:$A$300,0),MATCH(G361,'ei names mapping'!$B$136:$BL$136,0))</f>
        <v>6.7219145401862166E-6</v>
      </c>
      <c r="D361" t="str">
        <f>INDEX('ei names mapping'!$B$104:$BL$133,MATCH(B$234,'ei names mapping'!$A$4:$A$33,0),MATCH(G361,'ei names mapping'!$B$3:$BL$3,0))</f>
        <v>kilogram</v>
      </c>
      <c r="E361" t="str">
        <f>INDEX('ei names mapping'!$B$305:$BL$335,MATCH(B$234,'ei names mapping'!$A$4:$A$33,0),MATCH(G361,'ei names mapping'!$B$3:$BL$3,0))</f>
        <v>air::urban air close to ground</v>
      </c>
      <c r="F361" t="s">
        <v>167</v>
      </c>
      <c r="G361" t="s">
        <v>548</v>
      </c>
    </row>
    <row r="362" spans="1:7" x14ac:dyDescent="0.2">
      <c r="A362" t="str">
        <f>INDEX('ei names mapping'!$B$4:$BL$33,MATCH(B$234,'ei names mapping'!$A$4:$A$33,0),MATCH(G362,'ei names mapping'!$B$3:$BL$3,0))</f>
        <v>Propene</v>
      </c>
      <c r="B362" s="7">
        <f>INDEX('vehicles specifications'!$B$3:$CW$166,MATCH(B$315,'vehicles specifications'!$A$3:$A$166,0),MATCH(G362,'vehicles specifications'!$B$2:$CW$2,0))*INDEX('ei names mapping'!$B$137:$BL$300,MATCH(B$315,'ei names mapping'!$A$137:$A$300,0),MATCH(G362,'ei names mapping'!$B$136:$BL$136,0))</f>
        <v>3.5174950059604585E-6</v>
      </c>
      <c r="D362" t="str">
        <f>INDEX('ei names mapping'!$B$104:$BL$133,MATCH(B$234,'ei names mapping'!$A$4:$A$33,0),MATCH(G362,'ei names mapping'!$B$3:$BL$3,0))</f>
        <v>kilogram</v>
      </c>
      <c r="E362" t="str">
        <f>INDEX('ei names mapping'!$B$305:$BL$335,MATCH(B$234,'ei names mapping'!$A$4:$A$33,0),MATCH(G362,'ei names mapping'!$B$3:$BL$3,0))</f>
        <v>air::urban air close to ground</v>
      </c>
      <c r="F362" t="s">
        <v>167</v>
      </c>
      <c r="G362" t="s">
        <v>549</v>
      </c>
    </row>
    <row r="363" spans="1:7" x14ac:dyDescent="0.2">
      <c r="A363" t="str">
        <f>INDEX('ei names mapping'!$B$4:$BL$33,MATCH(B$234,'ei names mapping'!$A$4:$A$33,0),MATCH(G363,'ei names mapping'!$B$3:$BL$3,0))</f>
        <v>1-Pentene</v>
      </c>
      <c r="B363" s="7">
        <f>INDEX('vehicles specifications'!$B$3:$CW$166,MATCH(B$315,'vehicles specifications'!$A$3:$A$166,0),MATCH(G363,'vehicles specifications'!$B$2:$CW$2,0))*INDEX('ei names mapping'!$B$137:$BL$300,MATCH(B$315,'ei names mapping'!$A$137:$A$300,0),MATCH(G363,'ei names mapping'!$B$136:$BL$136,0))</f>
        <v>1.0128912320828547E-7</v>
      </c>
      <c r="D363" t="str">
        <f>INDEX('ei names mapping'!$B$104:$BL$133,MATCH(B$234,'ei names mapping'!$A$4:$A$33,0),MATCH(G363,'ei names mapping'!$B$3:$BL$3,0))</f>
        <v>kilogram</v>
      </c>
      <c r="E363" t="str">
        <f>INDEX('ei names mapping'!$B$305:$BL$335,MATCH(B$234,'ei names mapping'!$A$4:$A$33,0),MATCH(G363,'ei names mapping'!$B$3:$BL$3,0))</f>
        <v>air::urban air close to ground</v>
      </c>
      <c r="F363" t="s">
        <v>167</v>
      </c>
      <c r="G363" t="s">
        <v>550</v>
      </c>
    </row>
    <row r="364" spans="1:7" x14ac:dyDescent="0.2">
      <c r="A364" t="str">
        <f>INDEX('ei names mapping'!$B$4:$BL$33,MATCH(B$234,'ei names mapping'!$A$4:$A$33,0),MATCH(G364,'ei names mapping'!$B$3:$BL$3,0))</f>
        <v>Toluene</v>
      </c>
      <c r="B364" s="7">
        <f>INDEX('vehicles specifications'!$B$3:$CW$166,MATCH(B$315,'vehicles specifications'!$A$3:$A$166,0),MATCH(G364,'vehicles specifications'!$B$2:$CW$2,0))*INDEX('ei names mapping'!$B$137:$BL$300,MATCH(B$315,'ei names mapping'!$A$137:$A$300,0),MATCH(G364,'ei names mapping'!$B$136:$BL$136,0))</f>
        <v>1.0110496116608857E-5</v>
      </c>
      <c r="D364" t="str">
        <f>INDEX('ei names mapping'!$B$104:$BL$133,MATCH(B$234,'ei names mapping'!$A$4:$A$33,0),MATCH(G364,'ei names mapping'!$B$3:$BL$3,0))</f>
        <v>kilogram</v>
      </c>
      <c r="E364" t="str">
        <f>INDEX('ei names mapping'!$B$305:$BL$335,MATCH(B$234,'ei names mapping'!$A$4:$A$33,0),MATCH(G364,'ei names mapping'!$B$3:$BL$3,0))</f>
        <v>air::urban air close to ground</v>
      </c>
      <c r="F364" t="s">
        <v>167</v>
      </c>
      <c r="G364" t="s">
        <v>551</v>
      </c>
    </row>
    <row r="365" spans="1:7" x14ac:dyDescent="0.2">
      <c r="A365" t="str">
        <f>INDEX('ei names mapping'!$B$4:$BL$33,MATCH(B$234,'ei names mapping'!$A$4:$A$33,0),MATCH(G365,'ei names mapping'!$B$3:$BL$3,0))</f>
        <v>m-Xylene</v>
      </c>
      <c r="B365" s="7">
        <f>INDEX('vehicles specifications'!$B$3:$CW$166,MATCH(B$315,'vehicles specifications'!$A$3:$A$166,0),MATCH(G365,'vehicles specifications'!$B$2:$CW$2,0))*INDEX('ei names mapping'!$B$137:$BL$300,MATCH(B$315,'ei names mapping'!$A$137:$A$300,0),MATCH(G365,'ei names mapping'!$B$136:$BL$136,0))</f>
        <v>4.9999994456453646E-6</v>
      </c>
      <c r="D365" t="str">
        <f>INDEX('ei names mapping'!$B$104:$BL$133,MATCH(B$234,'ei names mapping'!$A$4:$A$33,0),MATCH(G365,'ei names mapping'!$B$3:$BL$3,0))</f>
        <v>kilogram</v>
      </c>
      <c r="E365" t="str">
        <f>INDEX('ei names mapping'!$B$305:$BL$335,MATCH(B$234,'ei names mapping'!$A$4:$A$33,0),MATCH(G365,'ei names mapping'!$B$3:$BL$3,0))</f>
        <v>air::urban air close to ground</v>
      </c>
      <c r="F365" t="s">
        <v>167</v>
      </c>
      <c r="G365" t="s">
        <v>552</v>
      </c>
    </row>
    <row r="366" spans="1:7" x14ac:dyDescent="0.2">
      <c r="A366" t="str">
        <f>INDEX('ei names mapping'!$B$4:$BL$33,MATCH(B$234,'ei names mapping'!$A$4:$A$33,0),MATCH(G366,'ei names mapping'!$B$3:$BL$3,0))</f>
        <v>o-Xylene</v>
      </c>
      <c r="B366" s="7">
        <f>INDEX('vehicles specifications'!$B$3:$CW$166,MATCH(B$315,'vehicles specifications'!$A$3:$A$166,0),MATCH(G366,'vehicles specifications'!$B$2:$CW$2,0))*INDEX('ei names mapping'!$B$137:$BL$300,MATCH(B$315,'ei names mapping'!$A$137:$A$300,0),MATCH(G366,'ei names mapping'!$B$136:$BL$136,0))</f>
        <v>2.0810310768247739E-6</v>
      </c>
      <c r="D366" t="str">
        <f>INDEX('ei names mapping'!$B$104:$BL$133,MATCH(B$234,'ei names mapping'!$A$4:$A$33,0),MATCH(G366,'ei names mapping'!$B$3:$BL$3,0))</f>
        <v>kilogram</v>
      </c>
      <c r="E366" t="str">
        <f>INDEX('ei names mapping'!$B$305:$BL$335,MATCH(B$234,'ei names mapping'!$A$4:$A$33,0),MATCH(G366,'ei names mapping'!$B$3:$BL$3,0))</f>
        <v>air::urban air close to ground</v>
      </c>
      <c r="F366" t="s">
        <v>167</v>
      </c>
      <c r="G366" t="s">
        <v>553</v>
      </c>
    </row>
    <row r="367" spans="1:7" x14ac:dyDescent="0.2">
      <c r="A367" t="str">
        <f>INDEX('ei names mapping'!$B$4:$BL$33,MATCH(B$234,'ei names mapping'!$A$4:$A$33,0),MATCH(G367,'ei names mapping'!$B$3:$BL$3,0))</f>
        <v>Formaldehyde</v>
      </c>
      <c r="B367" s="7">
        <f>INDEX('vehicles specifications'!$B$3:$CW$166,MATCH(B$315,'vehicles specifications'!$A$3:$A$166,0),MATCH(G367,'vehicles specifications'!$B$2:$CW$2,0))*INDEX('ei names mapping'!$B$137:$BL$300,MATCH(B$315,'ei names mapping'!$A$137:$A$300,0),MATCH(G367,'ei names mapping'!$B$136:$BL$136,0))</f>
        <v>1.5653773586735031E-6</v>
      </c>
      <c r="D367" t="str">
        <f>INDEX('ei names mapping'!$B$104:$BL$133,MATCH(B$234,'ei names mapping'!$A$4:$A$33,0),MATCH(G367,'ei names mapping'!$B$3:$BL$3,0))</f>
        <v>kilogram</v>
      </c>
      <c r="E367" t="str">
        <f>INDEX('ei names mapping'!$B$305:$BL$335,MATCH(B$234,'ei names mapping'!$A$4:$A$33,0),MATCH(G367,'ei names mapping'!$B$3:$BL$3,0))</f>
        <v>air::urban air close to ground</v>
      </c>
      <c r="F367" t="s">
        <v>167</v>
      </c>
      <c r="G367" t="s">
        <v>554</v>
      </c>
    </row>
    <row r="368" spans="1:7" x14ac:dyDescent="0.2">
      <c r="A368" t="str">
        <f>INDEX('ei names mapping'!$B$4:$BL$33,MATCH(B$234,'ei names mapping'!$A$4:$A$33,0),MATCH(G368,'ei names mapping'!$B$3:$BL$3,0))</f>
        <v>Acetaldehyde</v>
      </c>
      <c r="B368" s="7">
        <f>INDEX('vehicles specifications'!$B$3:$CW$166,MATCH(B$315,'vehicles specifications'!$A$3:$A$166,0),MATCH(G368,'vehicles specifications'!$B$2:$CW$2,0))*INDEX('ei names mapping'!$B$137:$BL$300,MATCH(B$315,'ei names mapping'!$A$137:$A$300,0),MATCH(G368,'ei names mapping'!$B$136:$BL$136,0))</f>
        <v>6.9060765823831001E-7</v>
      </c>
      <c r="D368" t="str">
        <f>INDEX('ei names mapping'!$B$104:$BL$133,MATCH(B$234,'ei names mapping'!$A$4:$A$33,0),MATCH(G368,'ei names mapping'!$B$3:$BL$3,0))</f>
        <v>kilogram</v>
      </c>
      <c r="E368" t="str">
        <f>INDEX('ei names mapping'!$B$305:$BL$335,MATCH(B$234,'ei names mapping'!$A$4:$A$33,0),MATCH(G368,'ei names mapping'!$B$3:$BL$3,0))</f>
        <v>air::urban air close to ground</v>
      </c>
      <c r="F368" t="s">
        <v>167</v>
      </c>
      <c r="G368" t="s">
        <v>555</v>
      </c>
    </row>
    <row r="369" spans="1:8" x14ac:dyDescent="0.2">
      <c r="A369" t="str">
        <f>INDEX('ei names mapping'!$B$4:$BL$33,MATCH(B$234,'ei names mapping'!$A$4:$A$33,0),MATCH(G369,'ei names mapping'!$B$3:$BL$3,0))</f>
        <v>Benzaldehyde</v>
      </c>
      <c r="B369" s="7">
        <f>INDEX('vehicles specifications'!$B$3:$CW$166,MATCH(B$315,'vehicles specifications'!$A$3:$A$166,0),MATCH(G369,'vehicles specifications'!$B$2:$CW$2,0))*INDEX('ei names mapping'!$B$137:$BL$300,MATCH(B$315,'ei names mapping'!$A$137:$A$300,0),MATCH(G369,'ei names mapping'!$B$136:$BL$136,0))</f>
        <v>2.0257824641657093E-7</v>
      </c>
      <c r="D369" t="str">
        <f>INDEX('ei names mapping'!$B$104:$BL$133,MATCH(B$234,'ei names mapping'!$A$4:$A$33,0),MATCH(G369,'ei names mapping'!$B$3:$BL$3,0))</f>
        <v>kilogram</v>
      </c>
      <c r="E369" t="str">
        <f>INDEX('ei names mapping'!$B$305:$BL$335,MATCH(B$234,'ei names mapping'!$A$4:$A$33,0),MATCH(G369,'ei names mapping'!$B$3:$BL$3,0))</f>
        <v>air::urban air close to ground</v>
      </c>
      <c r="F369" t="s">
        <v>167</v>
      </c>
      <c r="G369" t="s">
        <v>556</v>
      </c>
    </row>
    <row r="370" spans="1:8" x14ac:dyDescent="0.2">
      <c r="A370" t="str">
        <f>INDEX('ei names mapping'!$B$4:$BL$33,MATCH(B$234,'ei names mapping'!$A$4:$A$33,0),MATCH(G370,'ei names mapping'!$B$3:$BL$3,0))</f>
        <v>Acetone</v>
      </c>
      <c r="B370" s="7">
        <f>INDEX('vehicles specifications'!$B$3:$CW$166,MATCH(B$315,'vehicles specifications'!$A$3:$A$166,0),MATCH(G370,'vehicles specifications'!$B$2:$CW$2,0))*INDEX('ei names mapping'!$B$137:$BL$300,MATCH(B$315,'ei names mapping'!$A$137:$A$300,0),MATCH(G370,'ei names mapping'!$B$136:$BL$136,0))</f>
        <v>5.616942287004922E-7</v>
      </c>
      <c r="D370" t="str">
        <f>INDEX('ei names mapping'!$B$104:$BL$133,MATCH(B$234,'ei names mapping'!$A$4:$A$33,0),MATCH(G370,'ei names mapping'!$B$3:$BL$3,0))</f>
        <v>kilogram</v>
      </c>
      <c r="E370" t="str">
        <f>INDEX('ei names mapping'!$B$305:$BL$335,MATCH(B$234,'ei names mapping'!$A$4:$A$33,0),MATCH(G370,'ei names mapping'!$B$3:$BL$3,0))</f>
        <v>air::urban air close to ground</v>
      </c>
      <c r="F370" t="s">
        <v>167</v>
      </c>
      <c r="G370" t="s">
        <v>557</v>
      </c>
    </row>
    <row r="371" spans="1:8" x14ac:dyDescent="0.2">
      <c r="A371" t="str">
        <f>INDEX('ei names mapping'!$B$4:$BL$33,MATCH(B$234,'ei names mapping'!$A$4:$A$33,0),MATCH(G371,'ei names mapping'!$B$3:$BL$3,0))</f>
        <v>Methyl ethyl ketone</v>
      </c>
      <c r="B371" s="7">
        <f>INDEX('vehicles specifications'!$B$3:$CW$166,MATCH(B$315,'vehicles specifications'!$A$3:$A$166,0),MATCH(G371,'vehicles specifications'!$B$2:$CW$2,0))*INDEX('ei names mapping'!$B$137:$BL$300,MATCH(B$315,'ei names mapping'!$A$137:$A$300,0),MATCH(G371,'ei names mapping'!$B$136:$BL$136,0))</f>
        <v>0</v>
      </c>
      <c r="D371" t="str">
        <f>INDEX('ei names mapping'!$B$104:$BL$133,MATCH(B$234,'ei names mapping'!$A$4:$A$33,0),MATCH(G371,'ei names mapping'!$B$3:$BL$3,0))</f>
        <v>kilogram</v>
      </c>
      <c r="E371" t="str">
        <f>INDEX('ei names mapping'!$B$305:$BL$335,MATCH(B$234,'ei names mapping'!$A$4:$A$33,0),MATCH(G371,'ei names mapping'!$B$3:$BL$3,0))</f>
        <v>air::urban air close to ground</v>
      </c>
      <c r="F371" t="s">
        <v>167</v>
      </c>
      <c r="G371" t="s">
        <v>560</v>
      </c>
    </row>
    <row r="372" spans="1:8" x14ac:dyDescent="0.2">
      <c r="A372" t="str">
        <f>INDEX('ei names mapping'!$B$4:$BL$33,MATCH(B$234,'ei names mapping'!$A$4:$A$33,0),MATCH(G372,'ei names mapping'!$B$3:$BL$3,0))</f>
        <v>Acrolein</v>
      </c>
      <c r="B372" s="7">
        <f>INDEX('vehicles specifications'!$B$3:$CW$166,MATCH(B$315,'vehicles specifications'!$A$3:$A$166,0),MATCH(G372,'vehicles specifications'!$B$2:$CW$2,0))*INDEX('ei names mapping'!$B$137:$BL$300,MATCH(B$315,'ei names mapping'!$A$137:$A$300,0),MATCH(G372,'ei names mapping'!$B$136:$BL$136,0))</f>
        <v>1.7495394008703853E-7</v>
      </c>
      <c r="D372" t="str">
        <f>INDEX('ei names mapping'!$B$104:$BL$133,MATCH(B$234,'ei names mapping'!$A$4:$A$33,0),MATCH(G372,'ei names mapping'!$B$3:$BL$3,0))</f>
        <v>kilogram</v>
      </c>
      <c r="E372" t="str">
        <f>INDEX('ei names mapping'!$B$305:$BL$335,MATCH(B$234,'ei names mapping'!$A$4:$A$33,0),MATCH(G372,'ei names mapping'!$B$3:$BL$3,0))</f>
        <v>air::urban air close to ground</v>
      </c>
      <c r="F372" t="s">
        <v>167</v>
      </c>
      <c r="G372" t="s">
        <v>558</v>
      </c>
    </row>
    <row r="373" spans="1:8" x14ac:dyDescent="0.2">
      <c r="A373" t="str">
        <f>INDEX('ei names mapping'!$B$4:$BL$33,MATCH(B$234,'ei names mapping'!$A$4:$A$33,0),MATCH(G373,'ei names mapping'!$B$3:$BL$3,0))</f>
        <v>Styrene</v>
      </c>
      <c r="B373" s="7">
        <f>INDEX('vehicles specifications'!$B$3:$CW$166,MATCH(B$315,'vehicles specifications'!$A$3:$A$166,0),MATCH(G373,'vehicles specifications'!$B$2:$CW$2,0))*INDEX('ei names mapping'!$B$137:$BL$300,MATCH(B$315,'ei names mapping'!$A$137:$A$300,0),MATCH(G373,'ei names mapping'!$B$136:$BL$136,0))</f>
        <v>9.3001831309425754E-7</v>
      </c>
      <c r="D373" t="str">
        <f>INDEX('ei names mapping'!$B$104:$BL$133,MATCH(B$234,'ei names mapping'!$A$4:$A$33,0),MATCH(G373,'ei names mapping'!$B$3:$BL$3,0))</f>
        <v>kilogram</v>
      </c>
      <c r="E373" t="str">
        <f>INDEX('ei names mapping'!$B$305:$BL$335,MATCH(B$234,'ei names mapping'!$A$4:$A$33,0),MATCH(G373,'ei names mapping'!$B$3:$BL$3,0))</f>
        <v>air::urban air close to ground</v>
      </c>
      <c r="F373" t="s">
        <v>167</v>
      </c>
      <c r="G373" t="s">
        <v>559</v>
      </c>
    </row>
    <row r="374" spans="1:8" x14ac:dyDescent="0.2">
      <c r="A374" t="str">
        <f>INDEX('ei names mapping'!$B$4:$BL$33,MATCH(B$234,'ei names mapping'!$A$4:$A$33,0),MATCH(G374,'ei names mapping'!$B$3:$BL$3,0))</f>
        <v>PAH, polycyclic aromatic hydrocarbons</v>
      </c>
      <c r="B374" s="7">
        <f>INDEX('vehicles specifications'!$B$3:$CW$166,MATCH(B$315,'vehicles specifications'!$A$3:$A$166,0),MATCH(G374,'vehicles specifications'!$B$2:$CW$2,0))*INDEX('ei names mapping'!$B$137:$BL$300,MATCH(B$315,'ei names mapping'!$A$137:$A$300,0),MATCH(G374,'ei names mapping'!$B$136:$BL$136,0))</f>
        <v>8.3186003463594531E-10</v>
      </c>
      <c r="D374" t="str">
        <f>INDEX('ei names mapping'!$B$104:$BL$133,MATCH(B$234,'ei names mapping'!$A$4:$A$33,0),MATCH(G374,'ei names mapping'!$B$3:$BL$3,0))</f>
        <v>kilogram</v>
      </c>
      <c r="E374" t="str">
        <f>INDEX('ei names mapping'!$B$305:$BL$335,MATCH(B$234,'ei names mapping'!$A$4:$A$33,0),MATCH(G374,'ei names mapping'!$B$3:$BL$3,0))</f>
        <v>air::urban air close to ground</v>
      </c>
      <c r="F374" t="s">
        <v>167</v>
      </c>
      <c r="G374" t="s">
        <v>561</v>
      </c>
    </row>
    <row r="375" spans="1:8" x14ac:dyDescent="0.2">
      <c r="A375" t="str">
        <f>INDEX('ei names mapping'!$B$4:$BL$33,MATCH(B$234,'ei names mapping'!$A$4:$A$33,0),MATCH(G375,'ei names mapping'!$B$3:$BL$3,0))</f>
        <v>Arsenic</v>
      </c>
      <c r="B375" s="7">
        <f>INDEX('vehicles specifications'!$B$3:$CW$166,MATCH(B$315,'vehicles specifications'!$A$3:$A$166,0),MATCH(G375,'vehicles specifications'!$B$2:$CW$2,0))*INDEX('ei names mapping'!$B$137:$BL$300,MATCH(B$315,'ei names mapping'!$A$137:$A$300,0),MATCH(G375,'ei names mapping'!$B$136:$BL$136,0))</f>
        <v>7.1712071951374601E-12</v>
      </c>
      <c r="D375" t="str">
        <f>INDEX('ei names mapping'!$B$104:$BL$133,MATCH(B$234,'ei names mapping'!$A$4:$A$33,0),MATCH(G375,'ei names mapping'!$B$3:$BL$3,0))</f>
        <v>kilogram</v>
      </c>
      <c r="E375" t="str">
        <f>INDEX('ei names mapping'!$B$305:$BL$335,MATCH(B$234,'ei names mapping'!$A$4:$A$33,0),MATCH(G375,'ei names mapping'!$B$3:$BL$3,0))</f>
        <v>air::urban air close to ground</v>
      </c>
      <c r="F375" t="s">
        <v>167</v>
      </c>
      <c r="G375" t="s">
        <v>562</v>
      </c>
    </row>
    <row r="376" spans="1:8" x14ac:dyDescent="0.2">
      <c r="A376" t="str">
        <f>INDEX('ei names mapping'!$B$4:$BL$33,MATCH(B$234,'ei names mapping'!$A$4:$A$33,0),MATCH(G376,'ei names mapping'!$B$3:$BL$3,0))</f>
        <v>Selenium</v>
      </c>
      <c r="B376" s="7">
        <f>INDEX('vehicles specifications'!$B$3:$CW$166,MATCH(B$315,'vehicles specifications'!$A$3:$A$166,0),MATCH(G376,'vehicles specifications'!$B$2:$CW$2,0))*INDEX('ei names mapping'!$B$137:$BL$300,MATCH(B$315,'ei names mapping'!$A$137:$A$300,0),MATCH(G376,'ei names mapping'!$B$136:$BL$136,0))</f>
        <v>4.7808047967583062E-12</v>
      </c>
      <c r="D376" t="str">
        <f>INDEX('ei names mapping'!$B$104:$BL$133,MATCH(B$234,'ei names mapping'!$A$4:$A$33,0),MATCH(G376,'ei names mapping'!$B$3:$BL$3,0))</f>
        <v>kilogram</v>
      </c>
      <c r="E376" t="str">
        <f>INDEX('ei names mapping'!$B$305:$BL$335,MATCH(B$234,'ei names mapping'!$A$4:$A$33,0),MATCH(G376,'ei names mapping'!$B$3:$BL$3,0))</f>
        <v>air::urban air close to ground</v>
      </c>
      <c r="F376" t="s">
        <v>167</v>
      </c>
      <c r="G376" t="s">
        <v>563</v>
      </c>
    </row>
    <row r="377" spans="1:8" x14ac:dyDescent="0.2">
      <c r="A377" t="str">
        <f>INDEX('ei names mapping'!$B$4:$BL$33,MATCH(B$234,'ei names mapping'!$A$4:$A$33,0),MATCH(G377,'ei names mapping'!$B$3:$BL$3,0))</f>
        <v>Zinc</v>
      </c>
      <c r="B377" s="7">
        <f>INDEX('vehicles specifications'!$B$3:$CW$166,MATCH(B$315,'vehicles specifications'!$A$3:$A$166,0),MATCH(G377,'vehicles specifications'!$B$2:$CW$2,0))*INDEX('ei names mapping'!$B$137:$BL$300,MATCH(B$315,'ei names mapping'!$A$137:$A$300,0),MATCH(G377,'ei names mapping'!$B$136:$BL$136,0))</f>
        <v>5.1632691804989713E-8</v>
      </c>
      <c r="D377" t="str">
        <f>INDEX('ei names mapping'!$B$104:$BL$133,MATCH(B$234,'ei names mapping'!$A$4:$A$33,0),MATCH(G377,'ei names mapping'!$B$3:$BL$3,0))</f>
        <v>kilogram</v>
      </c>
      <c r="E377" t="str">
        <f>INDEX('ei names mapping'!$B$305:$BL$335,MATCH(B$234,'ei names mapping'!$A$4:$A$33,0),MATCH(G377,'ei names mapping'!$B$3:$BL$3,0))</f>
        <v>air::urban air close to ground</v>
      </c>
      <c r="F377" t="s">
        <v>167</v>
      </c>
      <c r="G377" t="s">
        <v>564</v>
      </c>
    </row>
    <row r="378" spans="1:8" x14ac:dyDescent="0.2">
      <c r="A378" t="str">
        <f>INDEX('ei names mapping'!$B$4:$BL$33,MATCH(B$234,'ei names mapping'!$A$4:$A$33,0),MATCH(G378,'ei names mapping'!$B$3:$BL$3,0))</f>
        <v>Copper</v>
      </c>
      <c r="B378" s="7">
        <f>INDEX('vehicles specifications'!$B$3:$CW$166,MATCH(B$315,'vehicles specifications'!$A$3:$A$166,0),MATCH(G378,'vehicles specifications'!$B$2:$CW$2,0))*INDEX('ei names mapping'!$B$137:$BL$300,MATCH(B$315,'ei names mapping'!$A$137:$A$300,0),MATCH(G378,'ei names mapping'!$B$136:$BL$136,0))</f>
        <v>1.0039690073192443E-9</v>
      </c>
      <c r="D378" t="str">
        <f>INDEX('ei names mapping'!$B$104:$BL$133,MATCH(B$234,'ei names mapping'!$A$4:$A$33,0),MATCH(G378,'ei names mapping'!$B$3:$BL$3,0))</f>
        <v>kilogram</v>
      </c>
      <c r="E378" t="str">
        <f>INDEX('ei names mapping'!$B$305:$BL$335,MATCH(B$234,'ei names mapping'!$A$4:$A$33,0),MATCH(G378,'ei names mapping'!$B$3:$BL$3,0))</f>
        <v>air::urban air close to ground</v>
      </c>
      <c r="F378" t="s">
        <v>167</v>
      </c>
      <c r="G378" t="s">
        <v>522</v>
      </c>
    </row>
    <row r="379" spans="1:8" x14ac:dyDescent="0.2">
      <c r="A379" t="str">
        <f>INDEX('ei names mapping'!$B$4:$BL$33,MATCH(B$234,'ei names mapping'!$A$4:$A$33,0),MATCH(G379,'ei names mapping'!$B$3:$BL$3,0))</f>
        <v>Nickel</v>
      </c>
      <c r="B379" s="7">
        <f>INDEX('vehicles specifications'!$B$3:$CW$166,MATCH(B$315,'vehicles specifications'!$A$3:$A$166,0),MATCH(G379,'vehicles specifications'!$B$2:$CW$2,0))*INDEX('ei names mapping'!$B$137:$BL$300,MATCH(B$315,'ei names mapping'!$A$137:$A$300,0),MATCH(G379,'ei names mapping'!$B$136:$BL$136,0))</f>
        <v>3.1075231178928993E-10</v>
      </c>
      <c r="D379" t="str">
        <f>INDEX('ei names mapping'!$B$104:$BL$133,MATCH(B$234,'ei names mapping'!$A$4:$A$33,0),MATCH(G379,'ei names mapping'!$B$3:$BL$3,0))</f>
        <v>kilogram</v>
      </c>
      <c r="E379" t="str">
        <f>INDEX('ei names mapping'!$B$305:$BL$335,MATCH(B$234,'ei names mapping'!$A$4:$A$33,0),MATCH(G379,'ei names mapping'!$B$3:$BL$3,0))</f>
        <v>air::urban air close to ground</v>
      </c>
      <c r="F379" t="s">
        <v>167</v>
      </c>
      <c r="G379" t="s">
        <v>524</v>
      </c>
    </row>
    <row r="380" spans="1:8" x14ac:dyDescent="0.2">
      <c r="A380" t="str">
        <f>INDEX('ei names mapping'!$B$4:$BL$33,MATCH(B$234,'ei names mapping'!$A$4:$A$33,0),MATCH(G380,'ei names mapping'!$B$3:$BL$3,0))</f>
        <v>Chromium</v>
      </c>
      <c r="B380" s="7">
        <f>INDEX('vehicles specifications'!$B$3:$CW$166,MATCH(B$315,'vehicles specifications'!$A$3:$A$166,0),MATCH(G380,'vehicles specifications'!$B$2:$CW$2,0))*INDEX('ei names mapping'!$B$137:$BL$300,MATCH(B$315,'ei names mapping'!$A$137:$A$300,0),MATCH(G380,'ei names mapping'!$B$136:$BL$136,0))</f>
        <v>3.8246438374066455E-10</v>
      </c>
      <c r="D380" t="str">
        <f>INDEX('ei names mapping'!$B$104:$BL$133,MATCH(B$234,'ei names mapping'!$A$4:$A$33,0),MATCH(G380,'ei names mapping'!$B$3:$BL$3,0))</f>
        <v>kilogram</v>
      </c>
      <c r="E380" t="str">
        <f>INDEX('ei names mapping'!$B$305:$BL$335,MATCH(B$234,'ei names mapping'!$A$4:$A$33,0),MATCH(G380,'ei names mapping'!$B$3:$BL$3,0))</f>
        <v>air::urban air close to ground</v>
      </c>
      <c r="F380" t="s">
        <v>167</v>
      </c>
      <c r="G380" t="s">
        <v>523</v>
      </c>
    </row>
    <row r="381" spans="1:8" x14ac:dyDescent="0.2">
      <c r="A381" t="str">
        <f>INDEX('ei names mapping'!$B$4:$BL$33,MATCH(B$234,'ei names mapping'!$A$4:$A$33,0),MATCH(G381,'ei names mapping'!$B$3:$BL$3,0))</f>
        <v>Chromium VI</v>
      </c>
      <c r="B381" s="7">
        <f>INDEX('vehicles specifications'!$B$3:$CW$166,MATCH(B$315,'vehicles specifications'!$A$3:$A$166,0),MATCH(G381,'vehicles specifications'!$B$2:$CW$2,0))*INDEX('ei names mapping'!$B$137:$BL$300,MATCH(B$315,'ei names mapping'!$A$137:$A$300,0),MATCH(G381,'ei names mapping'!$B$136:$BL$136,0))</f>
        <v>7.6492876748132895E-13</v>
      </c>
      <c r="D381" t="str">
        <f>INDEX('ei names mapping'!$B$104:$BL$133,MATCH(B$234,'ei names mapping'!$A$4:$A$33,0),MATCH(G381,'ei names mapping'!$B$3:$BL$3,0))</f>
        <v>kilogram</v>
      </c>
      <c r="E381" t="str">
        <f>INDEX('ei names mapping'!$B$305:$BL$335,MATCH(B$234,'ei names mapping'!$A$4:$A$33,0),MATCH(G381,'ei names mapping'!$B$3:$BL$3,0))</f>
        <v>air::urban air close to ground</v>
      </c>
      <c r="F381" t="s">
        <v>167</v>
      </c>
      <c r="G381" t="s">
        <v>567</v>
      </c>
    </row>
    <row r="382" spans="1:8" x14ac:dyDescent="0.2">
      <c r="A382" t="str">
        <f>INDEX('ei names mapping'!$B$4:$BL$33,MATCH(B$234,'ei names mapping'!$A$4:$A$33,0),MATCH(G382,'ei names mapping'!$B$3:$BL$3,0))</f>
        <v>Mercury</v>
      </c>
      <c r="B382" s="7">
        <f>INDEX('vehicles specifications'!$B$3:$CW$166,MATCH(B$315,'vehicles specifications'!$A$3:$A$166,0),MATCH(G382,'vehicles specifications'!$B$2:$CW$2,0))*INDEX('ei names mapping'!$B$137:$BL$300,MATCH(B$315,'ei names mapping'!$A$137:$A$300,0),MATCH(G382,'ei names mapping'!$B$136:$BL$136,0))</f>
        <v>2.0796500865898633E-10</v>
      </c>
      <c r="D382" t="str">
        <f>INDEX('ei names mapping'!$B$104:$BL$133,MATCH(B$234,'ei names mapping'!$A$4:$A$33,0),MATCH(G382,'ei names mapping'!$B$3:$BL$3,0))</f>
        <v>kilogram</v>
      </c>
      <c r="E382" t="str">
        <f>INDEX('ei names mapping'!$B$305:$BL$335,MATCH(B$234,'ei names mapping'!$A$4:$A$33,0),MATCH(G382,'ei names mapping'!$B$3:$BL$3,0))</f>
        <v>air::urban air close to ground</v>
      </c>
      <c r="F382" t="s">
        <v>167</v>
      </c>
      <c r="G382" t="s">
        <v>565</v>
      </c>
    </row>
    <row r="383" spans="1:8" x14ac:dyDescent="0.2">
      <c r="A383" t="str">
        <f>INDEX('ei names mapping'!$B$4:$BL$33,MATCH(B$234,'ei names mapping'!$A$4:$A$33,0),MATCH(G383,'ei names mapping'!$B$3:$BL$3,0))</f>
        <v>Cadmium</v>
      </c>
      <c r="B383" s="7">
        <f>INDEX('vehicles specifications'!$B$3:$CW$166,MATCH(B$315,'vehicles specifications'!$A$3:$A$166,0),MATCH(G383,'vehicles specifications'!$B$2:$CW$2,0))*INDEX('ei names mapping'!$B$137:$BL$300,MATCH(B$315,'ei names mapping'!$A$137:$A$300,0),MATCH(G383,'ei names mapping'!$B$136:$BL$136,0))</f>
        <v>2.5816345902494862E-10</v>
      </c>
      <c r="D383" t="str">
        <f>INDEX('ei names mapping'!$B$104:$BL$133,MATCH(B$234,'ei names mapping'!$A$4:$A$33,0),MATCH(G383,'ei names mapping'!$B$3:$BL$3,0))</f>
        <v>kilogram</v>
      </c>
      <c r="E383" t="str">
        <f>INDEX('ei names mapping'!$B$305:$BL$335,MATCH(B$234,'ei names mapping'!$A$4:$A$33,0),MATCH(G383,'ei names mapping'!$B$3:$BL$3,0))</f>
        <v>air::urban air close to ground</v>
      </c>
      <c r="F383" t="s">
        <v>167</v>
      </c>
      <c r="G383" t="s">
        <v>566</v>
      </c>
    </row>
    <row r="384" spans="1:8" x14ac:dyDescent="0.2">
      <c r="A384" t="str">
        <f>INDEX('ei names mapping'!$B$4:$BL$33,MATCH(B312,'ei names mapping'!$A$4:$A$33,0),MATCH(G384,'ei names mapping'!$B$3:$BL$3,0))</f>
        <v>treatment of road wear emissions, passenger car</v>
      </c>
      <c r="B384" s="7">
        <f>INDEX('vehicles specifications'!$B$3:$CW$166,MATCH(B315,'vehicles specifications'!$A$3:$A$166,0),MATCH(G384,'vehicles specifications'!$B$2:$CW$2,0))*INDEX('ei names mapping'!$B$137:$BL$300,MATCH(B315,'ei names mapping'!$A$137:$A$300,0),MATCH(G384,'ei names mapping'!$B$136:$BL$136,0))</f>
        <v>-7.5385511472227333E-6</v>
      </c>
      <c r="C384" t="str">
        <f>INDEX('ei names mapping'!$B$38:$BL$67,MATCH(B312,'ei names mapping'!$A$4:$A$33,0),MATCH(G384,'ei names mapping'!$B$3:$BL$3,0))</f>
        <v>RER</v>
      </c>
      <c r="D384" t="str">
        <f>INDEX('ei names mapping'!$B$104:$BL$133,MATCH(B312,'ei names mapping'!$A$4:$A$33,0),MATCH(G384,'ei names mapping'!$B$3:$BL$3,0))</f>
        <v>kilogram</v>
      </c>
      <c r="F384" t="s">
        <v>89</v>
      </c>
      <c r="G384" t="s">
        <v>29</v>
      </c>
      <c r="H384" t="str">
        <f>INDEX('ei names mapping'!$B$71:$BL$100,MATCH(B312,'ei names mapping'!$A$4:$A$33,0),MATCH(G384,'ei names mapping'!$B$3:$BL$3,0))</f>
        <v>road wear emissions, passenger car</v>
      </c>
    </row>
    <row r="385" spans="1:8" x14ac:dyDescent="0.2">
      <c r="A385" t="str">
        <f>INDEX('ei names mapping'!$B$4:$BL$33,MATCH(B312,'ei names mapping'!$A$4:$A$33,0),MATCH(G385,'ei names mapping'!$B$3:$BL$3,0))</f>
        <v>treatment of tyre wear emissions, passenger car</v>
      </c>
      <c r="B385" s="7">
        <f>INDEX('vehicles specifications'!$B$3:$CW$166,MATCH(B315,'vehicles specifications'!$A$3:$A$166,0),MATCH(G385,'vehicles specifications'!$B$2:$CW$2,0))*INDEX('ei names mapping'!$B$137:$BL$300,MATCH(B315,'ei names mapping'!$A$137:$A$300,0),MATCH(G385,'ei names mapping'!$B$136:$BL$136,0))</f>
        <v>-5.7454099761314755E-6</v>
      </c>
      <c r="C385" t="str">
        <f>INDEX('ei names mapping'!$B$38:$BL$67,MATCH(B312,'ei names mapping'!$A$4:$A$33,0),MATCH(G385,'ei names mapping'!$B$3:$BL$3,0))</f>
        <v>RER</v>
      </c>
      <c r="D385" t="str">
        <f>INDEX('ei names mapping'!$B$104:$BL$133,MATCH(B312,'ei names mapping'!$A$4:$A$33,0),MATCH(G385,'ei names mapping'!$B$3:$BL$3,0))</f>
        <v>kilogram</v>
      </c>
      <c r="F385" t="s">
        <v>89</v>
      </c>
      <c r="G385" t="s">
        <v>30</v>
      </c>
      <c r="H385" t="str">
        <f>INDEX('ei names mapping'!$B$71:$BL$100,MATCH(B312,'ei names mapping'!$A$4:$A$33,0),MATCH(G385,'ei names mapping'!$B$3:$BL$3,0))</f>
        <v>tyre wear emissions, passenger car</v>
      </c>
    </row>
    <row r="386" spans="1:8" x14ac:dyDescent="0.2">
      <c r="A386" t="str">
        <f>INDEX('ei names mapping'!$B$4:$BL$33,MATCH(B312,'ei names mapping'!$A$4:$A$33,0),MATCH(G386,'ei names mapping'!$B$3:$BL$3,0))</f>
        <v>treatment of brake wear emissions, passenger car</v>
      </c>
      <c r="B386" s="7">
        <f>INDEX('vehicles specifications'!$B$3:$CW$166,MATCH(B315,'vehicles specifications'!$A$3:$A$166,0),MATCH(G386,'vehicles specifications'!$B$2:$CW$2,0))*INDEX('ei names mapping'!$B$137:$BL$300,MATCH(B315,'ei names mapping'!$A$137:$A$300,0),MATCH(G386,'ei names mapping'!$B$136:$BL$136,0))</f>
        <v>-4.1119376024139909E-6</v>
      </c>
      <c r="C386" t="str">
        <f>INDEX('ei names mapping'!$B$38:$BL$67,MATCH(B312,'ei names mapping'!$A$4:$A$33,0),MATCH(G386,'ei names mapping'!$B$3:$BL$3,0))</f>
        <v>RER</v>
      </c>
      <c r="D386" t="str">
        <f>INDEX('ei names mapping'!$B$104:$BL$133,MATCH(B312,'ei names mapping'!$A$4:$A$33,0),MATCH(G386,'ei names mapping'!$B$3:$BL$3,0))</f>
        <v>kilogram</v>
      </c>
      <c r="F386" t="s">
        <v>89</v>
      </c>
      <c r="G386" t="s">
        <v>31</v>
      </c>
      <c r="H386" t="str">
        <f>INDEX('ei names mapping'!$B$71:$BL$100,MATCH(B312,'ei names mapping'!$A$4:$A$33,0),MATCH(G386,'ei names mapping'!$B$3:$BL$3,0))</f>
        <v>brake wear emissions, passenger car</v>
      </c>
    </row>
    <row r="388" spans="1:8" ht="16" x14ac:dyDescent="0.2">
      <c r="A388" s="10" t="s">
        <v>71</v>
      </c>
      <c r="B388" s="8" t="str">
        <f>"transport, "&amp;B390&amp;", "&amp;B392</f>
        <v>transport, Motorbike, gasoline, 4-11kW, EURO-5, 2020</v>
      </c>
    </row>
    <row r="389" spans="1:8" x14ac:dyDescent="0.2">
      <c r="A389" t="s">
        <v>72</v>
      </c>
      <c r="B389" t="s">
        <v>37</v>
      </c>
    </row>
    <row r="390" spans="1:8" x14ac:dyDescent="0.2">
      <c r="A390" t="s">
        <v>86</v>
      </c>
      <c r="B390" t="s">
        <v>640</v>
      </c>
    </row>
    <row r="391" spans="1:8" x14ac:dyDescent="0.2">
      <c r="A391" t="s">
        <v>87</v>
      </c>
    </row>
    <row r="392" spans="1:8" x14ac:dyDescent="0.2">
      <c r="A392" t="s">
        <v>88</v>
      </c>
      <c r="B392">
        <v>2020</v>
      </c>
    </row>
    <row r="393" spans="1:8" x14ac:dyDescent="0.2">
      <c r="A393" t="s">
        <v>126</v>
      </c>
      <c r="B393" t="str">
        <f>B390&amp;" - "&amp;B392&amp;" - "&amp;B389</f>
        <v>Motorbike, gasoline, 4-11kW, EURO-5 - 2020 - CH</v>
      </c>
    </row>
    <row r="394" spans="1:8" x14ac:dyDescent="0.2">
      <c r="A394" t="s">
        <v>73</v>
      </c>
      <c r="B394" t="str">
        <f>"transport, "&amp;B390</f>
        <v>transport, Motorbike, gasoline, 4-11kW, EURO-5</v>
      </c>
    </row>
    <row r="395" spans="1:8" x14ac:dyDescent="0.2">
      <c r="A395" t="s">
        <v>74</v>
      </c>
      <c r="B395" t="s">
        <v>75</v>
      </c>
    </row>
    <row r="396" spans="1:8" x14ac:dyDescent="0.2">
      <c r="A396" t="s">
        <v>76</v>
      </c>
      <c r="B396" t="s">
        <v>166</v>
      </c>
    </row>
    <row r="397" spans="1:8" x14ac:dyDescent="0.2">
      <c r="A397" t="s">
        <v>78</v>
      </c>
      <c r="B397" t="s">
        <v>1143</v>
      </c>
    </row>
    <row r="398" spans="1:8" x14ac:dyDescent="0.2">
      <c r="A398" t="s">
        <v>127</v>
      </c>
      <c r="B398">
        <f>INDEX('vehicles specifications'!$B$3:$CW$166,MATCH(B393,'vehicles specifications'!$A$3:$A$166,0),MATCH("Lifetime [km]",'vehicles specifications'!$B$2:$CW$2,0))</f>
        <v>25000</v>
      </c>
    </row>
    <row r="399" spans="1:8" x14ac:dyDescent="0.2">
      <c r="A399" t="s">
        <v>128</v>
      </c>
      <c r="B399">
        <f>INDEX('vehicles specifications'!$B$3:$CW$166,MATCH(B393,'vehicles specifications'!$A$3:$A$166,0),MATCH("Passengers [unit]",'vehicles specifications'!$B$2:$CW$2,0))</f>
        <v>1.1000000000000001</v>
      </c>
    </row>
    <row r="400" spans="1:8" x14ac:dyDescent="0.2">
      <c r="A400" t="s">
        <v>129</v>
      </c>
      <c r="B400">
        <f>INDEX('vehicles specifications'!$B$3:$CW$166,MATCH(B393,'vehicles specifications'!$A$3:$A$166,0),MATCH("Servicing [unit]",'vehicles specifications'!$B$2:$CW$2,0))</f>
        <v>1</v>
      </c>
    </row>
    <row r="401" spans="1:8" x14ac:dyDescent="0.2">
      <c r="A401" t="s">
        <v>130</v>
      </c>
      <c r="B401">
        <f>INDEX('vehicles specifications'!$B$3:$CW$166,MATCH(B393,'vehicles specifications'!$A$3:$A$166,0),MATCH("Energy battery replacement [unit]",'vehicles specifications'!$B$2:$CW$2,0))</f>
        <v>0</v>
      </c>
    </row>
    <row r="402" spans="1:8" x14ac:dyDescent="0.2">
      <c r="A402" t="s">
        <v>131</v>
      </c>
      <c r="B402">
        <f>INDEX('vehicles specifications'!$B$3:$CW$166,MATCH(B393,'vehicles specifications'!$A$3:$A$166,0),MATCH("Annual kilometers [km]",'vehicles specifications'!$B$2:$CW$2,0))</f>
        <v>1776</v>
      </c>
    </row>
    <row r="403" spans="1:8" x14ac:dyDescent="0.2">
      <c r="A403" t="s">
        <v>132</v>
      </c>
      <c r="B403" s="2">
        <f>INDEX('vehicles specifications'!$B$3:$CW$166,MATCH(B393,'vehicles specifications'!$A$3:$A$166,0),MATCH("Curb mass [kg]",'vehicles specifications'!$B$2:$CW$2,0))</f>
        <v>119.00000583255843</v>
      </c>
    </row>
    <row r="404" spans="1:8" x14ac:dyDescent="0.2">
      <c r="A404" t="s">
        <v>133</v>
      </c>
      <c r="B404">
        <f>INDEX('vehicles specifications'!$B$3:$CW$166,MATCH(B393,'vehicles specifications'!$A$3:$A$166,0),MATCH("Power [kW]",'vehicles specifications'!$B$2:$CW$2,0))</f>
        <v>9</v>
      </c>
    </row>
    <row r="405" spans="1:8" x14ac:dyDescent="0.2">
      <c r="A405" t="s">
        <v>134</v>
      </c>
      <c r="B405" t="str">
        <f>INDEX('vehicles specifications'!$B$3:$CW$166,MATCH(B393,'vehicles specifications'!$A$3:$A$166,0),MATCH("Energy battery mass [kg]",'vehicles specifications'!$B$2:$CW$2,0))</f>
        <v/>
      </c>
    </row>
    <row r="406" spans="1:8" x14ac:dyDescent="0.2">
      <c r="A406" t="s">
        <v>135</v>
      </c>
      <c r="B406">
        <f>INDEX('vehicles specifications'!$B$3:$CW$166,MATCH(B393,'vehicles specifications'!$A$3:$A$166,0),MATCH("Electric energy available [kWh]",'vehicles specifications'!$B$2:$CW$2,0))</f>
        <v>0</v>
      </c>
    </row>
    <row r="407" spans="1:8" x14ac:dyDescent="0.2">
      <c r="A407" t="s">
        <v>138</v>
      </c>
      <c r="B407" s="2">
        <f>INDEX('vehicles specifications'!$B$3:$CW$166,MATCH(B393,'vehicles specifications'!$A$3:$A$166,0),MATCH("Oxydation energy stored [kWh]",'vehicles specifications'!$B$2:$CW$2,0))</f>
        <v>79.875</v>
      </c>
    </row>
    <row r="408" spans="1:8" x14ac:dyDescent="0.2">
      <c r="A408" t="s">
        <v>139</v>
      </c>
      <c r="B408">
        <f>INDEX('vehicles specifications'!$B$3:$CW$166,MATCH(B393,'vehicles specifications'!$A$3:$A$166,0),MATCH("Fuel mass [kg]",'vehicles specifications'!$B$2:$CW$2,0))</f>
        <v>6.75</v>
      </c>
    </row>
    <row r="409" spans="1:8" x14ac:dyDescent="0.2">
      <c r="A409" t="s">
        <v>136</v>
      </c>
      <c r="B409" s="2">
        <f>INDEX('vehicles specifications'!$B$3:$CW$166,MATCH(B393,'vehicles specifications'!$A$3:$A$166,0),MATCH("Range [km]",'vehicles specifications'!$B$2:$CW$2,0))</f>
        <v>285.90268331242163</v>
      </c>
    </row>
    <row r="410" spans="1:8" x14ac:dyDescent="0.2">
      <c r="A410" t="s">
        <v>137</v>
      </c>
      <c r="B410" t="str">
        <f>INDEX('vehicles specifications'!$B$3:$CW$166,MATCH(B393,'vehicles specifications'!$A$3:$A$166,0),MATCH("Emission standard",'vehicles specifications'!$B$2:$CW$2,0))</f>
        <v>EURO-5</v>
      </c>
    </row>
    <row r="411" spans="1:8" x14ac:dyDescent="0.2">
      <c r="A411" t="s">
        <v>1174</v>
      </c>
      <c r="B411" s="6">
        <f>INDEX('vehicles specifications'!$B$3:$CW$166,MATCH(B393,'vehicles specifications'!$A$3:$A$166,0),MATCH("Lightweighting rate [%]",'vehicles specifications'!$B$2:$CW$2,0))</f>
        <v>0</v>
      </c>
    </row>
    <row r="412" spans="1:8" x14ac:dyDescent="0.2">
      <c r="A412" t="s">
        <v>83</v>
      </c>
      <c r="B412"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v>
      </c>
    </row>
    <row r="413" spans="1:8" ht="16" x14ac:dyDescent="0.2">
      <c r="A413" s="10" t="s">
        <v>79</v>
      </c>
    </row>
    <row r="414" spans="1:8" x14ac:dyDescent="0.2">
      <c r="A414" t="s">
        <v>80</v>
      </c>
      <c r="B414" t="s">
        <v>81</v>
      </c>
      <c r="C414" t="s">
        <v>72</v>
      </c>
      <c r="D414" t="s">
        <v>76</v>
      </c>
      <c r="E414" t="s">
        <v>82</v>
      </c>
      <c r="F414" t="s">
        <v>74</v>
      </c>
      <c r="G414" t="s">
        <v>83</v>
      </c>
      <c r="H414" t="s">
        <v>73</v>
      </c>
    </row>
    <row r="415" spans="1:8" x14ac:dyDescent="0.2">
      <c r="A415" t="str">
        <f>B388</f>
        <v>transport, Motorbike, gasoline, 4-11kW, EURO-5, 2020</v>
      </c>
      <c r="B415">
        <v>1</v>
      </c>
      <c r="C415" t="str">
        <f>B389</f>
        <v>CH</v>
      </c>
      <c r="D415" t="s">
        <v>166</v>
      </c>
      <c r="F415" t="s">
        <v>84</v>
      </c>
      <c r="G415" t="s">
        <v>85</v>
      </c>
      <c r="H415" t="str">
        <f>B394</f>
        <v>transport, Motorbike, gasoline, 4-11kW, EURO-5</v>
      </c>
    </row>
    <row r="416" spans="1:8" x14ac:dyDescent="0.2">
      <c r="A416" t="str">
        <f>RIGHT(A415,LEN(A415)-11)</f>
        <v>Motorbike, gasoline, 4-11kW, EURO-5, 2020</v>
      </c>
      <c r="B416" s="7">
        <f>1/B398</f>
        <v>4.0000000000000003E-5</v>
      </c>
      <c r="C416" t="str">
        <f>B389</f>
        <v>CH</v>
      </c>
      <c r="D416" t="s">
        <v>76</v>
      </c>
      <c r="F416" t="s">
        <v>89</v>
      </c>
      <c r="H416" t="str">
        <f>RIGHT(H415,LEN(H415)-11)</f>
        <v>Motorbike, gasoline, 4-11kW, EURO-5</v>
      </c>
    </row>
    <row r="417" spans="1:8" x14ac:dyDescent="0.2">
      <c r="A417" t="str">
        <f>INDEX('ei names mapping'!$B$4:$R$33,MATCH(B390,'ei names mapping'!$A$4:$A$33,0),MATCH(G417,'ei names mapping'!$B$3:$R$3,0))</f>
        <v>road construction</v>
      </c>
      <c r="B417" s="7">
        <f>INDEX('vehicles specifications'!$B$3:$CW$166,MATCH(B393,'vehicles specifications'!$A$3:$A$166,0),MATCH(G417,'vehicles specifications'!$B$2:$CW$2,0))*INDEX('ei names mapping'!$B$137:$BL$300,MATCH(B393,'ei names mapping'!$A$137:$A$300,0),MATCH(G417,'ei names mapping'!$B$136:$BL$136,0))</f>
        <v>1.1142750313208388E-4</v>
      </c>
      <c r="C417" t="str">
        <f>INDEX('ei names mapping'!$B$38:$R$67,MATCH(B390,'ei names mapping'!$A$4:$A$33,0),MATCH(G417,'ei names mapping'!$B$3:$R$3,0))</f>
        <v>CH</v>
      </c>
      <c r="D417" t="str">
        <f>INDEX('ei names mapping'!$B$104:$BL$133,MATCH(B390,'ei names mapping'!$A$4:$A$33,0),MATCH(G417,'ei names mapping'!$B$3:$BL$3,0))</f>
        <v>meter-year</v>
      </c>
      <c r="F417" t="s">
        <v>89</v>
      </c>
      <c r="G417" t="s">
        <v>105</v>
      </c>
      <c r="H417" t="str">
        <f>INDEX('ei names mapping'!$B$71:$BL$100,MATCH(B390,'ei names mapping'!$A$4:$A$33,0),MATCH(G417,'ei names mapping'!$B$3:$BL$3,0))</f>
        <v>road</v>
      </c>
    </row>
    <row r="418" spans="1:8" x14ac:dyDescent="0.2">
      <c r="A418" t="str">
        <f>INDEX('ei names mapping'!$B$4:$R$33,MATCH(B390,'ei names mapping'!$A$4:$A$33,0),MATCH(G418,'ei names mapping'!$B$3:$R$3,0))</f>
        <v>road maintenance</v>
      </c>
      <c r="B418" s="7">
        <f>INDEX('vehicles specifications'!$B$3:$CW$166,MATCH(B393,'vehicles specifications'!$A$3:$A$166,0),MATCH(G418,'vehicles specifications'!$B$2:$CW$2,0))*INDEX('ei names mapping'!$B$137:$BL$300,MATCH(B393,'ei names mapping'!$A$137:$A$300,0),MATCH(G418,'ei names mapping'!$B$136:$BL$136,0))</f>
        <v>1.2899999999999999E-3</v>
      </c>
      <c r="C418" t="str">
        <f>INDEX('ei names mapping'!$B$38:$R$67,MATCH(B390,'ei names mapping'!$A$4:$A$33,0),MATCH(G418,'ei names mapping'!$B$3:$R$3,0))</f>
        <v>CH</v>
      </c>
      <c r="D418" t="str">
        <f>INDEX('ei names mapping'!$B$104:$BL$133,MATCH(B390,'ei names mapping'!$A$4:$A$33,0),MATCH(G418,'ei names mapping'!$B$3:$BL$3,0))</f>
        <v>meter-year</v>
      </c>
      <c r="F418" t="s">
        <v>89</v>
      </c>
      <c r="G418" t="s">
        <v>112</v>
      </c>
      <c r="H418" t="str">
        <f>INDEX('ei names mapping'!$B$71:$BL$100,MATCH(B390,'ei names mapping'!$A$4:$A$33,0),MATCH(G418,'ei names mapping'!$B$3:$BL$3,0))</f>
        <v>road maintenance</v>
      </c>
    </row>
    <row r="419" spans="1:8" x14ac:dyDescent="0.2">
      <c r="A419" t="str">
        <f>INDEX('ei names mapping'!$B$4:$R$33,MATCH(B390,'ei names mapping'!$A$4:$A$33,0),MATCH(G419,'ei names mapping'!$B$3:$R$3,0))</f>
        <v>maintenance, motor scooter</v>
      </c>
      <c r="B419" s="7">
        <f>INDEX('vehicles specifications'!$B$3:$CW$166,MATCH(B393,'vehicles specifications'!$A$3:$A$166,0),MATCH(G419,'vehicles specifications'!$B$2:$CW$2,0))*INDEX('ei names mapping'!$B$137:$BL$300,MATCH(B393,'ei names mapping'!$A$137:$A$300,0),MATCH(G419,'ei names mapping'!$B$136:$BL$136,0))</f>
        <v>4.0000000000000003E-5</v>
      </c>
      <c r="C419" t="str">
        <f>INDEX('ei names mapping'!$B$38:$BL$67,MATCH(B390,'ei names mapping'!$A$4:$A$33,0),MATCH(G419,'ei names mapping'!$B$3:$BL$3,0))</f>
        <v>CH</v>
      </c>
      <c r="D419" t="str">
        <f>INDEX('ei names mapping'!$B$104:$BL$133,MATCH(B390,'ei names mapping'!$A$4:$A$33,0),MATCH(G419,'ei names mapping'!$B$3:$BL$3,0))</f>
        <v>unit</v>
      </c>
      <c r="F419" t="s">
        <v>89</v>
      </c>
      <c r="G419" t="s">
        <v>118</v>
      </c>
      <c r="H419" t="str">
        <f>INDEX('ei names mapping'!$B$71:$BL$100,MATCH(B390,'ei names mapping'!$A$4:$A$33,0),MATCH(G419,'ei names mapping'!$B$3:$BL$3,0))</f>
        <v>maintenance, motor scooter</v>
      </c>
    </row>
    <row r="420" spans="1:8" x14ac:dyDescent="0.2">
      <c r="A420" t="str">
        <f>INDEX('ei names mapping'!$B$4:$R$33,MATCH(B390,'ei names mapping'!$A$4:$A$33,0),MATCH(G420,'ei names mapping'!$B$3:$R$3,0))</f>
        <v>fuel supply for gasoline vehicles</v>
      </c>
      <c r="B420" s="7">
        <f>INDEX('vehicles specifications'!$B$3:$CW$166,MATCH(B393,'vehicles specifications'!$A$3:$A$166,0),MATCH(G420,'vehicles specifications'!$B$2:$CW$2,0))*INDEX('ei names mapping'!$B$137:$BL$300,MATCH(B393,'ei names mapping'!$A$137:$A$300,0),MATCH(G420,'ei names mapping'!$B$136:$BL$136,0))</f>
        <v>2.3609432138920861E-2</v>
      </c>
      <c r="C420" t="str">
        <f>INDEX('ei names mapping'!$B$38:$BL$67,MATCH(B390,'ei names mapping'!$A$4:$A$33,0),MATCH(G420,'ei names mapping'!$B$3:$BL$3,0))</f>
        <v>CH</v>
      </c>
      <c r="D420" t="str">
        <f>INDEX('ei names mapping'!$B$104:$BL$133,MATCH(B390,'ei names mapping'!$A$4:$A$33,0),MATCH(G420,'ei names mapping'!$B$3:$BL$3,0))</f>
        <v>kilogram</v>
      </c>
      <c r="F420" t="s">
        <v>89</v>
      </c>
      <c r="G420" t="s">
        <v>27</v>
      </c>
      <c r="H420" t="str">
        <f>INDEX('ei names mapping'!$B$71:$BL$100,MATCH(B390,'ei names mapping'!$A$4:$A$33,0),MATCH(G420,'ei names mapping'!$B$3:$BL$3,0))</f>
        <v>gasoline blend</v>
      </c>
    </row>
    <row r="421" spans="1:8" x14ac:dyDescent="0.2">
      <c r="A421" t="str">
        <f>INDEX('ei names mapping'!$B$4:$BL$33,MATCH(B390,'ei names mapping'!$A$4:$A$33,0),MATCH(G421,'ei names mapping'!$B$3:$BL$3,0))</f>
        <v>Carbon dioxide, fossil</v>
      </c>
      <c r="B421" s="11">
        <f>INDEX('vehicles specifications'!$B$3:$CW$166,MATCH(B393,'vehicles specifications'!$A$3:$A$166,0),MATCH(G421,'vehicles specifications'!$B$2:$CW$2,0))*INDEX('ei names mapping'!$B$137:$BL$300,MATCH(B393,'ei names mapping'!$A$137:$A$300,0),MATCH(G421,'ei names mapping'!$B$136:$BL$136,0))</f>
        <v>7.3244013513216966E-2</v>
      </c>
      <c r="D421" t="str">
        <f>INDEX('ei names mapping'!$B$104:$BL$133,MATCH(B390,'ei names mapping'!$A$4:$A$33,0),MATCH(G421,'ei names mapping'!$B$3:$BL$3,0))</f>
        <v>kilogram</v>
      </c>
      <c r="E421" t="str">
        <f>INDEX('ei names mapping'!$B$305:$BL$335,MATCH(B390,'ei names mapping'!$A$4:$A$33,0),MATCH(G421,'ei names mapping'!$B$3:$BL$3,0))</f>
        <v>air::urban air close to ground</v>
      </c>
      <c r="F421" t="s">
        <v>167</v>
      </c>
      <c r="G421" t="s">
        <v>66</v>
      </c>
    </row>
    <row r="422" spans="1:8" x14ac:dyDescent="0.2">
      <c r="A422" t="str">
        <f>INDEX('ei names mapping'!$B$4:$BL$33,MATCH(B390,'ei names mapping'!$A$4:$A$33,0),MATCH(G422,'ei names mapping'!$B$3:$BL$3,0))</f>
        <v>Carbon dioxide, from soil or biomass stock</v>
      </c>
      <c r="B422" s="11">
        <f>INDEX('vehicles specifications'!$B$3:$CW$166,MATCH(B393,'vehicles specifications'!$A$3:$A$166,0),MATCH(G422,'vehicles specifications'!$B$2:$CW$2,0))*INDEX('ei names mapping'!$B$137:$BL$300,MATCH(B393,'ei names mapping'!$A$137:$A$300,0),MATCH(G422,'ei names mapping'!$B$136:$BL$136,0))</f>
        <v>8.8960340299453812E-4</v>
      </c>
      <c r="D422" t="str">
        <f>INDEX('ei names mapping'!$B$104:$BL$133,MATCH(B390,'ei names mapping'!$A$4:$A$33,0),MATCH(G422,'ei names mapping'!$B$3:$BL$3,0))</f>
        <v>kilogram</v>
      </c>
      <c r="E422" t="str">
        <f>INDEX('ei names mapping'!$B$305:$BL$335,MATCH(B390,'ei names mapping'!$A$4:$A$33,0),MATCH(G422,'ei names mapping'!$B$3:$BL$3,0))</f>
        <v>air::urban air close to ground</v>
      </c>
      <c r="F422" t="s">
        <v>167</v>
      </c>
      <c r="G422" t="s">
        <v>843</v>
      </c>
    </row>
    <row r="423" spans="1:8" x14ac:dyDescent="0.2">
      <c r="A423" t="str">
        <f>INDEX('ei names mapping'!$B$4:$BL$33,MATCH(B390,'ei names mapping'!$A$4:$A$33,0),MATCH(G423,'ei names mapping'!$B$3:$BL$3,0))</f>
        <v>Sulfur dioxide</v>
      </c>
      <c r="B423" s="7">
        <f>INDEX('vehicles specifications'!$B$3:$CW$166,MATCH(B393,'vehicles specifications'!$A$3:$A$166,0),MATCH(G423,'vehicles specifications'!$B$2:$CW$2,0))*INDEX('ei names mapping'!$B$137:$BL$300,MATCH(B393,'ei names mapping'!$A$137:$A$300,0),MATCH(G423,'ei names mapping'!$B$136:$BL$136,0))</f>
        <v>3.7775091422273376E-7</v>
      </c>
      <c r="D423" t="str">
        <f>INDEX('ei names mapping'!$B$104:$BL$133,MATCH(B390,'ei names mapping'!$A$4:$A$33,0),MATCH(G423,'ei names mapping'!$B$3:$BL$3,0))</f>
        <v>kilogram</v>
      </c>
      <c r="E423" t="str">
        <f>INDEX('ei names mapping'!$B$305:$BL$335,MATCH(B390,'ei names mapping'!$A$4:$A$33,0),MATCH(G423,'ei names mapping'!$B$3:$BL$3,0))</f>
        <v>air::urban air close to ground</v>
      </c>
      <c r="F423" t="s">
        <v>167</v>
      </c>
      <c r="G423" t="s">
        <v>67</v>
      </c>
    </row>
    <row r="424" spans="1:8" x14ac:dyDescent="0.2">
      <c r="A424" t="str">
        <f>INDEX('ei names mapping'!$B$4:$BL$33,MATCH(B390,'ei names mapping'!$A$4:$A$33,0),MATCH(G424,'ei names mapping'!$B$3:$BL$3,0))</f>
        <v>Benzene</v>
      </c>
      <c r="B424" s="7">
        <f>INDEX('vehicles specifications'!$B$3:$CW$166,MATCH(B393,'vehicles specifications'!$A$3:$A$166,0),MATCH(G424,'vehicles specifications'!$B$2:$CW$2,0))*INDEX('ei names mapping'!$B$137:$BL$300,MATCH(B393,'ei names mapping'!$A$137:$A$300,0),MATCH(G424,'ei names mapping'!$B$136:$BL$136,0))</f>
        <v>3.0028551502939905E-6</v>
      </c>
      <c r="D424" t="str">
        <f>INDEX('ei names mapping'!$B$104:$BL$133,MATCH(B390,'ei names mapping'!$A$4:$A$33,0),MATCH(G424,'ei names mapping'!$B$3:$BL$3,0))</f>
        <v>kilogram</v>
      </c>
      <c r="E424" t="str">
        <f>INDEX('ei names mapping'!$B$305:$BL$335,MATCH(B390,'ei names mapping'!$A$4:$A$33,0),MATCH(G424,'ei names mapping'!$B$3:$BL$3,0))</f>
        <v>air::urban air close to ground</v>
      </c>
      <c r="F424" t="s">
        <v>167</v>
      </c>
      <c r="G424" t="s">
        <v>55</v>
      </c>
    </row>
    <row r="425" spans="1:8" x14ac:dyDescent="0.2">
      <c r="A425" t="str">
        <f>INDEX('ei names mapping'!$B$4:$BL$33,MATCH(B390,'ei names mapping'!$A$4:$A$33,0),MATCH(G425,'ei names mapping'!$B$3:$BL$3,0))</f>
        <v>Methane, fossil</v>
      </c>
      <c r="B425" s="7">
        <f>INDEX('vehicles specifications'!$B$3:$CW$166,MATCH(B393,'vehicles specifications'!$A$3:$A$166,0),MATCH(G425,'vehicles specifications'!$B$2:$CW$2,0))*INDEX('ei names mapping'!$B$137:$BL$300,MATCH(B393,'ei names mapping'!$A$137:$A$300,0),MATCH(G425,'ei names mapping'!$B$136:$BL$136,0))</f>
        <v>5.5743948816324545E-5</v>
      </c>
      <c r="D425" t="str">
        <f>INDEX('ei names mapping'!$B$104:$BL$133,MATCH(B390,'ei names mapping'!$A$4:$A$33,0),MATCH(G425,'ei names mapping'!$B$3:$BL$3,0))</f>
        <v>kilogram</v>
      </c>
      <c r="E425" t="str">
        <f>INDEX('ei names mapping'!$B$305:$BL$335,MATCH(B390,'ei names mapping'!$A$4:$A$33,0),MATCH(G425,'ei names mapping'!$B$3:$BL$3,0))</f>
        <v>air::urban air close to ground</v>
      </c>
      <c r="F425" t="s">
        <v>167</v>
      </c>
      <c r="G425" t="s">
        <v>56</v>
      </c>
    </row>
    <row r="426" spans="1:8" x14ac:dyDescent="0.2">
      <c r="A426" t="str">
        <f>INDEX('ei names mapping'!$B$4:$BL$33,MATCH(B390,'ei names mapping'!$A$4:$A$33,0),MATCH(G426,'ei names mapping'!$B$3:$BL$3,0))</f>
        <v>Carbon monoxide, fossil</v>
      </c>
      <c r="B426" s="7">
        <f>INDEX('vehicles specifications'!$B$3:$CW$166,MATCH(B393,'vehicles specifications'!$A$3:$A$166,0),MATCH(G426,'vehicles specifications'!$B$2:$CW$2,0))*INDEX('ei names mapping'!$B$137:$BL$300,MATCH(B393,'ei names mapping'!$A$137:$A$300,0),MATCH(G426,'ei names mapping'!$B$136:$BL$136,0))</f>
        <v>7.1242322292383402E-4</v>
      </c>
      <c r="D426" t="str">
        <f>INDEX('ei names mapping'!$B$104:$BL$133,MATCH(B390,'ei names mapping'!$A$4:$A$33,0),MATCH(G426,'ei names mapping'!$B$3:$BL$3,0))</f>
        <v>kilogram</v>
      </c>
      <c r="E426" t="str">
        <f>INDEX('ei names mapping'!$B$305:$BL$335,MATCH(B390,'ei names mapping'!$A$4:$A$33,0),MATCH(G426,'ei names mapping'!$B$3:$BL$3,0))</f>
        <v>air::urban air close to ground</v>
      </c>
      <c r="F426" t="s">
        <v>167</v>
      </c>
      <c r="G426" t="s">
        <v>57</v>
      </c>
    </row>
    <row r="427" spans="1:8" x14ac:dyDescent="0.2">
      <c r="A427" t="str">
        <f>INDEX('ei names mapping'!$B$4:$BL$33,MATCH(B390,'ei names mapping'!$A$4:$A$33,0),MATCH(G427,'ei names mapping'!$B$3:$BL$3,0))</f>
        <v>Dinitrogen monoxide</v>
      </c>
      <c r="B427" s="7">
        <f>INDEX('vehicles specifications'!$B$3:$CW$166,MATCH(B393,'vehicles specifications'!$A$3:$A$166,0),MATCH(G427,'vehicles specifications'!$B$2:$CW$2,0))*INDEX('ei names mapping'!$B$137:$BL$300,MATCH(B393,'ei names mapping'!$A$137:$A$300,0),MATCH(G427,'ei names mapping'!$B$136:$BL$136,0))</f>
        <v>1.9908553148687333E-6</v>
      </c>
      <c r="D427" t="str">
        <f>INDEX('ei names mapping'!$B$104:$BL$133,MATCH(B390,'ei names mapping'!$A$4:$A$33,0),MATCH(G427,'ei names mapping'!$B$3:$BL$3,0))</f>
        <v>kilogram</v>
      </c>
      <c r="E427" t="str">
        <f>INDEX('ei names mapping'!$B$305:$BL$335,MATCH(B390,'ei names mapping'!$A$4:$A$33,0),MATCH(G427,'ei names mapping'!$B$3:$BL$3,0))</f>
        <v>air::urban air close to ground</v>
      </c>
      <c r="F427" t="s">
        <v>167</v>
      </c>
      <c r="G427" t="s">
        <v>58</v>
      </c>
    </row>
    <row r="428" spans="1:8" x14ac:dyDescent="0.2">
      <c r="A428" t="str">
        <f>INDEX('ei names mapping'!$B$4:$BL$33,MATCH(B390,'ei names mapping'!$A$4:$A$33,0),MATCH(G428,'ei names mapping'!$B$3:$BL$3,0))</f>
        <v>Ammonia</v>
      </c>
      <c r="B428" s="7">
        <f>INDEX('vehicles specifications'!$B$3:$CW$166,MATCH(B393,'vehicles specifications'!$A$3:$A$166,0),MATCH(G428,'vehicles specifications'!$B$2:$CW$2,0))*INDEX('ei names mapping'!$B$137:$BL$300,MATCH(B393,'ei names mapping'!$A$137:$A$300,0),MATCH(G428,'ei names mapping'!$B$136:$BL$136,0))</f>
        <v>1.9908553148687333E-6</v>
      </c>
      <c r="D428" t="str">
        <f>INDEX('ei names mapping'!$B$104:$BL$133,MATCH(B390,'ei names mapping'!$A$4:$A$33,0),MATCH(G428,'ei names mapping'!$B$3:$BL$3,0))</f>
        <v>kilogram</v>
      </c>
      <c r="E428" t="str">
        <f>INDEX('ei names mapping'!$B$305:$BL$335,MATCH(B390,'ei names mapping'!$A$4:$A$33,0),MATCH(G428,'ei names mapping'!$B$3:$BL$3,0))</f>
        <v>air::urban air close to ground</v>
      </c>
      <c r="F428" t="s">
        <v>167</v>
      </c>
      <c r="G428" t="s">
        <v>59</v>
      </c>
    </row>
    <row r="429" spans="1:8" x14ac:dyDescent="0.2">
      <c r="A429" t="str">
        <f>INDEX('ei names mapping'!$B$4:$BL$33,MATCH(B390,'ei names mapping'!$A$4:$A$33,0),MATCH(G429,'ei names mapping'!$B$3:$BL$3,0))</f>
        <v>Nitrogen oxides</v>
      </c>
      <c r="B429" s="7">
        <f>INDEX('vehicles specifications'!$B$3:$CW$166,MATCH(B393,'vehicles specifications'!$A$3:$A$166,0),MATCH(G429,'vehicles specifications'!$B$2:$CW$2,0))*INDEX('ei names mapping'!$B$137:$BL$300,MATCH(B393,'ei names mapping'!$A$137:$A$300,0),MATCH(G429,'ei names mapping'!$B$136:$BL$136,0))</f>
        <v>1.8315516128898121E-5</v>
      </c>
      <c r="D429" t="str">
        <f>INDEX('ei names mapping'!$B$104:$BL$133,MATCH(B390,'ei names mapping'!$A$4:$A$33,0),MATCH(G429,'ei names mapping'!$B$3:$BL$3,0))</f>
        <v>kilogram</v>
      </c>
      <c r="E429" t="str">
        <f>INDEX('ei names mapping'!$B$305:$BL$335,MATCH(B390,'ei names mapping'!$A$4:$A$33,0),MATCH(G429,'ei names mapping'!$B$3:$BL$3,0))</f>
        <v>air::urban air close to ground</v>
      </c>
      <c r="F429" t="s">
        <v>167</v>
      </c>
      <c r="G429" t="s">
        <v>60</v>
      </c>
    </row>
    <row r="430" spans="1:8" x14ac:dyDescent="0.2">
      <c r="A430" t="str">
        <f>INDEX('ei names mapping'!$B$4:$BL$33,MATCH(B390,'ei names mapping'!$A$4:$A$33,0),MATCH(G430,'ei names mapping'!$B$3:$BL$3,0))</f>
        <v>Particulates, &lt; 2.5 um</v>
      </c>
      <c r="B430" s="7">
        <f>INDEX('vehicles specifications'!$B$3:$CW$166,MATCH(B$393,'vehicles specifications'!$A$3:$A$166,0),MATCH(G430,'vehicles specifications'!$B$2:$CW$2,0))*INDEX('ei names mapping'!$B$137:$BL$300,MATCH(B$393,'ei names mapping'!$A$137:$A$300,0),MATCH(G430,'ei names mapping'!$B$136:$BL$136,0))</f>
        <v>4.9771382871718332E-6</v>
      </c>
      <c r="D430" t="str">
        <f>INDEX('ei names mapping'!$B$104:$BL$133,MATCH(B390,'ei names mapping'!$A$4:$A$33,0),MATCH(G430,'ei names mapping'!$B$3:$BL$3,0))</f>
        <v>kilogram</v>
      </c>
      <c r="E430" t="str">
        <f>INDEX('ei names mapping'!$B$305:$BL$335,MATCH(B390,'ei names mapping'!$A$4:$A$33,0),MATCH(G430,'ei names mapping'!$B$3:$BL$3,0))</f>
        <v>air::urban air close to ground</v>
      </c>
      <c r="F430" t="s">
        <v>167</v>
      </c>
      <c r="G430" t="s">
        <v>62</v>
      </c>
    </row>
    <row r="431" spans="1:8" x14ac:dyDescent="0.2">
      <c r="A431" t="str">
        <f>INDEX('ei names mapping'!$B$4:$BL$33,MATCH(B$234,'ei names mapping'!$A$4:$A$33,0),MATCH(G431,'ei names mapping'!$B$3:$BL$3,0))</f>
        <v>NMVOC, non-methane volatile organic compounds, unspecified origin</v>
      </c>
      <c r="B431" s="7">
        <f>INDEX('vehicles specifications'!$B$3:$CW$166,MATCH(B$393,'vehicles specifications'!$A$3:$A$166,0),MATCH(G431,'vehicles specifications'!$B$2:$CW$2,0))*INDEX('ei names mapping'!$B$137:$BL$300,MATCH(B$393,'ei names mapping'!$A$137:$A$300,0),MATCH(G431,'ei names mapping'!$B$136:$BL$136,0))</f>
        <v>2.4215537789536568E-5</v>
      </c>
      <c r="D431" t="str">
        <f>INDEX('ei names mapping'!$B$104:$BL$133,MATCH(B$234,'ei names mapping'!$A$4:$A$33,0),MATCH(G431,'ei names mapping'!$B$3:$BL$3,0))</f>
        <v>kilogram</v>
      </c>
      <c r="E431" t="str">
        <f>INDEX('ei names mapping'!$B$305:$BL$335,MATCH(B$234,'ei names mapping'!$A$4:$A$33,0),MATCH(G431,'ei names mapping'!$B$3:$BL$3,0))</f>
        <v>air::urban air close to ground</v>
      </c>
      <c r="F431" t="s">
        <v>167</v>
      </c>
      <c r="G431" t="s">
        <v>593</v>
      </c>
    </row>
    <row r="432" spans="1:8" x14ac:dyDescent="0.2">
      <c r="A432" t="str">
        <f>INDEX('ei names mapping'!$B$4:$BL$33,MATCH(B$234,'ei names mapping'!$A$4:$A$33,0),MATCH(G432,'ei names mapping'!$B$3:$BL$3,0))</f>
        <v>Ethane</v>
      </c>
      <c r="B432" s="7">
        <f>INDEX('vehicles specifications'!$B$3:$CW$166,MATCH(B$393,'vehicles specifications'!$A$3:$A$166,0),MATCH(G432,'vehicles specifications'!$B$2:$CW$2,0))*INDEX('ei names mapping'!$B$137:$BL$300,MATCH(B$393,'ei names mapping'!$A$137:$A$300,0),MATCH(G432,'ei names mapping'!$B$136:$BL$136,0))</f>
        <v>1.7075058697750144E-6</v>
      </c>
      <c r="D432" t="str">
        <f>INDEX('ei names mapping'!$B$104:$BL$133,MATCH(B$234,'ei names mapping'!$A$4:$A$33,0),MATCH(G432,'ei names mapping'!$B$3:$BL$3,0))</f>
        <v>kilogram</v>
      </c>
      <c r="E432" t="str">
        <f>INDEX('ei names mapping'!$B$305:$BL$335,MATCH(B$234,'ei names mapping'!$A$4:$A$33,0),MATCH(G432,'ei names mapping'!$B$3:$BL$3,0))</f>
        <v>air::urban air close to ground</v>
      </c>
      <c r="F432" t="s">
        <v>167</v>
      </c>
      <c r="G432" t="s">
        <v>541</v>
      </c>
    </row>
    <row r="433" spans="1:7" x14ac:dyDescent="0.2">
      <c r="A433" t="str">
        <f>INDEX('ei names mapping'!$B$4:$BL$33,MATCH(B$234,'ei names mapping'!$A$4:$A$33,0),MATCH(G433,'ei names mapping'!$B$3:$BL$3,0))</f>
        <v>Propane</v>
      </c>
      <c r="B433" s="7">
        <f>INDEX('vehicles specifications'!$B$3:$CW$166,MATCH(B$393,'vehicles specifications'!$A$3:$A$166,0),MATCH(G433,'vehicles specifications'!$B$2:$CW$2,0))*INDEX('ei names mapping'!$B$137:$BL$300,MATCH(B$393,'ei names mapping'!$A$137:$A$300,0),MATCH(G433,'ei names mapping'!$B$136:$BL$136,0))</f>
        <v>3.4792439352782425E-7</v>
      </c>
      <c r="D433" t="str">
        <f>INDEX('ei names mapping'!$B$104:$BL$133,MATCH(B$234,'ei names mapping'!$A$4:$A$33,0),MATCH(G433,'ei names mapping'!$B$3:$BL$3,0))</f>
        <v>kilogram</v>
      </c>
      <c r="E433" t="str">
        <f>INDEX('ei names mapping'!$B$305:$BL$335,MATCH(B$234,'ei names mapping'!$A$4:$A$33,0),MATCH(G433,'ei names mapping'!$B$3:$BL$3,0))</f>
        <v>air::urban air close to ground</v>
      </c>
      <c r="F433" t="s">
        <v>167</v>
      </c>
      <c r="G433" t="s">
        <v>542</v>
      </c>
    </row>
    <row r="434" spans="1:7" x14ac:dyDescent="0.2">
      <c r="A434" t="str">
        <f>INDEX('ei names mapping'!$B$4:$BL$33,MATCH(B$234,'ei names mapping'!$A$4:$A$33,0),MATCH(G434,'ei names mapping'!$B$3:$BL$3,0))</f>
        <v>Butane</v>
      </c>
      <c r="B434" s="7">
        <f>INDEX('vehicles specifications'!$B$3:$CW$166,MATCH(B$393,'vehicles specifications'!$A$3:$A$166,0),MATCH(G434,'vehicles specifications'!$B$2:$CW$2,0))*INDEX('ei names mapping'!$B$137:$BL$300,MATCH(B$393,'ei names mapping'!$A$137:$A$300,0),MATCH(G434,'ei names mapping'!$B$136:$BL$136,0))</f>
        <v>2.804805880131999E-6</v>
      </c>
      <c r="D434" t="str">
        <f>INDEX('ei names mapping'!$B$104:$BL$133,MATCH(B$234,'ei names mapping'!$A$4:$A$33,0),MATCH(G434,'ei names mapping'!$B$3:$BL$3,0))</f>
        <v>kilogram</v>
      </c>
      <c r="E434" t="str">
        <f>INDEX('ei names mapping'!$B$305:$BL$335,MATCH(B$234,'ei names mapping'!$A$4:$A$33,0),MATCH(G434,'ei names mapping'!$B$3:$BL$3,0))</f>
        <v>air::urban air close to ground</v>
      </c>
      <c r="F434" t="s">
        <v>167</v>
      </c>
      <c r="G434" t="s">
        <v>543</v>
      </c>
    </row>
    <row r="435" spans="1:7" x14ac:dyDescent="0.2">
      <c r="A435" t="str">
        <f>INDEX('ei names mapping'!$B$4:$BL$33,MATCH(B$234,'ei names mapping'!$A$4:$A$33,0),MATCH(G435,'ei names mapping'!$B$3:$BL$3,0))</f>
        <v>Pentane</v>
      </c>
      <c r="B435" s="7">
        <f>INDEX('vehicles specifications'!$B$3:$CW$166,MATCH(B$393,'vehicles specifications'!$A$3:$A$166,0),MATCH(G435,'vehicles specifications'!$B$2:$CW$2,0))*INDEX('ei names mapping'!$B$137:$BL$300,MATCH(B$393,'ei names mapping'!$A$137:$A$300,0),MATCH(G435,'ei names mapping'!$B$136:$BL$136,0))</f>
        <v>1.1508268401304956E-6</v>
      </c>
      <c r="D435" t="str">
        <f>INDEX('ei names mapping'!$B$104:$BL$133,MATCH(B$234,'ei names mapping'!$A$4:$A$33,0),MATCH(G435,'ei names mapping'!$B$3:$BL$3,0))</f>
        <v>kilogram</v>
      </c>
      <c r="E435" t="str">
        <f>INDEX('ei names mapping'!$B$305:$BL$335,MATCH(B$234,'ei names mapping'!$A$4:$A$33,0),MATCH(G435,'ei names mapping'!$B$3:$BL$3,0))</f>
        <v>air::urban air close to ground</v>
      </c>
      <c r="F435" t="s">
        <v>167</v>
      </c>
      <c r="G435" t="s">
        <v>544</v>
      </c>
    </row>
    <row r="436" spans="1:7" x14ac:dyDescent="0.2">
      <c r="A436" t="str">
        <f>INDEX('ei names mapping'!$B$4:$BL$33,MATCH(B$234,'ei names mapping'!$A$4:$A$33,0),MATCH(G436,'ei names mapping'!$B$3:$BL$3,0))</f>
        <v>Hexane</v>
      </c>
      <c r="B436" s="7">
        <f>INDEX('vehicles specifications'!$B$3:$CW$166,MATCH(B$393,'vehicles specifications'!$A$3:$A$166,0),MATCH(G436,'vehicles specifications'!$B$2:$CW$2,0))*INDEX('ei names mapping'!$B$137:$BL$300,MATCH(B$393,'ei names mapping'!$A$137:$A$300,0),MATCH(G436,'ei names mapping'!$B$136:$BL$136,0))</f>
        <v>8.6178195935353402E-7</v>
      </c>
      <c r="D436" t="str">
        <f>INDEX('ei names mapping'!$B$104:$BL$133,MATCH(B$234,'ei names mapping'!$A$4:$A$33,0),MATCH(G436,'ei names mapping'!$B$3:$BL$3,0))</f>
        <v>kilogram</v>
      </c>
      <c r="E436" t="str">
        <f>INDEX('ei names mapping'!$B$305:$BL$335,MATCH(B$234,'ei names mapping'!$A$4:$A$33,0),MATCH(G436,'ei names mapping'!$B$3:$BL$3,0))</f>
        <v>air::urban air close to ground</v>
      </c>
      <c r="F436" t="s">
        <v>167</v>
      </c>
      <c r="G436" t="s">
        <v>545</v>
      </c>
    </row>
    <row r="437" spans="1:7" x14ac:dyDescent="0.2">
      <c r="A437" t="str">
        <f>INDEX('ei names mapping'!$B$4:$BL$33,MATCH(B$234,'ei names mapping'!$A$4:$A$33,0),MATCH(G437,'ei names mapping'!$B$3:$BL$3,0))</f>
        <v>Cyclohexane</v>
      </c>
      <c r="B437" s="7">
        <f>INDEX('vehicles specifications'!$B$3:$CW$166,MATCH(B$393,'vehicles specifications'!$A$3:$A$166,0),MATCH(G437,'vehicles specifications'!$B$2:$CW$2,0))*INDEX('ei names mapping'!$B$137:$BL$300,MATCH(B$393,'ei names mapping'!$A$137:$A$300,0),MATCH(G437,'ei names mapping'!$B$136:$BL$136,0))</f>
        <v>6.1020585941803032E-7</v>
      </c>
      <c r="D437" t="str">
        <f>INDEX('ei names mapping'!$B$104:$BL$133,MATCH(B$234,'ei names mapping'!$A$4:$A$33,0),MATCH(G437,'ei names mapping'!$B$3:$BL$3,0))</f>
        <v>kilogram</v>
      </c>
      <c r="E437" t="str">
        <f>INDEX('ei names mapping'!$B$305:$BL$335,MATCH(B$234,'ei names mapping'!$A$4:$A$33,0),MATCH(G437,'ei names mapping'!$B$3:$BL$3,0))</f>
        <v>air::urban air close to ground</v>
      </c>
      <c r="F437" t="s">
        <v>167</v>
      </c>
      <c r="G437" t="s">
        <v>546</v>
      </c>
    </row>
    <row r="438" spans="1:7" x14ac:dyDescent="0.2">
      <c r="A438" t="str">
        <f>INDEX('ei names mapping'!$B$4:$BL$33,MATCH(B$234,'ei names mapping'!$A$4:$A$33,0),MATCH(G438,'ei names mapping'!$B$3:$BL$3,0))</f>
        <v>Heptane</v>
      </c>
      <c r="B438" s="7">
        <f>INDEX('vehicles specifications'!$B$3:$CW$166,MATCH(B$393,'vehicles specifications'!$A$3:$A$166,0),MATCH(G438,'vehicles specifications'!$B$2:$CW$2,0))*INDEX('ei names mapping'!$B$137:$BL$300,MATCH(B$393,'ei names mapping'!$A$137:$A$300,0),MATCH(G438,'ei names mapping'!$B$136:$BL$136,0))</f>
        <v>3.960985403239846E-7</v>
      </c>
      <c r="D438" t="str">
        <f>INDEX('ei names mapping'!$B$104:$BL$133,MATCH(B$234,'ei names mapping'!$A$4:$A$33,0),MATCH(G438,'ei names mapping'!$B$3:$BL$3,0))</f>
        <v>kilogram</v>
      </c>
      <c r="E438" t="str">
        <f>INDEX('ei names mapping'!$B$305:$BL$335,MATCH(B$234,'ei names mapping'!$A$4:$A$33,0),MATCH(G438,'ei names mapping'!$B$3:$BL$3,0))</f>
        <v>air::urban air close to ground</v>
      </c>
      <c r="F438" t="s">
        <v>167</v>
      </c>
      <c r="G438" t="s">
        <v>547</v>
      </c>
    </row>
    <row r="439" spans="1:7" x14ac:dyDescent="0.2">
      <c r="A439" t="str">
        <f>INDEX('ei names mapping'!$B$4:$BL$33,MATCH(B$234,'ei names mapping'!$A$4:$A$33,0),MATCH(G439,'ei names mapping'!$B$3:$BL$3,0))</f>
        <v>Ethene</v>
      </c>
      <c r="B439" s="7">
        <f>INDEX('vehicles specifications'!$B$3:$CW$166,MATCH(B$393,'vehicles specifications'!$A$3:$A$166,0),MATCH(G439,'vehicles specifications'!$B$2:$CW$2,0))*INDEX('ei names mapping'!$B$137:$BL$300,MATCH(B$393,'ei names mapping'!$A$137:$A$300,0),MATCH(G439,'ei names mapping'!$B$136:$BL$136,0))</f>
        <v>3.9074585734663338E-6</v>
      </c>
      <c r="D439" t="str">
        <f>INDEX('ei names mapping'!$B$104:$BL$133,MATCH(B$234,'ei names mapping'!$A$4:$A$33,0),MATCH(G439,'ei names mapping'!$B$3:$BL$3,0))</f>
        <v>kilogram</v>
      </c>
      <c r="E439" t="str">
        <f>INDEX('ei names mapping'!$B$305:$BL$335,MATCH(B$234,'ei names mapping'!$A$4:$A$33,0),MATCH(G439,'ei names mapping'!$B$3:$BL$3,0))</f>
        <v>air::urban air close to ground</v>
      </c>
      <c r="F439" t="s">
        <v>167</v>
      </c>
      <c r="G439" t="s">
        <v>548</v>
      </c>
    </row>
    <row r="440" spans="1:7" x14ac:dyDescent="0.2">
      <c r="A440" t="str">
        <f>INDEX('ei names mapping'!$B$4:$BL$33,MATCH(B$234,'ei names mapping'!$A$4:$A$33,0),MATCH(G440,'ei names mapping'!$B$3:$BL$3,0))</f>
        <v>Propene</v>
      </c>
      <c r="B440" s="7">
        <f>INDEX('vehicles specifications'!$B$3:$CW$166,MATCH(B$393,'vehicles specifications'!$A$3:$A$166,0),MATCH(G440,'vehicles specifications'!$B$2:$CW$2,0))*INDEX('ei names mapping'!$B$137:$BL$300,MATCH(B$393,'ei names mapping'!$A$137:$A$300,0),MATCH(G440,'ei names mapping'!$B$136:$BL$136,0))</f>
        <v>2.0447248973481361E-6</v>
      </c>
      <c r="D440" t="str">
        <f>INDEX('ei names mapping'!$B$104:$BL$133,MATCH(B$234,'ei names mapping'!$A$4:$A$33,0),MATCH(G440,'ei names mapping'!$B$3:$BL$3,0))</f>
        <v>kilogram</v>
      </c>
      <c r="E440" t="str">
        <f>INDEX('ei names mapping'!$B$305:$BL$335,MATCH(B$234,'ei names mapping'!$A$4:$A$33,0),MATCH(G440,'ei names mapping'!$B$3:$BL$3,0))</f>
        <v>air::urban air close to ground</v>
      </c>
      <c r="F440" t="s">
        <v>167</v>
      </c>
      <c r="G440" t="s">
        <v>549</v>
      </c>
    </row>
    <row r="441" spans="1:7" x14ac:dyDescent="0.2">
      <c r="A441" t="str">
        <f>INDEX('ei names mapping'!$B$4:$BL$33,MATCH(B$234,'ei names mapping'!$A$4:$A$33,0),MATCH(G441,'ei names mapping'!$B$3:$BL$3,0))</f>
        <v>1-Pentene</v>
      </c>
      <c r="B441" s="7">
        <f>INDEX('vehicles specifications'!$B$3:$CW$166,MATCH(B$393,'vehicles specifications'!$A$3:$A$166,0),MATCH(G441,'vehicles specifications'!$B$2:$CW$2,0))*INDEX('ei names mapping'!$B$137:$BL$300,MATCH(B$393,'ei names mapping'!$A$137:$A$300,0),MATCH(G441,'ei names mapping'!$B$136:$BL$136,0))</f>
        <v>5.8879512750862572E-8</v>
      </c>
      <c r="D441" t="str">
        <f>INDEX('ei names mapping'!$B$104:$BL$133,MATCH(B$234,'ei names mapping'!$A$4:$A$33,0),MATCH(G441,'ei names mapping'!$B$3:$BL$3,0))</f>
        <v>kilogram</v>
      </c>
      <c r="E441" t="str">
        <f>INDEX('ei names mapping'!$B$305:$BL$335,MATCH(B$234,'ei names mapping'!$A$4:$A$33,0),MATCH(G441,'ei names mapping'!$B$3:$BL$3,0))</f>
        <v>air::urban air close to ground</v>
      </c>
      <c r="F441" t="s">
        <v>167</v>
      </c>
      <c r="G441" t="s">
        <v>550</v>
      </c>
    </row>
    <row r="442" spans="1:7" x14ac:dyDescent="0.2">
      <c r="A442" t="str">
        <f>INDEX('ei names mapping'!$B$4:$BL$33,MATCH(B$234,'ei names mapping'!$A$4:$A$33,0),MATCH(G442,'ei names mapping'!$B$3:$BL$3,0))</f>
        <v>Toluene</v>
      </c>
      <c r="B442" s="7">
        <f>INDEX('vehicles specifications'!$B$3:$CW$166,MATCH(B$393,'vehicles specifications'!$A$3:$A$166,0),MATCH(G442,'vehicles specifications'!$B$2:$CW$2,0))*INDEX('ei names mapping'!$B$137:$BL$300,MATCH(B$393,'ei names mapping'!$A$137:$A$300,0),MATCH(G442,'ei names mapping'!$B$136:$BL$136,0))</f>
        <v>5.877245909131555E-6</v>
      </c>
      <c r="D442" t="str">
        <f>INDEX('ei names mapping'!$B$104:$BL$133,MATCH(B$234,'ei names mapping'!$A$4:$A$33,0),MATCH(G442,'ei names mapping'!$B$3:$BL$3,0))</f>
        <v>kilogram</v>
      </c>
      <c r="E442" t="str">
        <f>INDEX('ei names mapping'!$B$305:$BL$335,MATCH(B$234,'ei names mapping'!$A$4:$A$33,0),MATCH(G442,'ei names mapping'!$B$3:$BL$3,0))</f>
        <v>air::urban air close to ground</v>
      </c>
      <c r="F442" t="s">
        <v>167</v>
      </c>
      <c r="G442" t="s">
        <v>551</v>
      </c>
    </row>
    <row r="443" spans="1:7" x14ac:dyDescent="0.2">
      <c r="A443" t="str">
        <f>INDEX('ei names mapping'!$B$4:$BL$33,MATCH(B$234,'ei names mapping'!$A$4:$A$33,0),MATCH(G443,'ei names mapping'!$B$3:$BL$3,0))</f>
        <v>m-Xylene</v>
      </c>
      <c r="B443" s="7">
        <f>INDEX('vehicles specifications'!$B$3:$CW$166,MATCH(B$393,'vehicles specifications'!$A$3:$A$166,0),MATCH(G443,'vehicles specifications'!$B$2:$CW$2,0))*INDEX('ei names mapping'!$B$137:$BL$300,MATCH(B$393,'ei names mapping'!$A$137:$A$300,0),MATCH(G443,'ei names mapping'!$B$136:$BL$136,0))</f>
        <v>2.9065068567016706E-6</v>
      </c>
      <c r="D443" t="str">
        <f>INDEX('ei names mapping'!$B$104:$BL$133,MATCH(B$234,'ei names mapping'!$A$4:$A$33,0),MATCH(G443,'ei names mapping'!$B$3:$BL$3,0))</f>
        <v>kilogram</v>
      </c>
      <c r="E443" t="str">
        <f>INDEX('ei names mapping'!$B$305:$BL$335,MATCH(B$234,'ei names mapping'!$A$4:$A$33,0),MATCH(G443,'ei names mapping'!$B$3:$BL$3,0))</f>
        <v>air::urban air close to ground</v>
      </c>
      <c r="F443" t="s">
        <v>167</v>
      </c>
      <c r="G443" t="s">
        <v>552</v>
      </c>
    </row>
    <row r="444" spans="1:7" x14ac:dyDescent="0.2">
      <c r="A444" t="str">
        <f>INDEX('ei names mapping'!$B$4:$BL$33,MATCH(B$234,'ei names mapping'!$A$4:$A$33,0),MATCH(G444,'ei names mapping'!$B$3:$BL$3,0))</f>
        <v>o-Xylene</v>
      </c>
      <c r="B444" s="7">
        <f>INDEX('vehicles specifications'!$B$3:$CW$166,MATCH(B$393,'vehicles specifications'!$A$3:$A$166,0),MATCH(G444,'vehicles specifications'!$B$2:$CW$2,0))*INDEX('ei names mapping'!$B$137:$BL$300,MATCH(B$393,'ei names mapping'!$A$137:$A$300,0),MATCH(G444,'ei names mapping'!$B$136:$BL$136,0))</f>
        <v>1.2097063528813583E-6</v>
      </c>
      <c r="D444" t="str">
        <f>INDEX('ei names mapping'!$B$104:$BL$133,MATCH(B$234,'ei names mapping'!$A$4:$A$33,0),MATCH(G444,'ei names mapping'!$B$3:$BL$3,0))</f>
        <v>kilogram</v>
      </c>
      <c r="E444" t="str">
        <f>INDEX('ei names mapping'!$B$305:$BL$335,MATCH(B$234,'ei names mapping'!$A$4:$A$33,0),MATCH(G444,'ei names mapping'!$B$3:$BL$3,0))</f>
        <v>air::urban air close to ground</v>
      </c>
      <c r="F444" t="s">
        <v>167</v>
      </c>
      <c r="G444" t="s">
        <v>553</v>
      </c>
    </row>
    <row r="445" spans="1:7" x14ac:dyDescent="0.2">
      <c r="A445" t="str">
        <f>INDEX('ei names mapping'!$B$4:$BL$33,MATCH(B$234,'ei names mapping'!$A$4:$A$33,0),MATCH(G445,'ei names mapping'!$B$3:$BL$3,0))</f>
        <v>Formaldehyde</v>
      </c>
      <c r="B445" s="7">
        <f>INDEX('vehicles specifications'!$B$3:$CW$166,MATCH(B$393,'vehicles specifications'!$A$3:$A$166,0),MATCH(G445,'vehicles specifications'!$B$2:$CW$2,0))*INDEX('ei names mapping'!$B$137:$BL$300,MATCH(B$393,'ei names mapping'!$A$137:$A$300,0),MATCH(G445,'ei names mapping'!$B$136:$BL$136,0))</f>
        <v>9.0995610614969421E-7</v>
      </c>
      <c r="D445" t="str">
        <f>INDEX('ei names mapping'!$B$104:$BL$133,MATCH(B$234,'ei names mapping'!$A$4:$A$33,0),MATCH(G445,'ei names mapping'!$B$3:$BL$3,0))</f>
        <v>kilogram</v>
      </c>
      <c r="E445" t="str">
        <f>INDEX('ei names mapping'!$B$305:$BL$335,MATCH(B$234,'ei names mapping'!$A$4:$A$33,0),MATCH(G445,'ei names mapping'!$B$3:$BL$3,0))</f>
        <v>air::urban air close to ground</v>
      </c>
      <c r="F445" t="s">
        <v>167</v>
      </c>
      <c r="G445" t="s">
        <v>554</v>
      </c>
    </row>
    <row r="446" spans="1:7" x14ac:dyDescent="0.2">
      <c r="A446" t="str">
        <f>INDEX('ei names mapping'!$B$4:$BL$33,MATCH(B$234,'ei names mapping'!$A$4:$A$33,0),MATCH(G446,'ei names mapping'!$B$3:$BL$3,0))</f>
        <v>Acetaldehyde</v>
      </c>
      <c r="B446" s="7">
        <f>INDEX('vehicles specifications'!$B$3:$CW$166,MATCH(B$393,'vehicles specifications'!$A$3:$A$166,0),MATCH(G446,'vehicles specifications'!$B$2:$CW$2,0))*INDEX('ei names mapping'!$B$137:$BL$300,MATCH(B$393,'ei names mapping'!$A$137:$A$300,0),MATCH(G446,'ei names mapping'!$B$136:$BL$136,0))</f>
        <v>4.0145122330133565E-7</v>
      </c>
      <c r="D446" t="str">
        <f>INDEX('ei names mapping'!$B$104:$BL$133,MATCH(B$234,'ei names mapping'!$A$4:$A$33,0),MATCH(G446,'ei names mapping'!$B$3:$BL$3,0))</f>
        <v>kilogram</v>
      </c>
      <c r="E446" t="str">
        <f>INDEX('ei names mapping'!$B$305:$BL$335,MATCH(B$234,'ei names mapping'!$A$4:$A$33,0),MATCH(G446,'ei names mapping'!$B$3:$BL$3,0))</f>
        <v>air::urban air close to ground</v>
      </c>
      <c r="F446" t="s">
        <v>167</v>
      </c>
      <c r="G446" t="s">
        <v>555</v>
      </c>
    </row>
    <row r="447" spans="1:7" x14ac:dyDescent="0.2">
      <c r="A447" t="str">
        <f>INDEX('ei names mapping'!$B$4:$BL$33,MATCH(B$234,'ei names mapping'!$A$4:$A$33,0),MATCH(G447,'ei names mapping'!$B$3:$BL$3,0))</f>
        <v>Benzaldehyde</v>
      </c>
      <c r="B447" s="7">
        <f>INDEX('vehicles specifications'!$B$3:$CW$166,MATCH(B$393,'vehicles specifications'!$A$3:$A$166,0),MATCH(G447,'vehicles specifications'!$B$2:$CW$2,0))*INDEX('ei names mapping'!$B$137:$BL$300,MATCH(B$393,'ei names mapping'!$A$137:$A$300,0),MATCH(G447,'ei names mapping'!$B$136:$BL$136,0))</f>
        <v>1.1775902550172514E-7</v>
      </c>
      <c r="D447" t="str">
        <f>INDEX('ei names mapping'!$B$104:$BL$133,MATCH(B$234,'ei names mapping'!$A$4:$A$33,0),MATCH(G447,'ei names mapping'!$B$3:$BL$3,0))</f>
        <v>kilogram</v>
      </c>
      <c r="E447" t="str">
        <f>INDEX('ei names mapping'!$B$305:$BL$335,MATCH(B$234,'ei names mapping'!$A$4:$A$33,0),MATCH(G447,'ei names mapping'!$B$3:$BL$3,0))</f>
        <v>air::urban air close to ground</v>
      </c>
      <c r="F447" t="s">
        <v>167</v>
      </c>
      <c r="G447" t="s">
        <v>556</v>
      </c>
    </row>
    <row r="448" spans="1:7" x14ac:dyDescent="0.2">
      <c r="A448" t="str">
        <f>INDEX('ei names mapping'!$B$4:$BL$33,MATCH(B$234,'ei names mapping'!$A$4:$A$33,0),MATCH(G448,'ei names mapping'!$B$3:$BL$3,0))</f>
        <v>Acetone</v>
      </c>
      <c r="B448" s="7">
        <f>INDEX('vehicles specifications'!$B$3:$CW$166,MATCH(B$393,'vehicles specifications'!$A$3:$A$166,0),MATCH(G448,'vehicles specifications'!$B$2:$CW$2,0))*INDEX('ei names mapping'!$B$137:$BL$300,MATCH(B$393,'ei names mapping'!$A$137:$A$300,0),MATCH(G448,'ei names mapping'!$B$136:$BL$136,0))</f>
        <v>3.2651366161841968E-7</v>
      </c>
      <c r="D448" t="str">
        <f>INDEX('ei names mapping'!$B$104:$BL$133,MATCH(B$234,'ei names mapping'!$A$4:$A$33,0),MATCH(G448,'ei names mapping'!$B$3:$BL$3,0))</f>
        <v>kilogram</v>
      </c>
      <c r="E448" t="str">
        <f>INDEX('ei names mapping'!$B$305:$BL$335,MATCH(B$234,'ei names mapping'!$A$4:$A$33,0),MATCH(G448,'ei names mapping'!$B$3:$BL$3,0))</f>
        <v>air::urban air close to ground</v>
      </c>
      <c r="F448" t="s">
        <v>167</v>
      </c>
      <c r="G448" t="s">
        <v>557</v>
      </c>
    </row>
    <row r="449" spans="1:8" x14ac:dyDescent="0.2">
      <c r="A449" t="str">
        <f>INDEX('ei names mapping'!$B$4:$BL$33,MATCH(B$234,'ei names mapping'!$A$4:$A$33,0),MATCH(G449,'ei names mapping'!$B$3:$BL$3,0))</f>
        <v>Methyl ethyl ketone</v>
      </c>
      <c r="B449" s="7">
        <f>INDEX('vehicles specifications'!$B$3:$CW$166,MATCH(B$393,'vehicles specifications'!$A$3:$A$166,0),MATCH(G449,'vehicles specifications'!$B$2:$CW$2,0))*INDEX('ei names mapping'!$B$137:$BL$300,MATCH(B$393,'ei names mapping'!$A$137:$A$300,0),MATCH(G449,'ei names mapping'!$B$136:$BL$136,0))</f>
        <v>0</v>
      </c>
      <c r="D449" t="str">
        <f>INDEX('ei names mapping'!$B$104:$BL$133,MATCH(B$234,'ei names mapping'!$A$4:$A$33,0),MATCH(G449,'ei names mapping'!$B$3:$BL$3,0))</f>
        <v>kilogram</v>
      </c>
      <c r="E449" t="str">
        <f>INDEX('ei names mapping'!$B$305:$BL$335,MATCH(B$234,'ei names mapping'!$A$4:$A$33,0),MATCH(G449,'ei names mapping'!$B$3:$BL$3,0))</f>
        <v>air::urban air close to ground</v>
      </c>
      <c r="F449" t="s">
        <v>167</v>
      </c>
      <c r="G449" t="s">
        <v>560</v>
      </c>
    </row>
    <row r="450" spans="1:8" x14ac:dyDescent="0.2">
      <c r="A450" t="str">
        <f>INDEX('ei names mapping'!$B$4:$BL$33,MATCH(B$234,'ei names mapping'!$A$4:$A$33,0),MATCH(G450,'ei names mapping'!$B$3:$BL$3,0))</f>
        <v>Acrolein</v>
      </c>
      <c r="B450" s="7">
        <f>INDEX('vehicles specifications'!$B$3:$CW$166,MATCH(B$393,'vehicles specifications'!$A$3:$A$166,0),MATCH(G450,'vehicles specifications'!$B$2:$CW$2,0))*INDEX('ei names mapping'!$B$137:$BL$300,MATCH(B$393,'ei names mapping'!$A$137:$A$300,0),MATCH(G450,'ei names mapping'!$B$136:$BL$136,0))</f>
        <v>1.017009765696717E-7</v>
      </c>
      <c r="D450" t="str">
        <f>INDEX('ei names mapping'!$B$104:$BL$133,MATCH(B$234,'ei names mapping'!$A$4:$A$33,0),MATCH(G450,'ei names mapping'!$B$3:$BL$3,0))</f>
        <v>kilogram</v>
      </c>
      <c r="E450" t="str">
        <f>INDEX('ei names mapping'!$B$305:$BL$335,MATCH(B$234,'ei names mapping'!$A$4:$A$33,0),MATCH(G450,'ei names mapping'!$B$3:$BL$3,0))</f>
        <v>air::urban air close to ground</v>
      </c>
      <c r="F450" t="s">
        <v>167</v>
      </c>
      <c r="G450" t="s">
        <v>558</v>
      </c>
    </row>
    <row r="451" spans="1:8" x14ac:dyDescent="0.2">
      <c r="A451" t="str">
        <f>INDEX('ei names mapping'!$B$4:$BL$33,MATCH(B$234,'ei names mapping'!$A$4:$A$33,0),MATCH(G451,'ei names mapping'!$B$3:$BL$3,0))</f>
        <v>Styrene</v>
      </c>
      <c r="B451" s="7">
        <f>INDEX('vehicles specifications'!$B$3:$CW$166,MATCH(B$393,'vehicles specifications'!$A$3:$A$166,0),MATCH(G451,'vehicles specifications'!$B$2:$CW$2,0))*INDEX('ei names mapping'!$B$137:$BL$300,MATCH(B$393,'ei names mapping'!$A$137:$A$300,0),MATCH(G451,'ei names mapping'!$B$136:$BL$136,0))</f>
        <v>5.4062098071246539E-7</v>
      </c>
      <c r="D451" t="str">
        <f>INDEX('ei names mapping'!$B$104:$BL$133,MATCH(B$234,'ei names mapping'!$A$4:$A$33,0),MATCH(G451,'ei names mapping'!$B$3:$BL$3,0))</f>
        <v>kilogram</v>
      </c>
      <c r="E451" t="str">
        <f>INDEX('ei names mapping'!$B$305:$BL$335,MATCH(B$234,'ei names mapping'!$A$4:$A$33,0),MATCH(G451,'ei names mapping'!$B$3:$BL$3,0))</f>
        <v>air::urban air close to ground</v>
      </c>
      <c r="F451" t="s">
        <v>167</v>
      </c>
      <c r="G451" t="s">
        <v>559</v>
      </c>
    </row>
    <row r="452" spans="1:8" x14ac:dyDescent="0.2">
      <c r="A452" t="str">
        <f>INDEX('ei names mapping'!$B$4:$BL$33,MATCH(B$234,'ei names mapping'!$A$4:$A$33,0),MATCH(G452,'ei names mapping'!$B$3:$BL$3,0))</f>
        <v>PAH, polycyclic aromatic hydrocarbons</v>
      </c>
      <c r="B452" s="7">
        <f>INDEX('vehicles specifications'!$B$3:$CW$166,MATCH(B$393,'vehicles specifications'!$A$3:$A$166,0),MATCH(G452,'vehicles specifications'!$B$2:$CW$2,0))*INDEX('ei names mapping'!$B$137:$BL$300,MATCH(B$393,'ei names mapping'!$A$137:$A$300,0),MATCH(G452,'ei names mapping'!$B$136:$BL$136,0))</f>
        <v>8.2354143428958587E-10</v>
      </c>
      <c r="D452" t="str">
        <f>INDEX('ei names mapping'!$B$104:$BL$133,MATCH(B$234,'ei names mapping'!$A$4:$A$33,0),MATCH(G452,'ei names mapping'!$B$3:$BL$3,0))</f>
        <v>kilogram</v>
      </c>
      <c r="E452" t="str">
        <f>INDEX('ei names mapping'!$B$305:$BL$335,MATCH(B$234,'ei names mapping'!$A$4:$A$33,0),MATCH(G452,'ei names mapping'!$B$3:$BL$3,0))</f>
        <v>air::urban air close to ground</v>
      </c>
      <c r="F452" t="s">
        <v>167</v>
      </c>
      <c r="G452" t="s">
        <v>561</v>
      </c>
    </row>
    <row r="453" spans="1:8" x14ac:dyDescent="0.2">
      <c r="A453" t="str">
        <f>INDEX('ei names mapping'!$B$4:$BL$33,MATCH(B$234,'ei names mapping'!$A$4:$A$33,0),MATCH(G453,'ei names mapping'!$B$3:$BL$3,0))</f>
        <v>Arsenic</v>
      </c>
      <c r="B453" s="7">
        <f>INDEX('vehicles specifications'!$B$3:$CW$166,MATCH(B$393,'vehicles specifications'!$A$3:$A$166,0),MATCH(G453,'vehicles specifications'!$B$2:$CW$2,0))*INDEX('ei names mapping'!$B$137:$BL$300,MATCH(B$393,'ei names mapping'!$A$137:$A$300,0),MATCH(G453,'ei names mapping'!$B$136:$BL$136,0))</f>
        <v>7.0994951231860852E-12</v>
      </c>
      <c r="D453" t="str">
        <f>INDEX('ei names mapping'!$B$104:$BL$133,MATCH(B$234,'ei names mapping'!$A$4:$A$33,0),MATCH(G453,'ei names mapping'!$B$3:$BL$3,0))</f>
        <v>kilogram</v>
      </c>
      <c r="E453" t="str">
        <f>INDEX('ei names mapping'!$B$305:$BL$335,MATCH(B$234,'ei names mapping'!$A$4:$A$33,0),MATCH(G453,'ei names mapping'!$B$3:$BL$3,0))</f>
        <v>air::urban air close to ground</v>
      </c>
      <c r="F453" t="s">
        <v>167</v>
      </c>
      <c r="G453" t="s">
        <v>562</v>
      </c>
    </row>
    <row r="454" spans="1:8" x14ac:dyDescent="0.2">
      <c r="A454" t="str">
        <f>INDEX('ei names mapping'!$B$4:$BL$33,MATCH(B$234,'ei names mapping'!$A$4:$A$33,0),MATCH(G454,'ei names mapping'!$B$3:$BL$3,0))</f>
        <v>Selenium</v>
      </c>
      <c r="B454" s="7">
        <f>INDEX('vehicles specifications'!$B$3:$CW$166,MATCH(B$393,'vehicles specifications'!$A$3:$A$166,0),MATCH(G454,'vehicles specifications'!$B$2:$CW$2,0))*INDEX('ei names mapping'!$B$137:$BL$300,MATCH(B$393,'ei names mapping'!$A$137:$A$300,0),MATCH(G454,'ei names mapping'!$B$136:$BL$136,0))</f>
        <v>4.7329967487907232E-12</v>
      </c>
      <c r="D454" t="str">
        <f>INDEX('ei names mapping'!$B$104:$BL$133,MATCH(B$234,'ei names mapping'!$A$4:$A$33,0),MATCH(G454,'ei names mapping'!$B$3:$BL$3,0))</f>
        <v>kilogram</v>
      </c>
      <c r="E454" t="str">
        <f>INDEX('ei names mapping'!$B$305:$BL$335,MATCH(B$234,'ei names mapping'!$A$4:$A$33,0),MATCH(G454,'ei names mapping'!$B$3:$BL$3,0))</f>
        <v>air::urban air close to ground</v>
      </c>
      <c r="F454" t="s">
        <v>167</v>
      </c>
      <c r="G454" t="s">
        <v>563</v>
      </c>
    </row>
    <row r="455" spans="1:8" x14ac:dyDescent="0.2">
      <c r="A455" t="str">
        <f>INDEX('ei names mapping'!$B$4:$BL$33,MATCH(B$234,'ei names mapping'!$A$4:$A$33,0),MATCH(G455,'ei names mapping'!$B$3:$BL$3,0))</f>
        <v>Zinc</v>
      </c>
      <c r="B455" s="7">
        <f>INDEX('vehicles specifications'!$B$3:$CW$166,MATCH(B$393,'vehicles specifications'!$A$3:$A$166,0),MATCH(G455,'vehicles specifications'!$B$2:$CW$2,0))*INDEX('ei names mapping'!$B$137:$BL$300,MATCH(B$393,'ei names mapping'!$A$137:$A$300,0),MATCH(G455,'ei names mapping'!$B$136:$BL$136,0))</f>
        <v>5.1116364886939815E-8</v>
      </c>
      <c r="D455" t="str">
        <f>INDEX('ei names mapping'!$B$104:$BL$133,MATCH(B$234,'ei names mapping'!$A$4:$A$33,0),MATCH(G455,'ei names mapping'!$B$3:$BL$3,0))</f>
        <v>kilogram</v>
      </c>
      <c r="E455" t="str">
        <f>INDEX('ei names mapping'!$B$305:$BL$335,MATCH(B$234,'ei names mapping'!$A$4:$A$33,0),MATCH(G455,'ei names mapping'!$B$3:$BL$3,0))</f>
        <v>air::urban air close to ground</v>
      </c>
      <c r="F455" t="s">
        <v>167</v>
      </c>
      <c r="G455" t="s">
        <v>564</v>
      </c>
    </row>
    <row r="456" spans="1:8" x14ac:dyDescent="0.2">
      <c r="A456" t="str">
        <f>INDEX('ei names mapping'!$B$4:$BL$33,MATCH(B$234,'ei names mapping'!$A$4:$A$33,0),MATCH(G456,'ei names mapping'!$B$3:$BL$3,0))</f>
        <v>Copper</v>
      </c>
      <c r="B456" s="7">
        <f>INDEX('vehicles specifications'!$B$3:$CW$166,MATCH(B$393,'vehicles specifications'!$A$3:$A$166,0),MATCH(G456,'vehicles specifications'!$B$2:$CW$2,0))*INDEX('ei names mapping'!$B$137:$BL$300,MATCH(B$393,'ei names mapping'!$A$137:$A$300,0),MATCH(G456,'ei names mapping'!$B$136:$BL$136,0))</f>
        <v>9.9392931724605184E-10</v>
      </c>
      <c r="D456" t="str">
        <f>INDEX('ei names mapping'!$B$104:$BL$133,MATCH(B$234,'ei names mapping'!$A$4:$A$33,0),MATCH(G456,'ei names mapping'!$B$3:$BL$3,0))</f>
        <v>kilogram</v>
      </c>
      <c r="E456" t="str">
        <f>INDEX('ei names mapping'!$B$305:$BL$335,MATCH(B$234,'ei names mapping'!$A$4:$A$33,0),MATCH(G456,'ei names mapping'!$B$3:$BL$3,0))</f>
        <v>air::urban air close to ground</v>
      </c>
      <c r="F456" t="s">
        <v>167</v>
      </c>
      <c r="G456" t="s">
        <v>522</v>
      </c>
    </row>
    <row r="457" spans="1:8" x14ac:dyDescent="0.2">
      <c r="A457" t="str">
        <f>INDEX('ei names mapping'!$B$4:$BL$33,MATCH(B$234,'ei names mapping'!$A$4:$A$33,0),MATCH(G457,'ei names mapping'!$B$3:$BL$3,0))</f>
        <v>Nickel</v>
      </c>
      <c r="B457" s="7">
        <f>INDEX('vehicles specifications'!$B$3:$CW$166,MATCH(B$393,'vehicles specifications'!$A$3:$A$166,0),MATCH(G457,'vehicles specifications'!$B$2:$CW$2,0))*INDEX('ei names mapping'!$B$137:$BL$300,MATCH(B$393,'ei names mapping'!$A$137:$A$300,0),MATCH(G457,'ei names mapping'!$B$136:$BL$136,0))</f>
        <v>3.0764478867139705E-10</v>
      </c>
      <c r="D457" t="str">
        <f>INDEX('ei names mapping'!$B$104:$BL$133,MATCH(B$234,'ei names mapping'!$A$4:$A$33,0),MATCH(G457,'ei names mapping'!$B$3:$BL$3,0))</f>
        <v>kilogram</v>
      </c>
      <c r="E457" t="str">
        <f>INDEX('ei names mapping'!$B$305:$BL$335,MATCH(B$234,'ei names mapping'!$A$4:$A$33,0),MATCH(G457,'ei names mapping'!$B$3:$BL$3,0))</f>
        <v>air::urban air close to ground</v>
      </c>
      <c r="F457" t="s">
        <v>167</v>
      </c>
      <c r="G457" t="s">
        <v>524</v>
      </c>
    </row>
    <row r="458" spans="1:8" x14ac:dyDescent="0.2">
      <c r="A458" t="str">
        <f>INDEX('ei names mapping'!$B$4:$BL$33,MATCH(B$234,'ei names mapping'!$A$4:$A$33,0),MATCH(G458,'ei names mapping'!$B$3:$BL$3,0))</f>
        <v>Chromium</v>
      </c>
      <c r="B458" s="7">
        <f>INDEX('vehicles specifications'!$B$3:$CW$166,MATCH(B$393,'vehicles specifications'!$A$3:$A$166,0),MATCH(G458,'vehicles specifications'!$B$2:$CW$2,0))*INDEX('ei names mapping'!$B$137:$BL$300,MATCH(B$393,'ei names mapping'!$A$137:$A$300,0),MATCH(G458,'ei names mapping'!$B$136:$BL$136,0))</f>
        <v>3.786397399032579E-10</v>
      </c>
      <c r="D458" t="str">
        <f>INDEX('ei names mapping'!$B$104:$BL$133,MATCH(B$234,'ei names mapping'!$A$4:$A$33,0),MATCH(G458,'ei names mapping'!$B$3:$BL$3,0))</f>
        <v>kilogram</v>
      </c>
      <c r="E458" t="str">
        <f>INDEX('ei names mapping'!$B$305:$BL$335,MATCH(B$234,'ei names mapping'!$A$4:$A$33,0),MATCH(G458,'ei names mapping'!$B$3:$BL$3,0))</f>
        <v>air::urban air close to ground</v>
      </c>
      <c r="F458" t="s">
        <v>167</v>
      </c>
      <c r="G458" t="s">
        <v>523</v>
      </c>
    </row>
    <row r="459" spans="1:8" x14ac:dyDescent="0.2">
      <c r="A459" t="str">
        <f>INDEX('ei names mapping'!$B$4:$BL$33,MATCH(B$234,'ei names mapping'!$A$4:$A$33,0),MATCH(G459,'ei names mapping'!$B$3:$BL$3,0))</f>
        <v>Chromium VI</v>
      </c>
      <c r="B459" s="7">
        <f>INDEX('vehicles specifications'!$B$3:$CW$166,MATCH(B$393,'vehicles specifications'!$A$3:$A$166,0),MATCH(G459,'vehicles specifications'!$B$2:$CW$2,0))*INDEX('ei names mapping'!$B$137:$BL$300,MATCH(B$393,'ei names mapping'!$A$137:$A$300,0),MATCH(G459,'ei names mapping'!$B$136:$BL$136,0))</f>
        <v>7.5727947980651569E-13</v>
      </c>
      <c r="D459" t="str">
        <f>INDEX('ei names mapping'!$B$104:$BL$133,MATCH(B$234,'ei names mapping'!$A$4:$A$33,0),MATCH(G459,'ei names mapping'!$B$3:$BL$3,0))</f>
        <v>kilogram</v>
      </c>
      <c r="E459" t="str">
        <f>INDEX('ei names mapping'!$B$305:$BL$335,MATCH(B$234,'ei names mapping'!$A$4:$A$33,0),MATCH(G459,'ei names mapping'!$B$3:$BL$3,0))</f>
        <v>air::urban air close to ground</v>
      </c>
      <c r="F459" t="s">
        <v>167</v>
      </c>
      <c r="G459" t="s">
        <v>567</v>
      </c>
    </row>
    <row r="460" spans="1:8" x14ac:dyDescent="0.2">
      <c r="A460" t="str">
        <f>INDEX('ei names mapping'!$B$4:$BL$33,MATCH(B$234,'ei names mapping'!$A$4:$A$33,0),MATCH(G460,'ei names mapping'!$B$3:$BL$3,0))</f>
        <v>Mercury</v>
      </c>
      <c r="B460" s="7">
        <f>INDEX('vehicles specifications'!$B$3:$CW$166,MATCH(B$393,'vehicles specifications'!$A$3:$A$166,0),MATCH(G460,'vehicles specifications'!$B$2:$CW$2,0))*INDEX('ei names mapping'!$B$137:$BL$300,MATCH(B$393,'ei names mapping'!$A$137:$A$300,0),MATCH(G460,'ei names mapping'!$B$136:$BL$136,0))</f>
        <v>2.0588535857239647E-10</v>
      </c>
      <c r="D460" t="str">
        <f>INDEX('ei names mapping'!$B$104:$BL$133,MATCH(B$234,'ei names mapping'!$A$4:$A$33,0),MATCH(G460,'ei names mapping'!$B$3:$BL$3,0))</f>
        <v>kilogram</v>
      </c>
      <c r="E460" t="str">
        <f>INDEX('ei names mapping'!$B$305:$BL$335,MATCH(B$234,'ei names mapping'!$A$4:$A$33,0),MATCH(G460,'ei names mapping'!$B$3:$BL$3,0))</f>
        <v>air::urban air close to ground</v>
      </c>
      <c r="F460" t="s">
        <v>167</v>
      </c>
      <c r="G460" t="s">
        <v>565</v>
      </c>
    </row>
    <row r="461" spans="1:8" x14ac:dyDescent="0.2">
      <c r="A461" t="str">
        <f>INDEX('ei names mapping'!$B$4:$BL$33,MATCH(B$234,'ei names mapping'!$A$4:$A$33,0),MATCH(G461,'ei names mapping'!$B$3:$BL$3,0))</f>
        <v>Cadmium</v>
      </c>
      <c r="B461" s="7">
        <f>INDEX('vehicles specifications'!$B$3:$CW$166,MATCH(B$393,'vehicles specifications'!$A$3:$A$166,0),MATCH(G461,'vehicles specifications'!$B$2:$CW$2,0))*INDEX('ei names mapping'!$B$137:$BL$300,MATCH(B$393,'ei names mapping'!$A$137:$A$300,0),MATCH(G461,'ei names mapping'!$B$136:$BL$136,0))</f>
        <v>2.5558182443469911E-10</v>
      </c>
      <c r="D461" t="str">
        <f>INDEX('ei names mapping'!$B$104:$BL$133,MATCH(B$234,'ei names mapping'!$A$4:$A$33,0),MATCH(G461,'ei names mapping'!$B$3:$BL$3,0))</f>
        <v>kilogram</v>
      </c>
      <c r="E461" t="str">
        <f>INDEX('ei names mapping'!$B$305:$BL$335,MATCH(B$234,'ei names mapping'!$A$4:$A$33,0),MATCH(G461,'ei names mapping'!$B$3:$BL$3,0))</f>
        <v>air::urban air close to ground</v>
      </c>
      <c r="F461" t="s">
        <v>167</v>
      </c>
      <c r="G461" t="s">
        <v>566</v>
      </c>
    </row>
    <row r="462" spans="1:8" x14ac:dyDescent="0.2">
      <c r="A462" t="str">
        <f>INDEX('ei names mapping'!$B$4:$BL$33,MATCH(B390,'ei names mapping'!$A$4:$A$33,0),MATCH(G462,'ei names mapping'!$B$3:$BL$3,0))</f>
        <v>treatment of road wear emissions, passenger car</v>
      </c>
      <c r="B462" s="7">
        <f>INDEX('vehicles specifications'!$B$3:$CW$166,MATCH(B393,'vehicles specifications'!$A$3:$A$166,0),MATCH(G462,'vehicles specifications'!$B$2:$CW$2,0))*INDEX('ei names mapping'!$B$137:$BL$300,MATCH(B393,'ei names mapping'!$A$137:$A$300,0),MATCH(G462,'ei names mapping'!$B$136:$BL$136,0))</f>
        <v>-7.5010320003631441E-6</v>
      </c>
      <c r="C462" t="str">
        <f>INDEX('ei names mapping'!$B$38:$BL$67,MATCH(B390,'ei names mapping'!$A$4:$A$33,0),MATCH(G462,'ei names mapping'!$B$3:$BL$3,0))</f>
        <v>RER</v>
      </c>
      <c r="D462" t="str">
        <f>INDEX('ei names mapping'!$B$104:$BL$133,MATCH(B390,'ei names mapping'!$A$4:$A$33,0),MATCH(G462,'ei names mapping'!$B$3:$BL$3,0))</f>
        <v>kilogram</v>
      </c>
      <c r="F462" t="s">
        <v>89</v>
      </c>
      <c r="G462" t="s">
        <v>29</v>
      </c>
      <c r="H462" t="str">
        <f>INDEX('ei names mapping'!$B$71:$BL$100,MATCH(B390,'ei names mapping'!$A$4:$A$33,0),MATCH(G462,'ei names mapping'!$B$3:$BL$3,0))</f>
        <v>road wear emissions, passenger car</v>
      </c>
    </row>
    <row r="463" spans="1:8" x14ac:dyDescent="0.2">
      <c r="A463" t="str">
        <f>INDEX('ei names mapping'!$B$4:$BL$33,MATCH(B390,'ei names mapping'!$A$4:$A$33,0),MATCH(G463,'ei names mapping'!$B$3:$BL$3,0))</f>
        <v>treatment of tyre wear emissions, passenger car</v>
      </c>
      <c r="B463" s="7">
        <f>INDEX('vehicles specifications'!$B$3:$CW$166,MATCH(B393,'vehicles specifications'!$A$3:$A$166,0),MATCH(G463,'vehicles specifications'!$B$2:$CW$2,0))*INDEX('ei names mapping'!$B$137:$BL$300,MATCH(B393,'ei names mapping'!$A$137:$A$300,0),MATCH(G463,'ei names mapping'!$B$136:$BL$136,0))</f>
        <v>-5.7255953221129413E-6</v>
      </c>
      <c r="C463" t="str">
        <f>INDEX('ei names mapping'!$B$38:$BL$67,MATCH(B390,'ei names mapping'!$A$4:$A$33,0),MATCH(G463,'ei names mapping'!$B$3:$BL$3,0))</f>
        <v>RER</v>
      </c>
      <c r="D463" t="str">
        <f>INDEX('ei names mapping'!$B$104:$BL$133,MATCH(B390,'ei names mapping'!$A$4:$A$33,0),MATCH(G463,'ei names mapping'!$B$3:$BL$3,0))</f>
        <v>kilogram</v>
      </c>
      <c r="F463" t="s">
        <v>89</v>
      </c>
      <c r="G463" t="s">
        <v>30</v>
      </c>
      <c r="H463" t="str">
        <f>INDEX('ei names mapping'!$B$71:$BL$100,MATCH(B390,'ei names mapping'!$A$4:$A$33,0),MATCH(G463,'ei names mapping'!$B$3:$BL$3,0))</f>
        <v>tyre wear emissions, passenger car</v>
      </c>
    </row>
    <row r="464" spans="1:8" x14ac:dyDescent="0.2">
      <c r="A464" t="str">
        <f>INDEX('ei names mapping'!$B$4:$BL$33,MATCH(B390,'ei names mapping'!$A$4:$A$33,0),MATCH(G464,'ei names mapping'!$B$3:$BL$3,0))</f>
        <v>treatment of brake wear emissions, passenger car</v>
      </c>
      <c r="B464" s="7">
        <f>INDEX('vehicles specifications'!$B$3:$CW$166,MATCH(B393,'vehicles specifications'!$A$3:$A$166,0),MATCH(G464,'vehicles specifications'!$B$2:$CW$2,0))*INDEX('ei names mapping'!$B$137:$BL$300,MATCH(B393,'ei names mapping'!$A$137:$A$300,0),MATCH(G464,'ei names mapping'!$B$136:$BL$136,0))</f>
        <v>-4.0951102276429758E-6</v>
      </c>
      <c r="C464" t="str">
        <f>INDEX('ei names mapping'!$B$38:$BL$67,MATCH(B390,'ei names mapping'!$A$4:$A$33,0),MATCH(G464,'ei names mapping'!$B$3:$BL$3,0))</f>
        <v>RER</v>
      </c>
      <c r="D464" t="str">
        <f>INDEX('ei names mapping'!$B$104:$BL$133,MATCH(B390,'ei names mapping'!$A$4:$A$33,0),MATCH(G464,'ei names mapping'!$B$3:$BL$3,0))</f>
        <v>kilogram</v>
      </c>
      <c r="F464" t="s">
        <v>89</v>
      </c>
      <c r="G464" t="s">
        <v>31</v>
      </c>
      <c r="H464" t="str">
        <f>INDEX('ei names mapping'!$B$71:$BL$100,MATCH(B390,'ei names mapping'!$A$4:$A$33,0),MATCH(G464,'ei names mapping'!$B$3:$BL$3,0))</f>
        <v>brake wear emissions, passenger car</v>
      </c>
    </row>
    <row r="465" spans="1:2" x14ac:dyDescent="0.2">
      <c r="B465" s="6"/>
    </row>
    <row r="466" spans="1:2" ht="16" x14ac:dyDescent="0.2">
      <c r="A466" s="10" t="s">
        <v>71</v>
      </c>
      <c r="B466" s="8" t="str">
        <f>"transport, "&amp;B468&amp;", "&amp;B470</f>
        <v>transport, Motorbike, gasoline, 4-11kW, EURO-5, 2030</v>
      </c>
    </row>
    <row r="467" spans="1:2" x14ac:dyDescent="0.2">
      <c r="A467" t="s">
        <v>72</v>
      </c>
      <c r="B467" t="s">
        <v>37</v>
      </c>
    </row>
    <row r="468" spans="1:2" x14ac:dyDescent="0.2">
      <c r="A468" t="s">
        <v>86</v>
      </c>
      <c r="B468" t="s">
        <v>640</v>
      </c>
    </row>
    <row r="469" spans="1:2" x14ac:dyDescent="0.2">
      <c r="A469" t="s">
        <v>87</v>
      </c>
    </row>
    <row r="470" spans="1:2" x14ac:dyDescent="0.2">
      <c r="A470" t="s">
        <v>88</v>
      </c>
      <c r="B470">
        <v>2030</v>
      </c>
    </row>
    <row r="471" spans="1:2" x14ac:dyDescent="0.2">
      <c r="A471" t="s">
        <v>126</v>
      </c>
      <c r="B471" t="str">
        <f>B468&amp;" - "&amp;B470&amp;" - "&amp;B467</f>
        <v>Motorbike, gasoline, 4-11kW, EURO-5 - 2030 - CH</v>
      </c>
    </row>
    <row r="472" spans="1:2" x14ac:dyDescent="0.2">
      <c r="A472" t="s">
        <v>73</v>
      </c>
      <c r="B472" t="str">
        <f>"transport, "&amp;B468</f>
        <v>transport, Motorbike, gasoline, 4-11kW, EURO-5</v>
      </c>
    </row>
    <row r="473" spans="1:2" x14ac:dyDescent="0.2">
      <c r="A473" t="s">
        <v>74</v>
      </c>
      <c r="B473" t="s">
        <v>75</v>
      </c>
    </row>
    <row r="474" spans="1:2" x14ac:dyDescent="0.2">
      <c r="A474" t="s">
        <v>76</v>
      </c>
      <c r="B474" t="s">
        <v>166</v>
      </c>
    </row>
    <row r="475" spans="1:2" x14ac:dyDescent="0.2">
      <c r="A475" t="s">
        <v>78</v>
      </c>
      <c r="B475" t="s">
        <v>1143</v>
      </c>
    </row>
    <row r="476" spans="1:2" x14ac:dyDescent="0.2">
      <c r="A476" t="s">
        <v>127</v>
      </c>
      <c r="B476">
        <f>INDEX('vehicles specifications'!$B$3:$CW$166,MATCH(B471,'vehicles specifications'!$A$3:$A$166,0),MATCH("Lifetime [km]",'vehicles specifications'!$B$2:$CW$2,0))</f>
        <v>25000</v>
      </c>
    </row>
    <row r="477" spans="1:2" x14ac:dyDescent="0.2">
      <c r="A477" t="s">
        <v>128</v>
      </c>
      <c r="B477">
        <f>INDEX('vehicles specifications'!$B$3:$CW$166,MATCH(B471,'vehicles specifications'!$A$3:$A$166,0),MATCH("Passengers [unit]",'vehicles specifications'!$B$2:$CW$2,0))</f>
        <v>1.1000000000000001</v>
      </c>
    </row>
    <row r="478" spans="1:2" x14ac:dyDescent="0.2">
      <c r="A478" t="s">
        <v>129</v>
      </c>
      <c r="B478">
        <f>INDEX('vehicles specifications'!$B$3:$CW$166,MATCH(B471,'vehicles specifications'!$A$3:$A$166,0),MATCH("Servicing [unit]",'vehicles specifications'!$B$2:$CW$2,0))</f>
        <v>1</v>
      </c>
    </row>
    <row r="479" spans="1:2" x14ac:dyDescent="0.2">
      <c r="A479" t="s">
        <v>130</v>
      </c>
      <c r="B479">
        <f>INDEX('vehicles specifications'!$B$3:$CW$166,MATCH(B471,'vehicles specifications'!$A$3:$A$166,0),MATCH("Energy battery replacement [unit]",'vehicles specifications'!$B$2:$CW$2,0))</f>
        <v>0</v>
      </c>
    </row>
    <row r="480" spans="1:2" x14ac:dyDescent="0.2">
      <c r="A480" t="s">
        <v>131</v>
      </c>
      <c r="B480">
        <f>INDEX('vehicles specifications'!$B$3:$CW$166,MATCH(B471,'vehicles specifications'!$A$3:$A$166,0),MATCH("Annual kilometers [km]",'vehicles specifications'!$B$2:$CW$2,0))</f>
        <v>1776</v>
      </c>
    </row>
    <row r="481" spans="1:8" x14ac:dyDescent="0.2">
      <c r="A481" t="s">
        <v>132</v>
      </c>
      <c r="B481" s="2">
        <f>INDEX('vehicles specifications'!$B$3:$CW$166,MATCH(B471,'vehicles specifications'!$A$3:$A$166,0),MATCH("Curb mass [kg]",'vehicles specifications'!$B$2:$CW$2,0))</f>
        <v>117.03699102374857</v>
      </c>
    </row>
    <row r="482" spans="1:8" x14ac:dyDescent="0.2">
      <c r="A482" t="s">
        <v>133</v>
      </c>
      <c r="B482">
        <f>INDEX('vehicles specifications'!$B$3:$CW$166,MATCH(B471,'vehicles specifications'!$A$3:$A$166,0),MATCH("Power [kW]",'vehicles specifications'!$B$2:$CW$2,0))</f>
        <v>9</v>
      </c>
    </row>
    <row r="483" spans="1:8" x14ac:dyDescent="0.2">
      <c r="A483" t="s">
        <v>134</v>
      </c>
      <c r="B483" t="str">
        <f>INDEX('vehicles specifications'!$B$3:$CW$166,MATCH(B471,'vehicles specifications'!$A$3:$A$166,0),MATCH("Energy battery mass [kg]",'vehicles specifications'!$B$2:$CW$2,0))</f>
        <v/>
      </c>
    </row>
    <row r="484" spans="1:8" x14ac:dyDescent="0.2">
      <c r="A484" t="s">
        <v>135</v>
      </c>
      <c r="B484">
        <f>INDEX('vehicles specifications'!$B$3:$CW$166,MATCH(B471,'vehicles specifications'!$A$3:$A$166,0),MATCH("Electric energy available [kWh]",'vehicles specifications'!$B$2:$CW$2,0))</f>
        <v>0</v>
      </c>
    </row>
    <row r="485" spans="1:8" x14ac:dyDescent="0.2">
      <c r="A485" t="s">
        <v>138</v>
      </c>
      <c r="B485" s="2">
        <f>INDEX('vehicles specifications'!$B$3:$CW$166,MATCH(B471,'vehicles specifications'!$A$3:$A$166,0),MATCH("Oxydation energy stored [kWh]",'vehicles specifications'!$B$2:$CW$2,0))</f>
        <v>79.875</v>
      </c>
    </row>
    <row r="486" spans="1:8" x14ac:dyDescent="0.2">
      <c r="A486" t="s">
        <v>139</v>
      </c>
      <c r="B486">
        <f>INDEX('vehicles specifications'!$B$3:$CW$166,MATCH(B471,'vehicles specifications'!$A$3:$A$166,0),MATCH("Fuel mass [kg]",'vehicles specifications'!$B$2:$CW$2,0))</f>
        <v>6.75</v>
      </c>
    </row>
    <row r="487" spans="1:8" x14ac:dyDescent="0.2">
      <c r="A487" t="s">
        <v>136</v>
      </c>
      <c r="B487" s="2">
        <f>INDEX('vehicles specifications'!$B$3:$CW$166,MATCH(B471,'vehicles specifications'!$A$3:$A$166,0),MATCH("Range [km]",'vehicles specifications'!$B$2:$CW$2,0))</f>
        <v>288.7905892044663</v>
      </c>
    </row>
    <row r="488" spans="1:8" x14ac:dyDescent="0.2">
      <c r="A488" t="s">
        <v>137</v>
      </c>
      <c r="B488" t="str">
        <f>INDEX('vehicles specifications'!$B$3:$CW$166,MATCH(B471,'vehicles specifications'!$A$3:$A$166,0),MATCH("Emission standard",'vehicles specifications'!$B$2:$CW$2,0))</f>
        <v>EURO-5</v>
      </c>
    </row>
    <row r="489" spans="1:8" x14ac:dyDescent="0.2">
      <c r="A489" t="s">
        <v>1174</v>
      </c>
      <c r="B489" s="6">
        <f>INDEX('vehicles specifications'!$B$3:$CW$166,MATCH(B471,'vehicles specifications'!$A$3:$A$166,0),MATCH("Lightweighting rate [%]",'vehicles specifications'!$B$2:$CW$2,0))</f>
        <v>0.03</v>
      </c>
    </row>
    <row r="490" spans="1:8" x14ac:dyDescent="0.2">
      <c r="A490" t="s">
        <v>83</v>
      </c>
      <c r="B490"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9 kW. Lifetime: 25000 km. Annual kilometers: 1776 km. Number of passengers: 1.1. Curb mass: 117 kg. Lightweighting of glider: 3%. Emission standard: EURO-5. Service visits throughout lifetime: 1. Range: 289 km. Fuel tank capacity: 79.9 kWh. Fuel mass: 6.8 kg. Documentation: Life-cycle inventories for on-road vehicles, Sacchi R. (PSI), Bauer C. (PSI), 2021. Sacchi R., Bauer C. Life cycle inventories for on-road vehicles. Paul Scherrer Institut, 2021.</v>
      </c>
    </row>
    <row r="491" spans="1:8" ht="16" x14ac:dyDescent="0.2">
      <c r="A491" s="10" t="s">
        <v>79</v>
      </c>
    </row>
    <row r="492" spans="1:8" x14ac:dyDescent="0.2">
      <c r="A492" t="s">
        <v>80</v>
      </c>
      <c r="B492" t="s">
        <v>81</v>
      </c>
      <c r="C492" t="s">
        <v>72</v>
      </c>
      <c r="D492" t="s">
        <v>76</v>
      </c>
      <c r="E492" t="s">
        <v>82</v>
      </c>
      <c r="F492" t="s">
        <v>74</v>
      </c>
      <c r="G492" t="s">
        <v>83</v>
      </c>
      <c r="H492" t="s">
        <v>73</v>
      </c>
    </row>
    <row r="493" spans="1:8" x14ac:dyDescent="0.2">
      <c r="A493" t="str">
        <f>B466</f>
        <v>transport, Motorbike, gasoline, 4-11kW, EURO-5, 2030</v>
      </c>
      <c r="B493">
        <v>1</v>
      </c>
      <c r="C493" t="str">
        <f>B467</f>
        <v>CH</v>
      </c>
      <c r="D493" t="s">
        <v>166</v>
      </c>
      <c r="F493" t="s">
        <v>84</v>
      </c>
      <c r="G493" t="s">
        <v>85</v>
      </c>
      <c r="H493" t="str">
        <f>B472</f>
        <v>transport, Motorbike, gasoline, 4-11kW, EURO-5</v>
      </c>
    </row>
    <row r="494" spans="1:8" x14ac:dyDescent="0.2">
      <c r="A494" t="str">
        <f>RIGHT(A493,LEN(A493)-11)</f>
        <v>Motorbike, gasoline, 4-11kW, EURO-5, 2030</v>
      </c>
      <c r="B494" s="7">
        <f>1/B476</f>
        <v>4.0000000000000003E-5</v>
      </c>
      <c r="C494" t="str">
        <f>B467</f>
        <v>CH</v>
      </c>
      <c r="D494" t="s">
        <v>76</v>
      </c>
      <c r="F494" t="s">
        <v>89</v>
      </c>
      <c r="H494" t="str">
        <f>RIGHT(H493,LEN(H493)-11)</f>
        <v>Motorbike, gasoline, 4-11kW, EURO-5</v>
      </c>
    </row>
    <row r="495" spans="1:8" x14ac:dyDescent="0.2">
      <c r="A495" t="str">
        <f>INDEX('ei names mapping'!$B$4:$R$33,MATCH(B468,'ei names mapping'!$A$4:$A$33,0),MATCH(G495,'ei names mapping'!$B$3:$R$3,0))</f>
        <v>road construction</v>
      </c>
      <c r="B495" s="7">
        <f>INDEX('vehicles specifications'!$B$3:$CW$166,MATCH(B471,'vehicles specifications'!$A$3:$A$166,0),MATCH(G495,'vehicles specifications'!$B$2:$CW$2,0))*INDEX('ei names mapping'!$B$137:$BL$300,MATCH(B471,'ei names mapping'!$A$137:$A$300,0),MATCH(G495,'ei names mapping'!$B$136:$BL$136,0))</f>
        <v>1.1037336417975297E-4</v>
      </c>
      <c r="C495" t="str">
        <f>INDEX('ei names mapping'!$B$38:$R$67,MATCH(B468,'ei names mapping'!$A$4:$A$33,0),MATCH(G495,'ei names mapping'!$B$3:$R$3,0))</f>
        <v>CH</v>
      </c>
      <c r="D495" t="str">
        <f>INDEX('ei names mapping'!$B$104:$BL$133,MATCH(B468,'ei names mapping'!$A$4:$A$33,0),MATCH(G495,'ei names mapping'!$B$3:$BL$3,0))</f>
        <v>meter-year</v>
      </c>
      <c r="F495" t="s">
        <v>89</v>
      </c>
      <c r="G495" t="s">
        <v>105</v>
      </c>
      <c r="H495" t="str">
        <f>INDEX('ei names mapping'!$B$71:$BL$100,MATCH(B468,'ei names mapping'!$A$4:$A$33,0),MATCH(G495,'ei names mapping'!$B$3:$BL$3,0))</f>
        <v>road</v>
      </c>
    </row>
    <row r="496" spans="1:8" x14ac:dyDescent="0.2">
      <c r="A496" t="str">
        <f>INDEX('ei names mapping'!$B$4:$R$33,MATCH(B468,'ei names mapping'!$A$4:$A$33,0),MATCH(G496,'ei names mapping'!$B$3:$R$3,0))</f>
        <v>maintenance, motor scooter</v>
      </c>
      <c r="B496" s="7">
        <f>INDEX('vehicles specifications'!$B$3:$CW$166,MATCH(B471,'vehicles specifications'!$A$3:$A$166,0),MATCH(G496,'vehicles specifications'!$B$2:$CW$2,0))*INDEX('ei names mapping'!$B$137:$BL$300,MATCH(B471,'ei names mapping'!$A$137:$A$300,0),MATCH(G496,'ei names mapping'!$B$136:$BL$136,0))</f>
        <v>4.0000000000000003E-5</v>
      </c>
      <c r="C496" t="str">
        <f>INDEX('ei names mapping'!$B$38:$BL$67,MATCH(B468,'ei names mapping'!$A$4:$A$33,0),MATCH(G496,'ei names mapping'!$B$3:$BL$3,0))</f>
        <v>CH</v>
      </c>
      <c r="D496" t="str">
        <f>INDEX('ei names mapping'!$B$104:$BL$133,MATCH(B468,'ei names mapping'!$A$4:$A$33,0),MATCH(G496,'ei names mapping'!$B$3:$BL$3,0))</f>
        <v>unit</v>
      </c>
      <c r="F496" t="s">
        <v>89</v>
      </c>
      <c r="G496" t="s">
        <v>118</v>
      </c>
      <c r="H496" t="str">
        <f>INDEX('ei names mapping'!$B$71:$BL$100,MATCH(B468,'ei names mapping'!$A$4:$A$33,0),MATCH(G496,'ei names mapping'!$B$3:$BL$3,0))</f>
        <v>maintenance, motor scooter</v>
      </c>
    </row>
    <row r="497" spans="1:8" x14ac:dyDescent="0.2">
      <c r="A497" t="str">
        <f>INDEX('ei names mapping'!$B$4:$R$33,MATCH(B468,'ei names mapping'!$A$4:$A$33,0),MATCH(G497,'ei names mapping'!$B$3:$R$3,0))</f>
        <v>fuel supply for gasoline vehicles</v>
      </c>
      <c r="B497" s="7">
        <f>INDEX('vehicles specifications'!$B$3:$CW$166,MATCH(B471,'vehicles specifications'!$A$3:$A$166,0),MATCH(G497,'vehicles specifications'!$B$2:$CW$2,0))*INDEX('ei names mapping'!$B$137:$BL$300,MATCH(B471,'ei names mapping'!$A$137:$A$300,0),MATCH(G497,'ei names mapping'!$B$136:$BL$136,0))</f>
        <v>2.3373337817531651E-2</v>
      </c>
      <c r="C497" t="str">
        <f>INDEX('ei names mapping'!$B$38:$BL$67,MATCH(B468,'ei names mapping'!$A$4:$A$33,0),MATCH(G497,'ei names mapping'!$B$3:$BL$3,0))</f>
        <v>CH</v>
      </c>
      <c r="D497" t="str">
        <f>INDEX('ei names mapping'!$B$104:$BL$133,MATCH(B468,'ei names mapping'!$A$4:$A$33,0),MATCH(G497,'ei names mapping'!$B$3:$BL$3,0))</f>
        <v>kilogram</v>
      </c>
      <c r="F497" t="s">
        <v>89</v>
      </c>
      <c r="G497" t="s">
        <v>27</v>
      </c>
      <c r="H497" t="str">
        <f>INDEX('ei names mapping'!$B$71:$BL$100,MATCH(B468,'ei names mapping'!$A$4:$A$33,0),MATCH(G497,'ei names mapping'!$B$3:$BL$3,0))</f>
        <v>gasoline blend</v>
      </c>
    </row>
    <row r="498" spans="1:8" x14ac:dyDescent="0.2">
      <c r="A498" t="str">
        <f>INDEX('ei names mapping'!$B$4:$R$33,MATCH(B468,'ei names mapping'!$A$4:$A$33,0),MATCH(G498,'ei names mapping'!$B$3:$R$3,0))</f>
        <v>road maintenance</v>
      </c>
      <c r="B498" s="7">
        <f>INDEX('vehicles specifications'!$B$3:$CW$166,MATCH(B471,'vehicles specifications'!$A$3:$A$166,0),MATCH(G498,'vehicles specifications'!$B$2:$CW$2,0))*INDEX('ei names mapping'!$B$137:$BL$300,MATCH(B471,'ei names mapping'!$A$137:$A$300,0),MATCH(G498,'ei names mapping'!$B$136:$BL$136,0))</f>
        <v>1.2899999999999999E-3</v>
      </c>
      <c r="C498" t="str">
        <f>INDEX('ei names mapping'!$B$38:$R$67,MATCH(B468,'ei names mapping'!$A$4:$A$33,0),MATCH(G498,'ei names mapping'!$B$3:$R$3,0))</f>
        <v>CH</v>
      </c>
      <c r="D498" t="str">
        <f>INDEX('ei names mapping'!$B$104:$BL$133,MATCH(B468,'ei names mapping'!$A$4:$A$33,0),MATCH(G498,'ei names mapping'!$B$3:$BL$3,0))</f>
        <v>meter-year</v>
      </c>
      <c r="F498" t="s">
        <v>89</v>
      </c>
      <c r="G498" t="s">
        <v>112</v>
      </c>
      <c r="H498" t="str">
        <f>INDEX('ei names mapping'!$B$71:$BL$100,MATCH(B468,'ei names mapping'!$A$4:$A$33,0),MATCH(G498,'ei names mapping'!$B$3:$BL$3,0))</f>
        <v>road maintenance</v>
      </c>
    </row>
    <row r="499" spans="1:8" x14ac:dyDescent="0.2">
      <c r="A499" t="str">
        <f>INDEX('ei names mapping'!$B$4:$BL$33,MATCH(B468,'ei names mapping'!$A$4:$A$33,0),MATCH(G499,'ei names mapping'!$B$3:$BL$3,0))</f>
        <v>Carbon dioxide, fossil</v>
      </c>
      <c r="B499" s="7">
        <f>INDEX('vehicles specifications'!$B$3:$CW$166,MATCH(B471,'vehicles specifications'!$A$3:$A$166,0),MATCH(G499,'vehicles specifications'!$B$2:$CW$2,0))*INDEX('ei names mapping'!$B$137:$BL$300,MATCH(B471,'ei names mapping'!$A$137:$A$300,0),MATCH(G499,'ei names mapping'!$B$136:$BL$136,0))</f>
        <v>7.2511573378084795E-2</v>
      </c>
      <c r="D499" t="str">
        <f>INDEX('ei names mapping'!$B$104:$BL$133,MATCH(B468,'ei names mapping'!$A$4:$A$33,0),MATCH(G499,'ei names mapping'!$B$3:$BL$3,0))</f>
        <v>kilogram</v>
      </c>
      <c r="E499" t="str">
        <f>INDEX('ei names mapping'!$B$305:$BL$335,MATCH(B468,'ei names mapping'!$A$4:$A$33,0),MATCH(G499,'ei names mapping'!$B$3:$BL$3,0))</f>
        <v>air::urban air close to ground</v>
      </c>
      <c r="F499" t="s">
        <v>167</v>
      </c>
      <c r="G499" t="s">
        <v>66</v>
      </c>
    </row>
    <row r="500" spans="1:8" x14ac:dyDescent="0.2">
      <c r="A500" t="str">
        <f>INDEX('ei names mapping'!$B$4:$BL$33,MATCH(B468,'ei names mapping'!$A$4:$A$33,0),MATCH(G500,'ei names mapping'!$B$3:$BL$3,0))</f>
        <v>Carbon dioxide, from soil or biomass stock</v>
      </c>
      <c r="B500" s="11">
        <f>INDEX('vehicles specifications'!$B$3:$CW$166,MATCH(B471,'vehicles specifications'!$A$3:$A$166,0),MATCH(G500,'vehicles specifications'!$B$2:$CW$2,0))*INDEX('ei names mapping'!$B$137:$BL$300,MATCH(B471,'ei names mapping'!$A$137:$A$300,0),MATCH(G500,'ei names mapping'!$B$136:$BL$136,0))</f>
        <v>8.807073689645926E-4</v>
      </c>
      <c r="D500" t="str">
        <f>INDEX('ei names mapping'!$B$104:$BL$133,MATCH(B468,'ei names mapping'!$A$4:$A$33,0),MATCH(G500,'ei names mapping'!$B$3:$BL$3,0))</f>
        <v>kilogram</v>
      </c>
      <c r="E500" t="str">
        <f>INDEX('ei names mapping'!$B$305:$BL$335,MATCH(B468,'ei names mapping'!$A$4:$A$33,0),MATCH(G500,'ei names mapping'!$B$3:$BL$3,0))</f>
        <v>air::urban air close to ground</v>
      </c>
      <c r="F500" t="s">
        <v>167</v>
      </c>
      <c r="G500" t="s">
        <v>843</v>
      </c>
    </row>
    <row r="501" spans="1:8" x14ac:dyDescent="0.2">
      <c r="A501" t="str">
        <f>INDEX('ei names mapping'!$B$4:$BL$33,MATCH(B468,'ei names mapping'!$A$4:$A$33,0),MATCH(G501,'ei names mapping'!$B$3:$BL$3,0))</f>
        <v>Sulfur dioxide</v>
      </c>
      <c r="B501" s="7">
        <f>INDEX('vehicles specifications'!$B$3:$CW$166,MATCH(B471,'vehicles specifications'!$A$3:$A$166,0),MATCH(G501,'vehicles specifications'!$B$2:$CW$2,0))*INDEX('ei names mapping'!$B$137:$BL$300,MATCH(B471,'ei names mapping'!$A$137:$A$300,0),MATCH(G501,'ei names mapping'!$B$136:$BL$136,0))</f>
        <v>3.7397340508050638E-7</v>
      </c>
      <c r="D501" t="str">
        <f>INDEX('ei names mapping'!$B$104:$BL$133,MATCH(B468,'ei names mapping'!$A$4:$A$33,0),MATCH(G501,'ei names mapping'!$B$3:$BL$3,0))</f>
        <v>kilogram</v>
      </c>
      <c r="E501" t="str">
        <f>INDEX('ei names mapping'!$B$305:$BL$335,MATCH(B468,'ei names mapping'!$A$4:$A$33,0),MATCH(G501,'ei names mapping'!$B$3:$BL$3,0))</f>
        <v>air::urban air close to ground</v>
      </c>
      <c r="F501" t="s">
        <v>167</v>
      </c>
      <c r="G501" t="s">
        <v>67</v>
      </c>
    </row>
    <row r="502" spans="1:8" x14ac:dyDescent="0.2">
      <c r="A502" t="str">
        <f>INDEX('ei names mapping'!$B$4:$BL$33,MATCH(B468,'ei names mapping'!$A$4:$A$33,0),MATCH(G502,'ei names mapping'!$B$3:$BL$3,0))</f>
        <v>Benzene</v>
      </c>
      <c r="B502" s="7">
        <f>INDEX('vehicles specifications'!$B$3:$CW$166,MATCH(B471,'vehicles specifications'!$A$3:$A$166,0),MATCH(G502,'vehicles specifications'!$B$2:$CW$2,0))*INDEX('ei names mapping'!$B$137:$BL$300,MATCH(B471,'ei names mapping'!$A$137:$A$300,0),MATCH(G502,'ei names mapping'!$B$136:$BL$136,0))</f>
        <v>2.9728265987910503E-6</v>
      </c>
      <c r="D502" t="str">
        <f>INDEX('ei names mapping'!$B$104:$BL$133,MATCH(B468,'ei names mapping'!$A$4:$A$33,0),MATCH(G502,'ei names mapping'!$B$3:$BL$3,0))</f>
        <v>kilogram</v>
      </c>
      <c r="E502" t="str">
        <f>INDEX('ei names mapping'!$B$305:$BL$335,MATCH(B468,'ei names mapping'!$A$4:$A$33,0),MATCH(G502,'ei names mapping'!$B$3:$BL$3,0))</f>
        <v>air::urban air close to ground</v>
      </c>
      <c r="F502" t="s">
        <v>167</v>
      </c>
      <c r="G502" t="s">
        <v>55</v>
      </c>
    </row>
    <row r="503" spans="1:8" x14ac:dyDescent="0.2">
      <c r="A503" t="str">
        <f>INDEX('ei names mapping'!$B$4:$BL$33,MATCH(B468,'ei names mapping'!$A$4:$A$33,0),MATCH(G503,'ei names mapping'!$B$3:$BL$3,0))</f>
        <v>Methane, fossil</v>
      </c>
      <c r="B503" s="7">
        <f>INDEX('vehicles specifications'!$B$3:$CW$166,MATCH(B471,'vehicles specifications'!$A$3:$A$166,0),MATCH(G503,'vehicles specifications'!$B$2:$CW$2,0))*INDEX('ei names mapping'!$B$137:$BL$300,MATCH(B471,'ei names mapping'!$A$137:$A$300,0),MATCH(G503,'ei names mapping'!$B$136:$BL$136,0))</f>
        <v>5.5186509328161295E-5</v>
      </c>
      <c r="D503" t="str">
        <f>INDEX('ei names mapping'!$B$104:$BL$133,MATCH(B468,'ei names mapping'!$A$4:$A$33,0),MATCH(G503,'ei names mapping'!$B$3:$BL$3,0))</f>
        <v>kilogram</v>
      </c>
      <c r="E503" t="str">
        <f>INDEX('ei names mapping'!$B$305:$BL$335,MATCH(B468,'ei names mapping'!$A$4:$A$33,0),MATCH(G503,'ei names mapping'!$B$3:$BL$3,0))</f>
        <v>air::urban air close to ground</v>
      </c>
      <c r="F503" t="s">
        <v>167</v>
      </c>
      <c r="G503" t="s">
        <v>56</v>
      </c>
    </row>
    <row r="504" spans="1:8" x14ac:dyDescent="0.2">
      <c r="A504" t="str">
        <f>INDEX('ei names mapping'!$B$4:$BL$33,MATCH(B468,'ei names mapping'!$A$4:$A$33,0),MATCH(G504,'ei names mapping'!$B$3:$BL$3,0))</f>
        <v>Carbon monoxide, fossil</v>
      </c>
      <c r="B504" s="7">
        <f>INDEX('vehicles specifications'!$B$3:$CW$166,MATCH(B471,'vehicles specifications'!$A$3:$A$166,0),MATCH(G504,'vehicles specifications'!$B$2:$CW$2,0))*INDEX('ei names mapping'!$B$137:$BL$300,MATCH(B471,'ei names mapping'!$A$137:$A$300,0),MATCH(G504,'ei names mapping'!$B$136:$BL$136,0))</f>
        <v>7.0529899069459573E-4</v>
      </c>
      <c r="D504" t="str">
        <f>INDEX('ei names mapping'!$B$104:$BL$133,MATCH(B468,'ei names mapping'!$A$4:$A$33,0),MATCH(G504,'ei names mapping'!$B$3:$BL$3,0))</f>
        <v>kilogram</v>
      </c>
      <c r="E504" t="str">
        <f>INDEX('ei names mapping'!$B$305:$BL$335,MATCH(B468,'ei names mapping'!$A$4:$A$33,0),MATCH(G504,'ei names mapping'!$B$3:$BL$3,0))</f>
        <v>air::urban air close to ground</v>
      </c>
      <c r="F504" t="s">
        <v>167</v>
      </c>
      <c r="G504" t="s">
        <v>57</v>
      </c>
    </row>
    <row r="505" spans="1:8" x14ac:dyDescent="0.2">
      <c r="A505" t="str">
        <f>INDEX('ei names mapping'!$B$4:$BL$33,MATCH(B468,'ei names mapping'!$A$4:$A$33,0),MATCH(G505,'ei names mapping'!$B$3:$BL$3,0))</f>
        <v>Dinitrogen monoxide</v>
      </c>
      <c r="B505" s="7">
        <f>INDEX('vehicles specifications'!$B$3:$CW$166,MATCH(B471,'vehicles specifications'!$A$3:$A$166,0),MATCH(G505,'vehicles specifications'!$B$2:$CW$2,0))*INDEX('ei names mapping'!$B$137:$BL$300,MATCH(B471,'ei names mapping'!$A$137:$A$300,0),MATCH(G505,'ei names mapping'!$B$136:$BL$136,0))</f>
        <v>1.9709467617200459E-6</v>
      </c>
      <c r="D505" t="str">
        <f>INDEX('ei names mapping'!$B$104:$BL$133,MATCH(B468,'ei names mapping'!$A$4:$A$33,0),MATCH(G505,'ei names mapping'!$B$3:$BL$3,0))</f>
        <v>kilogram</v>
      </c>
      <c r="E505" t="str">
        <f>INDEX('ei names mapping'!$B$305:$BL$335,MATCH(B468,'ei names mapping'!$A$4:$A$33,0),MATCH(G505,'ei names mapping'!$B$3:$BL$3,0))</f>
        <v>air::urban air close to ground</v>
      </c>
      <c r="F505" t="s">
        <v>167</v>
      </c>
      <c r="G505" t="s">
        <v>58</v>
      </c>
    </row>
    <row r="506" spans="1:8" x14ac:dyDescent="0.2">
      <c r="A506" t="str">
        <f>INDEX('ei names mapping'!$B$4:$BL$33,MATCH(B468,'ei names mapping'!$A$4:$A$33,0),MATCH(G506,'ei names mapping'!$B$3:$BL$3,0))</f>
        <v>Ammonia</v>
      </c>
      <c r="B506" s="7">
        <f>INDEX('vehicles specifications'!$B$3:$CW$166,MATCH(B471,'vehicles specifications'!$A$3:$A$166,0),MATCH(G506,'vehicles specifications'!$B$2:$CW$2,0))*INDEX('ei names mapping'!$B$137:$BL$300,MATCH(B471,'ei names mapping'!$A$137:$A$300,0),MATCH(G506,'ei names mapping'!$B$136:$BL$136,0))</f>
        <v>1.9709467617200459E-6</v>
      </c>
      <c r="D506" t="str">
        <f>INDEX('ei names mapping'!$B$104:$BL$133,MATCH(B468,'ei names mapping'!$A$4:$A$33,0),MATCH(G506,'ei names mapping'!$B$3:$BL$3,0))</f>
        <v>kilogram</v>
      </c>
      <c r="E506" t="str">
        <f>INDEX('ei names mapping'!$B$305:$BL$335,MATCH(B468,'ei names mapping'!$A$4:$A$33,0),MATCH(G506,'ei names mapping'!$B$3:$BL$3,0))</f>
        <v>air::urban air close to ground</v>
      </c>
      <c r="F506" t="s">
        <v>167</v>
      </c>
      <c r="G506" t="s">
        <v>59</v>
      </c>
    </row>
    <row r="507" spans="1:8" x14ac:dyDescent="0.2">
      <c r="A507" t="str">
        <f>INDEX('ei names mapping'!$B$4:$BL$33,MATCH(B468,'ei names mapping'!$A$4:$A$33,0),MATCH(G507,'ei names mapping'!$B$3:$BL$3,0))</f>
        <v>Nitrogen oxides</v>
      </c>
      <c r="B507" s="7">
        <f>INDEX('vehicles specifications'!$B$3:$CW$166,MATCH(B471,'vehicles specifications'!$A$3:$A$166,0),MATCH(G507,'vehicles specifications'!$B$2:$CW$2,0))*INDEX('ei names mapping'!$B$137:$BL$300,MATCH(B471,'ei names mapping'!$A$137:$A$300,0),MATCH(G507,'ei names mapping'!$B$136:$BL$136,0))</f>
        <v>1.8132360967609141E-5</v>
      </c>
      <c r="D507" t="str">
        <f>INDEX('ei names mapping'!$B$104:$BL$133,MATCH(B468,'ei names mapping'!$A$4:$A$33,0),MATCH(G507,'ei names mapping'!$B$3:$BL$3,0))</f>
        <v>kilogram</v>
      </c>
      <c r="E507" t="str">
        <f>INDEX('ei names mapping'!$B$305:$BL$335,MATCH(B468,'ei names mapping'!$A$4:$A$33,0),MATCH(G507,'ei names mapping'!$B$3:$BL$3,0))</f>
        <v>air::urban air close to ground</v>
      </c>
      <c r="F507" t="s">
        <v>167</v>
      </c>
      <c r="G507" t="s">
        <v>60</v>
      </c>
    </row>
    <row r="508" spans="1:8" x14ac:dyDescent="0.2">
      <c r="A508" t="str">
        <f>INDEX('ei names mapping'!$B$4:$BL$33,MATCH(B468,'ei names mapping'!$A$4:$A$33,0),MATCH(G508,'ei names mapping'!$B$3:$BL$3,0))</f>
        <v>Particulates, &lt; 2.5 um</v>
      </c>
      <c r="B508" s="7">
        <f>INDEX('vehicles specifications'!$B$3:$CW$166,MATCH(B$471,'vehicles specifications'!$A$3:$A$166,0),MATCH(G508,'vehicles specifications'!$B$2:$CW$2,0))*INDEX('ei names mapping'!$B$137:$BL$300,MATCH(B$471,'ei names mapping'!$A$137:$A$300,0),MATCH(G508,'ei names mapping'!$B$136:$BL$136,0))</f>
        <v>4.9273669043001146E-6</v>
      </c>
      <c r="D508" t="str">
        <f>INDEX('ei names mapping'!$B$104:$BL$133,MATCH(B468,'ei names mapping'!$A$4:$A$33,0),MATCH(G508,'ei names mapping'!$B$3:$BL$3,0))</f>
        <v>kilogram</v>
      </c>
      <c r="E508" t="str">
        <f>INDEX('ei names mapping'!$B$305:$BL$335,MATCH(B468,'ei names mapping'!$A$4:$A$33,0),MATCH(G508,'ei names mapping'!$B$3:$BL$3,0))</f>
        <v>air::urban air close to ground</v>
      </c>
      <c r="F508" t="s">
        <v>167</v>
      </c>
      <c r="G508" t="s">
        <v>62</v>
      </c>
    </row>
    <row r="509" spans="1:8" x14ac:dyDescent="0.2">
      <c r="A509" t="str">
        <f>INDEX('ei names mapping'!$B$4:$BL$33,MATCH(B$234,'ei names mapping'!$A$4:$A$33,0),MATCH(G509,'ei names mapping'!$B$3:$BL$3,0))</f>
        <v>NMVOC, non-methane volatile organic compounds, unspecified origin</v>
      </c>
      <c r="B509" s="7">
        <f>INDEX('vehicles specifications'!$B$3:$CW$166,MATCH(B$471,'vehicles specifications'!$A$3:$A$166,0),MATCH(G509,'vehicles specifications'!$B$2:$CW$2,0))*INDEX('ei names mapping'!$B$137:$BL$300,MATCH(B$471,'ei names mapping'!$A$137:$A$300,0),MATCH(G509,'ei names mapping'!$B$136:$BL$136,0))</f>
        <v>2.3973382411641201E-5</v>
      </c>
      <c r="D509" t="str">
        <f>INDEX('ei names mapping'!$B$104:$BL$133,MATCH(B$234,'ei names mapping'!$A$4:$A$33,0),MATCH(G509,'ei names mapping'!$B$3:$BL$3,0))</f>
        <v>kilogram</v>
      </c>
      <c r="E509" t="str">
        <f>INDEX('ei names mapping'!$B$305:$BL$335,MATCH(B$234,'ei names mapping'!$A$4:$A$33,0),MATCH(G509,'ei names mapping'!$B$3:$BL$3,0))</f>
        <v>air::urban air close to ground</v>
      </c>
      <c r="F509" t="s">
        <v>167</v>
      </c>
      <c r="G509" t="s">
        <v>593</v>
      </c>
    </row>
    <row r="510" spans="1:8" x14ac:dyDescent="0.2">
      <c r="A510" t="str">
        <f>INDEX('ei names mapping'!$B$4:$BL$33,MATCH(B$234,'ei names mapping'!$A$4:$A$33,0),MATCH(G510,'ei names mapping'!$B$3:$BL$3,0))</f>
        <v>Ethane</v>
      </c>
      <c r="B510" s="7">
        <f>INDEX('vehicles specifications'!$B$3:$CW$166,MATCH(B$471,'vehicles specifications'!$A$3:$A$166,0),MATCH(G510,'vehicles specifications'!$B$2:$CW$2,0))*INDEX('ei names mapping'!$B$137:$BL$300,MATCH(B$471,'ei names mapping'!$A$137:$A$300,0),MATCH(G510,'ei names mapping'!$B$136:$BL$136,0))</f>
        <v>1.690430811077264E-6</v>
      </c>
      <c r="D510" t="str">
        <f>INDEX('ei names mapping'!$B$104:$BL$133,MATCH(B$234,'ei names mapping'!$A$4:$A$33,0),MATCH(G510,'ei names mapping'!$B$3:$BL$3,0))</f>
        <v>kilogram</v>
      </c>
      <c r="E510" t="str">
        <f>INDEX('ei names mapping'!$B$305:$BL$335,MATCH(B$234,'ei names mapping'!$A$4:$A$33,0),MATCH(G510,'ei names mapping'!$B$3:$BL$3,0))</f>
        <v>air::urban air close to ground</v>
      </c>
      <c r="F510" t="s">
        <v>167</v>
      </c>
      <c r="G510" t="s">
        <v>541</v>
      </c>
    </row>
    <row r="511" spans="1:8" x14ac:dyDescent="0.2">
      <c r="A511" t="str">
        <f>INDEX('ei names mapping'!$B$4:$BL$33,MATCH(B$234,'ei names mapping'!$A$4:$A$33,0),MATCH(G511,'ei names mapping'!$B$3:$BL$3,0))</f>
        <v>Propane</v>
      </c>
      <c r="B511" s="7">
        <f>INDEX('vehicles specifications'!$B$3:$CW$166,MATCH(B$471,'vehicles specifications'!$A$3:$A$166,0),MATCH(G511,'vehicles specifications'!$B$2:$CW$2,0))*INDEX('ei names mapping'!$B$137:$BL$300,MATCH(B$471,'ei names mapping'!$A$137:$A$300,0),MATCH(G511,'ei names mapping'!$B$136:$BL$136,0))</f>
        <v>3.44445149592546E-7</v>
      </c>
      <c r="D511" t="str">
        <f>INDEX('ei names mapping'!$B$104:$BL$133,MATCH(B$234,'ei names mapping'!$A$4:$A$33,0),MATCH(G511,'ei names mapping'!$B$3:$BL$3,0))</f>
        <v>kilogram</v>
      </c>
      <c r="E511" t="str">
        <f>INDEX('ei names mapping'!$B$305:$BL$335,MATCH(B$234,'ei names mapping'!$A$4:$A$33,0),MATCH(G511,'ei names mapping'!$B$3:$BL$3,0))</f>
        <v>air::urban air close to ground</v>
      </c>
      <c r="F511" t="s">
        <v>167</v>
      </c>
      <c r="G511" t="s">
        <v>542</v>
      </c>
    </row>
    <row r="512" spans="1:8" x14ac:dyDescent="0.2">
      <c r="A512" t="str">
        <f>INDEX('ei names mapping'!$B$4:$BL$33,MATCH(B$234,'ei names mapping'!$A$4:$A$33,0),MATCH(G512,'ei names mapping'!$B$3:$BL$3,0))</f>
        <v>Butane</v>
      </c>
      <c r="B512" s="7">
        <f>INDEX('vehicles specifications'!$B$3:$CW$166,MATCH(B$471,'vehicles specifications'!$A$3:$A$166,0),MATCH(G512,'vehicles specifications'!$B$2:$CW$2,0))*INDEX('ei names mapping'!$B$137:$BL$300,MATCH(B$471,'ei names mapping'!$A$137:$A$300,0),MATCH(G512,'ei names mapping'!$B$136:$BL$136,0))</f>
        <v>2.7767578213306791E-6</v>
      </c>
      <c r="D512" t="str">
        <f>INDEX('ei names mapping'!$B$104:$BL$133,MATCH(B$234,'ei names mapping'!$A$4:$A$33,0),MATCH(G512,'ei names mapping'!$B$3:$BL$3,0))</f>
        <v>kilogram</v>
      </c>
      <c r="E512" t="str">
        <f>INDEX('ei names mapping'!$B$305:$BL$335,MATCH(B$234,'ei names mapping'!$A$4:$A$33,0),MATCH(G512,'ei names mapping'!$B$3:$BL$3,0))</f>
        <v>air::urban air close to ground</v>
      </c>
      <c r="F512" t="s">
        <v>167</v>
      </c>
      <c r="G512" t="s">
        <v>543</v>
      </c>
    </row>
    <row r="513" spans="1:7" x14ac:dyDescent="0.2">
      <c r="A513" t="str">
        <f>INDEX('ei names mapping'!$B$4:$BL$33,MATCH(B$234,'ei names mapping'!$A$4:$A$33,0),MATCH(G513,'ei names mapping'!$B$3:$BL$3,0))</f>
        <v>Pentane</v>
      </c>
      <c r="B513" s="7">
        <f>INDEX('vehicles specifications'!$B$3:$CW$166,MATCH(B$471,'vehicles specifications'!$A$3:$A$166,0),MATCH(G513,'vehicles specifications'!$B$2:$CW$2,0))*INDEX('ei names mapping'!$B$137:$BL$300,MATCH(B$471,'ei names mapping'!$A$137:$A$300,0),MATCH(G513,'ei names mapping'!$B$136:$BL$136,0))</f>
        <v>1.1393185717291907E-6</v>
      </c>
      <c r="D513" t="str">
        <f>INDEX('ei names mapping'!$B$104:$BL$133,MATCH(B$234,'ei names mapping'!$A$4:$A$33,0),MATCH(G513,'ei names mapping'!$B$3:$BL$3,0))</f>
        <v>kilogram</v>
      </c>
      <c r="E513" t="str">
        <f>INDEX('ei names mapping'!$B$305:$BL$335,MATCH(B$234,'ei names mapping'!$A$4:$A$33,0),MATCH(G513,'ei names mapping'!$B$3:$BL$3,0))</f>
        <v>air::urban air close to ground</v>
      </c>
      <c r="F513" t="s">
        <v>167</v>
      </c>
      <c r="G513" t="s">
        <v>544</v>
      </c>
    </row>
    <row r="514" spans="1:7" x14ac:dyDescent="0.2">
      <c r="A514" t="str">
        <f>INDEX('ei names mapping'!$B$4:$BL$33,MATCH(B$234,'ei names mapping'!$A$4:$A$33,0),MATCH(G514,'ei names mapping'!$B$3:$BL$3,0))</f>
        <v>Hexane</v>
      </c>
      <c r="B514" s="7">
        <f>INDEX('vehicles specifications'!$B$3:$CW$166,MATCH(B$471,'vehicles specifications'!$A$3:$A$166,0),MATCH(G514,'vehicles specifications'!$B$2:$CW$2,0))*INDEX('ei names mapping'!$B$137:$BL$300,MATCH(B$471,'ei names mapping'!$A$137:$A$300,0),MATCH(G514,'ei names mapping'!$B$136:$BL$136,0))</f>
        <v>8.5316413975999859E-7</v>
      </c>
      <c r="D514" t="str">
        <f>INDEX('ei names mapping'!$B$104:$BL$133,MATCH(B$234,'ei names mapping'!$A$4:$A$33,0),MATCH(G514,'ei names mapping'!$B$3:$BL$3,0))</f>
        <v>kilogram</v>
      </c>
      <c r="E514" t="str">
        <f>INDEX('ei names mapping'!$B$305:$BL$335,MATCH(B$234,'ei names mapping'!$A$4:$A$33,0),MATCH(G514,'ei names mapping'!$B$3:$BL$3,0))</f>
        <v>air::urban air close to ground</v>
      </c>
      <c r="F514" t="s">
        <v>167</v>
      </c>
      <c r="G514" t="s">
        <v>545</v>
      </c>
    </row>
    <row r="515" spans="1:7" x14ac:dyDescent="0.2">
      <c r="A515" t="str">
        <f>INDEX('ei names mapping'!$B$4:$BL$33,MATCH(B$234,'ei names mapping'!$A$4:$A$33,0),MATCH(G515,'ei names mapping'!$B$3:$BL$3,0))</f>
        <v>Cyclohexane</v>
      </c>
      <c r="B515" s="7">
        <f>INDEX('vehicles specifications'!$B$3:$CW$166,MATCH(B$471,'vehicles specifications'!$A$3:$A$166,0),MATCH(G515,'vehicles specifications'!$B$2:$CW$2,0))*INDEX('ei names mapping'!$B$137:$BL$300,MATCH(B$471,'ei names mapping'!$A$137:$A$300,0),MATCH(G515,'ei names mapping'!$B$136:$BL$136,0))</f>
        <v>6.0410380082384996E-7</v>
      </c>
      <c r="D515" t="str">
        <f>INDEX('ei names mapping'!$B$104:$BL$133,MATCH(B$234,'ei names mapping'!$A$4:$A$33,0),MATCH(G515,'ei names mapping'!$B$3:$BL$3,0))</f>
        <v>kilogram</v>
      </c>
      <c r="E515" t="str">
        <f>INDEX('ei names mapping'!$B$305:$BL$335,MATCH(B$234,'ei names mapping'!$A$4:$A$33,0),MATCH(G515,'ei names mapping'!$B$3:$BL$3,0))</f>
        <v>air::urban air close to ground</v>
      </c>
      <c r="F515" t="s">
        <v>167</v>
      </c>
      <c r="G515" t="s">
        <v>546</v>
      </c>
    </row>
    <row r="516" spans="1:7" x14ac:dyDescent="0.2">
      <c r="A516" t="str">
        <f>INDEX('ei names mapping'!$B$4:$BL$33,MATCH(B$234,'ei names mapping'!$A$4:$A$33,0),MATCH(G516,'ei names mapping'!$B$3:$BL$3,0))</f>
        <v>Heptane</v>
      </c>
      <c r="B516" s="7">
        <f>INDEX('vehicles specifications'!$B$3:$CW$166,MATCH(B$471,'vehicles specifications'!$A$3:$A$166,0),MATCH(G516,'vehicles specifications'!$B$2:$CW$2,0))*INDEX('ei names mapping'!$B$137:$BL$300,MATCH(B$471,'ei names mapping'!$A$137:$A$300,0),MATCH(G516,'ei names mapping'!$B$136:$BL$136,0))</f>
        <v>3.921375549207447E-7</v>
      </c>
      <c r="D516" t="str">
        <f>INDEX('ei names mapping'!$B$104:$BL$133,MATCH(B$234,'ei names mapping'!$A$4:$A$33,0),MATCH(G516,'ei names mapping'!$B$3:$BL$3,0))</f>
        <v>kilogram</v>
      </c>
      <c r="E516" t="str">
        <f>INDEX('ei names mapping'!$B$305:$BL$335,MATCH(B$234,'ei names mapping'!$A$4:$A$33,0),MATCH(G516,'ei names mapping'!$B$3:$BL$3,0))</f>
        <v>air::urban air close to ground</v>
      </c>
      <c r="F516" t="s">
        <v>167</v>
      </c>
      <c r="G516" t="s">
        <v>547</v>
      </c>
    </row>
    <row r="517" spans="1:7" x14ac:dyDescent="0.2">
      <c r="A517" t="str">
        <f>INDEX('ei names mapping'!$B$4:$BL$33,MATCH(B$234,'ei names mapping'!$A$4:$A$33,0),MATCH(G517,'ei names mapping'!$B$3:$BL$3,0))</f>
        <v>Ethene</v>
      </c>
      <c r="B517" s="7">
        <f>INDEX('vehicles specifications'!$B$3:$CW$166,MATCH(B$471,'vehicles specifications'!$A$3:$A$166,0),MATCH(G517,'vehicles specifications'!$B$2:$CW$2,0))*INDEX('ei names mapping'!$B$137:$BL$300,MATCH(B$471,'ei names mapping'!$A$137:$A$300,0),MATCH(G517,'ei names mapping'!$B$136:$BL$136,0))</f>
        <v>3.868383987731671E-6</v>
      </c>
      <c r="D517" t="str">
        <f>INDEX('ei names mapping'!$B$104:$BL$133,MATCH(B$234,'ei names mapping'!$A$4:$A$33,0),MATCH(G517,'ei names mapping'!$B$3:$BL$3,0))</f>
        <v>kilogram</v>
      </c>
      <c r="E517" t="str">
        <f>INDEX('ei names mapping'!$B$305:$BL$335,MATCH(B$234,'ei names mapping'!$A$4:$A$33,0),MATCH(G517,'ei names mapping'!$B$3:$BL$3,0))</f>
        <v>air::urban air close to ground</v>
      </c>
      <c r="F517" t="s">
        <v>167</v>
      </c>
      <c r="G517" t="s">
        <v>548</v>
      </c>
    </row>
    <row r="518" spans="1:7" x14ac:dyDescent="0.2">
      <c r="A518" t="str">
        <f>INDEX('ei names mapping'!$B$4:$BL$33,MATCH(B$234,'ei names mapping'!$A$4:$A$33,0),MATCH(G518,'ei names mapping'!$B$3:$BL$3,0))</f>
        <v>Propene</v>
      </c>
      <c r="B518" s="7">
        <f>INDEX('vehicles specifications'!$B$3:$CW$166,MATCH(B$471,'vehicles specifications'!$A$3:$A$166,0),MATCH(G518,'vehicles specifications'!$B$2:$CW$2,0))*INDEX('ei names mapping'!$B$137:$BL$300,MATCH(B$471,'ei names mapping'!$A$137:$A$300,0),MATCH(G518,'ei names mapping'!$B$136:$BL$136,0))</f>
        <v>2.0242776483746546E-6</v>
      </c>
      <c r="D518" t="str">
        <f>INDEX('ei names mapping'!$B$104:$BL$133,MATCH(B$234,'ei names mapping'!$A$4:$A$33,0),MATCH(G518,'ei names mapping'!$B$3:$BL$3,0))</f>
        <v>kilogram</v>
      </c>
      <c r="E518" t="str">
        <f>INDEX('ei names mapping'!$B$305:$BL$335,MATCH(B$234,'ei names mapping'!$A$4:$A$33,0),MATCH(G518,'ei names mapping'!$B$3:$BL$3,0))</f>
        <v>air::urban air close to ground</v>
      </c>
      <c r="F518" t="s">
        <v>167</v>
      </c>
      <c r="G518" t="s">
        <v>549</v>
      </c>
    </row>
    <row r="519" spans="1:7" x14ac:dyDescent="0.2">
      <c r="A519" t="str">
        <f>INDEX('ei names mapping'!$B$4:$BL$33,MATCH(B$234,'ei names mapping'!$A$4:$A$33,0),MATCH(G519,'ei names mapping'!$B$3:$BL$3,0))</f>
        <v>1-Pentene</v>
      </c>
      <c r="B519" s="7">
        <f>INDEX('vehicles specifications'!$B$3:$CW$166,MATCH(B$471,'vehicles specifications'!$A$3:$A$166,0),MATCH(G519,'vehicles specifications'!$B$2:$CW$2,0))*INDEX('ei names mapping'!$B$137:$BL$300,MATCH(B$471,'ei names mapping'!$A$137:$A$300,0),MATCH(G519,'ei names mapping'!$B$136:$BL$136,0))</f>
        <v>5.8290717623353947E-8</v>
      </c>
      <c r="D519" t="str">
        <f>INDEX('ei names mapping'!$B$104:$BL$133,MATCH(B$234,'ei names mapping'!$A$4:$A$33,0),MATCH(G519,'ei names mapping'!$B$3:$BL$3,0))</f>
        <v>kilogram</v>
      </c>
      <c r="E519" t="str">
        <f>INDEX('ei names mapping'!$B$305:$BL$335,MATCH(B$234,'ei names mapping'!$A$4:$A$33,0),MATCH(G519,'ei names mapping'!$B$3:$BL$3,0))</f>
        <v>air::urban air close to ground</v>
      </c>
      <c r="F519" t="s">
        <v>167</v>
      </c>
      <c r="G519" t="s">
        <v>550</v>
      </c>
    </row>
    <row r="520" spans="1:7" x14ac:dyDescent="0.2">
      <c r="A520" t="str">
        <f>INDEX('ei names mapping'!$B$4:$BL$33,MATCH(B$234,'ei names mapping'!$A$4:$A$33,0),MATCH(G520,'ei names mapping'!$B$3:$BL$3,0))</f>
        <v>Toluene</v>
      </c>
      <c r="B520" s="7">
        <f>INDEX('vehicles specifications'!$B$3:$CW$166,MATCH(B$471,'vehicles specifications'!$A$3:$A$166,0),MATCH(G520,'vehicles specifications'!$B$2:$CW$2,0))*INDEX('ei names mapping'!$B$137:$BL$300,MATCH(B$471,'ei names mapping'!$A$137:$A$300,0),MATCH(G520,'ei names mapping'!$B$136:$BL$136,0))</f>
        <v>5.8184734500402395E-6</v>
      </c>
      <c r="D520" t="str">
        <f>INDEX('ei names mapping'!$B$104:$BL$133,MATCH(B$234,'ei names mapping'!$A$4:$A$33,0),MATCH(G520,'ei names mapping'!$B$3:$BL$3,0))</f>
        <v>kilogram</v>
      </c>
      <c r="E520" t="str">
        <f>INDEX('ei names mapping'!$B$305:$BL$335,MATCH(B$234,'ei names mapping'!$A$4:$A$33,0),MATCH(G520,'ei names mapping'!$B$3:$BL$3,0))</f>
        <v>air::urban air close to ground</v>
      </c>
      <c r="F520" t="s">
        <v>167</v>
      </c>
      <c r="G520" t="s">
        <v>551</v>
      </c>
    </row>
    <row r="521" spans="1:7" x14ac:dyDescent="0.2">
      <c r="A521" t="str">
        <f>INDEX('ei names mapping'!$B$4:$BL$33,MATCH(B$234,'ei names mapping'!$A$4:$A$33,0),MATCH(G521,'ei names mapping'!$B$3:$BL$3,0))</f>
        <v>m-Xylene</v>
      </c>
      <c r="B521" s="7">
        <f>INDEX('vehicles specifications'!$B$3:$CW$166,MATCH(B$471,'vehicles specifications'!$A$3:$A$166,0),MATCH(G521,'vehicles specifications'!$B$2:$CW$2,0))*INDEX('ei names mapping'!$B$137:$BL$300,MATCH(B$471,'ei names mapping'!$A$137:$A$300,0),MATCH(G521,'ei names mapping'!$B$136:$BL$136,0))</f>
        <v>2.8774417881346538E-6</v>
      </c>
      <c r="D521" t="str">
        <f>INDEX('ei names mapping'!$B$104:$BL$133,MATCH(B$234,'ei names mapping'!$A$4:$A$33,0),MATCH(G521,'ei names mapping'!$B$3:$BL$3,0))</f>
        <v>kilogram</v>
      </c>
      <c r="E521" t="str">
        <f>INDEX('ei names mapping'!$B$305:$BL$335,MATCH(B$234,'ei names mapping'!$A$4:$A$33,0),MATCH(G521,'ei names mapping'!$B$3:$BL$3,0))</f>
        <v>air::urban air close to ground</v>
      </c>
      <c r="F521" t="s">
        <v>167</v>
      </c>
      <c r="G521" t="s">
        <v>552</v>
      </c>
    </row>
    <row r="522" spans="1:7" x14ac:dyDescent="0.2">
      <c r="A522" t="str">
        <f>INDEX('ei names mapping'!$B$4:$BL$33,MATCH(B$234,'ei names mapping'!$A$4:$A$33,0),MATCH(G522,'ei names mapping'!$B$3:$BL$3,0))</f>
        <v>o-Xylene</v>
      </c>
      <c r="B522" s="7">
        <f>INDEX('vehicles specifications'!$B$3:$CW$166,MATCH(B$471,'vehicles specifications'!$A$3:$A$166,0),MATCH(G522,'vehicles specifications'!$B$2:$CW$2,0))*INDEX('ei names mapping'!$B$137:$BL$300,MATCH(B$471,'ei names mapping'!$A$137:$A$300,0),MATCH(G522,'ei names mapping'!$B$136:$BL$136,0))</f>
        <v>1.1976092893525445E-6</v>
      </c>
      <c r="D522" t="str">
        <f>INDEX('ei names mapping'!$B$104:$BL$133,MATCH(B$234,'ei names mapping'!$A$4:$A$33,0),MATCH(G522,'ei names mapping'!$B$3:$BL$3,0))</f>
        <v>kilogram</v>
      </c>
      <c r="E522" t="str">
        <f>INDEX('ei names mapping'!$B$305:$BL$335,MATCH(B$234,'ei names mapping'!$A$4:$A$33,0),MATCH(G522,'ei names mapping'!$B$3:$BL$3,0))</f>
        <v>air::urban air close to ground</v>
      </c>
      <c r="F522" t="s">
        <v>167</v>
      </c>
      <c r="G522" t="s">
        <v>553</v>
      </c>
    </row>
    <row r="523" spans="1:7" x14ac:dyDescent="0.2">
      <c r="A523" t="str">
        <f>INDEX('ei names mapping'!$B$4:$BL$33,MATCH(B$234,'ei names mapping'!$A$4:$A$33,0),MATCH(G523,'ei names mapping'!$B$3:$BL$3,0))</f>
        <v>Formaldehyde</v>
      </c>
      <c r="B523" s="7">
        <f>INDEX('vehicles specifications'!$B$3:$CW$166,MATCH(B$471,'vehicles specifications'!$A$3:$A$166,0),MATCH(G523,'vehicles specifications'!$B$2:$CW$2,0))*INDEX('ei names mapping'!$B$137:$BL$300,MATCH(B$471,'ei names mapping'!$A$137:$A$300,0),MATCH(G523,'ei names mapping'!$B$136:$BL$136,0))</f>
        <v>9.0085654508819725E-7</v>
      </c>
      <c r="D523" t="str">
        <f>INDEX('ei names mapping'!$B$104:$BL$133,MATCH(B$234,'ei names mapping'!$A$4:$A$33,0),MATCH(G523,'ei names mapping'!$B$3:$BL$3,0))</f>
        <v>kilogram</v>
      </c>
      <c r="E523" t="str">
        <f>INDEX('ei names mapping'!$B$305:$BL$335,MATCH(B$234,'ei names mapping'!$A$4:$A$33,0),MATCH(G523,'ei names mapping'!$B$3:$BL$3,0))</f>
        <v>air::urban air close to ground</v>
      </c>
      <c r="F523" t="s">
        <v>167</v>
      </c>
      <c r="G523" t="s">
        <v>554</v>
      </c>
    </row>
    <row r="524" spans="1:7" x14ac:dyDescent="0.2">
      <c r="A524" t="str">
        <f>INDEX('ei names mapping'!$B$4:$BL$33,MATCH(B$234,'ei names mapping'!$A$4:$A$33,0),MATCH(G524,'ei names mapping'!$B$3:$BL$3,0))</f>
        <v>Acetaldehyde</v>
      </c>
      <c r="B524" s="7">
        <f>INDEX('vehicles specifications'!$B$3:$CW$166,MATCH(B$471,'vehicles specifications'!$A$3:$A$166,0),MATCH(G524,'vehicles specifications'!$B$2:$CW$2,0))*INDEX('ei names mapping'!$B$137:$BL$300,MATCH(B$471,'ei names mapping'!$A$137:$A$300,0),MATCH(G524,'ei names mapping'!$B$136:$BL$136,0))</f>
        <v>3.9743671106832228E-7</v>
      </c>
      <c r="D524" t="str">
        <f>INDEX('ei names mapping'!$B$104:$BL$133,MATCH(B$234,'ei names mapping'!$A$4:$A$33,0),MATCH(G524,'ei names mapping'!$B$3:$BL$3,0))</f>
        <v>kilogram</v>
      </c>
      <c r="E524" t="str">
        <f>INDEX('ei names mapping'!$B$305:$BL$335,MATCH(B$234,'ei names mapping'!$A$4:$A$33,0),MATCH(G524,'ei names mapping'!$B$3:$BL$3,0))</f>
        <v>air::urban air close to ground</v>
      </c>
      <c r="F524" t="s">
        <v>167</v>
      </c>
      <c r="G524" t="s">
        <v>555</v>
      </c>
    </row>
    <row r="525" spans="1:7" x14ac:dyDescent="0.2">
      <c r="A525" t="str">
        <f>INDEX('ei names mapping'!$B$4:$BL$33,MATCH(B$234,'ei names mapping'!$A$4:$A$33,0),MATCH(G525,'ei names mapping'!$B$3:$BL$3,0))</f>
        <v>Benzaldehyde</v>
      </c>
      <c r="B525" s="7">
        <f>INDEX('vehicles specifications'!$B$3:$CW$166,MATCH(B$471,'vehicles specifications'!$A$3:$A$166,0),MATCH(G525,'vehicles specifications'!$B$2:$CW$2,0))*INDEX('ei names mapping'!$B$137:$BL$300,MATCH(B$471,'ei names mapping'!$A$137:$A$300,0),MATCH(G525,'ei names mapping'!$B$136:$BL$136,0))</f>
        <v>1.1658143524670789E-7</v>
      </c>
      <c r="D525" t="str">
        <f>INDEX('ei names mapping'!$B$104:$BL$133,MATCH(B$234,'ei names mapping'!$A$4:$A$33,0),MATCH(G525,'ei names mapping'!$B$3:$BL$3,0))</f>
        <v>kilogram</v>
      </c>
      <c r="E525" t="str">
        <f>INDEX('ei names mapping'!$B$305:$BL$335,MATCH(B$234,'ei names mapping'!$A$4:$A$33,0),MATCH(G525,'ei names mapping'!$B$3:$BL$3,0))</f>
        <v>air::urban air close to ground</v>
      </c>
      <c r="F525" t="s">
        <v>167</v>
      </c>
      <c r="G525" t="s">
        <v>556</v>
      </c>
    </row>
    <row r="526" spans="1:7" x14ac:dyDescent="0.2">
      <c r="A526" t="str">
        <f>INDEX('ei names mapping'!$B$4:$BL$33,MATCH(B$234,'ei names mapping'!$A$4:$A$33,0),MATCH(G526,'ei names mapping'!$B$3:$BL$3,0))</f>
        <v>Acetone</v>
      </c>
      <c r="B526" s="7">
        <f>INDEX('vehicles specifications'!$B$3:$CW$166,MATCH(B$471,'vehicles specifications'!$A$3:$A$166,0),MATCH(G526,'vehicles specifications'!$B$2:$CW$2,0))*INDEX('ei names mapping'!$B$137:$BL$300,MATCH(B$471,'ei names mapping'!$A$137:$A$300,0),MATCH(G526,'ei names mapping'!$B$136:$BL$136,0))</f>
        <v>3.2324852500223546E-7</v>
      </c>
      <c r="D526" t="str">
        <f>INDEX('ei names mapping'!$B$104:$BL$133,MATCH(B$234,'ei names mapping'!$A$4:$A$33,0),MATCH(G526,'ei names mapping'!$B$3:$BL$3,0))</f>
        <v>kilogram</v>
      </c>
      <c r="E526" t="str">
        <f>INDEX('ei names mapping'!$B$305:$BL$335,MATCH(B$234,'ei names mapping'!$A$4:$A$33,0),MATCH(G526,'ei names mapping'!$B$3:$BL$3,0))</f>
        <v>air::urban air close to ground</v>
      </c>
      <c r="F526" t="s">
        <v>167</v>
      </c>
      <c r="G526" t="s">
        <v>557</v>
      </c>
    </row>
    <row r="527" spans="1:7" x14ac:dyDescent="0.2">
      <c r="A527" t="str">
        <f>INDEX('ei names mapping'!$B$4:$BL$33,MATCH(B$234,'ei names mapping'!$A$4:$A$33,0),MATCH(G527,'ei names mapping'!$B$3:$BL$3,0))</f>
        <v>Methyl ethyl ketone</v>
      </c>
      <c r="B527" s="7">
        <f>INDEX('vehicles specifications'!$B$3:$CW$166,MATCH(B$471,'vehicles specifications'!$A$3:$A$166,0),MATCH(G527,'vehicles specifications'!$B$2:$CW$2,0))*INDEX('ei names mapping'!$B$137:$BL$300,MATCH(B$471,'ei names mapping'!$A$137:$A$300,0),MATCH(G527,'ei names mapping'!$B$136:$BL$136,0))</f>
        <v>0</v>
      </c>
      <c r="D527" t="str">
        <f>INDEX('ei names mapping'!$B$104:$BL$133,MATCH(B$234,'ei names mapping'!$A$4:$A$33,0),MATCH(G527,'ei names mapping'!$B$3:$BL$3,0))</f>
        <v>kilogram</v>
      </c>
      <c r="E527" t="str">
        <f>INDEX('ei names mapping'!$B$305:$BL$335,MATCH(B$234,'ei names mapping'!$A$4:$A$33,0),MATCH(G527,'ei names mapping'!$B$3:$BL$3,0))</f>
        <v>air::urban air close to ground</v>
      </c>
      <c r="F527" t="s">
        <v>167</v>
      </c>
      <c r="G527" t="s">
        <v>560</v>
      </c>
    </row>
    <row r="528" spans="1:7" x14ac:dyDescent="0.2">
      <c r="A528" t="str">
        <f>INDEX('ei names mapping'!$B$4:$BL$33,MATCH(B$234,'ei names mapping'!$A$4:$A$33,0),MATCH(G528,'ei names mapping'!$B$3:$BL$3,0))</f>
        <v>Acrolein</v>
      </c>
      <c r="B528" s="7">
        <f>INDEX('vehicles specifications'!$B$3:$CW$166,MATCH(B$471,'vehicles specifications'!$A$3:$A$166,0),MATCH(G528,'vehicles specifications'!$B$2:$CW$2,0))*INDEX('ei names mapping'!$B$137:$BL$300,MATCH(B$471,'ei names mapping'!$A$137:$A$300,0),MATCH(G528,'ei names mapping'!$B$136:$BL$136,0))</f>
        <v>1.0068396680397498E-7</v>
      </c>
      <c r="D528" t="str">
        <f>INDEX('ei names mapping'!$B$104:$BL$133,MATCH(B$234,'ei names mapping'!$A$4:$A$33,0),MATCH(G528,'ei names mapping'!$B$3:$BL$3,0))</f>
        <v>kilogram</v>
      </c>
      <c r="E528" t="str">
        <f>INDEX('ei names mapping'!$B$305:$BL$335,MATCH(B$234,'ei names mapping'!$A$4:$A$33,0),MATCH(G528,'ei names mapping'!$B$3:$BL$3,0))</f>
        <v>air::urban air close to ground</v>
      </c>
      <c r="F528" t="s">
        <v>167</v>
      </c>
      <c r="G528" t="s">
        <v>558</v>
      </c>
    </row>
    <row r="529" spans="1:8" x14ac:dyDescent="0.2">
      <c r="A529" t="str">
        <f>INDEX('ei names mapping'!$B$4:$BL$33,MATCH(B$234,'ei names mapping'!$A$4:$A$33,0),MATCH(G529,'ei names mapping'!$B$3:$BL$3,0))</f>
        <v>Styrene</v>
      </c>
      <c r="B529" s="7">
        <f>INDEX('vehicles specifications'!$B$3:$CW$166,MATCH(B$471,'vehicles specifications'!$A$3:$A$166,0),MATCH(G529,'vehicles specifications'!$B$2:$CW$2,0))*INDEX('ei names mapping'!$B$137:$BL$300,MATCH(B$471,'ei names mapping'!$A$137:$A$300,0),MATCH(G529,'ei names mapping'!$B$136:$BL$136,0))</f>
        <v>5.3521477090534066E-7</v>
      </c>
      <c r="D529" t="str">
        <f>INDEX('ei names mapping'!$B$104:$BL$133,MATCH(B$234,'ei names mapping'!$A$4:$A$33,0),MATCH(G529,'ei names mapping'!$B$3:$BL$3,0))</f>
        <v>kilogram</v>
      </c>
      <c r="E529" t="str">
        <f>INDEX('ei names mapping'!$B$305:$BL$335,MATCH(B$234,'ei names mapping'!$A$4:$A$33,0),MATCH(G529,'ei names mapping'!$B$3:$BL$3,0))</f>
        <v>air::urban air close to ground</v>
      </c>
      <c r="F529" t="s">
        <v>167</v>
      </c>
      <c r="G529" t="s">
        <v>559</v>
      </c>
    </row>
    <row r="530" spans="1:8" x14ac:dyDescent="0.2">
      <c r="A530" t="str">
        <f>INDEX('ei names mapping'!$B$4:$BL$33,MATCH(B$234,'ei names mapping'!$A$4:$A$33,0),MATCH(G530,'ei names mapping'!$B$3:$BL$3,0))</f>
        <v>PAH, polycyclic aromatic hydrocarbons</v>
      </c>
      <c r="B530" s="7">
        <f>INDEX('vehicles specifications'!$B$3:$CW$166,MATCH(B$471,'vehicles specifications'!$A$3:$A$166,0),MATCH(G530,'vehicles specifications'!$B$2:$CW$2,0))*INDEX('ei names mapping'!$B$137:$BL$300,MATCH(B$471,'ei names mapping'!$A$137:$A$300,0),MATCH(G530,'ei names mapping'!$B$136:$BL$136,0))</f>
        <v>8.1530601994668997E-10</v>
      </c>
      <c r="D530" t="str">
        <f>INDEX('ei names mapping'!$B$104:$BL$133,MATCH(B$234,'ei names mapping'!$A$4:$A$33,0),MATCH(G530,'ei names mapping'!$B$3:$BL$3,0))</f>
        <v>kilogram</v>
      </c>
      <c r="E530" t="str">
        <f>INDEX('ei names mapping'!$B$305:$BL$335,MATCH(B$234,'ei names mapping'!$A$4:$A$33,0),MATCH(G530,'ei names mapping'!$B$3:$BL$3,0))</f>
        <v>air::urban air close to ground</v>
      </c>
      <c r="F530" t="s">
        <v>167</v>
      </c>
      <c r="G530" t="s">
        <v>561</v>
      </c>
    </row>
    <row r="531" spans="1:8" x14ac:dyDescent="0.2">
      <c r="A531" t="str">
        <f>INDEX('ei names mapping'!$B$4:$BL$33,MATCH(B$234,'ei names mapping'!$A$4:$A$33,0),MATCH(G531,'ei names mapping'!$B$3:$BL$3,0))</f>
        <v>Arsenic</v>
      </c>
      <c r="B531" s="7">
        <f>INDEX('vehicles specifications'!$B$3:$CW$166,MATCH(B$471,'vehicles specifications'!$A$3:$A$166,0),MATCH(G531,'vehicles specifications'!$B$2:$CW$2,0))*INDEX('ei names mapping'!$B$137:$BL$300,MATCH(B$471,'ei names mapping'!$A$137:$A$300,0),MATCH(G531,'ei names mapping'!$B$136:$BL$136,0))</f>
        <v>7.0285001719542239E-12</v>
      </c>
      <c r="D531" t="str">
        <f>INDEX('ei names mapping'!$B$104:$BL$133,MATCH(B$234,'ei names mapping'!$A$4:$A$33,0),MATCH(G531,'ei names mapping'!$B$3:$BL$3,0))</f>
        <v>kilogram</v>
      </c>
      <c r="E531" t="str">
        <f>INDEX('ei names mapping'!$B$305:$BL$335,MATCH(B$234,'ei names mapping'!$A$4:$A$33,0),MATCH(G531,'ei names mapping'!$B$3:$BL$3,0))</f>
        <v>air::urban air close to ground</v>
      </c>
      <c r="F531" t="s">
        <v>167</v>
      </c>
      <c r="G531" t="s">
        <v>562</v>
      </c>
    </row>
    <row r="532" spans="1:8" x14ac:dyDescent="0.2">
      <c r="A532" t="str">
        <f>INDEX('ei names mapping'!$B$4:$BL$33,MATCH(B$234,'ei names mapping'!$A$4:$A$33,0),MATCH(G532,'ei names mapping'!$B$3:$BL$3,0))</f>
        <v>Selenium</v>
      </c>
      <c r="B532" s="7">
        <f>INDEX('vehicles specifications'!$B$3:$CW$166,MATCH(B$471,'vehicles specifications'!$A$3:$A$166,0),MATCH(G532,'vehicles specifications'!$B$2:$CW$2,0))*INDEX('ei names mapping'!$B$137:$BL$300,MATCH(B$471,'ei names mapping'!$A$137:$A$300,0),MATCH(G532,'ei names mapping'!$B$136:$BL$136,0))</f>
        <v>4.6856667813028157E-12</v>
      </c>
      <c r="D532" t="str">
        <f>INDEX('ei names mapping'!$B$104:$BL$133,MATCH(B$234,'ei names mapping'!$A$4:$A$33,0),MATCH(G532,'ei names mapping'!$B$3:$BL$3,0))</f>
        <v>kilogram</v>
      </c>
      <c r="E532" t="str">
        <f>INDEX('ei names mapping'!$B$305:$BL$335,MATCH(B$234,'ei names mapping'!$A$4:$A$33,0),MATCH(G532,'ei names mapping'!$B$3:$BL$3,0))</f>
        <v>air::urban air close to ground</v>
      </c>
      <c r="F532" t="s">
        <v>167</v>
      </c>
      <c r="G532" t="s">
        <v>563</v>
      </c>
    </row>
    <row r="533" spans="1:8" x14ac:dyDescent="0.2">
      <c r="A533" t="str">
        <f>INDEX('ei names mapping'!$B$4:$BL$33,MATCH(B$234,'ei names mapping'!$A$4:$A$33,0),MATCH(G533,'ei names mapping'!$B$3:$BL$3,0))</f>
        <v>Zinc</v>
      </c>
      <c r="B533" s="7">
        <f>INDEX('vehicles specifications'!$B$3:$CW$166,MATCH(B$471,'vehicles specifications'!$A$3:$A$166,0),MATCH(G533,'vehicles specifications'!$B$2:$CW$2,0))*INDEX('ei names mapping'!$B$137:$BL$300,MATCH(B$471,'ei names mapping'!$A$137:$A$300,0),MATCH(G533,'ei names mapping'!$B$136:$BL$136,0))</f>
        <v>5.0605201238070412E-8</v>
      </c>
      <c r="D533" t="str">
        <f>INDEX('ei names mapping'!$B$104:$BL$133,MATCH(B$234,'ei names mapping'!$A$4:$A$33,0),MATCH(G533,'ei names mapping'!$B$3:$BL$3,0))</f>
        <v>kilogram</v>
      </c>
      <c r="E533" t="str">
        <f>INDEX('ei names mapping'!$B$305:$BL$335,MATCH(B$234,'ei names mapping'!$A$4:$A$33,0),MATCH(G533,'ei names mapping'!$B$3:$BL$3,0))</f>
        <v>air::urban air close to ground</v>
      </c>
      <c r="F533" t="s">
        <v>167</v>
      </c>
      <c r="G533" t="s">
        <v>564</v>
      </c>
    </row>
    <row r="534" spans="1:8" x14ac:dyDescent="0.2">
      <c r="A534" t="str">
        <f>INDEX('ei names mapping'!$B$4:$BL$33,MATCH(B$234,'ei names mapping'!$A$4:$A$33,0),MATCH(G534,'ei names mapping'!$B$3:$BL$3,0))</f>
        <v>Copper</v>
      </c>
      <c r="B534" s="7">
        <f>INDEX('vehicles specifications'!$B$3:$CW$166,MATCH(B$471,'vehicles specifications'!$A$3:$A$166,0),MATCH(G534,'vehicles specifications'!$B$2:$CW$2,0))*INDEX('ei names mapping'!$B$137:$BL$300,MATCH(B$471,'ei names mapping'!$A$137:$A$300,0),MATCH(G534,'ei names mapping'!$B$136:$BL$136,0))</f>
        <v>9.8399002407359125E-10</v>
      </c>
      <c r="D534" t="str">
        <f>INDEX('ei names mapping'!$B$104:$BL$133,MATCH(B$234,'ei names mapping'!$A$4:$A$33,0),MATCH(G534,'ei names mapping'!$B$3:$BL$3,0))</f>
        <v>kilogram</v>
      </c>
      <c r="E534" t="str">
        <f>INDEX('ei names mapping'!$B$305:$BL$335,MATCH(B$234,'ei names mapping'!$A$4:$A$33,0),MATCH(G534,'ei names mapping'!$B$3:$BL$3,0))</f>
        <v>air::urban air close to ground</v>
      </c>
      <c r="F534" t="s">
        <v>167</v>
      </c>
      <c r="G534" t="s">
        <v>522</v>
      </c>
    </row>
    <row r="535" spans="1:8" x14ac:dyDescent="0.2">
      <c r="A535" t="str">
        <f>INDEX('ei names mapping'!$B$4:$BL$33,MATCH(B$234,'ei names mapping'!$A$4:$A$33,0),MATCH(G535,'ei names mapping'!$B$3:$BL$3,0))</f>
        <v>Nickel</v>
      </c>
      <c r="B535" s="7">
        <f>INDEX('vehicles specifications'!$B$3:$CW$166,MATCH(B$471,'vehicles specifications'!$A$3:$A$166,0),MATCH(G535,'vehicles specifications'!$B$2:$CW$2,0))*INDEX('ei names mapping'!$B$137:$BL$300,MATCH(B$471,'ei names mapping'!$A$137:$A$300,0),MATCH(G535,'ei names mapping'!$B$136:$BL$136,0))</f>
        <v>3.0456834078468303E-10</v>
      </c>
      <c r="D535" t="str">
        <f>INDEX('ei names mapping'!$B$104:$BL$133,MATCH(B$234,'ei names mapping'!$A$4:$A$33,0),MATCH(G535,'ei names mapping'!$B$3:$BL$3,0))</f>
        <v>kilogram</v>
      </c>
      <c r="E535" t="str">
        <f>INDEX('ei names mapping'!$B$305:$BL$335,MATCH(B$234,'ei names mapping'!$A$4:$A$33,0),MATCH(G535,'ei names mapping'!$B$3:$BL$3,0))</f>
        <v>air::urban air close to ground</v>
      </c>
      <c r="F535" t="s">
        <v>167</v>
      </c>
      <c r="G535" t="s">
        <v>524</v>
      </c>
    </row>
    <row r="536" spans="1:8" x14ac:dyDescent="0.2">
      <c r="A536" t="str">
        <f>INDEX('ei names mapping'!$B$4:$BL$33,MATCH(B$234,'ei names mapping'!$A$4:$A$33,0),MATCH(G536,'ei names mapping'!$B$3:$BL$3,0))</f>
        <v>Chromium</v>
      </c>
      <c r="B536" s="7">
        <f>INDEX('vehicles specifications'!$B$3:$CW$166,MATCH(B$471,'vehicles specifications'!$A$3:$A$166,0),MATCH(G536,'vehicles specifications'!$B$2:$CW$2,0))*INDEX('ei names mapping'!$B$137:$BL$300,MATCH(B$471,'ei names mapping'!$A$137:$A$300,0),MATCH(G536,'ei names mapping'!$B$136:$BL$136,0))</f>
        <v>3.7485334250422529E-10</v>
      </c>
      <c r="D536" t="str">
        <f>INDEX('ei names mapping'!$B$104:$BL$133,MATCH(B$234,'ei names mapping'!$A$4:$A$33,0),MATCH(G536,'ei names mapping'!$B$3:$BL$3,0))</f>
        <v>kilogram</v>
      </c>
      <c r="E536" t="str">
        <f>INDEX('ei names mapping'!$B$305:$BL$335,MATCH(B$234,'ei names mapping'!$A$4:$A$33,0),MATCH(G536,'ei names mapping'!$B$3:$BL$3,0))</f>
        <v>air::urban air close to ground</v>
      </c>
      <c r="F536" t="s">
        <v>167</v>
      </c>
      <c r="G536" t="s">
        <v>523</v>
      </c>
    </row>
    <row r="537" spans="1:8" x14ac:dyDescent="0.2">
      <c r="A537" t="str">
        <f>INDEX('ei names mapping'!$B$4:$BL$33,MATCH(B$234,'ei names mapping'!$A$4:$A$33,0),MATCH(G537,'ei names mapping'!$B$3:$BL$3,0))</f>
        <v>Chromium VI</v>
      </c>
      <c r="B537" s="7">
        <f>INDEX('vehicles specifications'!$B$3:$CW$166,MATCH(B$471,'vehicles specifications'!$A$3:$A$166,0),MATCH(G537,'vehicles specifications'!$B$2:$CW$2,0))*INDEX('ei names mapping'!$B$137:$BL$300,MATCH(B$471,'ei names mapping'!$A$137:$A$300,0),MATCH(G537,'ei names mapping'!$B$136:$BL$136,0))</f>
        <v>7.4970668500845046E-13</v>
      </c>
      <c r="D537" t="str">
        <f>INDEX('ei names mapping'!$B$104:$BL$133,MATCH(B$234,'ei names mapping'!$A$4:$A$33,0),MATCH(G537,'ei names mapping'!$B$3:$BL$3,0))</f>
        <v>kilogram</v>
      </c>
      <c r="E537" t="str">
        <f>INDEX('ei names mapping'!$B$305:$BL$335,MATCH(B$234,'ei names mapping'!$A$4:$A$33,0),MATCH(G537,'ei names mapping'!$B$3:$BL$3,0))</f>
        <v>air::urban air close to ground</v>
      </c>
      <c r="F537" t="s">
        <v>167</v>
      </c>
      <c r="G537" t="s">
        <v>567</v>
      </c>
    </row>
    <row r="538" spans="1:8" x14ac:dyDescent="0.2">
      <c r="A538" t="str">
        <f>INDEX('ei names mapping'!$B$4:$BL$33,MATCH(B$234,'ei names mapping'!$A$4:$A$33,0),MATCH(G538,'ei names mapping'!$B$3:$BL$3,0))</f>
        <v>Mercury</v>
      </c>
      <c r="B538" s="7">
        <f>INDEX('vehicles specifications'!$B$3:$CW$166,MATCH(B$471,'vehicles specifications'!$A$3:$A$166,0),MATCH(G538,'vehicles specifications'!$B$2:$CW$2,0))*INDEX('ei names mapping'!$B$137:$BL$300,MATCH(B$471,'ei names mapping'!$A$137:$A$300,0),MATCH(G538,'ei names mapping'!$B$136:$BL$136,0))</f>
        <v>2.0382650498667249E-10</v>
      </c>
      <c r="D538" t="str">
        <f>INDEX('ei names mapping'!$B$104:$BL$133,MATCH(B$234,'ei names mapping'!$A$4:$A$33,0),MATCH(G538,'ei names mapping'!$B$3:$BL$3,0))</f>
        <v>kilogram</v>
      </c>
      <c r="E538" t="str">
        <f>INDEX('ei names mapping'!$B$305:$BL$335,MATCH(B$234,'ei names mapping'!$A$4:$A$33,0),MATCH(G538,'ei names mapping'!$B$3:$BL$3,0))</f>
        <v>air::urban air close to ground</v>
      </c>
      <c r="F538" t="s">
        <v>167</v>
      </c>
      <c r="G538" t="s">
        <v>565</v>
      </c>
    </row>
    <row r="539" spans="1:8" x14ac:dyDescent="0.2">
      <c r="A539" t="str">
        <f>INDEX('ei names mapping'!$B$4:$BL$33,MATCH(B$234,'ei names mapping'!$A$4:$A$33,0),MATCH(G539,'ei names mapping'!$B$3:$BL$3,0))</f>
        <v>Cadmium</v>
      </c>
      <c r="B539" s="7">
        <f>INDEX('vehicles specifications'!$B$3:$CW$166,MATCH(B$471,'vehicles specifications'!$A$3:$A$166,0),MATCH(G539,'vehicles specifications'!$B$2:$CW$2,0))*INDEX('ei names mapping'!$B$137:$BL$300,MATCH(B$471,'ei names mapping'!$A$137:$A$300,0),MATCH(G539,'ei names mapping'!$B$136:$BL$136,0))</f>
        <v>2.5302600619035213E-10</v>
      </c>
      <c r="D539" t="str">
        <f>INDEX('ei names mapping'!$B$104:$BL$133,MATCH(B$234,'ei names mapping'!$A$4:$A$33,0),MATCH(G539,'ei names mapping'!$B$3:$BL$3,0))</f>
        <v>kilogram</v>
      </c>
      <c r="E539" t="str">
        <f>INDEX('ei names mapping'!$B$305:$BL$335,MATCH(B$234,'ei names mapping'!$A$4:$A$33,0),MATCH(G539,'ei names mapping'!$B$3:$BL$3,0))</f>
        <v>air::urban air close to ground</v>
      </c>
      <c r="F539" t="s">
        <v>167</v>
      </c>
      <c r="G539" t="s">
        <v>566</v>
      </c>
    </row>
    <row r="540" spans="1:8" x14ac:dyDescent="0.2">
      <c r="A540" t="str">
        <f>INDEX('ei names mapping'!$B$4:$BL$33,MATCH(B468,'ei names mapping'!$A$4:$A$33,0),MATCH(G540,'ei names mapping'!$B$3:$BL$3,0))</f>
        <v>treatment of road wear emissions, passenger car</v>
      </c>
      <c r="B540" s="7">
        <f>INDEX('vehicles specifications'!$B$3:$CW$166,MATCH(B471,'vehicles specifications'!$A$3:$A$166,0),MATCH(G540,'vehicles specifications'!$B$2:$CW$2,0))*INDEX('ei names mapping'!$B$137:$BL$300,MATCH(B471,'ei names mapping'!$A$137:$A$300,0),MATCH(G540,'ei names mapping'!$B$136:$BL$136,0))</f>
        <v>-7.4446697179391853E-6</v>
      </c>
      <c r="C540" t="str">
        <f>INDEX('ei names mapping'!$B$38:$BL$67,MATCH(B468,'ei names mapping'!$A$4:$A$33,0),MATCH(G540,'ei names mapping'!$B$3:$BL$3,0))</f>
        <v>RER</v>
      </c>
      <c r="D540" t="str">
        <f>INDEX('ei names mapping'!$B$104:$BL$133,MATCH(B468,'ei names mapping'!$A$4:$A$33,0),MATCH(G540,'ei names mapping'!$B$3:$BL$3,0))</f>
        <v>kilogram</v>
      </c>
      <c r="F540" t="s">
        <v>89</v>
      </c>
      <c r="G540" t="s">
        <v>29</v>
      </c>
      <c r="H540" t="str">
        <f>INDEX('ei names mapping'!$B$71:$BL$100,MATCH(B468,'ei names mapping'!$A$4:$A$33,0),MATCH(G540,'ei names mapping'!$B$3:$BL$3,0))</f>
        <v>road wear emissions, passenger car</v>
      </c>
    </row>
    <row r="541" spans="1:8" x14ac:dyDescent="0.2">
      <c r="A541" t="str">
        <f>INDEX('ei names mapping'!$B$4:$BL$33,MATCH(B468,'ei names mapping'!$A$4:$A$33,0),MATCH(G541,'ei names mapping'!$B$3:$BL$3,0))</f>
        <v>treatment of tyre wear emissions, passenger car</v>
      </c>
      <c r="B541" s="7">
        <f>INDEX('vehicles specifications'!$B$3:$CW$166,MATCH(B471,'vehicles specifications'!$A$3:$A$166,0),MATCH(G541,'vehicles specifications'!$B$2:$CW$2,0))*INDEX('ei names mapping'!$B$137:$BL$300,MATCH(B471,'ei names mapping'!$A$137:$A$300,0),MATCH(G541,'ei names mapping'!$B$136:$BL$136,0))</f>
        <v>-5.6956916201838731E-6</v>
      </c>
      <c r="C541" t="str">
        <f>INDEX('ei names mapping'!$B$38:$BL$67,MATCH(B468,'ei names mapping'!$A$4:$A$33,0),MATCH(G541,'ei names mapping'!$B$3:$BL$3,0))</f>
        <v>RER</v>
      </c>
      <c r="D541" t="str">
        <f>INDEX('ei names mapping'!$B$104:$BL$133,MATCH(B468,'ei names mapping'!$A$4:$A$33,0),MATCH(G541,'ei names mapping'!$B$3:$BL$3,0))</f>
        <v>kilogram</v>
      </c>
      <c r="F541" t="s">
        <v>89</v>
      </c>
      <c r="G541" t="s">
        <v>30</v>
      </c>
      <c r="H541" t="str">
        <f>INDEX('ei names mapping'!$B$71:$BL$100,MATCH(B468,'ei names mapping'!$A$4:$A$33,0),MATCH(G541,'ei names mapping'!$B$3:$BL$3,0))</f>
        <v>tyre wear emissions, passenger car</v>
      </c>
    </row>
    <row r="542" spans="1:8" x14ac:dyDescent="0.2">
      <c r="A542" t="str">
        <f>INDEX('ei names mapping'!$B$4:$BL$33,MATCH(B468,'ei names mapping'!$A$4:$A$33,0),MATCH(G542,'ei names mapping'!$B$3:$BL$3,0))</f>
        <v>treatment of brake wear emissions, passenger car</v>
      </c>
      <c r="B542" s="7">
        <f>INDEX('vehicles specifications'!$B$3:$CW$166,MATCH(B471,'vehicles specifications'!$A$3:$A$166,0),MATCH(G542,'vehicles specifications'!$B$2:$CW$2,0))*INDEX('ei names mapping'!$B$137:$BL$300,MATCH(B471,'ei names mapping'!$A$137:$A$300,0),MATCH(G542,'ei names mapping'!$B$136:$BL$136,0))</f>
        <v>-4.0697614810124742E-6</v>
      </c>
      <c r="C542" t="str">
        <f>INDEX('ei names mapping'!$B$38:$BL$67,MATCH(B468,'ei names mapping'!$A$4:$A$33,0),MATCH(G542,'ei names mapping'!$B$3:$BL$3,0))</f>
        <v>RER</v>
      </c>
      <c r="D542" t="str">
        <f>INDEX('ei names mapping'!$B$104:$BL$133,MATCH(B468,'ei names mapping'!$A$4:$A$33,0),MATCH(G542,'ei names mapping'!$B$3:$BL$3,0))</f>
        <v>kilogram</v>
      </c>
      <c r="F542" t="s">
        <v>89</v>
      </c>
      <c r="G542" t="s">
        <v>31</v>
      </c>
      <c r="H542" t="str">
        <f>INDEX('ei names mapping'!$B$71:$BL$100,MATCH(B468,'ei names mapping'!$A$4:$A$33,0),MATCH(G542,'ei names mapping'!$B$3:$BL$3,0))</f>
        <v>brake wear emissions, passenger car</v>
      </c>
    </row>
    <row r="544" spans="1:8" ht="16" x14ac:dyDescent="0.2">
      <c r="A544" s="10" t="s">
        <v>71</v>
      </c>
      <c r="B544" s="8" t="str">
        <f>"transport, "&amp;B546&amp;", "&amp;B548</f>
        <v>transport, Motorbike, gasoline, 4-11kW, EURO-5, 2040</v>
      </c>
    </row>
    <row r="545" spans="1:2" x14ac:dyDescent="0.2">
      <c r="A545" t="s">
        <v>72</v>
      </c>
      <c r="B545" t="s">
        <v>37</v>
      </c>
    </row>
    <row r="546" spans="1:2" x14ac:dyDescent="0.2">
      <c r="A546" t="s">
        <v>86</v>
      </c>
      <c r="B546" t="s">
        <v>640</v>
      </c>
    </row>
    <row r="547" spans="1:2" x14ac:dyDescent="0.2">
      <c r="A547" t="s">
        <v>87</v>
      </c>
    </row>
    <row r="548" spans="1:2" x14ac:dyDescent="0.2">
      <c r="A548" t="s">
        <v>88</v>
      </c>
      <c r="B548">
        <v>2040</v>
      </c>
    </row>
    <row r="549" spans="1:2" x14ac:dyDescent="0.2">
      <c r="A549" t="s">
        <v>126</v>
      </c>
      <c r="B549" t="str">
        <f>B546&amp;" - "&amp;B548&amp;" - "&amp;B545</f>
        <v>Motorbike, gasoline, 4-11kW, EURO-5 - 2040 - CH</v>
      </c>
    </row>
    <row r="550" spans="1:2" x14ac:dyDescent="0.2">
      <c r="A550" t="s">
        <v>73</v>
      </c>
      <c r="B550" t="str">
        <f>"transport, "&amp;B546</f>
        <v>transport, Motorbike, gasoline, 4-11kW, EURO-5</v>
      </c>
    </row>
    <row r="551" spans="1:2" x14ac:dyDescent="0.2">
      <c r="A551" t="s">
        <v>74</v>
      </c>
      <c r="B551" t="s">
        <v>75</v>
      </c>
    </row>
    <row r="552" spans="1:2" x14ac:dyDescent="0.2">
      <c r="A552" t="s">
        <v>76</v>
      </c>
      <c r="B552" t="s">
        <v>166</v>
      </c>
    </row>
    <row r="553" spans="1:2" x14ac:dyDescent="0.2">
      <c r="A553" t="s">
        <v>78</v>
      </c>
      <c r="B553" t="s">
        <v>1143</v>
      </c>
    </row>
    <row r="554" spans="1:2" x14ac:dyDescent="0.2">
      <c r="A554" t="s">
        <v>127</v>
      </c>
      <c r="B554">
        <f>INDEX('vehicles specifications'!$B$3:$CW$166,MATCH(B549,'vehicles specifications'!$A$3:$A$166,0),MATCH("Lifetime [km]",'vehicles specifications'!$B$2:$CW$2,0))</f>
        <v>25000</v>
      </c>
    </row>
    <row r="555" spans="1:2" x14ac:dyDescent="0.2">
      <c r="A555" t="s">
        <v>128</v>
      </c>
      <c r="B555">
        <f>INDEX('vehicles specifications'!$B$3:$CW$166,MATCH(B549,'vehicles specifications'!$A$3:$A$166,0),MATCH("Passengers [unit]",'vehicles specifications'!$B$2:$CW$2,0))</f>
        <v>1.1000000000000001</v>
      </c>
    </row>
    <row r="556" spans="1:2" x14ac:dyDescent="0.2">
      <c r="A556" t="s">
        <v>129</v>
      </c>
      <c r="B556">
        <f>INDEX('vehicles specifications'!$B$3:$CW$166,MATCH(B549,'vehicles specifications'!$A$3:$A$166,0),MATCH("Servicing [unit]",'vehicles specifications'!$B$2:$CW$2,0))</f>
        <v>1</v>
      </c>
    </row>
    <row r="557" spans="1:2" x14ac:dyDescent="0.2">
      <c r="A557" t="s">
        <v>130</v>
      </c>
      <c r="B557">
        <f>INDEX('vehicles specifications'!$B$3:$CW$166,MATCH(B549,'vehicles specifications'!$A$3:$A$166,0),MATCH("Energy battery replacement [unit]",'vehicles specifications'!$B$2:$CW$2,0))</f>
        <v>0</v>
      </c>
    </row>
    <row r="558" spans="1:2" x14ac:dyDescent="0.2">
      <c r="A558" t="s">
        <v>131</v>
      </c>
      <c r="B558">
        <f>INDEX('vehicles specifications'!$B$3:$CW$166,MATCH(B549,'vehicles specifications'!$A$3:$A$166,0),MATCH("Annual kilometers [km]",'vehicles specifications'!$B$2:$CW$2,0))</f>
        <v>1776</v>
      </c>
    </row>
    <row r="559" spans="1:2" x14ac:dyDescent="0.2">
      <c r="A559" t="s">
        <v>132</v>
      </c>
      <c r="B559" s="2">
        <f>INDEX('vehicles specifications'!$B$3:$CW$166,MATCH(B549,'vehicles specifications'!$A$3:$A$166,0),MATCH("Curb mass [kg]",'vehicles specifications'!$B$2:$CW$2,0))</f>
        <v>115.728314484542</v>
      </c>
    </row>
    <row r="560" spans="1:2" x14ac:dyDescent="0.2">
      <c r="A560" t="s">
        <v>133</v>
      </c>
      <c r="B560">
        <f>INDEX('vehicles specifications'!$B$3:$CW$166,MATCH(B549,'vehicles specifications'!$A$3:$A$166,0),MATCH("Power [kW]",'vehicles specifications'!$B$2:$CW$2,0))</f>
        <v>9</v>
      </c>
    </row>
    <row r="561" spans="1:8" x14ac:dyDescent="0.2">
      <c r="A561" t="s">
        <v>134</v>
      </c>
      <c r="B561" t="str">
        <f>INDEX('vehicles specifications'!$B$3:$CW$166,MATCH(B549,'vehicles specifications'!$A$3:$A$166,0),MATCH("Energy battery mass [kg]",'vehicles specifications'!$B$2:$CW$2,0))</f>
        <v/>
      </c>
    </row>
    <row r="562" spans="1:8" x14ac:dyDescent="0.2">
      <c r="A562" t="s">
        <v>135</v>
      </c>
      <c r="B562">
        <f>INDEX('vehicles specifications'!$B$3:$CW$166,MATCH(B549,'vehicles specifications'!$A$3:$A$166,0),MATCH("Electric energy available [kWh]",'vehicles specifications'!$B$2:$CW$2,0))</f>
        <v>0</v>
      </c>
    </row>
    <row r="563" spans="1:8" x14ac:dyDescent="0.2">
      <c r="A563" t="s">
        <v>138</v>
      </c>
      <c r="B563" s="2">
        <f>INDEX('vehicles specifications'!$B$3:$CW$166,MATCH(B549,'vehicles specifications'!$A$3:$A$166,0),MATCH("Oxydation energy stored [kWh]",'vehicles specifications'!$B$2:$CW$2,0))</f>
        <v>79.875</v>
      </c>
    </row>
    <row r="564" spans="1:8" x14ac:dyDescent="0.2">
      <c r="A564" t="s">
        <v>139</v>
      </c>
      <c r="B564">
        <f>INDEX('vehicles specifications'!$B$3:$CW$166,MATCH(B549,'vehicles specifications'!$A$3:$A$166,0),MATCH("Fuel mass [kg]",'vehicles specifications'!$B$2:$CW$2,0))</f>
        <v>6.75</v>
      </c>
    </row>
    <row r="565" spans="1:8" x14ac:dyDescent="0.2">
      <c r="A565" t="s">
        <v>136</v>
      </c>
      <c r="B565" s="2">
        <f>INDEX('vehicles specifications'!$B$3:$CW$166,MATCH(B549,'vehicles specifications'!$A$3:$A$166,0),MATCH("Range [km]",'vehicles specifications'!$B$2:$CW$2,0))</f>
        <v>291.70766586309725</v>
      </c>
    </row>
    <row r="566" spans="1:8" x14ac:dyDescent="0.2">
      <c r="A566" t="s">
        <v>137</v>
      </c>
      <c r="B566" t="str">
        <f>INDEX('vehicles specifications'!$B$3:$CW$166,MATCH(B549,'vehicles specifications'!$A$3:$A$166,0),MATCH("Emission standard",'vehicles specifications'!$B$2:$CW$2,0))</f>
        <v>EURO-5</v>
      </c>
    </row>
    <row r="567" spans="1:8" x14ac:dyDescent="0.2">
      <c r="A567" t="s">
        <v>1174</v>
      </c>
      <c r="B567" s="6">
        <f>INDEX('vehicles specifications'!$B$3:$CW$166,MATCH(B549,'vehicles specifications'!$A$3:$A$166,0),MATCH("Lightweighting rate [%]",'vehicles specifications'!$B$2:$CW$2,0))</f>
        <v>0.05</v>
      </c>
    </row>
    <row r="568" spans="1:8" x14ac:dyDescent="0.2">
      <c r="A568" t="s">
        <v>83</v>
      </c>
      <c r="B568"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9 kW. Lifetime: 25000 km. Annual kilometers: 1776 km. Number of passengers: 1.1. Curb mass: 115.7 kg. Lightweighting of glider: 5%. Emission standard: EURO-5. Service visits throughout lifetime: 1. Range: 292 km. Fuel tank capacity: 79.9 kWh. Fuel mass: 6.8 kg. Documentation: Life-cycle inventories for on-road vehicles, Sacchi R. (PSI), Bauer C. (PSI), 2021. Sacchi R., Bauer C. Life cycle inventories for on-road vehicles. Paul Scherrer Institut, 2021.</v>
      </c>
    </row>
    <row r="569" spans="1:8" ht="16" x14ac:dyDescent="0.2">
      <c r="A569" s="10" t="s">
        <v>79</v>
      </c>
    </row>
    <row r="570" spans="1:8" x14ac:dyDescent="0.2">
      <c r="A570" t="s">
        <v>80</v>
      </c>
      <c r="B570" t="s">
        <v>81</v>
      </c>
      <c r="C570" t="s">
        <v>72</v>
      </c>
      <c r="D570" t="s">
        <v>76</v>
      </c>
      <c r="E570" t="s">
        <v>82</v>
      </c>
      <c r="F570" t="s">
        <v>74</v>
      </c>
      <c r="G570" t="s">
        <v>83</v>
      </c>
      <c r="H570" t="s">
        <v>73</v>
      </c>
    </row>
    <row r="571" spans="1:8" x14ac:dyDescent="0.2">
      <c r="A571" t="str">
        <f>B544</f>
        <v>transport, Motorbike, gasoline, 4-11kW, EURO-5, 2040</v>
      </c>
      <c r="B571">
        <v>1</v>
      </c>
      <c r="C571" t="str">
        <f>B545</f>
        <v>CH</v>
      </c>
      <c r="D571" t="s">
        <v>166</v>
      </c>
      <c r="F571" t="s">
        <v>84</v>
      </c>
      <c r="G571" t="s">
        <v>85</v>
      </c>
      <c r="H571" t="str">
        <f>B550</f>
        <v>transport, Motorbike, gasoline, 4-11kW, EURO-5</v>
      </c>
    </row>
    <row r="572" spans="1:8" x14ac:dyDescent="0.2">
      <c r="A572" t="str">
        <f>RIGHT(A571,LEN(A571)-11)</f>
        <v>Motorbike, gasoline, 4-11kW, EURO-5, 2040</v>
      </c>
      <c r="B572" s="7">
        <f>1/B554</f>
        <v>4.0000000000000003E-5</v>
      </c>
      <c r="C572" t="str">
        <f>B545</f>
        <v>CH</v>
      </c>
      <c r="D572" t="s">
        <v>76</v>
      </c>
      <c r="F572" t="s">
        <v>89</v>
      </c>
      <c r="H572" t="str">
        <f>RIGHT(H571,LEN(H571)-11)</f>
        <v>Motorbike, gasoline, 4-11kW, EURO-5</v>
      </c>
    </row>
    <row r="573" spans="1:8" x14ac:dyDescent="0.2">
      <c r="A573" t="str">
        <f>INDEX('ei names mapping'!$B$4:$R$33,MATCH(B546,'ei names mapping'!$A$4:$A$33,0),MATCH(G573,'ei names mapping'!$B$3:$R$3,0))</f>
        <v>road construction</v>
      </c>
      <c r="B573" s="7">
        <f>INDEX('vehicles specifications'!$B$3:$CW$166,MATCH(B549,'vehicles specifications'!$A$3:$A$166,0),MATCH(G573,'vehicles specifications'!$B$2:$CW$2,0))*INDEX('ei names mapping'!$B$137:$BL$300,MATCH(B549,'ei names mapping'!$A$137:$A$300,0),MATCH(G573,'ei names mapping'!$B$136:$BL$136,0))</f>
        <v>1.0967060487819905E-4</v>
      </c>
      <c r="C573" t="str">
        <f>INDEX('ei names mapping'!$B$38:$R$67,MATCH(B546,'ei names mapping'!$A$4:$A$33,0),MATCH(G573,'ei names mapping'!$B$3:$R$3,0))</f>
        <v>CH</v>
      </c>
      <c r="D573" t="str">
        <f>INDEX('ei names mapping'!$B$104:$BL$133,MATCH(B546,'ei names mapping'!$A$4:$A$33,0),MATCH(G573,'ei names mapping'!$B$3:$BL$3,0))</f>
        <v>meter-year</v>
      </c>
      <c r="F573" t="s">
        <v>89</v>
      </c>
      <c r="G573" t="s">
        <v>105</v>
      </c>
      <c r="H573" t="str">
        <f>INDEX('ei names mapping'!$B$71:$BL$100,MATCH(B546,'ei names mapping'!$A$4:$A$33,0),MATCH(G573,'ei names mapping'!$B$3:$BL$3,0))</f>
        <v>road</v>
      </c>
    </row>
    <row r="574" spans="1:8" x14ac:dyDescent="0.2">
      <c r="A574" t="str">
        <f>INDEX('ei names mapping'!$B$4:$R$33,MATCH(B546,'ei names mapping'!$A$4:$A$33,0),MATCH(G574,'ei names mapping'!$B$3:$R$3,0))</f>
        <v>maintenance, motor scooter</v>
      </c>
      <c r="B574" s="7">
        <f>INDEX('vehicles specifications'!$B$3:$CW$166,MATCH(B549,'vehicles specifications'!$A$3:$A$166,0),MATCH(G574,'vehicles specifications'!$B$2:$CW$2,0))*INDEX('ei names mapping'!$B$137:$BL$300,MATCH(B549,'ei names mapping'!$A$137:$A$300,0),MATCH(G574,'ei names mapping'!$B$136:$BL$136,0))</f>
        <v>4.0000000000000003E-5</v>
      </c>
      <c r="C574" t="str">
        <f>INDEX('ei names mapping'!$B$38:$BL$67,MATCH(B546,'ei names mapping'!$A$4:$A$33,0),MATCH(G574,'ei names mapping'!$B$3:$BL$3,0))</f>
        <v>CH</v>
      </c>
      <c r="D574" t="str">
        <f>INDEX('ei names mapping'!$B$104:$BL$133,MATCH(B546,'ei names mapping'!$A$4:$A$33,0),MATCH(G574,'ei names mapping'!$B$3:$BL$3,0))</f>
        <v>unit</v>
      </c>
      <c r="F574" t="s">
        <v>89</v>
      </c>
      <c r="G574" t="s">
        <v>118</v>
      </c>
      <c r="H574" t="str">
        <f>INDEX('ei names mapping'!$B$71:$BL$100,MATCH(B546,'ei names mapping'!$A$4:$A$33,0),MATCH(G574,'ei names mapping'!$B$3:$BL$3,0))</f>
        <v>maintenance, motor scooter</v>
      </c>
    </row>
    <row r="575" spans="1:8" x14ac:dyDescent="0.2">
      <c r="A575" t="str">
        <f>INDEX('ei names mapping'!$B$4:$R$33,MATCH(B546,'ei names mapping'!$A$4:$A$33,0),MATCH(G575,'ei names mapping'!$B$3:$R$3,0))</f>
        <v>fuel supply for gasoline vehicles</v>
      </c>
      <c r="B575" s="7">
        <f>INDEX('vehicles specifications'!$B$3:$CW$166,MATCH(B549,'vehicles specifications'!$A$3:$A$166,0),MATCH(G575,'vehicles specifications'!$B$2:$CW$2,0))*INDEX('ei names mapping'!$B$137:$BL$300,MATCH(B549,'ei names mapping'!$A$137:$A$300,0),MATCH(G575,'ei names mapping'!$B$136:$BL$136,0))</f>
        <v>2.3139604439356334E-2</v>
      </c>
      <c r="C575" t="str">
        <f>INDEX('ei names mapping'!$B$38:$BL$67,MATCH(B546,'ei names mapping'!$A$4:$A$33,0),MATCH(G575,'ei names mapping'!$B$3:$BL$3,0))</f>
        <v>CH</v>
      </c>
      <c r="D575" t="str">
        <f>INDEX('ei names mapping'!$B$104:$BL$133,MATCH(B546,'ei names mapping'!$A$4:$A$33,0),MATCH(G575,'ei names mapping'!$B$3:$BL$3,0))</f>
        <v>kilogram</v>
      </c>
      <c r="F575" t="s">
        <v>89</v>
      </c>
      <c r="G575" t="s">
        <v>27</v>
      </c>
      <c r="H575" t="str">
        <f>INDEX('ei names mapping'!$B$71:$BL$100,MATCH(B546,'ei names mapping'!$A$4:$A$33,0),MATCH(G575,'ei names mapping'!$B$3:$BL$3,0))</f>
        <v>gasoline blend</v>
      </c>
    </row>
    <row r="576" spans="1:8" x14ac:dyDescent="0.2">
      <c r="A576" t="str">
        <f>INDEX('ei names mapping'!$B$4:$R$33,MATCH(B546,'ei names mapping'!$A$4:$A$33,0),MATCH(G576,'ei names mapping'!$B$3:$R$3,0))</f>
        <v>road maintenance</v>
      </c>
      <c r="B576" s="7">
        <f>INDEX('vehicles specifications'!$B$3:$CW$166,MATCH(B549,'vehicles specifications'!$A$3:$A$166,0),MATCH(G576,'vehicles specifications'!$B$2:$CW$2,0))*INDEX('ei names mapping'!$B$137:$BL$300,MATCH(B549,'ei names mapping'!$A$137:$A$300,0),MATCH(G576,'ei names mapping'!$B$136:$BL$136,0))</f>
        <v>1.2899999999999999E-3</v>
      </c>
      <c r="C576" t="str">
        <f>INDEX('ei names mapping'!$B$38:$R$67,MATCH(B546,'ei names mapping'!$A$4:$A$33,0),MATCH(G576,'ei names mapping'!$B$3:$R$3,0))</f>
        <v>CH</v>
      </c>
      <c r="D576" t="str">
        <f>INDEX('ei names mapping'!$B$104:$BL$133,MATCH(B546,'ei names mapping'!$A$4:$A$33,0),MATCH(G576,'ei names mapping'!$B$3:$BL$3,0))</f>
        <v>meter-year</v>
      </c>
      <c r="F576" t="s">
        <v>89</v>
      </c>
      <c r="G576" t="s">
        <v>112</v>
      </c>
      <c r="H576" t="str">
        <f>INDEX('ei names mapping'!$B$71:$BL$100,MATCH(B546,'ei names mapping'!$A$4:$A$33,0),MATCH(G576,'ei names mapping'!$B$3:$BL$3,0))</f>
        <v>road maintenance</v>
      </c>
    </row>
    <row r="577" spans="1:7" x14ac:dyDescent="0.2">
      <c r="A577" t="str">
        <f>INDEX('ei names mapping'!$B$4:$BL$33,MATCH(B546,'ei names mapping'!$A$4:$A$33,0),MATCH(G577,'ei names mapping'!$B$3:$BL$3,0))</f>
        <v>Carbon dioxide, fossil</v>
      </c>
      <c r="B577" s="7">
        <f>INDEX('vehicles specifications'!$B$3:$CW$166,MATCH(B549,'vehicles specifications'!$A$3:$A$166,0),MATCH(G577,'vehicles specifications'!$B$2:$CW$2,0))*INDEX('ei names mapping'!$B$137:$BL$300,MATCH(B549,'ei names mapping'!$A$137:$A$300,0),MATCH(G577,'ei names mapping'!$B$136:$BL$136,0))</f>
        <v>7.1786457644303941E-2</v>
      </c>
      <c r="D577" t="str">
        <f>INDEX('ei names mapping'!$B$104:$BL$133,MATCH(B546,'ei names mapping'!$A$4:$A$33,0),MATCH(G577,'ei names mapping'!$B$3:$BL$3,0))</f>
        <v>kilogram</v>
      </c>
      <c r="E577" t="str">
        <f>INDEX('ei names mapping'!$B$305:$BL$335,MATCH(B546,'ei names mapping'!$A$4:$A$33,0),MATCH(G577,'ei names mapping'!$B$3:$BL$3,0))</f>
        <v>air::urban air close to ground</v>
      </c>
      <c r="F577" t="s">
        <v>167</v>
      </c>
      <c r="G577" t="s">
        <v>66</v>
      </c>
    </row>
    <row r="578" spans="1:7" x14ac:dyDescent="0.2">
      <c r="A578" t="str">
        <f>INDEX('ei names mapping'!$B$4:$BL$33,MATCH(B546,'ei names mapping'!$A$4:$A$33,0),MATCH(G578,'ei names mapping'!$B$3:$BL$3,0))</f>
        <v>Carbon dioxide, from soil or biomass stock</v>
      </c>
      <c r="B578" s="11">
        <f>INDEX('vehicles specifications'!$B$3:$CW$166,MATCH(B549,'vehicles specifications'!$A$3:$A$166,0),MATCH(G578,'vehicles specifications'!$B$2:$CW$2,0))*INDEX('ei names mapping'!$B$137:$BL$300,MATCH(B549,'ei names mapping'!$A$137:$A$300,0),MATCH(G578,'ei names mapping'!$B$136:$BL$136,0))</f>
        <v>8.7190029527494674E-4</v>
      </c>
      <c r="D578" t="str">
        <f>INDEX('ei names mapping'!$B$104:$BL$133,MATCH(B546,'ei names mapping'!$A$4:$A$33,0),MATCH(G578,'ei names mapping'!$B$3:$BL$3,0))</f>
        <v>kilogram</v>
      </c>
      <c r="E578" t="str">
        <f>INDEX('ei names mapping'!$B$305:$BL$335,MATCH(B546,'ei names mapping'!$A$4:$A$33,0),MATCH(G578,'ei names mapping'!$B$3:$BL$3,0))</f>
        <v>air::urban air close to ground</v>
      </c>
      <c r="F578" t="s">
        <v>167</v>
      </c>
      <c r="G578" t="s">
        <v>843</v>
      </c>
    </row>
    <row r="579" spans="1:7" x14ac:dyDescent="0.2">
      <c r="A579" t="str">
        <f>INDEX('ei names mapping'!$B$4:$BL$33,MATCH(B546,'ei names mapping'!$A$4:$A$33,0),MATCH(G579,'ei names mapping'!$B$3:$BL$3,0))</f>
        <v>Sulfur dioxide</v>
      </c>
      <c r="B579" s="7">
        <f>INDEX('vehicles specifications'!$B$3:$CW$166,MATCH(B549,'vehicles specifications'!$A$3:$A$166,0),MATCH(G579,'vehicles specifications'!$B$2:$CW$2,0))*INDEX('ei names mapping'!$B$137:$BL$300,MATCH(B549,'ei names mapping'!$A$137:$A$300,0),MATCH(G579,'ei names mapping'!$B$136:$BL$136,0))</f>
        <v>3.7023367102970135E-7</v>
      </c>
      <c r="D579" t="str">
        <f>INDEX('ei names mapping'!$B$104:$BL$133,MATCH(B546,'ei names mapping'!$A$4:$A$33,0),MATCH(G579,'ei names mapping'!$B$3:$BL$3,0))</f>
        <v>kilogram</v>
      </c>
      <c r="E579" t="str">
        <f>INDEX('ei names mapping'!$B$305:$BL$335,MATCH(B546,'ei names mapping'!$A$4:$A$33,0),MATCH(G579,'ei names mapping'!$B$3:$BL$3,0))</f>
        <v>air::urban air close to ground</v>
      </c>
      <c r="F579" t="s">
        <v>167</v>
      </c>
      <c r="G579" t="s">
        <v>67</v>
      </c>
    </row>
    <row r="580" spans="1:7" x14ac:dyDescent="0.2">
      <c r="A580" t="str">
        <f>INDEX('ei names mapping'!$B$4:$BL$33,MATCH(B546,'ei names mapping'!$A$4:$A$33,0),MATCH(G580,'ei names mapping'!$B$3:$BL$3,0))</f>
        <v>Benzene</v>
      </c>
      <c r="B580" s="7">
        <f>INDEX('vehicles specifications'!$B$3:$CW$166,MATCH(B549,'vehicles specifications'!$A$3:$A$166,0),MATCH(G580,'vehicles specifications'!$B$2:$CW$2,0))*INDEX('ei names mapping'!$B$137:$BL$300,MATCH(B549,'ei names mapping'!$A$137:$A$300,0),MATCH(G580,'ei names mapping'!$B$136:$BL$136,0))</f>
        <v>2.9430983328031398E-6</v>
      </c>
      <c r="D580" t="str">
        <f>INDEX('ei names mapping'!$B$104:$BL$133,MATCH(B546,'ei names mapping'!$A$4:$A$33,0),MATCH(G580,'ei names mapping'!$B$3:$BL$3,0))</f>
        <v>kilogram</v>
      </c>
      <c r="E580" t="str">
        <f>INDEX('ei names mapping'!$B$305:$BL$335,MATCH(B546,'ei names mapping'!$A$4:$A$33,0),MATCH(G580,'ei names mapping'!$B$3:$BL$3,0))</f>
        <v>air::urban air close to ground</v>
      </c>
      <c r="F580" t="s">
        <v>167</v>
      </c>
      <c r="G580" t="s">
        <v>55</v>
      </c>
    </row>
    <row r="581" spans="1:7" x14ac:dyDescent="0.2">
      <c r="A581" t="str">
        <f>INDEX('ei names mapping'!$B$4:$BL$33,MATCH(B546,'ei names mapping'!$A$4:$A$33,0),MATCH(G581,'ei names mapping'!$B$3:$BL$3,0))</f>
        <v>Methane, fossil</v>
      </c>
      <c r="B581" s="7">
        <f>INDEX('vehicles specifications'!$B$3:$CW$166,MATCH(B549,'vehicles specifications'!$A$3:$A$166,0),MATCH(G581,'vehicles specifications'!$B$2:$CW$2,0))*INDEX('ei names mapping'!$B$137:$BL$300,MATCH(B549,'ei names mapping'!$A$137:$A$300,0),MATCH(G581,'ei names mapping'!$B$136:$BL$136,0))</f>
        <v>5.4634644234879682E-5</v>
      </c>
      <c r="D581" t="str">
        <f>INDEX('ei names mapping'!$B$104:$BL$133,MATCH(B546,'ei names mapping'!$A$4:$A$33,0),MATCH(G581,'ei names mapping'!$B$3:$BL$3,0))</f>
        <v>kilogram</v>
      </c>
      <c r="E581" t="str">
        <f>INDEX('ei names mapping'!$B$305:$BL$335,MATCH(B546,'ei names mapping'!$A$4:$A$33,0),MATCH(G581,'ei names mapping'!$B$3:$BL$3,0))</f>
        <v>air::urban air close to ground</v>
      </c>
      <c r="F581" t="s">
        <v>167</v>
      </c>
      <c r="G581" t="s">
        <v>56</v>
      </c>
    </row>
    <row r="582" spans="1:7" x14ac:dyDescent="0.2">
      <c r="A582" t="str">
        <f>INDEX('ei names mapping'!$B$4:$BL$33,MATCH(B546,'ei names mapping'!$A$4:$A$33,0),MATCH(G582,'ei names mapping'!$B$3:$BL$3,0))</f>
        <v>Carbon monoxide, fossil</v>
      </c>
      <c r="B582" s="7">
        <f>INDEX('vehicles specifications'!$B$3:$CW$166,MATCH(B549,'vehicles specifications'!$A$3:$A$166,0),MATCH(G582,'vehicles specifications'!$B$2:$CW$2,0))*INDEX('ei names mapping'!$B$137:$BL$300,MATCH(B549,'ei names mapping'!$A$137:$A$300,0),MATCH(G582,'ei names mapping'!$B$136:$BL$136,0))</f>
        <v>6.982460007876497E-4</v>
      </c>
      <c r="D582" t="str">
        <f>INDEX('ei names mapping'!$B$104:$BL$133,MATCH(B546,'ei names mapping'!$A$4:$A$33,0),MATCH(G582,'ei names mapping'!$B$3:$BL$3,0))</f>
        <v>kilogram</v>
      </c>
      <c r="E582" t="str">
        <f>INDEX('ei names mapping'!$B$305:$BL$335,MATCH(B546,'ei names mapping'!$A$4:$A$33,0),MATCH(G582,'ei names mapping'!$B$3:$BL$3,0))</f>
        <v>air::urban air close to ground</v>
      </c>
      <c r="F582" t="s">
        <v>167</v>
      </c>
      <c r="G582" t="s">
        <v>57</v>
      </c>
    </row>
    <row r="583" spans="1:7" x14ac:dyDescent="0.2">
      <c r="A583" t="str">
        <f>INDEX('ei names mapping'!$B$4:$BL$33,MATCH(B546,'ei names mapping'!$A$4:$A$33,0),MATCH(G583,'ei names mapping'!$B$3:$BL$3,0))</f>
        <v>Dinitrogen monoxide</v>
      </c>
      <c r="B583" s="7">
        <f>INDEX('vehicles specifications'!$B$3:$CW$166,MATCH(B549,'vehicles specifications'!$A$3:$A$166,0),MATCH(G583,'vehicles specifications'!$B$2:$CW$2,0))*INDEX('ei names mapping'!$B$137:$BL$300,MATCH(B549,'ei names mapping'!$A$137:$A$300,0),MATCH(G583,'ei names mapping'!$B$136:$BL$136,0))</f>
        <v>1.9512372941028455E-6</v>
      </c>
      <c r="D583" t="str">
        <f>INDEX('ei names mapping'!$B$104:$BL$133,MATCH(B546,'ei names mapping'!$A$4:$A$33,0),MATCH(G583,'ei names mapping'!$B$3:$BL$3,0))</f>
        <v>kilogram</v>
      </c>
      <c r="E583" t="str">
        <f>INDEX('ei names mapping'!$B$305:$BL$335,MATCH(B546,'ei names mapping'!$A$4:$A$33,0),MATCH(G583,'ei names mapping'!$B$3:$BL$3,0))</f>
        <v>air::urban air close to ground</v>
      </c>
      <c r="F583" t="s">
        <v>167</v>
      </c>
      <c r="G583" t="s">
        <v>58</v>
      </c>
    </row>
    <row r="584" spans="1:7" x14ac:dyDescent="0.2">
      <c r="A584" t="str">
        <f>INDEX('ei names mapping'!$B$4:$BL$33,MATCH(B546,'ei names mapping'!$A$4:$A$33,0),MATCH(G584,'ei names mapping'!$B$3:$BL$3,0))</f>
        <v>Ammonia</v>
      </c>
      <c r="B584" s="7">
        <f>INDEX('vehicles specifications'!$B$3:$CW$166,MATCH(B549,'vehicles specifications'!$A$3:$A$166,0),MATCH(G584,'vehicles specifications'!$B$2:$CW$2,0))*INDEX('ei names mapping'!$B$137:$BL$300,MATCH(B549,'ei names mapping'!$A$137:$A$300,0),MATCH(G584,'ei names mapping'!$B$136:$BL$136,0))</f>
        <v>1.9512372941028455E-6</v>
      </c>
      <c r="D584" t="str">
        <f>INDEX('ei names mapping'!$B$104:$BL$133,MATCH(B546,'ei names mapping'!$A$4:$A$33,0),MATCH(G584,'ei names mapping'!$B$3:$BL$3,0))</f>
        <v>kilogram</v>
      </c>
      <c r="E584" t="str">
        <f>INDEX('ei names mapping'!$B$305:$BL$335,MATCH(B546,'ei names mapping'!$A$4:$A$33,0),MATCH(G584,'ei names mapping'!$B$3:$BL$3,0))</f>
        <v>air::urban air close to ground</v>
      </c>
      <c r="F584" t="s">
        <v>167</v>
      </c>
      <c r="G584" t="s">
        <v>59</v>
      </c>
    </row>
    <row r="585" spans="1:7" x14ac:dyDescent="0.2">
      <c r="A585" t="str">
        <f>INDEX('ei names mapping'!$B$4:$BL$33,MATCH(B546,'ei names mapping'!$A$4:$A$33,0),MATCH(G585,'ei names mapping'!$B$3:$BL$3,0))</f>
        <v>Nitrogen oxides</v>
      </c>
      <c r="B585" s="7">
        <f>INDEX('vehicles specifications'!$B$3:$CW$166,MATCH(B549,'vehicles specifications'!$A$3:$A$166,0),MATCH(G585,'vehicles specifications'!$B$2:$CW$2,0))*INDEX('ei names mapping'!$B$137:$BL$300,MATCH(B549,'ei names mapping'!$A$137:$A$300,0),MATCH(G585,'ei names mapping'!$B$136:$BL$136,0))</f>
        <v>1.795103735793305E-5</v>
      </c>
      <c r="D585" t="str">
        <f>INDEX('ei names mapping'!$B$104:$BL$133,MATCH(B546,'ei names mapping'!$A$4:$A$33,0),MATCH(G585,'ei names mapping'!$B$3:$BL$3,0))</f>
        <v>kilogram</v>
      </c>
      <c r="E585" t="str">
        <f>INDEX('ei names mapping'!$B$305:$BL$335,MATCH(B546,'ei names mapping'!$A$4:$A$33,0),MATCH(G585,'ei names mapping'!$B$3:$BL$3,0))</f>
        <v>air::urban air close to ground</v>
      </c>
      <c r="F585" t="s">
        <v>167</v>
      </c>
      <c r="G585" t="s">
        <v>60</v>
      </c>
    </row>
    <row r="586" spans="1:7" x14ac:dyDescent="0.2">
      <c r="A586" t="str">
        <f>INDEX('ei names mapping'!$B$4:$BL$33,MATCH(B546,'ei names mapping'!$A$4:$A$33,0),MATCH(G586,'ei names mapping'!$B$3:$BL$3,0))</f>
        <v>Particulates, &lt; 2.5 um</v>
      </c>
      <c r="B586" s="7">
        <f>INDEX('vehicles specifications'!$B$3:$CW$166,MATCH(B$549,'vehicles specifications'!$A$3:$A$166,0),MATCH(G586,'vehicles specifications'!$B$2:$CW$2,0))*INDEX('ei names mapping'!$B$137:$BL$300,MATCH(B$549,'ei names mapping'!$A$137:$A$300,0),MATCH(G586,'ei names mapping'!$B$136:$BL$136,0))</f>
        <v>4.8780932352571135E-6</v>
      </c>
      <c r="D586" t="str">
        <f>INDEX('ei names mapping'!$B$104:$BL$133,MATCH(B546,'ei names mapping'!$A$4:$A$33,0),MATCH(G586,'ei names mapping'!$B$3:$BL$3,0))</f>
        <v>kilogram</v>
      </c>
      <c r="E586" t="str">
        <f>INDEX('ei names mapping'!$B$305:$BL$335,MATCH(B546,'ei names mapping'!$A$4:$A$33,0),MATCH(G586,'ei names mapping'!$B$3:$BL$3,0))</f>
        <v>air::urban air close to ground</v>
      </c>
      <c r="F586" t="s">
        <v>167</v>
      </c>
      <c r="G586" t="s">
        <v>62</v>
      </c>
    </row>
    <row r="587" spans="1:7" x14ac:dyDescent="0.2">
      <c r="A587" t="str">
        <f>INDEX('ei names mapping'!$B$4:$BL$33,MATCH(B$234,'ei names mapping'!$A$4:$A$33,0),MATCH(G587,'ei names mapping'!$B$3:$BL$3,0))</f>
        <v>NMVOC, non-methane volatile organic compounds, unspecified origin</v>
      </c>
      <c r="B587" s="7">
        <f>INDEX('vehicles specifications'!$B$3:$CW$166,MATCH(B$549,'vehicles specifications'!$A$3:$A$166,0),MATCH(G587,'vehicles specifications'!$B$2:$CW$2,0))*INDEX('ei names mapping'!$B$137:$BL$300,MATCH(B$549,'ei names mapping'!$A$137:$A$300,0),MATCH(G587,'ei names mapping'!$B$136:$BL$136,0))</f>
        <v>2.3733648587524791E-5</v>
      </c>
      <c r="D587" t="str">
        <f>INDEX('ei names mapping'!$B$104:$BL$133,MATCH(B$234,'ei names mapping'!$A$4:$A$33,0),MATCH(G587,'ei names mapping'!$B$3:$BL$3,0))</f>
        <v>kilogram</v>
      </c>
      <c r="E587" t="str">
        <f>INDEX('ei names mapping'!$B$305:$BL$335,MATCH(B$234,'ei names mapping'!$A$4:$A$33,0),MATCH(G587,'ei names mapping'!$B$3:$BL$3,0))</f>
        <v>air::urban air close to ground</v>
      </c>
      <c r="F587" t="s">
        <v>167</v>
      </c>
      <c r="G587" t="s">
        <v>593</v>
      </c>
    </row>
    <row r="588" spans="1:7" x14ac:dyDescent="0.2">
      <c r="A588" t="str">
        <f>INDEX('ei names mapping'!$B$4:$BL$33,MATCH(B$234,'ei names mapping'!$A$4:$A$33,0),MATCH(G588,'ei names mapping'!$B$3:$BL$3,0))</f>
        <v>Ethane</v>
      </c>
      <c r="B588" s="7">
        <f>INDEX('vehicles specifications'!$B$3:$CW$166,MATCH(B$549,'vehicles specifications'!$A$3:$A$166,0),MATCH(G588,'vehicles specifications'!$B$2:$CW$2,0))*INDEX('ei names mapping'!$B$137:$BL$300,MATCH(B$549,'ei names mapping'!$A$137:$A$300,0),MATCH(G588,'ei names mapping'!$B$136:$BL$136,0))</f>
        <v>1.6735265029664914E-6</v>
      </c>
      <c r="D588" t="str">
        <f>INDEX('ei names mapping'!$B$104:$BL$133,MATCH(B$234,'ei names mapping'!$A$4:$A$33,0),MATCH(G588,'ei names mapping'!$B$3:$BL$3,0))</f>
        <v>kilogram</v>
      </c>
      <c r="E588" t="str">
        <f>INDEX('ei names mapping'!$B$305:$BL$335,MATCH(B$234,'ei names mapping'!$A$4:$A$33,0),MATCH(G588,'ei names mapping'!$B$3:$BL$3,0))</f>
        <v>air::urban air close to ground</v>
      </c>
      <c r="F588" t="s">
        <v>167</v>
      </c>
      <c r="G588" t="s">
        <v>541</v>
      </c>
    </row>
    <row r="589" spans="1:7" x14ac:dyDescent="0.2">
      <c r="A589" t="str">
        <f>INDEX('ei names mapping'!$B$4:$BL$33,MATCH(B$234,'ei names mapping'!$A$4:$A$33,0),MATCH(G589,'ei names mapping'!$B$3:$BL$3,0))</f>
        <v>Propane</v>
      </c>
      <c r="B589" s="7">
        <f>INDEX('vehicles specifications'!$B$3:$CW$166,MATCH(B$549,'vehicles specifications'!$A$3:$A$166,0),MATCH(G589,'vehicles specifications'!$B$2:$CW$2,0))*INDEX('ei names mapping'!$B$137:$BL$300,MATCH(B$549,'ei names mapping'!$A$137:$A$300,0),MATCH(G589,'ei names mapping'!$B$136:$BL$136,0))</f>
        <v>3.4100069809662051E-7</v>
      </c>
      <c r="D589" t="str">
        <f>INDEX('ei names mapping'!$B$104:$BL$133,MATCH(B$234,'ei names mapping'!$A$4:$A$33,0),MATCH(G589,'ei names mapping'!$B$3:$BL$3,0))</f>
        <v>kilogram</v>
      </c>
      <c r="E589" t="str">
        <f>INDEX('ei names mapping'!$B$305:$BL$335,MATCH(B$234,'ei names mapping'!$A$4:$A$33,0),MATCH(G589,'ei names mapping'!$B$3:$BL$3,0))</f>
        <v>air::urban air close to ground</v>
      </c>
      <c r="F589" t="s">
        <v>167</v>
      </c>
      <c r="G589" t="s">
        <v>542</v>
      </c>
    </row>
    <row r="590" spans="1:7" x14ac:dyDescent="0.2">
      <c r="A590" t="str">
        <f>INDEX('ei names mapping'!$B$4:$BL$33,MATCH(B$234,'ei names mapping'!$A$4:$A$33,0),MATCH(G590,'ei names mapping'!$B$3:$BL$3,0))</f>
        <v>Butane</v>
      </c>
      <c r="B590" s="7">
        <f>INDEX('vehicles specifications'!$B$3:$CW$166,MATCH(B$549,'vehicles specifications'!$A$3:$A$166,0),MATCH(G590,'vehicles specifications'!$B$2:$CW$2,0))*INDEX('ei names mapping'!$B$137:$BL$300,MATCH(B$549,'ei names mapping'!$A$137:$A$300,0),MATCH(G590,'ei names mapping'!$B$136:$BL$136,0))</f>
        <v>2.7489902431173722E-6</v>
      </c>
      <c r="D590" t="str">
        <f>INDEX('ei names mapping'!$B$104:$BL$133,MATCH(B$234,'ei names mapping'!$A$4:$A$33,0),MATCH(G590,'ei names mapping'!$B$3:$BL$3,0))</f>
        <v>kilogram</v>
      </c>
      <c r="E590" t="str">
        <f>INDEX('ei names mapping'!$B$305:$BL$335,MATCH(B$234,'ei names mapping'!$A$4:$A$33,0),MATCH(G590,'ei names mapping'!$B$3:$BL$3,0))</f>
        <v>air::urban air close to ground</v>
      </c>
      <c r="F590" t="s">
        <v>167</v>
      </c>
      <c r="G590" t="s">
        <v>543</v>
      </c>
    </row>
    <row r="591" spans="1:7" x14ac:dyDescent="0.2">
      <c r="A591" t="str">
        <f>INDEX('ei names mapping'!$B$4:$BL$33,MATCH(B$234,'ei names mapping'!$A$4:$A$33,0),MATCH(G591,'ei names mapping'!$B$3:$BL$3,0))</f>
        <v>Pentane</v>
      </c>
      <c r="B591" s="7">
        <f>INDEX('vehicles specifications'!$B$3:$CW$166,MATCH(B$549,'vehicles specifications'!$A$3:$A$166,0),MATCH(G591,'vehicles specifications'!$B$2:$CW$2,0))*INDEX('ei names mapping'!$B$137:$BL$300,MATCH(B$549,'ei names mapping'!$A$137:$A$300,0),MATCH(G591,'ei names mapping'!$B$136:$BL$136,0))</f>
        <v>1.1279253860118987E-6</v>
      </c>
      <c r="D591" t="str">
        <f>INDEX('ei names mapping'!$B$104:$BL$133,MATCH(B$234,'ei names mapping'!$A$4:$A$33,0),MATCH(G591,'ei names mapping'!$B$3:$BL$3,0))</f>
        <v>kilogram</v>
      </c>
      <c r="E591" t="str">
        <f>INDEX('ei names mapping'!$B$305:$BL$335,MATCH(B$234,'ei names mapping'!$A$4:$A$33,0),MATCH(G591,'ei names mapping'!$B$3:$BL$3,0))</f>
        <v>air::urban air close to ground</v>
      </c>
      <c r="F591" t="s">
        <v>167</v>
      </c>
      <c r="G591" t="s">
        <v>544</v>
      </c>
    </row>
    <row r="592" spans="1:7" x14ac:dyDescent="0.2">
      <c r="A592" t="str">
        <f>INDEX('ei names mapping'!$B$4:$BL$33,MATCH(B$234,'ei names mapping'!$A$4:$A$33,0),MATCH(G592,'ei names mapping'!$B$3:$BL$3,0))</f>
        <v>Hexane</v>
      </c>
      <c r="B592" s="7">
        <f>INDEX('vehicles specifications'!$B$3:$CW$166,MATCH(B$549,'vehicles specifications'!$A$3:$A$166,0),MATCH(G592,'vehicles specifications'!$B$2:$CW$2,0))*INDEX('ei names mapping'!$B$137:$BL$300,MATCH(B$549,'ei names mapping'!$A$137:$A$300,0),MATCH(G592,'ei names mapping'!$B$136:$BL$136,0))</f>
        <v>8.4463249836239867E-7</v>
      </c>
      <c r="D592" t="str">
        <f>INDEX('ei names mapping'!$B$104:$BL$133,MATCH(B$234,'ei names mapping'!$A$4:$A$33,0),MATCH(G592,'ei names mapping'!$B$3:$BL$3,0))</f>
        <v>kilogram</v>
      </c>
      <c r="E592" t="str">
        <f>INDEX('ei names mapping'!$B$305:$BL$335,MATCH(B$234,'ei names mapping'!$A$4:$A$33,0),MATCH(G592,'ei names mapping'!$B$3:$BL$3,0))</f>
        <v>air::urban air close to ground</v>
      </c>
      <c r="F592" t="s">
        <v>167</v>
      </c>
      <c r="G592" t="s">
        <v>545</v>
      </c>
    </row>
    <row r="593" spans="1:7" x14ac:dyDescent="0.2">
      <c r="A593" t="str">
        <f>INDEX('ei names mapping'!$B$4:$BL$33,MATCH(B$234,'ei names mapping'!$A$4:$A$33,0),MATCH(G593,'ei names mapping'!$B$3:$BL$3,0))</f>
        <v>Cyclohexane</v>
      </c>
      <c r="B593" s="7">
        <f>INDEX('vehicles specifications'!$B$3:$CW$166,MATCH(B$549,'vehicles specifications'!$A$3:$A$166,0),MATCH(G593,'vehicles specifications'!$B$2:$CW$2,0))*INDEX('ei names mapping'!$B$137:$BL$300,MATCH(B$549,'ei names mapping'!$A$137:$A$300,0),MATCH(G593,'ei names mapping'!$B$136:$BL$136,0))</f>
        <v>5.9806276281561148E-7</v>
      </c>
      <c r="D593" t="str">
        <f>INDEX('ei names mapping'!$B$104:$BL$133,MATCH(B$234,'ei names mapping'!$A$4:$A$33,0),MATCH(G593,'ei names mapping'!$B$3:$BL$3,0))</f>
        <v>kilogram</v>
      </c>
      <c r="E593" t="str">
        <f>INDEX('ei names mapping'!$B$305:$BL$335,MATCH(B$234,'ei names mapping'!$A$4:$A$33,0),MATCH(G593,'ei names mapping'!$B$3:$BL$3,0))</f>
        <v>air::urban air close to ground</v>
      </c>
      <c r="F593" t="s">
        <v>167</v>
      </c>
      <c r="G593" t="s">
        <v>546</v>
      </c>
    </row>
    <row r="594" spans="1:7" x14ac:dyDescent="0.2">
      <c r="A594" t="str">
        <f>INDEX('ei names mapping'!$B$4:$BL$33,MATCH(B$234,'ei names mapping'!$A$4:$A$33,0),MATCH(G594,'ei names mapping'!$B$3:$BL$3,0))</f>
        <v>Heptane</v>
      </c>
      <c r="B594" s="7">
        <f>INDEX('vehicles specifications'!$B$3:$CW$166,MATCH(B$549,'vehicles specifications'!$A$3:$A$166,0),MATCH(G594,'vehicles specifications'!$B$2:$CW$2,0))*INDEX('ei names mapping'!$B$137:$BL$300,MATCH(B$549,'ei names mapping'!$A$137:$A$300,0),MATCH(G594,'ei names mapping'!$B$136:$BL$136,0))</f>
        <v>3.8821617937153727E-7</v>
      </c>
      <c r="D594" t="str">
        <f>INDEX('ei names mapping'!$B$104:$BL$133,MATCH(B$234,'ei names mapping'!$A$4:$A$33,0),MATCH(G594,'ei names mapping'!$B$3:$BL$3,0))</f>
        <v>kilogram</v>
      </c>
      <c r="E594" t="str">
        <f>INDEX('ei names mapping'!$B$305:$BL$335,MATCH(B$234,'ei names mapping'!$A$4:$A$33,0),MATCH(G594,'ei names mapping'!$B$3:$BL$3,0))</f>
        <v>air::urban air close to ground</v>
      </c>
      <c r="F594" t="s">
        <v>167</v>
      </c>
      <c r="G594" t="s">
        <v>547</v>
      </c>
    </row>
    <row r="595" spans="1:7" x14ac:dyDescent="0.2">
      <c r="A595" t="str">
        <f>INDEX('ei names mapping'!$B$4:$BL$33,MATCH(B$234,'ei names mapping'!$A$4:$A$33,0),MATCH(G595,'ei names mapping'!$B$3:$BL$3,0))</f>
        <v>Ethene</v>
      </c>
      <c r="B595" s="7">
        <f>INDEX('vehicles specifications'!$B$3:$CW$166,MATCH(B$549,'vehicles specifications'!$A$3:$A$166,0),MATCH(G595,'vehicles specifications'!$B$2:$CW$2,0))*INDEX('ei names mapping'!$B$137:$BL$300,MATCH(B$549,'ei names mapping'!$A$137:$A$300,0),MATCH(G595,'ei names mapping'!$B$136:$BL$136,0))</f>
        <v>3.8297001478543544E-6</v>
      </c>
      <c r="D595" t="str">
        <f>INDEX('ei names mapping'!$B$104:$BL$133,MATCH(B$234,'ei names mapping'!$A$4:$A$33,0),MATCH(G595,'ei names mapping'!$B$3:$BL$3,0))</f>
        <v>kilogram</v>
      </c>
      <c r="E595" t="str">
        <f>INDEX('ei names mapping'!$B$305:$BL$335,MATCH(B$234,'ei names mapping'!$A$4:$A$33,0),MATCH(G595,'ei names mapping'!$B$3:$BL$3,0))</f>
        <v>air::urban air close to ground</v>
      </c>
      <c r="F595" t="s">
        <v>167</v>
      </c>
      <c r="G595" t="s">
        <v>548</v>
      </c>
    </row>
    <row r="596" spans="1:7" x14ac:dyDescent="0.2">
      <c r="A596" t="str">
        <f>INDEX('ei names mapping'!$B$4:$BL$33,MATCH(B$234,'ei names mapping'!$A$4:$A$33,0),MATCH(G596,'ei names mapping'!$B$3:$BL$3,0))</f>
        <v>Propene</v>
      </c>
      <c r="B596" s="7">
        <f>INDEX('vehicles specifications'!$B$3:$CW$166,MATCH(B$549,'vehicles specifications'!$A$3:$A$166,0),MATCH(G596,'vehicles specifications'!$B$2:$CW$2,0))*INDEX('ei names mapping'!$B$137:$BL$300,MATCH(B$549,'ei names mapping'!$A$137:$A$300,0),MATCH(G596,'ei names mapping'!$B$136:$BL$136,0))</f>
        <v>2.0040348718909082E-6</v>
      </c>
      <c r="D596" t="str">
        <f>INDEX('ei names mapping'!$B$104:$BL$133,MATCH(B$234,'ei names mapping'!$A$4:$A$33,0),MATCH(G596,'ei names mapping'!$B$3:$BL$3,0))</f>
        <v>kilogram</v>
      </c>
      <c r="E596" t="str">
        <f>INDEX('ei names mapping'!$B$305:$BL$335,MATCH(B$234,'ei names mapping'!$A$4:$A$33,0),MATCH(G596,'ei names mapping'!$B$3:$BL$3,0))</f>
        <v>air::urban air close to ground</v>
      </c>
      <c r="F596" t="s">
        <v>167</v>
      </c>
      <c r="G596" t="s">
        <v>549</v>
      </c>
    </row>
    <row r="597" spans="1:7" x14ac:dyDescent="0.2">
      <c r="A597" t="str">
        <f>INDEX('ei names mapping'!$B$4:$BL$33,MATCH(B$234,'ei names mapping'!$A$4:$A$33,0),MATCH(G597,'ei names mapping'!$B$3:$BL$3,0))</f>
        <v>1-Pentene</v>
      </c>
      <c r="B597" s="7">
        <f>INDEX('vehicles specifications'!$B$3:$CW$166,MATCH(B$549,'vehicles specifications'!$A$3:$A$166,0),MATCH(G597,'vehicles specifications'!$B$2:$CW$2,0))*INDEX('ei names mapping'!$B$137:$BL$300,MATCH(B$549,'ei names mapping'!$A$137:$A$300,0),MATCH(G597,'ei names mapping'!$B$136:$BL$136,0))</f>
        <v>5.7707810447120405E-8</v>
      </c>
      <c r="D597" t="str">
        <f>INDEX('ei names mapping'!$B$104:$BL$133,MATCH(B$234,'ei names mapping'!$A$4:$A$33,0),MATCH(G597,'ei names mapping'!$B$3:$BL$3,0))</f>
        <v>kilogram</v>
      </c>
      <c r="E597" t="str">
        <f>INDEX('ei names mapping'!$B$305:$BL$335,MATCH(B$234,'ei names mapping'!$A$4:$A$33,0),MATCH(G597,'ei names mapping'!$B$3:$BL$3,0))</f>
        <v>air::urban air close to ground</v>
      </c>
      <c r="F597" t="s">
        <v>167</v>
      </c>
      <c r="G597" t="s">
        <v>550</v>
      </c>
    </row>
    <row r="598" spans="1:7" x14ac:dyDescent="0.2">
      <c r="A598" t="str">
        <f>INDEX('ei names mapping'!$B$4:$BL$33,MATCH(B$234,'ei names mapping'!$A$4:$A$33,0),MATCH(G598,'ei names mapping'!$B$3:$BL$3,0))</f>
        <v>Toluene</v>
      </c>
      <c r="B598" s="7">
        <f>INDEX('vehicles specifications'!$B$3:$CW$166,MATCH(B$549,'vehicles specifications'!$A$3:$A$166,0),MATCH(G598,'vehicles specifications'!$B$2:$CW$2,0))*INDEX('ei names mapping'!$B$137:$BL$300,MATCH(B$549,'ei names mapping'!$A$137:$A$300,0),MATCH(G598,'ei names mapping'!$B$136:$BL$136,0))</f>
        <v>5.7602887155398365E-6</v>
      </c>
      <c r="D598" t="str">
        <f>INDEX('ei names mapping'!$B$104:$BL$133,MATCH(B$234,'ei names mapping'!$A$4:$A$33,0),MATCH(G598,'ei names mapping'!$B$3:$BL$3,0))</f>
        <v>kilogram</v>
      </c>
      <c r="E598" t="str">
        <f>INDEX('ei names mapping'!$B$305:$BL$335,MATCH(B$234,'ei names mapping'!$A$4:$A$33,0),MATCH(G598,'ei names mapping'!$B$3:$BL$3,0))</f>
        <v>air::urban air close to ground</v>
      </c>
      <c r="F598" t="s">
        <v>167</v>
      </c>
      <c r="G598" t="s">
        <v>551</v>
      </c>
    </row>
    <row r="599" spans="1:7" x14ac:dyDescent="0.2">
      <c r="A599" t="str">
        <f>INDEX('ei names mapping'!$B$4:$BL$33,MATCH(B$234,'ei names mapping'!$A$4:$A$33,0),MATCH(G599,'ei names mapping'!$B$3:$BL$3,0))</f>
        <v>m-Xylene</v>
      </c>
      <c r="B599" s="7">
        <f>INDEX('vehicles specifications'!$B$3:$CW$166,MATCH(B$549,'vehicles specifications'!$A$3:$A$166,0),MATCH(G599,'vehicles specifications'!$B$2:$CW$2,0))*INDEX('ei names mapping'!$B$137:$BL$300,MATCH(B$549,'ei names mapping'!$A$137:$A$300,0),MATCH(G599,'ei names mapping'!$B$136:$BL$136,0))</f>
        <v>2.8486673702533073E-6</v>
      </c>
      <c r="D599" t="str">
        <f>INDEX('ei names mapping'!$B$104:$BL$133,MATCH(B$234,'ei names mapping'!$A$4:$A$33,0),MATCH(G599,'ei names mapping'!$B$3:$BL$3,0))</f>
        <v>kilogram</v>
      </c>
      <c r="E599" t="str">
        <f>INDEX('ei names mapping'!$B$305:$BL$335,MATCH(B$234,'ei names mapping'!$A$4:$A$33,0),MATCH(G599,'ei names mapping'!$B$3:$BL$3,0))</f>
        <v>air::urban air close to ground</v>
      </c>
      <c r="F599" t="s">
        <v>167</v>
      </c>
      <c r="G599" t="s">
        <v>552</v>
      </c>
    </row>
    <row r="600" spans="1:7" x14ac:dyDescent="0.2">
      <c r="A600" t="str">
        <f>INDEX('ei names mapping'!$B$4:$BL$33,MATCH(B$234,'ei names mapping'!$A$4:$A$33,0),MATCH(G600,'ei names mapping'!$B$3:$BL$3,0))</f>
        <v>o-Xylene</v>
      </c>
      <c r="B600" s="7">
        <f>INDEX('vehicles specifications'!$B$3:$CW$166,MATCH(B$549,'vehicles specifications'!$A$3:$A$166,0),MATCH(G600,'vehicles specifications'!$B$2:$CW$2,0))*INDEX('ei names mapping'!$B$137:$BL$300,MATCH(B$549,'ei names mapping'!$A$137:$A$300,0),MATCH(G600,'ei names mapping'!$B$136:$BL$136,0))</f>
        <v>1.1856331964590191E-6</v>
      </c>
      <c r="D600" t="str">
        <f>INDEX('ei names mapping'!$B$104:$BL$133,MATCH(B$234,'ei names mapping'!$A$4:$A$33,0),MATCH(G600,'ei names mapping'!$B$3:$BL$3,0))</f>
        <v>kilogram</v>
      </c>
      <c r="E600" t="str">
        <f>INDEX('ei names mapping'!$B$305:$BL$335,MATCH(B$234,'ei names mapping'!$A$4:$A$33,0),MATCH(G600,'ei names mapping'!$B$3:$BL$3,0))</f>
        <v>air::urban air close to ground</v>
      </c>
      <c r="F600" t="s">
        <v>167</v>
      </c>
      <c r="G600" t="s">
        <v>553</v>
      </c>
    </row>
    <row r="601" spans="1:7" x14ac:dyDescent="0.2">
      <c r="A601" t="str">
        <f>INDEX('ei names mapping'!$B$4:$BL$33,MATCH(B$234,'ei names mapping'!$A$4:$A$33,0),MATCH(G601,'ei names mapping'!$B$3:$BL$3,0))</f>
        <v>Formaldehyde</v>
      </c>
      <c r="B601" s="7">
        <f>INDEX('vehicles specifications'!$B$3:$CW$166,MATCH(B$549,'vehicles specifications'!$A$3:$A$166,0),MATCH(G601,'vehicles specifications'!$B$2:$CW$2,0))*INDEX('ei names mapping'!$B$137:$BL$300,MATCH(B$549,'ei names mapping'!$A$137:$A$300,0),MATCH(G601,'ei names mapping'!$B$136:$BL$136,0))</f>
        <v>8.9184797963731528E-7</v>
      </c>
      <c r="D601" t="str">
        <f>INDEX('ei names mapping'!$B$104:$BL$133,MATCH(B$234,'ei names mapping'!$A$4:$A$33,0),MATCH(G601,'ei names mapping'!$B$3:$BL$3,0))</f>
        <v>kilogram</v>
      </c>
      <c r="E601" t="str">
        <f>INDEX('ei names mapping'!$B$305:$BL$335,MATCH(B$234,'ei names mapping'!$A$4:$A$33,0),MATCH(G601,'ei names mapping'!$B$3:$BL$3,0))</f>
        <v>air::urban air close to ground</v>
      </c>
      <c r="F601" t="s">
        <v>167</v>
      </c>
      <c r="G601" t="s">
        <v>554</v>
      </c>
    </row>
    <row r="602" spans="1:7" x14ac:dyDescent="0.2">
      <c r="A602" t="str">
        <f>INDEX('ei names mapping'!$B$4:$BL$33,MATCH(B$234,'ei names mapping'!$A$4:$A$33,0),MATCH(G602,'ei names mapping'!$B$3:$BL$3,0))</f>
        <v>Acetaldehyde</v>
      </c>
      <c r="B602" s="7">
        <f>INDEX('vehicles specifications'!$B$3:$CW$166,MATCH(B$549,'vehicles specifications'!$A$3:$A$166,0),MATCH(G602,'vehicles specifications'!$B$2:$CW$2,0))*INDEX('ei names mapping'!$B$137:$BL$300,MATCH(B$549,'ei names mapping'!$A$137:$A$300,0),MATCH(G602,'ei names mapping'!$B$136:$BL$136,0))</f>
        <v>3.9346234395763905E-7</v>
      </c>
      <c r="D602" t="str">
        <f>INDEX('ei names mapping'!$B$104:$BL$133,MATCH(B$234,'ei names mapping'!$A$4:$A$33,0),MATCH(G602,'ei names mapping'!$B$3:$BL$3,0))</f>
        <v>kilogram</v>
      </c>
      <c r="E602" t="str">
        <f>INDEX('ei names mapping'!$B$305:$BL$335,MATCH(B$234,'ei names mapping'!$A$4:$A$33,0),MATCH(G602,'ei names mapping'!$B$3:$BL$3,0))</f>
        <v>air::urban air close to ground</v>
      </c>
      <c r="F602" t="s">
        <v>167</v>
      </c>
      <c r="G602" t="s">
        <v>555</v>
      </c>
    </row>
    <row r="603" spans="1:7" x14ac:dyDescent="0.2">
      <c r="A603" t="str">
        <f>INDEX('ei names mapping'!$B$4:$BL$33,MATCH(B$234,'ei names mapping'!$A$4:$A$33,0),MATCH(G603,'ei names mapping'!$B$3:$BL$3,0))</f>
        <v>Benzaldehyde</v>
      </c>
      <c r="B603" s="7">
        <f>INDEX('vehicles specifications'!$B$3:$CW$166,MATCH(B$549,'vehicles specifications'!$A$3:$A$166,0),MATCH(G603,'vehicles specifications'!$B$2:$CW$2,0))*INDEX('ei names mapping'!$B$137:$BL$300,MATCH(B$549,'ei names mapping'!$A$137:$A$300,0),MATCH(G603,'ei names mapping'!$B$136:$BL$136,0))</f>
        <v>1.1541562089424081E-7</v>
      </c>
      <c r="D603" t="str">
        <f>INDEX('ei names mapping'!$B$104:$BL$133,MATCH(B$234,'ei names mapping'!$A$4:$A$33,0),MATCH(G603,'ei names mapping'!$B$3:$BL$3,0))</f>
        <v>kilogram</v>
      </c>
      <c r="E603" t="str">
        <f>INDEX('ei names mapping'!$B$305:$BL$335,MATCH(B$234,'ei names mapping'!$A$4:$A$33,0),MATCH(G603,'ei names mapping'!$B$3:$BL$3,0))</f>
        <v>air::urban air close to ground</v>
      </c>
      <c r="F603" t="s">
        <v>167</v>
      </c>
      <c r="G603" t="s">
        <v>556</v>
      </c>
    </row>
    <row r="604" spans="1:7" x14ac:dyDescent="0.2">
      <c r="A604" t="str">
        <f>INDEX('ei names mapping'!$B$4:$BL$33,MATCH(B$234,'ei names mapping'!$A$4:$A$33,0),MATCH(G604,'ei names mapping'!$B$3:$BL$3,0))</f>
        <v>Acetone</v>
      </c>
      <c r="B604" s="7">
        <f>INDEX('vehicles specifications'!$B$3:$CW$166,MATCH(B$549,'vehicles specifications'!$A$3:$A$166,0),MATCH(G604,'vehicles specifications'!$B$2:$CW$2,0))*INDEX('ei names mapping'!$B$137:$BL$300,MATCH(B$549,'ei names mapping'!$A$137:$A$300,0),MATCH(G604,'ei names mapping'!$B$136:$BL$136,0))</f>
        <v>3.2001603975221312E-7</v>
      </c>
      <c r="D604" t="str">
        <f>INDEX('ei names mapping'!$B$104:$BL$133,MATCH(B$234,'ei names mapping'!$A$4:$A$33,0),MATCH(G604,'ei names mapping'!$B$3:$BL$3,0))</f>
        <v>kilogram</v>
      </c>
      <c r="E604" t="str">
        <f>INDEX('ei names mapping'!$B$305:$BL$335,MATCH(B$234,'ei names mapping'!$A$4:$A$33,0),MATCH(G604,'ei names mapping'!$B$3:$BL$3,0))</f>
        <v>air::urban air close to ground</v>
      </c>
      <c r="F604" t="s">
        <v>167</v>
      </c>
      <c r="G604" t="s">
        <v>557</v>
      </c>
    </row>
    <row r="605" spans="1:7" x14ac:dyDescent="0.2">
      <c r="A605" t="str">
        <f>INDEX('ei names mapping'!$B$4:$BL$33,MATCH(B$234,'ei names mapping'!$A$4:$A$33,0),MATCH(G605,'ei names mapping'!$B$3:$BL$3,0))</f>
        <v>Methyl ethyl ketone</v>
      </c>
      <c r="B605" s="7">
        <f>INDEX('vehicles specifications'!$B$3:$CW$166,MATCH(B$549,'vehicles specifications'!$A$3:$A$166,0),MATCH(G605,'vehicles specifications'!$B$2:$CW$2,0))*INDEX('ei names mapping'!$B$137:$BL$300,MATCH(B$549,'ei names mapping'!$A$137:$A$300,0),MATCH(G605,'ei names mapping'!$B$136:$BL$136,0))</f>
        <v>0</v>
      </c>
      <c r="D605" t="str">
        <f>INDEX('ei names mapping'!$B$104:$BL$133,MATCH(B$234,'ei names mapping'!$A$4:$A$33,0),MATCH(G605,'ei names mapping'!$B$3:$BL$3,0))</f>
        <v>kilogram</v>
      </c>
      <c r="E605" t="str">
        <f>INDEX('ei names mapping'!$B$305:$BL$335,MATCH(B$234,'ei names mapping'!$A$4:$A$33,0),MATCH(G605,'ei names mapping'!$B$3:$BL$3,0))</f>
        <v>air::urban air close to ground</v>
      </c>
      <c r="F605" t="s">
        <v>167</v>
      </c>
      <c r="G605" t="s">
        <v>560</v>
      </c>
    </row>
    <row r="606" spans="1:7" x14ac:dyDescent="0.2">
      <c r="A606" t="str">
        <f>INDEX('ei names mapping'!$B$4:$BL$33,MATCH(B$234,'ei names mapping'!$A$4:$A$33,0),MATCH(G606,'ei names mapping'!$B$3:$BL$3,0))</f>
        <v>Acrolein</v>
      </c>
      <c r="B606" s="7">
        <f>INDEX('vehicles specifications'!$B$3:$CW$166,MATCH(B$549,'vehicles specifications'!$A$3:$A$166,0),MATCH(G606,'vehicles specifications'!$B$2:$CW$2,0))*INDEX('ei names mapping'!$B$137:$BL$300,MATCH(B$549,'ei names mapping'!$A$137:$A$300,0),MATCH(G606,'ei names mapping'!$B$136:$BL$136,0))</f>
        <v>9.9677127135935233E-8</v>
      </c>
      <c r="D606" t="str">
        <f>INDEX('ei names mapping'!$B$104:$BL$133,MATCH(B$234,'ei names mapping'!$A$4:$A$33,0),MATCH(G606,'ei names mapping'!$B$3:$BL$3,0))</f>
        <v>kilogram</v>
      </c>
      <c r="E606" t="str">
        <f>INDEX('ei names mapping'!$B$305:$BL$335,MATCH(B$234,'ei names mapping'!$A$4:$A$33,0),MATCH(G606,'ei names mapping'!$B$3:$BL$3,0))</f>
        <v>air::urban air close to ground</v>
      </c>
      <c r="F606" t="s">
        <v>167</v>
      </c>
      <c r="G606" t="s">
        <v>558</v>
      </c>
    </row>
    <row r="607" spans="1:7" x14ac:dyDescent="0.2">
      <c r="A607" t="str">
        <f>INDEX('ei names mapping'!$B$4:$BL$33,MATCH(B$234,'ei names mapping'!$A$4:$A$33,0),MATCH(G607,'ei names mapping'!$B$3:$BL$3,0))</f>
        <v>Styrene</v>
      </c>
      <c r="B607" s="7">
        <f>INDEX('vehicles specifications'!$B$3:$CW$166,MATCH(B$549,'vehicles specifications'!$A$3:$A$166,0),MATCH(G607,'vehicles specifications'!$B$2:$CW$2,0))*INDEX('ei names mapping'!$B$137:$BL$300,MATCH(B$549,'ei names mapping'!$A$137:$A$300,0),MATCH(G607,'ei names mapping'!$B$136:$BL$136,0))</f>
        <v>5.2986262319628733E-7</v>
      </c>
      <c r="D607" t="str">
        <f>INDEX('ei names mapping'!$B$104:$BL$133,MATCH(B$234,'ei names mapping'!$A$4:$A$33,0),MATCH(G607,'ei names mapping'!$B$3:$BL$3,0))</f>
        <v>kilogram</v>
      </c>
      <c r="E607" t="str">
        <f>INDEX('ei names mapping'!$B$305:$BL$335,MATCH(B$234,'ei names mapping'!$A$4:$A$33,0),MATCH(G607,'ei names mapping'!$B$3:$BL$3,0))</f>
        <v>air::urban air close to ground</v>
      </c>
      <c r="F607" t="s">
        <v>167</v>
      </c>
      <c r="G607" t="s">
        <v>559</v>
      </c>
    </row>
    <row r="608" spans="1:7" x14ac:dyDescent="0.2">
      <c r="A608" t="str">
        <f>INDEX('ei names mapping'!$B$4:$BL$33,MATCH(B$234,'ei names mapping'!$A$4:$A$33,0),MATCH(G608,'ei names mapping'!$B$3:$BL$3,0))</f>
        <v>PAH, polycyclic aromatic hydrocarbons</v>
      </c>
      <c r="B608" s="7">
        <f>INDEX('vehicles specifications'!$B$3:$CW$166,MATCH(B$549,'vehicles specifications'!$A$3:$A$166,0),MATCH(G608,'vehicles specifications'!$B$2:$CW$2,0))*INDEX('ei names mapping'!$B$137:$BL$300,MATCH(B$549,'ei names mapping'!$A$137:$A$300,0),MATCH(G608,'ei names mapping'!$B$136:$BL$136,0))</f>
        <v>8.0715295974722312E-10</v>
      </c>
      <c r="D608" t="str">
        <f>INDEX('ei names mapping'!$B$104:$BL$133,MATCH(B$234,'ei names mapping'!$A$4:$A$33,0),MATCH(G608,'ei names mapping'!$B$3:$BL$3,0))</f>
        <v>kilogram</v>
      </c>
      <c r="E608" t="str">
        <f>INDEX('ei names mapping'!$B$305:$BL$335,MATCH(B$234,'ei names mapping'!$A$4:$A$33,0),MATCH(G608,'ei names mapping'!$B$3:$BL$3,0))</f>
        <v>air::urban air close to ground</v>
      </c>
      <c r="F608" t="s">
        <v>167</v>
      </c>
      <c r="G608" t="s">
        <v>561</v>
      </c>
    </row>
    <row r="609" spans="1:8" x14ac:dyDescent="0.2">
      <c r="A609" t="str">
        <f>INDEX('ei names mapping'!$B$4:$BL$33,MATCH(B$234,'ei names mapping'!$A$4:$A$33,0),MATCH(G609,'ei names mapping'!$B$3:$BL$3,0))</f>
        <v>Arsenic</v>
      </c>
      <c r="B609" s="7">
        <f>INDEX('vehicles specifications'!$B$3:$CW$166,MATCH(B$549,'vehicles specifications'!$A$3:$A$166,0),MATCH(G609,'vehicles specifications'!$B$2:$CW$2,0))*INDEX('ei names mapping'!$B$137:$BL$300,MATCH(B$549,'ei names mapping'!$A$137:$A$300,0),MATCH(G609,'ei names mapping'!$B$136:$BL$136,0))</f>
        <v>6.9582151702346818E-12</v>
      </c>
      <c r="D609" t="str">
        <f>INDEX('ei names mapping'!$B$104:$BL$133,MATCH(B$234,'ei names mapping'!$A$4:$A$33,0),MATCH(G609,'ei names mapping'!$B$3:$BL$3,0))</f>
        <v>kilogram</v>
      </c>
      <c r="E609" t="str">
        <f>INDEX('ei names mapping'!$B$305:$BL$335,MATCH(B$234,'ei names mapping'!$A$4:$A$33,0),MATCH(G609,'ei names mapping'!$B$3:$BL$3,0))</f>
        <v>air::urban air close to ground</v>
      </c>
      <c r="F609" t="s">
        <v>167</v>
      </c>
      <c r="G609" t="s">
        <v>562</v>
      </c>
    </row>
    <row r="610" spans="1:8" x14ac:dyDescent="0.2">
      <c r="A610" t="str">
        <f>INDEX('ei names mapping'!$B$4:$BL$33,MATCH(B$234,'ei names mapping'!$A$4:$A$33,0),MATCH(G610,'ei names mapping'!$B$3:$BL$3,0))</f>
        <v>Selenium</v>
      </c>
      <c r="B610" s="7">
        <f>INDEX('vehicles specifications'!$B$3:$CW$166,MATCH(B$549,'vehicles specifications'!$A$3:$A$166,0),MATCH(G610,'vehicles specifications'!$B$2:$CW$2,0))*INDEX('ei names mapping'!$B$137:$BL$300,MATCH(B$549,'ei names mapping'!$A$137:$A$300,0),MATCH(G610,'ei names mapping'!$B$136:$BL$136,0))</f>
        <v>4.6388101134897876E-12</v>
      </c>
      <c r="D610" t="str">
        <f>INDEX('ei names mapping'!$B$104:$BL$133,MATCH(B$234,'ei names mapping'!$A$4:$A$33,0),MATCH(G610,'ei names mapping'!$B$3:$BL$3,0))</f>
        <v>kilogram</v>
      </c>
      <c r="E610" t="str">
        <f>INDEX('ei names mapping'!$B$305:$BL$335,MATCH(B$234,'ei names mapping'!$A$4:$A$33,0),MATCH(G610,'ei names mapping'!$B$3:$BL$3,0))</f>
        <v>air::urban air close to ground</v>
      </c>
      <c r="F610" t="s">
        <v>167</v>
      </c>
      <c r="G610" t="s">
        <v>563</v>
      </c>
    </row>
    <row r="611" spans="1:8" x14ac:dyDescent="0.2">
      <c r="A611" t="str">
        <f>INDEX('ei names mapping'!$B$4:$BL$33,MATCH(B$234,'ei names mapping'!$A$4:$A$33,0),MATCH(G611,'ei names mapping'!$B$3:$BL$3,0))</f>
        <v>Zinc</v>
      </c>
      <c r="B611" s="7">
        <f>INDEX('vehicles specifications'!$B$3:$CW$166,MATCH(B$549,'vehicles specifications'!$A$3:$A$166,0),MATCH(G611,'vehicles specifications'!$B$2:$CW$2,0))*INDEX('ei names mapping'!$B$137:$BL$300,MATCH(B$549,'ei names mapping'!$A$137:$A$300,0),MATCH(G611,'ei names mapping'!$B$136:$BL$136,0))</f>
        <v>5.0099149225689714E-8</v>
      </c>
      <c r="D611" t="str">
        <f>INDEX('ei names mapping'!$B$104:$BL$133,MATCH(B$234,'ei names mapping'!$A$4:$A$33,0),MATCH(G611,'ei names mapping'!$B$3:$BL$3,0))</f>
        <v>kilogram</v>
      </c>
      <c r="E611" t="str">
        <f>INDEX('ei names mapping'!$B$305:$BL$335,MATCH(B$234,'ei names mapping'!$A$4:$A$33,0),MATCH(G611,'ei names mapping'!$B$3:$BL$3,0))</f>
        <v>air::urban air close to ground</v>
      </c>
      <c r="F611" t="s">
        <v>167</v>
      </c>
      <c r="G611" t="s">
        <v>564</v>
      </c>
    </row>
    <row r="612" spans="1:8" x14ac:dyDescent="0.2">
      <c r="A612" t="str">
        <f>INDEX('ei names mapping'!$B$4:$BL$33,MATCH(B$234,'ei names mapping'!$A$4:$A$33,0),MATCH(G612,'ei names mapping'!$B$3:$BL$3,0))</f>
        <v>Copper</v>
      </c>
      <c r="B612" s="7">
        <f>INDEX('vehicles specifications'!$B$3:$CW$166,MATCH(B$549,'vehicles specifications'!$A$3:$A$166,0),MATCH(G612,'vehicles specifications'!$B$2:$CW$2,0))*INDEX('ei names mapping'!$B$137:$BL$300,MATCH(B$549,'ei names mapping'!$A$137:$A$300,0),MATCH(G612,'ei names mapping'!$B$136:$BL$136,0))</f>
        <v>9.7415012383285542E-10</v>
      </c>
      <c r="D612" t="str">
        <f>INDEX('ei names mapping'!$B$104:$BL$133,MATCH(B$234,'ei names mapping'!$A$4:$A$33,0),MATCH(G612,'ei names mapping'!$B$3:$BL$3,0))</f>
        <v>kilogram</v>
      </c>
      <c r="E612" t="str">
        <f>INDEX('ei names mapping'!$B$305:$BL$335,MATCH(B$234,'ei names mapping'!$A$4:$A$33,0),MATCH(G612,'ei names mapping'!$B$3:$BL$3,0))</f>
        <v>air::urban air close to ground</v>
      </c>
      <c r="F612" t="s">
        <v>167</v>
      </c>
      <c r="G612" t="s">
        <v>522</v>
      </c>
    </row>
    <row r="613" spans="1:8" x14ac:dyDescent="0.2">
      <c r="A613" t="str">
        <f>INDEX('ei names mapping'!$B$4:$BL$33,MATCH(B$234,'ei names mapping'!$A$4:$A$33,0),MATCH(G613,'ei names mapping'!$B$3:$BL$3,0))</f>
        <v>Nickel</v>
      </c>
      <c r="B613" s="7">
        <f>INDEX('vehicles specifications'!$B$3:$CW$166,MATCH(B$549,'vehicles specifications'!$A$3:$A$166,0),MATCH(G613,'vehicles specifications'!$B$2:$CW$2,0))*INDEX('ei names mapping'!$B$137:$BL$300,MATCH(B$549,'ei names mapping'!$A$137:$A$300,0),MATCH(G613,'ei names mapping'!$B$136:$BL$136,0))</f>
        <v>3.0152265737683623E-10</v>
      </c>
      <c r="D613" t="str">
        <f>INDEX('ei names mapping'!$B$104:$BL$133,MATCH(B$234,'ei names mapping'!$A$4:$A$33,0),MATCH(G613,'ei names mapping'!$B$3:$BL$3,0))</f>
        <v>kilogram</v>
      </c>
      <c r="E613" t="str">
        <f>INDEX('ei names mapping'!$B$305:$BL$335,MATCH(B$234,'ei names mapping'!$A$4:$A$33,0),MATCH(G613,'ei names mapping'!$B$3:$BL$3,0))</f>
        <v>air::urban air close to ground</v>
      </c>
      <c r="F613" t="s">
        <v>167</v>
      </c>
      <c r="G613" t="s">
        <v>524</v>
      </c>
    </row>
    <row r="614" spans="1:8" x14ac:dyDescent="0.2">
      <c r="A614" t="str">
        <f>INDEX('ei names mapping'!$B$4:$BL$33,MATCH(B$234,'ei names mapping'!$A$4:$A$33,0),MATCH(G614,'ei names mapping'!$B$3:$BL$3,0))</f>
        <v>Chromium</v>
      </c>
      <c r="B614" s="7">
        <f>INDEX('vehicles specifications'!$B$3:$CW$166,MATCH(B$549,'vehicles specifications'!$A$3:$A$166,0),MATCH(G614,'vehicles specifications'!$B$2:$CW$2,0))*INDEX('ei names mapping'!$B$137:$BL$300,MATCH(B$549,'ei names mapping'!$A$137:$A$300,0),MATCH(G614,'ei names mapping'!$B$136:$BL$136,0))</f>
        <v>3.7110480907918307E-10</v>
      </c>
      <c r="D614" t="str">
        <f>INDEX('ei names mapping'!$B$104:$BL$133,MATCH(B$234,'ei names mapping'!$A$4:$A$33,0),MATCH(G614,'ei names mapping'!$B$3:$BL$3,0))</f>
        <v>kilogram</v>
      </c>
      <c r="E614" t="str">
        <f>INDEX('ei names mapping'!$B$305:$BL$335,MATCH(B$234,'ei names mapping'!$A$4:$A$33,0),MATCH(G614,'ei names mapping'!$B$3:$BL$3,0))</f>
        <v>air::urban air close to ground</v>
      </c>
      <c r="F614" t="s">
        <v>167</v>
      </c>
      <c r="G614" t="s">
        <v>523</v>
      </c>
    </row>
    <row r="615" spans="1:8" x14ac:dyDescent="0.2">
      <c r="A615" t="str">
        <f>INDEX('ei names mapping'!$B$4:$BL$33,MATCH(B$234,'ei names mapping'!$A$4:$A$33,0),MATCH(G615,'ei names mapping'!$B$3:$BL$3,0))</f>
        <v>Chromium VI</v>
      </c>
      <c r="B615" s="7">
        <f>INDEX('vehicles specifications'!$B$3:$CW$166,MATCH(B$549,'vehicles specifications'!$A$3:$A$166,0),MATCH(G615,'vehicles specifications'!$B$2:$CW$2,0))*INDEX('ei names mapping'!$B$137:$BL$300,MATCH(B$549,'ei names mapping'!$A$137:$A$300,0),MATCH(G615,'ei names mapping'!$B$136:$BL$136,0))</f>
        <v>7.4220961815836594E-13</v>
      </c>
      <c r="D615" t="str">
        <f>INDEX('ei names mapping'!$B$104:$BL$133,MATCH(B$234,'ei names mapping'!$A$4:$A$33,0),MATCH(G615,'ei names mapping'!$B$3:$BL$3,0))</f>
        <v>kilogram</v>
      </c>
      <c r="E615" t="str">
        <f>INDEX('ei names mapping'!$B$305:$BL$335,MATCH(B$234,'ei names mapping'!$A$4:$A$33,0),MATCH(G615,'ei names mapping'!$B$3:$BL$3,0))</f>
        <v>air::urban air close to ground</v>
      </c>
      <c r="F615" t="s">
        <v>167</v>
      </c>
      <c r="G615" t="s">
        <v>567</v>
      </c>
    </row>
    <row r="616" spans="1:8" x14ac:dyDescent="0.2">
      <c r="A616" t="str">
        <f>INDEX('ei names mapping'!$B$4:$BL$33,MATCH(B$234,'ei names mapping'!$A$4:$A$33,0),MATCH(G616,'ei names mapping'!$B$3:$BL$3,0))</f>
        <v>Mercury</v>
      </c>
      <c r="B616" s="7">
        <f>INDEX('vehicles specifications'!$B$3:$CW$166,MATCH(B$549,'vehicles specifications'!$A$3:$A$166,0),MATCH(G616,'vehicles specifications'!$B$2:$CW$2,0))*INDEX('ei names mapping'!$B$137:$BL$300,MATCH(B$549,'ei names mapping'!$A$137:$A$300,0),MATCH(G616,'ei names mapping'!$B$136:$BL$136,0))</f>
        <v>2.0178823993680578E-10</v>
      </c>
      <c r="D616" t="str">
        <f>INDEX('ei names mapping'!$B$104:$BL$133,MATCH(B$234,'ei names mapping'!$A$4:$A$33,0),MATCH(G616,'ei names mapping'!$B$3:$BL$3,0))</f>
        <v>kilogram</v>
      </c>
      <c r="E616" t="str">
        <f>INDEX('ei names mapping'!$B$305:$BL$335,MATCH(B$234,'ei names mapping'!$A$4:$A$33,0),MATCH(G616,'ei names mapping'!$B$3:$BL$3,0))</f>
        <v>air::urban air close to ground</v>
      </c>
      <c r="F616" t="s">
        <v>167</v>
      </c>
      <c r="G616" t="s">
        <v>565</v>
      </c>
    </row>
    <row r="617" spans="1:8" x14ac:dyDescent="0.2">
      <c r="A617" t="str">
        <f>INDEX('ei names mapping'!$B$4:$BL$33,MATCH(B$234,'ei names mapping'!$A$4:$A$33,0),MATCH(G617,'ei names mapping'!$B$3:$BL$3,0))</f>
        <v>Cadmium</v>
      </c>
      <c r="B617" s="7">
        <f>INDEX('vehicles specifications'!$B$3:$CW$166,MATCH(B$549,'vehicles specifications'!$A$3:$A$166,0),MATCH(G617,'vehicles specifications'!$B$2:$CW$2,0))*INDEX('ei names mapping'!$B$137:$BL$300,MATCH(B$549,'ei names mapping'!$A$137:$A$300,0),MATCH(G617,'ei names mapping'!$B$136:$BL$136,0))</f>
        <v>2.5049574612844861E-10</v>
      </c>
      <c r="D617" t="str">
        <f>INDEX('ei names mapping'!$B$104:$BL$133,MATCH(B$234,'ei names mapping'!$A$4:$A$33,0),MATCH(G617,'ei names mapping'!$B$3:$BL$3,0))</f>
        <v>kilogram</v>
      </c>
      <c r="E617" t="str">
        <f>INDEX('ei names mapping'!$B$305:$BL$335,MATCH(B$234,'ei names mapping'!$A$4:$A$33,0),MATCH(G617,'ei names mapping'!$B$3:$BL$3,0))</f>
        <v>air::urban air close to ground</v>
      </c>
      <c r="F617" t="s">
        <v>167</v>
      </c>
      <c r="G617" t="s">
        <v>566</v>
      </c>
    </row>
    <row r="618" spans="1:8" x14ac:dyDescent="0.2">
      <c r="A618" t="str">
        <f>INDEX('ei names mapping'!$B$4:$BL$33,MATCH(B546,'ei names mapping'!$A$4:$A$33,0),MATCH(G618,'ei names mapping'!$B$3:$BL$3,0))</f>
        <v>treatment of road wear emissions, passenger car</v>
      </c>
      <c r="B618" s="7">
        <f>INDEX('vehicles specifications'!$B$3:$CW$166,MATCH(B549,'vehicles specifications'!$A$3:$A$166,0),MATCH(G618,'vehicles specifications'!$B$2:$CW$2,0))*INDEX('ei names mapping'!$B$137:$BL$300,MATCH(B549,'ei names mapping'!$A$137:$A$300,0),MATCH(G618,'ei names mapping'!$B$136:$BL$136,0))</f>
        <v>-7.4070386322459766E-6</v>
      </c>
      <c r="C618" t="str">
        <f>INDEX('ei names mapping'!$B$38:$BL$67,MATCH(B546,'ei names mapping'!$A$4:$A$33,0),MATCH(G618,'ei names mapping'!$B$3:$BL$3,0))</f>
        <v>RER</v>
      </c>
      <c r="D618" t="str">
        <f>INDEX('ei names mapping'!$B$104:$BL$133,MATCH(B546,'ei names mapping'!$A$4:$A$33,0),MATCH(G618,'ei names mapping'!$B$3:$BL$3,0))</f>
        <v>kilogram</v>
      </c>
      <c r="F618" t="s">
        <v>89</v>
      </c>
      <c r="G618" t="s">
        <v>29</v>
      </c>
      <c r="H618" t="str">
        <f>INDEX('ei names mapping'!$B$71:$BL$100,MATCH(B546,'ei names mapping'!$A$4:$A$33,0),MATCH(G618,'ei names mapping'!$B$3:$BL$3,0))</f>
        <v>road wear emissions, passenger car</v>
      </c>
    </row>
    <row r="619" spans="1:8" x14ac:dyDescent="0.2">
      <c r="A619" t="str">
        <f>INDEX('ei names mapping'!$B$4:$BL$33,MATCH(B546,'ei names mapping'!$A$4:$A$33,0),MATCH(G619,'ei names mapping'!$B$3:$BL$3,0))</f>
        <v>treatment of tyre wear emissions, passenger car</v>
      </c>
      <c r="B619" s="7">
        <f>INDEX('vehicles specifications'!$B$3:$CW$166,MATCH(B549,'vehicles specifications'!$A$3:$A$166,0),MATCH(G619,'vehicles specifications'!$B$2:$CW$2,0))*INDEX('ei names mapping'!$B$137:$BL$300,MATCH(B549,'ei names mapping'!$A$137:$A$300,0),MATCH(G619,'ei names mapping'!$B$136:$BL$136,0))</f>
        <v>-5.6756325909377783E-6</v>
      </c>
      <c r="C619" t="str">
        <f>INDEX('ei names mapping'!$B$38:$BL$67,MATCH(B546,'ei names mapping'!$A$4:$A$33,0),MATCH(G619,'ei names mapping'!$B$3:$BL$3,0))</f>
        <v>RER</v>
      </c>
      <c r="D619" t="str">
        <f>INDEX('ei names mapping'!$B$104:$BL$133,MATCH(B546,'ei names mapping'!$A$4:$A$33,0),MATCH(G619,'ei names mapping'!$B$3:$BL$3,0))</f>
        <v>kilogram</v>
      </c>
      <c r="F619" t="s">
        <v>89</v>
      </c>
      <c r="G619" t="s">
        <v>30</v>
      </c>
      <c r="H619" t="str">
        <f>INDEX('ei names mapping'!$B$71:$BL$100,MATCH(B546,'ei names mapping'!$A$4:$A$33,0),MATCH(G619,'ei names mapping'!$B$3:$BL$3,0))</f>
        <v>tyre wear emissions, passenger car</v>
      </c>
    </row>
    <row r="620" spans="1:8" x14ac:dyDescent="0.2">
      <c r="A620" t="str">
        <f>INDEX('ei names mapping'!$B$4:$BL$33,MATCH(B546,'ei names mapping'!$A$4:$A$33,0),MATCH(G620,'ei names mapping'!$B$3:$BL$3,0))</f>
        <v>treatment of brake wear emissions, passenger car</v>
      </c>
      <c r="B620" s="7">
        <f>INDEX('vehicles specifications'!$B$3:$CW$166,MATCH(B549,'vehicles specifications'!$A$3:$A$166,0),MATCH(G620,'vehicles specifications'!$B$2:$CW$2,0))*INDEX('ei names mapping'!$B$137:$BL$300,MATCH(B549,'ei names mapping'!$A$137:$A$300,0),MATCH(G620,'ei names mapping'!$B$136:$BL$136,0))</f>
        <v>-4.0527894876620012E-6</v>
      </c>
      <c r="C620" t="str">
        <f>INDEX('ei names mapping'!$B$38:$BL$67,MATCH(B546,'ei names mapping'!$A$4:$A$33,0),MATCH(G620,'ei names mapping'!$B$3:$BL$3,0))</f>
        <v>RER</v>
      </c>
      <c r="D620" t="str">
        <f>INDEX('ei names mapping'!$B$104:$BL$133,MATCH(B546,'ei names mapping'!$A$4:$A$33,0),MATCH(G620,'ei names mapping'!$B$3:$BL$3,0))</f>
        <v>kilogram</v>
      </c>
      <c r="F620" t="s">
        <v>89</v>
      </c>
      <c r="G620" t="s">
        <v>31</v>
      </c>
      <c r="H620" t="str">
        <f>INDEX('ei names mapping'!$B$71:$BL$100,MATCH(B546,'ei names mapping'!$A$4:$A$33,0),MATCH(G620,'ei names mapping'!$B$3:$BL$3,0))</f>
        <v>brake wear emissions, passenger car</v>
      </c>
    </row>
    <row r="622" spans="1:8" ht="16" x14ac:dyDescent="0.2">
      <c r="A622" s="10" t="s">
        <v>71</v>
      </c>
      <c r="B622" s="8" t="str">
        <f>"transport, "&amp;B624&amp;", "&amp;B626</f>
        <v>transport, Motorbike, gasoline, 4-11kW, EURO-5, 2050</v>
      </c>
    </row>
    <row r="623" spans="1:8" x14ac:dyDescent="0.2">
      <c r="A623" t="s">
        <v>72</v>
      </c>
      <c r="B623" t="s">
        <v>37</v>
      </c>
    </row>
    <row r="624" spans="1:8" x14ac:dyDescent="0.2">
      <c r="A624" t="s">
        <v>86</v>
      </c>
      <c r="B624" t="s">
        <v>640</v>
      </c>
    </row>
    <row r="625" spans="1:2" x14ac:dyDescent="0.2">
      <c r="A625" t="s">
        <v>87</v>
      </c>
    </row>
    <row r="626" spans="1:2" x14ac:dyDescent="0.2">
      <c r="A626" t="s">
        <v>88</v>
      </c>
      <c r="B626">
        <v>2050</v>
      </c>
    </row>
    <row r="627" spans="1:2" x14ac:dyDescent="0.2">
      <c r="A627" t="s">
        <v>126</v>
      </c>
      <c r="B627" t="str">
        <f>B624&amp;" - "&amp;B626&amp;" - "&amp;B623</f>
        <v>Motorbike, gasoline, 4-11kW, EURO-5 - 2050 - CH</v>
      </c>
    </row>
    <row r="628" spans="1:2" x14ac:dyDescent="0.2">
      <c r="A628" t="s">
        <v>73</v>
      </c>
      <c r="B628" t="str">
        <f>"transport, "&amp;B624</f>
        <v>transport, Motorbike, gasoline, 4-11kW, EURO-5</v>
      </c>
    </row>
    <row r="629" spans="1:2" x14ac:dyDescent="0.2">
      <c r="A629" t="s">
        <v>74</v>
      </c>
      <c r="B629" t="s">
        <v>75</v>
      </c>
    </row>
    <row r="630" spans="1:2" x14ac:dyDescent="0.2">
      <c r="A630" t="s">
        <v>76</v>
      </c>
      <c r="B630" t="s">
        <v>166</v>
      </c>
    </row>
    <row r="631" spans="1:2" x14ac:dyDescent="0.2">
      <c r="A631" t="s">
        <v>78</v>
      </c>
      <c r="B631" t="s">
        <v>1143</v>
      </c>
    </row>
    <row r="632" spans="1:2" x14ac:dyDescent="0.2">
      <c r="A632" t="s">
        <v>127</v>
      </c>
      <c r="B632">
        <f>INDEX('vehicles specifications'!$B$3:$CW$166,MATCH(B627,'vehicles specifications'!$A$3:$A$166,0),MATCH("Lifetime [km]",'vehicles specifications'!$B$2:$CW$2,0))</f>
        <v>25000</v>
      </c>
    </row>
    <row r="633" spans="1:2" x14ac:dyDescent="0.2">
      <c r="A633" t="s">
        <v>128</v>
      </c>
      <c r="B633">
        <f>INDEX('vehicles specifications'!$B$3:$CW$166,MATCH(B627,'vehicles specifications'!$A$3:$A$166,0),MATCH("Passengers [unit]",'vehicles specifications'!$B$2:$CW$2,0))</f>
        <v>1.1000000000000001</v>
      </c>
    </row>
    <row r="634" spans="1:2" x14ac:dyDescent="0.2">
      <c r="A634" t="s">
        <v>129</v>
      </c>
      <c r="B634">
        <f>INDEX('vehicles specifications'!$B$3:$CW$166,MATCH(B627,'vehicles specifications'!$A$3:$A$166,0),MATCH("Servicing [unit]",'vehicles specifications'!$B$2:$CW$2,0))</f>
        <v>1</v>
      </c>
    </row>
    <row r="635" spans="1:2" x14ac:dyDescent="0.2">
      <c r="A635" t="s">
        <v>130</v>
      </c>
      <c r="B635">
        <f>INDEX('vehicles specifications'!$B$3:$CW$166,MATCH(B627,'vehicles specifications'!$A$3:$A$166,0),MATCH("Energy battery replacement [unit]",'vehicles specifications'!$B$2:$CW$2,0))</f>
        <v>0</v>
      </c>
    </row>
    <row r="636" spans="1:2" x14ac:dyDescent="0.2">
      <c r="A636" t="s">
        <v>131</v>
      </c>
      <c r="B636">
        <f>INDEX('vehicles specifications'!$B$3:$CW$166,MATCH(B627,'vehicles specifications'!$A$3:$A$166,0),MATCH("Annual kilometers [km]",'vehicles specifications'!$B$2:$CW$2,0))</f>
        <v>1776</v>
      </c>
    </row>
    <row r="637" spans="1:2" x14ac:dyDescent="0.2">
      <c r="A637" t="s">
        <v>132</v>
      </c>
      <c r="B637" s="2">
        <f>INDEX('vehicles specifications'!$B$3:$CW$166,MATCH(B627,'vehicles specifications'!$A$3:$A$166,0),MATCH("Curb mass [kg]",'vehicles specifications'!$B$2:$CW$2,0))</f>
        <v>114.41963794533542</v>
      </c>
    </row>
    <row r="638" spans="1:2" x14ac:dyDescent="0.2">
      <c r="A638" t="s">
        <v>133</v>
      </c>
      <c r="B638">
        <f>INDEX('vehicles specifications'!$B$3:$CW$166,MATCH(B627,'vehicles specifications'!$A$3:$A$166,0),MATCH("Power [kW]",'vehicles specifications'!$B$2:$CW$2,0))</f>
        <v>9</v>
      </c>
    </row>
    <row r="639" spans="1:2" x14ac:dyDescent="0.2">
      <c r="A639" t="s">
        <v>134</v>
      </c>
      <c r="B639" t="str">
        <f>INDEX('vehicles specifications'!$B$3:$CW$166,MATCH(B627,'vehicles specifications'!$A$3:$A$166,0),MATCH("Energy battery mass [kg]",'vehicles specifications'!$B$2:$CW$2,0))</f>
        <v/>
      </c>
    </row>
    <row r="640" spans="1:2" x14ac:dyDescent="0.2">
      <c r="A640" t="s">
        <v>135</v>
      </c>
      <c r="B640">
        <f>INDEX('vehicles specifications'!$B$3:$CW$166,MATCH(B627,'vehicles specifications'!$A$3:$A$166,0),MATCH("Electric energy available [kWh]",'vehicles specifications'!$B$2:$CW$2,0))</f>
        <v>0</v>
      </c>
    </row>
    <row r="641" spans="1:8" x14ac:dyDescent="0.2">
      <c r="A641" t="s">
        <v>138</v>
      </c>
      <c r="B641" s="2">
        <f>INDEX('vehicles specifications'!$B$3:$CW$166,MATCH(B627,'vehicles specifications'!$A$3:$A$166,0),MATCH("Oxydation energy stored [kWh]",'vehicles specifications'!$B$2:$CW$2,0))</f>
        <v>79.875</v>
      </c>
    </row>
    <row r="642" spans="1:8" x14ac:dyDescent="0.2">
      <c r="A642" t="s">
        <v>139</v>
      </c>
      <c r="B642">
        <f>INDEX('vehicles specifications'!$B$3:$CW$166,MATCH(B627,'vehicles specifications'!$A$3:$A$166,0),MATCH("Fuel mass [kg]",'vehicles specifications'!$B$2:$CW$2,0))</f>
        <v>6.75</v>
      </c>
    </row>
    <row r="643" spans="1:8" x14ac:dyDescent="0.2">
      <c r="A643" t="s">
        <v>136</v>
      </c>
      <c r="B643" s="2">
        <f>INDEX('vehicles specifications'!$B$3:$CW$166,MATCH(B627,'vehicles specifications'!$A$3:$A$166,0),MATCH("Range [km]",'vehicles specifications'!$B$2:$CW$2,0))</f>
        <v>294.65420794252248</v>
      </c>
    </row>
    <row r="644" spans="1:8" x14ac:dyDescent="0.2">
      <c r="A644" t="s">
        <v>137</v>
      </c>
      <c r="B644" t="str">
        <f>INDEX('vehicles specifications'!$B$3:$CW$166,MATCH(B627,'vehicles specifications'!$A$3:$A$166,0),MATCH("Emission standard",'vehicles specifications'!$B$2:$CW$2,0))</f>
        <v>EURO-5</v>
      </c>
    </row>
    <row r="645" spans="1:8" x14ac:dyDescent="0.2">
      <c r="A645" t="s">
        <v>1174</v>
      </c>
      <c r="B645" s="6">
        <f>INDEX('vehicles specifications'!$B$3:$CW$166,MATCH(B627,'vehicles specifications'!$A$3:$A$166,0),MATCH("Lightweighting rate [%]",'vehicles specifications'!$B$2:$CW$2,0))</f>
        <v>7.0000000000000007E-2</v>
      </c>
    </row>
    <row r="646" spans="1:8" x14ac:dyDescent="0.2">
      <c r="A646" t="s">
        <v>83</v>
      </c>
      <c r="B646"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9 kW. Lifetime: 25000 km. Annual kilometers: 1776 km. Number of passengers: 1.1. Curb mass: 114.4 kg. Lightweighting of glider: 7%. Emission standard: EURO-5. Service visits throughout lifetime: 1. Range: 295 km. Fuel tank capacity: 79.9 kWh. Fuel mass: 6.8 kg. Documentation: Life-cycle inventories for on-road vehicles, Sacchi R. (PSI), Bauer C. (PSI), 2021. Sacchi R., Bauer C. Life cycle inventories for on-road vehicles. Paul Scherrer Institut, 2021.</v>
      </c>
    </row>
    <row r="647" spans="1:8" ht="16" x14ac:dyDescent="0.2">
      <c r="A647" s="10" t="s">
        <v>79</v>
      </c>
    </row>
    <row r="648" spans="1:8" x14ac:dyDescent="0.2">
      <c r="A648" t="s">
        <v>80</v>
      </c>
      <c r="B648" t="s">
        <v>81</v>
      </c>
      <c r="C648" t="s">
        <v>72</v>
      </c>
      <c r="D648" t="s">
        <v>76</v>
      </c>
      <c r="E648" t="s">
        <v>82</v>
      </c>
      <c r="F648" t="s">
        <v>74</v>
      </c>
      <c r="G648" t="s">
        <v>83</v>
      </c>
      <c r="H648" t="s">
        <v>73</v>
      </c>
    </row>
    <row r="649" spans="1:8" x14ac:dyDescent="0.2">
      <c r="A649" t="str">
        <f>B622</f>
        <v>transport, Motorbike, gasoline, 4-11kW, EURO-5, 2050</v>
      </c>
      <c r="B649">
        <v>1</v>
      </c>
      <c r="C649" t="str">
        <f>B623</f>
        <v>CH</v>
      </c>
      <c r="D649" t="s">
        <v>166</v>
      </c>
      <c r="F649" t="s">
        <v>84</v>
      </c>
      <c r="G649" t="s">
        <v>85</v>
      </c>
      <c r="H649" t="str">
        <f>B628</f>
        <v>transport, Motorbike, gasoline, 4-11kW, EURO-5</v>
      </c>
    </row>
    <row r="650" spans="1:8" x14ac:dyDescent="0.2">
      <c r="A650" t="str">
        <f>RIGHT(A649,LEN(A649)-11)</f>
        <v>Motorbike, gasoline, 4-11kW, EURO-5, 2050</v>
      </c>
      <c r="B650" s="7">
        <f>1/B632</f>
        <v>4.0000000000000003E-5</v>
      </c>
      <c r="C650" t="str">
        <f>B623</f>
        <v>CH</v>
      </c>
      <c r="D650" t="s">
        <v>76</v>
      </c>
      <c r="F650" t="s">
        <v>89</v>
      </c>
      <c r="H650" t="str">
        <f>RIGHT(H649,LEN(H649)-11)</f>
        <v>Motorbike, gasoline, 4-11kW, EURO-5</v>
      </c>
    </row>
    <row r="651" spans="1:8" x14ac:dyDescent="0.2">
      <c r="A651" t="str">
        <f>INDEX('ei names mapping'!$B$4:$R$33,MATCH(B624,'ei names mapping'!$A$4:$A$33,0),MATCH(G651,'ei names mapping'!$B$3:$R$3,0))</f>
        <v>road construction</v>
      </c>
      <c r="B651" s="7">
        <f>INDEX('vehicles specifications'!$B$3:$CW$166,MATCH(B627,'vehicles specifications'!$A$3:$A$166,0),MATCH(G651,'vehicles specifications'!$B$2:$CW$2,0))*INDEX('ei names mapping'!$B$137:$BL$300,MATCH(B627,'ei names mapping'!$A$137:$A$300,0),MATCH(G651,'ei names mapping'!$B$136:$BL$136,0))</f>
        <v>1.0896784557664511E-4</v>
      </c>
      <c r="C651" t="str">
        <f>INDEX('ei names mapping'!$B$38:$R$67,MATCH(B624,'ei names mapping'!$A$4:$A$33,0),MATCH(G651,'ei names mapping'!$B$3:$R$3,0))</f>
        <v>CH</v>
      </c>
      <c r="D651" t="str">
        <f>INDEX('ei names mapping'!$B$104:$BL$133,MATCH(B624,'ei names mapping'!$A$4:$A$33,0),MATCH(G651,'ei names mapping'!$B$3:$BL$3,0))</f>
        <v>meter-year</v>
      </c>
      <c r="F651" t="s">
        <v>89</v>
      </c>
      <c r="G651" t="s">
        <v>105</v>
      </c>
      <c r="H651" t="str">
        <f>INDEX('ei names mapping'!$B$71:$BL$100,MATCH(B624,'ei names mapping'!$A$4:$A$33,0),MATCH(G651,'ei names mapping'!$B$3:$BL$3,0))</f>
        <v>road</v>
      </c>
    </row>
    <row r="652" spans="1:8" x14ac:dyDescent="0.2">
      <c r="A652" t="str">
        <f>INDEX('ei names mapping'!$B$4:$R$33,MATCH(B624,'ei names mapping'!$A$4:$A$33,0),MATCH(G652,'ei names mapping'!$B$3:$R$3,0))</f>
        <v>maintenance, motor scooter</v>
      </c>
      <c r="B652" s="7">
        <f>INDEX('vehicles specifications'!$B$3:$CW$166,MATCH(B627,'vehicles specifications'!$A$3:$A$166,0),MATCH(G652,'vehicles specifications'!$B$2:$CW$2,0))*INDEX('ei names mapping'!$B$137:$BL$300,MATCH(B627,'ei names mapping'!$A$137:$A$300,0),MATCH(G652,'ei names mapping'!$B$136:$BL$136,0))</f>
        <v>4.0000000000000003E-5</v>
      </c>
      <c r="C652" t="str">
        <f>INDEX('ei names mapping'!$B$38:$BL$67,MATCH(B624,'ei names mapping'!$A$4:$A$33,0),MATCH(G652,'ei names mapping'!$B$3:$BL$3,0))</f>
        <v>CH</v>
      </c>
      <c r="D652" t="str">
        <f>INDEX('ei names mapping'!$B$104:$BL$133,MATCH(B624,'ei names mapping'!$A$4:$A$33,0),MATCH(G652,'ei names mapping'!$B$3:$BL$3,0))</f>
        <v>unit</v>
      </c>
      <c r="F652" t="s">
        <v>89</v>
      </c>
      <c r="G652" t="s">
        <v>118</v>
      </c>
      <c r="H652" t="str">
        <f>INDEX('ei names mapping'!$B$71:$BL$100,MATCH(B624,'ei names mapping'!$A$4:$A$33,0),MATCH(G652,'ei names mapping'!$B$3:$BL$3,0))</f>
        <v>maintenance, motor scooter</v>
      </c>
    </row>
    <row r="653" spans="1:8" x14ac:dyDescent="0.2">
      <c r="A653" t="str">
        <f>INDEX('ei names mapping'!$B$4:$R$33,MATCH(B624,'ei names mapping'!$A$4:$A$33,0),MATCH(G653,'ei names mapping'!$B$3:$R$3,0))</f>
        <v>fuel supply for gasoline vehicles</v>
      </c>
      <c r="B653" s="7">
        <f>INDEX('vehicles specifications'!$B$3:$CW$166,MATCH(B627,'vehicles specifications'!$A$3:$A$166,0),MATCH(G653,'vehicles specifications'!$B$2:$CW$2,0))*INDEX('ei names mapping'!$B$137:$BL$300,MATCH(B627,'ei names mapping'!$A$137:$A$300,0),MATCH(G653,'ei names mapping'!$B$136:$BL$136,0))</f>
        <v>2.290820839496277E-2</v>
      </c>
      <c r="C653" t="str">
        <f>INDEX('ei names mapping'!$B$38:$BL$67,MATCH(B624,'ei names mapping'!$A$4:$A$33,0),MATCH(G653,'ei names mapping'!$B$3:$BL$3,0))</f>
        <v>CH</v>
      </c>
      <c r="D653" t="str">
        <f>INDEX('ei names mapping'!$B$104:$BL$133,MATCH(B624,'ei names mapping'!$A$4:$A$33,0),MATCH(G653,'ei names mapping'!$B$3:$BL$3,0))</f>
        <v>kilogram</v>
      </c>
      <c r="F653" t="s">
        <v>89</v>
      </c>
      <c r="G653" t="s">
        <v>27</v>
      </c>
      <c r="H653" t="str">
        <f>INDEX('ei names mapping'!$B$71:$BL$100,MATCH(B624,'ei names mapping'!$A$4:$A$33,0),MATCH(G653,'ei names mapping'!$B$3:$BL$3,0))</f>
        <v>gasoline blend</v>
      </c>
    </row>
    <row r="654" spans="1:8" x14ac:dyDescent="0.2">
      <c r="A654" t="str">
        <f>INDEX('ei names mapping'!$B$4:$R$33,MATCH(B624,'ei names mapping'!$A$4:$A$33,0),MATCH(G654,'ei names mapping'!$B$3:$R$3,0))</f>
        <v>road maintenance</v>
      </c>
      <c r="B654" s="7">
        <f>INDEX('vehicles specifications'!$B$3:$CW$166,MATCH(B627,'vehicles specifications'!$A$3:$A$166,0),MATCH(G654,'vehicles specifications'!$B$2:$CW$2,0))*INDEX('ei names mapping'!$B$137:$BL$300,MATCH(B627,'ei names mapping'!$A$137:$A$300,0),MATCH(G654,'ei names mapping'!$B$136:$BL$136,0))</f>
        <v>1.2899999999999999E-3</v>
      </c>
      <c r="C654" t="str">
        <f>INDEX('ei names mapping'!$B$38:$R$67,MATCH(B624,'ei names mapping'!$A$4:$A$33,0),MATCH(G654,'ei names mapping'!$B$3:$R$3,0))</f>
        <v>CH</v>
      </c>
      <c r="D654" t="str">
        <f>INDEX('ei names mapping'!$B$104:$BL$133,MATCH(B624,'ei names mapping'!$A$4:$A$33,0),MATCH(G654,'ei names mapping'!$B$3:$BL$3,0))</f>
        <v>meter-year</v>
      </c>
      <c r="F654" t="s">
        <v>89</v>
      </c>
      <c r="G654" t="s">
        <v>112</v>
      </c>
      <c r="H654" t="str">
        <f>INDEX('ei names mapping'!$B$71:$BL$100,MATCH(B624,'ei names mapping'!$A$4:$A$33,0),MATCH(G654,'ei names mapping'!$B$3:$BL$3,0))</f>
        <v>road maintenance</v>
      </c>
    </row>
    <row r="655" spans="1:8" x14ac:dyDescent="0.2">
      <c r="A655" t="str">
        <f>INDEX('ei names mapping'!$B$4:$BL$33,MATCH(B624,'ei names mapping'!$A$4:$A$33,0),MATCH(G655,'ei names mapping'!$B$3:$BL$3,0))</f>
        <v>Carbon dioxide, fossil</v>
      </c>
      <c r="B655" s="7">
        <f>INDEX('vehicles specifications'!$B$3:$CW$166,MATCH(B627,'vehicles specifications'!$A$3:$A$166,0),MATCH(G655,'vehicles specifications'!$B$2:$CW$2,0))*INDEX('ei names mapping'!$B$137:$BL$300,MATCH(B627,'ei names mapping'!$A$137:$A$300,0),MATCH(G655,'ei names mapping'!$B$136:$BL$136,0))</f>
        <v>7.1068593067860911E-2</v>
      </c>
      <c r="D655" t="str">
        <f>INDEX('ei names mapping'!$B$104:$BL$133,MATCH(B624,'ei names mapping'!$A$4:$A$33,0),MATCH(G655,'ei names mapping'!$B$3:$BL$3,0))</f>
        <v>kilogram</v>
      </c>
      <c r="E655" t="str">
        <f>INDEX('ei names mapping'!$B$305:$BL$335,MATCH(B624,'ei names mapping'!$A$4:$A$33,0),MATCH(G655,'ei names mapping'!$B$3:$BL$3,0))</f>
        <v>air::urban air close to ground</v>
      </c>
      <c r="F655" t="s">
        <v>167</v>
      </c>
      <c r="G655" t="s">
        <v>66</v>
      </c>
    </row>
    <row r="656" spans="1:8" x14ac:dyDescent="0.2">
      <c r="A656" t="str">
        <f>INDEX('ei names mapping'!$B$4:$BL$33,MATCH(B624,'ei names mapping'!$A$4:$A$33,0),MATCH(G656,'ei names mapping'!$B$3:$BL$3,0))</f>
        <v>Carbon dioxide, from soil or biomass stock</v>
      </c>
      <c r="B656" s="11">
        <f>INDEX('vehicles specifications'!$B$3:$CW$166,MATCH(B627,'vehicles specifications'!$A$3:$A$166,0),MATCH(G656,'vehicles specifications'!$B$2:$CW$2,0))*INDEX('ei names mapping'!$B$137:$BL$300,MATCH(B627,'ei names mapping'!$A$137:$A$300,0),MATCH(G656,'ei names mapping'!$B$136:$BL$136,0))</f>
        <v>8.6318129232219735E-4</v>
      </c>
      <c r="D656" t="str">
        <f>INDEX('ei names mapping'!$B$104:$BL$133,MATCH(B624,'ei names mapping'!$A$4:$A$33,0),MATCH(G656,'ei names mapping'!$B$3:$BL$3,0))</f>
        <v>kilogram</v>
      </c>
      <c r="E656" t="str">
        <f>INDEX('ei names mapping'!$B$305:$BL$335,MATCH(B624,'ei names mapping'!$A$4:$A$33,0),MATCH(G656,'ei names mapping'!$B$3:$BL$3,0))</f>
        <v>air::urban air close to ground</v>
      </c>
      <c r="F656" t="s">
        <v>167</v>
      </c>
      <c r="G656" t="s">
        <v>843</v>
      </c>
    </row>
    <row r="657" spans="1:7" x14ac:dyDescent="0.2">
      <c r="A657" t="str">
        <f>INDEX('ei names mapping'!$B$4:$BL$33,MATCH(B624,'ei names mapping'!$A$4:$A$33,0),MATCH(G657,'ei names mapping'!$B$3:$BL$3,0))</f>
        <v>Sulfur dioxide</v>
      </c>
      <c r="B657" s="7">
        <f>INDEX('vehicles specifications'!$B$3:$CW$166,MATCH(B627,'vehicles specifications'!$A$3:$A$166,0),MATCH(G657,'vehicles specifications'!$B$2:$CW$2,0))*INDEX('ei names mapping'!$B$137:$BL$300,MATCH(B627,'ei names mapping'!$A$137:$A$300,0),MATCH(G657,'ei names mapping'!$B$136:$BL$136,0))</f>
        <v>3.6653133431940438E-7</v>
      </c>
      <c r="D657" t="str">
        <f>INDEX('ei names mapping'!$B$104:$BL$133,MATCH(B624,'ei names mapping'!$A$4:$A$33,0),MATCH(G657,'ei names mapping'!$B$3:$BL$3,0))</f>
        <v>kilogram</v>
      </c>
      <c r="E657" t="str">
        <f>INDEX('ei names mapping'!$B$305:$BL$335,MATCH(B624,'ei names mapping'!$A$4:$A$33,0),MATCH(G657,'ei names mapping'!$B$3:$BL$3,0))</f>
        <v>air::urban air close to ground</v>
      </c>
      <c r="F657" t="s">
        <v>167</v>
      </c>
      <c r="G657" t="s">
        <v>67</v>
      </c>
    </row>
    <row r="658" spans="1:7" x14ac:dyDescent="0.2">
      <c r="A658" t="str">
        <f>INDEX('ei names mapping'!$B$4:$BL$33,MATCH(B624,'ei names mapping'!$A$4:$A$33,0),MATCH(G658,'ei names mapping'!$B$3:$BL$3,0))</f>
        <v>Benzene</v>
      </c>
      <c r="B658" s="7">
        <f>INDEX('vehicles specifications'!$B$3:$CW$166,MATCH(B627,'vehicles specifications'!$A$3:$A$166,0),MATCH(G658,'vehicles specifications'!$B$2:$CW$2,0))*INDEX('ei names mapping'!$B$137:$BL$300,MATCH(B627,'ei names mapping'!$A$137:$A$300,0),MATCH(G658,'ei names mapping'!$B$136:$BL$136,0))</f>
        <v>2.9136673494751086E-6</v>
      </c>
      <c r="D658" t="str">
        <f>INDEX('ei names mapping'!$B$104:$BL$133,MATCH(B624,'ei names mapping'!$A$4:$A$33,0),MATCH(G658,'ei names mapping'!$B$3:$BL$3,0))</f>
        <v>kilogram</v>
      </c>
      <c r="E658" t="str">
        <f>INDEX('ei names mapping'!$B$305:$BL$335,MATCH(B624,'ei names mapping'!$A$4:$A$33,0),MATCH(G658,'ei names mapping'!$B$3:$BL$3,0))</f>
        <v>air::urban air close to ground</v>
      </c>
      <c r="F658" t="s">
        <v>167</v>
      </c>
      <c r="G658" t="s">
        <v>55</v>
      </c>
    </row>
    <row r="659" spans="1:7" x14ac:dyDescent="0.2">
      <c r="A659" t="str">
        <f>INDEX('ei names mapping'!$B$4:$BL$33,MATCH(B624,'ei names mapping'!$A$4:$A$33,0),MATCH(G659,'ei names mapping'!$B$3:$BL$3,0))</f>
        <v>Methane, fossil</v>
      </c>
      <c r="B659" s="7">
        <f>INDEX('vehicles specifications'!$B$3:$CW$166,MATCH(B627,'vehicles specifications'!$A$3:$A$166,0),MATCH(G659,'vehicles specifications'!$B$2:$CW$2,0))*INDEX('ei names mapping'!$B$137:$BL$300,MATCH(B627,'ei names mapping'!$A$137:$A$300,0),MATCH(G659,'ei names mapping'!$B$136:$BL$136,0))</f>
        <v>5.4088297792530884E-5</v>
      </c>
      <c r="D659" t="str">
        <f>INDEX('ei names mapping'!$B$104:$BL$133,MATCH(B624,'ei names mapping'!$A$4:$A$33,0),MATCH(G659,'ei names mapping'!$B$3:$BL$3,0))</f>
        <v>kilogram</v>
      </c>
      <c r="E659" t="str">
        <f>INDEX('ei names mapping'!$B$305:$BL$335,MATCH(B624,'ei names mapping'!$A$4:$A$33,0),MATCH(G659,'ei names mapping'!$B$3:$BL$3,0))</f>
        <v>air::urban air close to ground</v>
      </c>
      <c r="F659" t="s">
        <v>167</v>
      </c>
      <c r="G659" t="s">
        <v>56</v>
      </c>
    </row>
    <row r="660" spans="1:7" x14ac:dyDescent="0.2">
      <c r="A660" t="str">
        <f>INDEX('ei names mapping'!$B$4:$BL$33,MATCH(B624,'ei names mapping'!$A$4:$A$33,0),MATCH(G660,'ei names mapping'!$B$3:$BL$3,0))</f>
        <v>Carbon monoxide, fossil</v>
      </c>
      <c r="B660" s="7">
        <f>INDEX('vehicles specifications'!$B$3:$CW$166,MATCH(B627,'vehicles specifications'!$A$3:$A$166,0),MATCH(G660,'vehicles specifications'!$B$2:$CW$2,0))*INDEX('ei names mapping'!$B$137:$BL$300,MATCH(B627,'ei names mapping'!$A$137:$A$300,0),MATCH(G660,'ei names mapping'!$B$136:$BL$136,0))</f>
        <v>6.912635407797733E-4</v>
      </c>
      <c r="D660" t="str">
        <f>INDEX('ei names mapping'!$B$104:$BL$133,MATCH(B624,'ei names mapping'!$A$4:$A$33,0),MATCH(G660,'ei names mapping'!$B$3:$BL$3,0))</f>
        <v>kilogram</v>
      </c>
      <c r="E660" t="str">
        <f>INDEX('ei names mapping'!$B$305:$BL$335,MATCH(B624,'ei names mapping'!$A$4:$A$33,0),MATCH(G660,'ei names mapping'!$B$3:$BL$3,0))</f>
        <v>air::urban air close to ground</v>
      </c>
      <c r="F660" t="s">
        <v>167</v>
      </c>
      <c r="G660" t="s">
        <v>57</v>
      </c>
    </row>
    <row r="661" spans="1:7" x14ac:dyDescent="0.2">
      <c r="A661" t="str">
        <f>INDEX('ei names mapping'!$B$4:$BL$33,MATCH(B624,'ei names mapping'!$A$4:$A$33,0),MATCH(G661,'ei names mapping'!$B$3:$BL$3,0))</f>
        <v>Dinitrogen monoxide</v>
      </c>
      <c r="B661" s="7">
        <f>INDEX('vehicles specifications'!$B$3:$CW$166,MATCH(B627,'vehicles specifications'!$A$3:$A$166,0),MATCH(G661,'vehicles specifications'!$B$2:$CW$2,0))*INDEX('ei names mapping'!$B$137:$BL$300,MATCH(B627,'ei names mapping'!$A$137:$A$300,0),MATCH(G661,'ei names mapping'!$B$136:$BL$136,0))</f>
        <v>1.9317249211618169E-6</v>
      </c>
      <c r="D661" t="str">
        <f>INDEX('ei names mapping'!$B$104:$BL$133,MATCH(B624,'ei names mapping'!$A$4:$A$33,0),MATCH(G661,'ei names mapping'!$B$3:$BL$3,0))</f>
        <v>kilogram</v>
      </c>
      <c r="E661" t="str">
        <f>INDEX('ei names mapping'!$B$305:$BL$335,MATCH(B624,'ei names mapping'!$A$4:$A$33,0),MATCH(G661,'ei names mapping'!$B$3:$BL$3,0))</f>
        <v>air::urban air close to ground</v>
      </c>
      <c r="F661" t="s">
        <v>167</v>
      </c>
      <c r="G661" t="s">
        <v>58</v>
      </c>
    </row>
    <row r="662" spans="1:7" x14ac:dyDescent="0.2">
      <c r="A662" t="str">
        <f>INDEX('ei names mapping'!$B$4:$BL$33,MATCH(B624,'ei names mapping'!$A$4:$A$33,0),MATCH(G662,'ei names mapping'!$B$3:$BL$3,0))</f>
        <v>Ammonia</v>
      </c>
      <c r="B662" s="7">
        <f>INDEX('vehicles specifications'!$B$3:$CW$166,MATCH(B627,'vehicles specifications'!$A$3:$A$166,0),MATCH(G662,'vehicles specifications'!$B$2:$CW$2,0))*INDEX('ei names mapping'!$B$137:$BL$300,MATCH(B627,'ei names mapping'!$A$137:$A$300,0),MATCH(G662,'ei names mapping'!$B$136:$BL$136,0))</f>
        <v>1.9317249211618169E-6</v>
      </c>
      <c r="D662" t="str">
        <f>INDEX('ei names mapping'!$B$104:$BL$133,MATCH(B624,'ei names mapping'!$A$4:$A$33,0),MATCH(G662,'ei names mapping'!$B$3:$BL$3,0))</f>
        <v>kilogram</v>
      </c>
      <c r="E662" t="str">
        <f>INDEX('ei names mapping'!$B$305:$BL$335,MATCH(B624,'ei names mapping'!$A$4:$A$33,0),MATCH(G662,'ei names mapping'!$B$3:$BL$3,0))</f>
        <v>air::urban air close to ground</v>
      </c>
      <c r="F662" t="s">
        <v>167</v>
      </c>
      <c r="G662" t="s">
        <v>59</v>
      </c>
    </row>
    <row r="663" spans="1:7" x14ac:dyDescent="0.2">
      <c r="A663" t="str">
        <f>INDEX('ei names mapping'!$B$4:$BL$33,MATCH(B624,'ei names mapping'!$A$4:$A$33,0),MATCH(G663,'ei names mapping'!$B$3:$BL$3,0))</f>
        <v>Nitrogen oxides</v>
      </c>
      <c r="B663" s="7">
        <f>INDEX('vehicles specifications'!$B$3:$CW$166,MATCH(B627,'vehicles specifications'!$A$3:$A$166,0),MATCH(G663,'vehicles specifications'!$B$2:$CW$2,0))*INDEX('ei names mapping'!$B$137:$BL$300,MATCH(B627,'ei names mapping'!$A$137:$A$300,0),MATCH(G663,'ei names mapping'!$B$136:$BL$136,0))</f>
        <v>1.7771526984353721E-5</v>
      </c>
      <c r="D663" t="str">
        <f>INDEX('ei names mapping'!$B$104:$BL$133,MATCH(B624,'ei names mapping'!$A$4:$A$33,0),MATCH(G663,'ei names mapping'!$B$3:$BL$3,0))</f>
        <v>kilogram</v>
      </c>
      <c r="E663" t="str">
        <f>INDEX('ei names mapping'!$B$305:$BL$335,MATCH(B624,'ei names mapping'!$A$4:$A$33,0),MATCH(G663,'ei names mapping'!$B$3:$BL$3,0))</f>
        <v>air::urban air close to ground</v>
      </c>
      <c r="F663" t="s">
        <v>167</v>
      </c>
      <c r="G663" t="s">
        <v>60</v>
      </c>
    </row>
    <row r="664" spans="1:7" x14ac:dyDescent="0.2">
      <c r="A664" t="str">
        <f>INDEX('ei names mapping'!$B$4:$BL$33,MATCH(B624,'ei names mapping'!$A$4:$A$33,0),MATCH(G664,'ei names mapping'!$B$3:$BL$3,0))</f>
        <v>Particulates, &lt; 2.5 um</v>
      </c>
      <c r="B664" s="7">
        <f>INDEX('vehicles specifications'!$B$3:$CW$166,MATCH(B$627,'vehicles specifications'!$A$3:$A$166,0),MATCH(G664,'vehicles specifications'!$B$2:$CW$2,0))*INDEX('ei names mapping'!$B$137:$BL$300,MATCH(B$627,'ei names mapping'!$A$137:$A$300,0),MATCH(G664,'ei names mapping'!$B$136:$BL$136,0))</f>
        <v>4.8293123029045427E-6</v>
      </c>
      <c r="D664" t="str">
        <f>INDEX('ei names mapping'!$B$104:$BL$133,MATCH(B624,'ei names mapping'!$A$4:$A$33,0),MATCH(G664,'ei names mapping'!$B$3:$BL$3,0))</f>
        <v>kilogram</v>
      </c>
      <c r="E664" t="str">
        <f>INDEX('ei names mapping'!$B$305:$BL$335,MATCH(B624,'ei names mapping'!$A$4:$A$33,0),MATCH(G664,'ei names mapping'!$B$3:$BL$3,0))</f>
        <v>air::urban air close to ground</v>
      </c>
      <c r="F664" t="s">
        <v>167</v>
      </c>
      <c r="G664" t="s">
        <v>62</v>
      </c>
    </row>
    <row r="665" spans="1:7" x14ac:dyDescent="0.2">
      <c r="A665" t="str">
        <f>INDEX('ei names mapping'!$B$4:$BL$33,MATCH(B$234,'ei names mapping'!$A$4:$A$33,0),MATCH(G665,'ei names mapping'!$B$3:$BL$3,0))</f>
        <v>NMVOC, non-methane volatile organic compounds, unspecified origin</v>
      </c>
      <c r="B665" s="7">
        <f>INDEX('vehicles specifications'!$B$3:$CW$166,MATCH(B$627,'vehicles specifications'!$A$3:$A$166,0),MATCH(G665,'vehicles specifications'!$B$2:$CW$2,0))*INDEX('ei names mapping'!$B$137:$BL$300,MATCH(B$627,'ei names mapping'!$A$137:$A$300,0),MATCH(G665,'ei names mapping'!$B$136:$BL$136,0))</f>
        <v>2.3496312101649541E-5</v>
      </c>
      <c r="D665" t="str">
        <f>INDEX('ei names mapping'!$B$104:$BL$133,MATCH(B$234,'ei names mapping'!$A$4:$A$33,0),MATCH(G665,'ei names mapping'!$B$3:$BL$3,0))</f>
        <v>kilogram</v>
      </c>
      <c r="E665" t="str">
        <f>INDEX('ei names mapping'!$B$305:$BL$335,MATCH(B$234,'ei names mapping'!$A$4:$A$33,0),MATCH(G665,'ei names mapping'!$B$3:$BL$3,0))</f>
        <v>air::urban air close to ground</v>
      </c>
      <c r="F665" t="s">
        <v>167</v>
      </c>
      <c r="G665" t="s">
        <v>593</v>
      </c>
    </row>
    <row r="666" spans="1:7" x14ac:dyDescent="0.2">
      <c r="A666" t="str">
        <f>INDEX('ei names mapping'!$B$4:$BL$33,MATCH(B$234,'ei names mapping'!$A$4:$A$33,0),MATCH(G666,'ei names mapping'!$B$3:$BL$3,0))</f>
        <v>Ethane</v>
      </c>
      <c r="B666" s="7">
        <f>INDEX('vehicles specifications'!$B$3:$CW$166,MATCH(B$627,'vehicles specifications'!$A$3:$A$166,0),MATCH(G666,'vehicles specifications'!$B$2:$CW$2,0))*INDEX('ei names mapping'!$B$137:$BL$300,MATCH(B$627,'ei names mapping'!$A$137:$A$300,0),MATCH(G666,'ei names mapping'!$B$136:$BL$136,0))</f>
        <v>1.6567912379368265E-6</v>
      </c>
      <c r="D666" t="str">
        <f>INDEX('ei names mapping'!$B$104:$BL$133,MATCH(B$234,'ei names mapping'!$A$4:$A$33,0),MATCH(G666,'ei names mapping'!$B$3:$BL$3,0))</f>
        <v>kilogram</v>
      </c>
      <c r="E666" t="str">
        <f>INDEX('ei names mapping'!$B$305:$BL$335,MATCH(B$234,'ei names mapping'!$A$4:$A$33,0),MATCH(G666,'ei names mapping'!$B$3:$BL$3,0))</f>
        <v>air::urban air close to ground</v>
      </c>
      <c r="F666" t="s">
        <v>167</v>
      </c>
      <c r="G666" t="s">
        <v>541</v>
      </c>
    </row>
    <row r="667" spans="1:7" x14ac:dyDescent="0.2">
      <c r="A667" t="str">
        <f>INDEX('ei names mapping'!$B$4:$BL$33,MATCH(B$234,'ei names mapping'!$A$4:$A$33,0),MATCH(G667,'ei names mapping'!$B$3:$BL$3,0))</f>
        <v>Propane</v>
      </c>
      <c r="B667" s="7">
        <f>INDEX('vehicles specifications'!$B$3:$CW$166,MATCH(B$627,'vehicles specifications'!$A$3:$A$166,0),MATCH(G667,'vehicles specifications'!$B$2:$CW$2,0))*INDEX('ei names mapping'!$B$137:$BL$300,MATCH(B$627,'ei names mapping'!$A$137:$A$300,0),MATCH(G667,'ei names mapping'!$B$136:$BL$136,0))</f>
        <v>3.3759069111565431E-7</v>
      </c>
      <c r="D667" t="str">
        <f>INDEX('ei names mapping'!$B$104:$BL$133,MATCH(B$234,'ei names mapping'!$A$4:$A$33,0),MATCH(G667,'ei names mapping'!$B$3:$BL$3,0))</f>
        <v>kilogram</v>
      </c>
      <c r="E667" t="str">
        <f>INDEX('ei names mapping'!$B$305:$BL$335,MATCH(B$234,'ei names mapping'!$A$4:$A$33,0),MATCH(G667,'ei names mapping'!$B$3:$BL$3,0))</f>
        <v>air::urban air close to ground</v>
      </c>
      <c r="F667" t="s">
        <v>167</v>
      </c>
      <c r="G667" t="s">
        <v>542</v>
      </c>
    </row>
    <row r="668" spans="1:7" x14ac:dyDescent="0.2">
      <c r="A668" t="str">
        <f>INDEX('ei names mapping'!$B$4:$BL$33,MATCH(B$234,'ei names mapping'!$A$4:$A$33,0),MATCH(G668,'ei names mapping'!$B$3:$BL$3,0))</f>
        <v>Butane</v>
      </c>
      <c r="B668" s="7">
        <f>INDEX('vehicles specifications'!$B$3:$CW$166,MATCH(B$627,'vehicles specifications'!$A$3:$A$166,0),MATCH(G668,'vehicles specifications'!$B$2:$CW$2,0))*INDEX('ei names mapping'!$B$137:$BL$300,MATCH(B$627,'ei names mapping'!$A$137:$A$300,0),MATCH(G668,'ei names mapping'!$B$136:$BL$136,0))</f>
        <v>2.7215003406861984E-6</v>
      </c>
      <c r="D668" t="str">
        <f>INDEX('ei names mapping'!$B$104:$BL$133,MATCH(B$234,'ei names mapping'!$A$4:$A$33,0),MATCH(G668,'ei names mapping'!$B$3:$BL$3,0))</f>
        <v>kilogram</v>
      </c>
      <c r="E668" t="str">
        <f>INDEX('ei names mapping'!$B$305:$BL$335,MATCH(B$234,'ei names mapping'!$A$4:$A$33,0),MATCH(G668,'ei names mapping'!$B$3:$BL$3,0))</f>
        <v>air::urban air close to ground</v>
      </c>
      <c r="F668" t="s">
        <v>167</v>
      </c>
      <c r="G668" t="s">
        <v>543</v>
      </c>
    </row>
    <row r="669" spans="1:7" x14ac:dyDescent="0.2">
      <c r="A669" t="str">
        <f>INDEX('ei names mapping'!$B$4:$BL$33,MATCH(B$234,'ei names mapping'!$A$4:$A$33,0),MATCH(G669,'ei names mapping'!$B$3:$BL$3,0))</f>
        <v>Pentane</v>
      </c>
      <c r="B669" s="7">
        <f>INDEX('vehicles specifications'!$B$3:$CW$166,MATCH(B$627,'vehicles specifications'!$A$3:$A$166,0),MATCH(G669,'vehicles specifications'!$B$2:$CW$2,0))*INDEX('ei names mapping'!$B$137:$BL$300,MATCH(B$627,'ei names mapping'!$A$137:$A$300,0),MATCH(G669,'ei names mapping'!$B$136:$BL$136,0))</f>
        <v>1.1166461321517797E-6</v>
      </c>
      <c r="D669" t="str">
        <f>INDEX('ei names mapping'!$B$104:$BL$133,MATCH(B$234,'ei names mapping'!$A$4:$A$33,0),MATCH(G669,'ei names mapping'!$B$3:$BL$3,0))</f>
        <v>kilogram</v>
      </c>
      <c r="E669" t="str">
        <f>INDEX('ei names mapping'!$B$305:$BL$335,MATCH(B$234,'ei names mapping'!$A$4:$A$33,0),MATCH(G669,'ei names mapping'!$B$3:$BL$3,0))</f>
        <v>air::urban air close to ground</v>
      </c>
      <c r="F669" t="s">
        <v>167</v>
      </c>
      <c r="G669" t="s">
        <v>544</v>
      </c>
    </row>
    <row r="670" spans="1:7" x14ac:dyDescent="0.2">
      <c r="A670" t="str">
        <f>INDEX('ei names mapping'!$B$4:$BL$33,MATCH(B$234,'ei names mapping'!$A$4:$A$33,0),MATCH(G670,'ei names mapping'!$B$3:$BL$3,0))</f>
        <v>Hexane</v>
      </c>
      <c r="B670" s="7">
        <f>INDEX('vehicles specifications'!$B$3:$CW$166,MATCH(B$627,'vehicles specifications'!$A$3:$A$166,0),MATCH(G670,'vehicles specifications'!$B$2:$CW$2,0))*INDEX('ei names mapping'!$B$137:$BL$300,MATCH(B$627,'ei names mapping'!$A$137:$A$300,0),MATCH(G670,'ei names mapping'!$B$136:$BL$136,0))</f>
        <v>8.3618617337877467E-7</v>
      </c>
      <c r="D670" t="str">
        <f>INDEX('ei names mapping'!$B$104:$BL$133,MATCH(B$234,'ei names mapping'!$A$4:$A$33,0),MATCH(G670,'ei names mapping'!$B$3:$BL$3,0))</f>
        <v>kilogram</v>
      </c>
      <c r="E670" t="str">
        <f>INDEX('ei names mapping'!$B$305:$BL$335,MATCH(B$234,'ei names mapping'!$A$4:$A$33,0),MATCH(G670,'ei names mapping'!$B$3:$BL$3,0))</f>
        <v>air::urban air close to ground</v>
      </c>
      <c r="F670" t="s">
        <v>167</v>
      </c>
      <c r="G670" t="s">
        <v>545</v>
      </c>
    </row>
    <row r="671" spans="1:7" x14ac:dyDescent="0.2">
      <c r="A671" t="str">
        <f>INDEX('ei names mapping'!$B$4:$BL$33,MATCH(B$234,'ei names mapping'!$A$4:$A$33,0),MATCH(G671,'ei names mapping'!$B$3:$BL$3,0))</f>
        <v>Cyclohexane</v>
      </c>
      <c r="B671" s="7">
        <f>INDEX('vehicles specifications'!$B$3:$CW$166,MATCH(B$627,'vehicles specifications'!$A$3:$A$166,0),MATCH(G671,'vehicles specifications'!$B$2:$CW$2,0))*INDEX('ei names mapping'!$B$137:$BL$300,MATCH(B$627,'ei names mapping'!$A$137:$A$300,0),MATCH(G671,'ei names mapping'!$B$136:$BL$136,0))</f>
        <v>5.9208213518745539E-7</v>
      </c>
      <c r="D671" t="str">
        <f>INDEX('ei names mapping'!$B$104:$BL$133,MATCH(B$234,'ei names mapping'!$A$4:$A$33,0),MATCH(G671,'ei names mapping'!$B$3:$BL$3,0))</f>
        <v>kilogram</v>
      </c>
      <c r="E671" t="str">
        <f>INDEX('ei names mapping'!$B$305:$BL$335,MATCH(B$234,'ei names mapping'!$A$4:$A$33,0),MATCH(G671,'ei names mapping'!$B$3:$BL$3,0))</f>
        <v>air::urban air close to ground</v>
      </c>
      <c r="F671" t="s">
        <v>167</v>
      </c>
      <c r="G671" t="s">
        <v>546</v>
      </c>
    </row>
    <row r="672" spans="1:7" x14ac:dyDescent="0.2">
      <c r="A672" t="str">
        <f>INDEX('ei names mapping'!$B$4:$BL$33,MATCH(B$234,'ei names mapping'!$A$4:$A$33,0),MATCH(G672,'ei names mapping'!$B$3:$BL$3,0))</f>
        <v>Heptane</v>
      </c>
      <c r="B672" s="7">
        <f>INDEX('vehicles specifications'!$B$3:$CW$166,MATCH(B$627,'vehicles specifications'!$A$3:$A$166,0),MATCH(G672,'vehicles specifications'!$B$2:$CW$2,0))*INDEX('ei names mapping'!$B$137:$BL$300,MATCH(B$627,'ei names mapping'!$A$137:$A$300,0),MATCH(G672,'ei names mapping'!$B$136:$BL$136,0))</f>
        <v>3.8433401757782191E-7</v>
      </c>
      <c r="D672" t="str">
        <f>INDEX('ei names mapping'!$B$104:$BL$133,MATCH(B$234,'ei names mapping'!$A$4:$A$33,0),MATCH(G672,'ei names mapping'!$B$3:$BL$3,0))</f>
        <v>kilogram</v>
      </c>
      <c r="E672" t="str">
        <f>INDEX('ei names mapping'!$B$305:$BL$335,MATCH(B$234,'ei names mapping'!$A$4:$A$33,0),MATCH(G672,'ei names mapping'!$B$3:$BL$3,0))</f>
        <v>air::urban air close to ground</v>
      </c>
      <c r="F672" t="s">
        <v>167</v>
      </c>
      <c r="G672" t="s">
        <v>547</v>
      </c>
    </row>
    <row r="673" spans="1:7" x14ac:dyDescent="0.2">
      <c r="A673" t="str">
        <f>INDEX('ei names mapping'!$B$4:$BL$33,MATCH(B$234,'ei names mapping'!$A$4:$A$33,0),MATCH(G673,'ei names mapping'!$B$3:$BL$3,0))</f>
        <v>Ethene</v>
      </c>
      <c r="B673" s="7">
        <f>INDEX('vehicles specifications'!$B$3:$CW$166,MATCH(B$627,'vehicles specifications'!$A$3:$A$166,0),MATCH(G673,'vehicles specifications'!$B$2:$CW$2,0))*INDEX('ei names mapping'!$B$137:$BL$300,MATCH(B$627,'ei names mapping'!$A$137:$A$300,0),MATCH(G673,'ei names mapping'!$B$136:$BL$136,0))</f>
        <v>3.7914031463758107E-6</v>
      </c>
      <c r="D673" t="str">
        <f>INDEX('ei names mapping'!$B$104:$BL$133,MATCH(B$234,'ei names mapping'!$A$4:$A$33,0),MATCH(G673,'ei names mapping'!$B$3:$BL$3,0))</f>
        <v>kilogram</v>
      </c>
      <c r="E673" t="str">
        <f>INDEX('ei names mapping'!$B$305:$BL$335,MATCH(B$234,'ei names mapping'!$A$4:$A$33,0),MATCH(G673,'ei names mapping'!$B$3:$BL$3,0))</f>
        <v>air::urban air close to ground</v>
      </c>
      <c r="F673" t="s">
        <v>167</v>
      </c>
      <c r="G673" t="s">
        <v>548</v>
      </c>
    </row>
    <row r="674" spans="1:7" x14ac:dyDescent="0.2">
      <c r="A674" t="str">
        <f>INDEX('ei names mapping'!$B$4:$BL$33,MATCH(B$234,'ei names mapping'!$A$4:$A$33,0),MATCH(G674,'ei names mapping'!$B$3:$BL$3,0))</f>
        <v>Propene</v>
      </c>
      <c r="B674" s="7">
        <f>INDEX('vehicles specifications'!$B$3:$CW$166,MATCH(B$627,'vehicles specifications'!$A$3:$A$166,0),MATCH(G674,'vehicles specifications'!$B$2:$CW$2,0))*INDEX('ei names mapping'!$B$137:$BL$300,MATCH(B$627,'ei names mapping'!$A$137:$A$300,0),MATCH(G674,'ei names mapping'!$B$136:$BL$136,0))</f>
        <v>1.9839945231719991E-6</v>
      </c>
      <c r="D674" t="str">
        <f>INDEX('ei names mapping'!$B$104:$BL$133,MATCH(B$234,'ei names mapping'!$A$4:$A$33,0),MATCH(G674,'ei names mapping'!$B$3:$BL$3,0))</f>
        <v>kilogram</v>
      </c>
      <c r="E674" t="str">
        <f>INDEX('ei names mapping'!$B$305:$BL$335,MATCH(B$234,'ei names mapping'!$A$4:$A$33,0),MATCH(G674,'ei names mapping'!$B$3:$BL$3,0))</f>
        <v>air::urban air close to ground</v>
      </c>
      <c r="F674" t="s">
        <v>167</v>
      </c>
      <c r="G674" t="s">
        <v>549</v>
      </c>
    </row>
    <row r="675" spans="1:7" x14ac:dyDescent="0.2">
      <c r="A675" t="str">
        <f>INDEX('ei names mapping'!$B$4:$BL$33,MATCH(B$234,'ei names mapping'!$A$4:$A$33,0),MATCH(G675,'ei names mapping'!$B$3:$BL$3,0))</f>
        <v>1-Pentene</v>
      </c>
      <c r="B675" s="7">
        <f>INDEX('vehicles specifications'!$B$3:$CW$166,MATCH(B$627,'vehicles specifications'!$A$3:$A$166,0),MATCH(G675,'vehicles specifications'!$B$2:$CW$2,0))*INDEX('ei names mapping'!$B$137:$BL$300,MATCH(B$627,'ei names mapping'!$A$137:$A$300,0),MATCH(G675,'ei names mapping'!$B$136:$BL$136,0))</f>
        <v>5.7130732342649204E-8</v>
      </c>
      <c r="D675" t="str">
        <f>INDEX('ei names mapping'!$B$104:$BL$133,MATCH(B$234,'ei names mapping'!$A$4:$A$33,0),MATCH(G675,'ei names mapping'!$B$3:$BL$3,0))</f>
        <v>kilogram</v>
      </c>
      <c r="E675" t="str">
        <f>INDEX('ei names mapping'!$B$305:$BL$335,MATCH(B$234,'ei names mapping'!$A$4:$A$33,0),MATCH(G675,'ei names mapping'!$B$3:$BL$3,0))</f>
        <v>air::urban air close to ground</v>
      </c>
      <c r="F675" t="s">
        <v>167</v>
      </c>
      <c r="G675" t="s">
        <v>550</v>
      </c>
    </row>
    <row r="676" spans="1:7" x14ac:dyDescent="0.2">
      <c r="A676" t="str">
        <f>INDEX('ei names mapping'!$B$4:$BL$33,MATCH(B$234,'ei names mapping'!$A$4:$A$33,0),MATCH(G676,'ei names mapping'!$B$3:$BL$3,0))</f>
        <v>Toluene</v>
      </c>
      <c r="B676" s="7">
        <f>INDEX('vehicles specifications'!$B$3:$CW$166,MATCH(B$627,'vehicles specifications'!$A$3:$A$166,0),MATCH(G676,'vehicles specifications'!$B$2:$CW$2,0))*INDEX('ei names mapping'!$B$137:$BL$300,MATCH(B$627,'ei names mapping'!$A$137:$A$300,0),MATCH(G676,'ei names mapping'!$B$136:$BL$136,0))</f>
        <v>5.7026858283844389E-6</v>
      </c>
      <c r="D676" t="str">
        <f>INDEX('ei names mapping'!$B$104:$BL$133,MATCH(B$234,'ei names mapping'!$A$4:$A$33,0),MATCH(G676,'ei names mapping'!$B$3:$BL$3,0))</f>
        <v>kilogram</v>
      </c>
      <c r="E676" t="str">
        <f>INDEX('ei names mapping'!$B$305:$BL$335,MATCH(B$234,'ei names mapping'!$A$4:$A$33,0),MATCH(G676,'ei names mapping'!$B$3:$BL$3,0))</f>
        <v>air::urban air close to ground</v>
      </c>
      <c r="F676" t="s">
        <v>167</v>
      </c>
      <c r="G676" t="s">
        <v>551</v>
      </c>
    </row>
    <row r="677" spans="1:7" x14ac:dyDescent="0.2">
      <c r="A677" t="str">
        <f>INDEX('ei names mapping'!$B$4:$BL$33,MATCH(B$234,'ei names mapping'!$A$4:$A$33,0),MATCH(G677,'ei names mapping'!$B$3:$BL$3,0))</f>
        <v>m-Xylene</v>
      </c>
      <c r="B677" s="7">
        <f>INDEX('vehicles specifications'!$B$3:$CW$166,MATCH(B$627,'vehicles specifications'!$A$3:$A$166,0),MATCH(G677,'vehicles specifications'!$B$2:$CW$2,0))*INDEX('ei names mapping'!$B$137:$BL$300,MATCH(B$627,'ei names mapping'!$A$137:$A$300,0),MATCH(G677,'ei names mapping'!$B$136:$BL$136,0))</f>
        <v>2.8201806965507743E-6</v>
      </c>
      <c r="D677" t="str">
        <f>INDEX('ei names mapping'!$B$104:$BL$133,MATCH(B$234,'ei names mapping'!$A$4:$A$33,0),MATCH(G677,'ei names mapping'!$B$3:$BL$3,0))</f>
        <v>kilogram</v>
      </c>
      <c r="E677" t="str">
        <f>INDEX('ei names mapping'!$B$305:$BL$335,MATCH(B$234,'ei names mapping'!$A$4:$A$33,0),MATCH(G677,'ei names mapping'!$B$3:$BL$3,0))</f>
        <v>air::urban air close to ground</v>
      </c>
      <c r="F677" t="s">
        <v>167</v>
      </c>
      <c r="G677" t="s">
        <v>552</v>
      </c>
    </row>
    <row r="678" spans="1:7" x14ac:dyDescent="0.2">
      <c r="A678" t="str">
        <f>INDEX('ei names mapping'!$B$4:$BL$33,MATCH(B$234,'ei names mapping'!$A$4:$A$33,0),MATCH(G678,'ei names mapping'!$B$3:$BL$3,0))</f>
        <v>o-Xylene</v>
      </c>
      <c r="B678" s="7">
        <f>INDEX('vehicles specifications'!$B$3:$CW$166,MATCH(B$627,'vehicles specifications'!$A$3:$A$166,0),MATCH(G678,'vehicles specifications'!$B$2:$CW$2,0))*INDEX('ei names mapping'!$B$137:$BL$300,MATCH(B$627,'ei names mapping'!$A$137:$A$300,0),MATCH(G678,'ei names mapping'!$B$136:$BL$136,0))</f>
        <v>1.173776864494429E-6</v>
      </c>
      <c r="D678" t="str">
        <f>INDEX('ei names mapping'!$B$104:$BL$133,MATCH(B$234,'ei names mapping'!$A$4:$A$33,0),MATCH(G678,'ei names mapping'!$B$3:$BL$3,0))</f>
        <v>kilogram</v>
      </c>
      <c r="E678" t="str">
        <f>INDEX('ei names mapping'!$B$305:$BL$335,MATCH(B$234,'ei names mapping'!$A$4:$A$33,0),MATCH(G678,'ei names mapping'!$B$3:$BL$3,0))</f>
        <v>air::urban air close to ground</v>
      </c>
      <c r="F678" t="s">
        <v>167</v>
      </c>
      <c r="G678" t="s">
        <v>553</v>
      </c>
    </row>
    <row r="679" spans="1:7" x14ac:dyDescent="0.2">
      <c r="A679" t="str">
        <f>INDEX('ei names mapping'!$B$4:$BL$33,MATCH(B$234,'ei names mapping'!$A$4:$A$33,0),MATCH(G679,'ei names mapping'!$B$3:$BL$3,0))</f>
        <v>Formaldehyde</v>
      </c>
      <c r="B679" s="7">
        <f>INDEX('vehicles specifications'!$B$3:$CW$166,MATCH(B$627,'vehicles specifications'!$A$3:$A$166,0),MATCH(G679,'vehicles specifications'!$B$2:$CW$2,0))*INDEX('ei names mapping'!$B$137:$BL$300,MATCH(B$627,'ei names mapping'!$A$137:$A$300,0),MATCH(G679,'ei names mapping'!$B$136:$BL$136,0))</f>
        <v>8.8292949984094216E-7</v>
      </c>
      <c r="D679" t="str">
        <f>INDEX('ei names mapping'!$B$104:$BL$133,MATCH(B$234,'ei names mapping'!$A$4:$A$33,0),MATCH(G679,'ei names mapping'!$B$3:$BL$3,0))</f>
        <v>kilogram</v>
      </c>
      <c r="E679" t="str">
        <f>INDEX('ei names mapping'!$B$305:$BL$335,MATCH(B$234,'ei names mapping'!$A$4:$A$33,0),MATCH(G679,'ei names mapping'!$B$3:$BL$3,0))</f>
        <v>air::urban air close to ground</v>
      </c>
      <c r="F679" t="s">
        <v>167</v>
      </c>
      <c r="G679" t="s">
        <v>554</v>
      </c>
    </row>
    <row r="680" spans="1:7" x14ac:dyDescent="0.2">
      <c r="A680" t="str">
        <f>INDEX('ei names mapping'!$B$4:$BL$33,MATCH(B$234,'ei names mapping'!$A$4:$A$33,0),MATCH(G680,'ei names mapping'!$B$3:$BL$3,0))</f>
        <v>Acetaldehyde</v>
      </c>
      <c r="B680" s="7">
        <f>INDEX('vehicles specifications'!$B$3:$CW$166,MATCH(B$627,'vehicles specifications'!$A$3:$A$166,0),MATCH(G680,'vehicles specifications'!$B$2:$CW$2,0))*INDEX('ei names mapping'!$B$137:$BL$300,MATCH(B$627,'ei names mapping'!$A$137:$A$300,0),MATCH(G680,'ei names mapping'!$B$136:$BL$136,0))</f>
        <v>3.8952772051806267E-7</v>
      </c>
      <c r="D680" t="str">
        <f>INDEX('ei names mapping'!$B$104:$BL$133,MATCH(B$234,'ei names mapping'!$A$4:$A$33,0),MATCH(G680,'ei names mapping'!$B$3:$BL$3,0))</f>
        <v>kilogram</v>
      </c>
      <c r="E680" t="str">
        <f>INDEX('ei names mapping'!$B$305:$BL$335,MATCH(B$234,'ei names mapping'!$A$4:$A$33,0),MATCH(G680,'ei names mapping'!$B$3:$BL$3,0))</f>
        <v>air::urban air close to ground</v>
      </c>
      <c r="F680" t="s">
        <v>167</v>
      </c>
      <c r="G680" t="s">
        <v>555</v>
      </c>
    </row>
    <row r="681" spans="1:7" x14ac:dyDescent="0.2">
      <c r="A681" t="str">
        <f>INDEX('ei names mapping'!$B$4:$BL$33,MATCH(B$234,'ei names mapping'!$A$4:$A$33,0),MATCH(G681,'ei names mapping'!$B$3:$BL$3,0))</f>
        <v>Benzaldehyde</v>
      </c>
      <c r="B681" s="7">
        <f>INDEX('vehicles specifications'!$B$3:$CW$166,MATCH(B$627,'vehicles specifications'!$A$3:$A$166,0),MATCH(G681,'vehicles specifications'!$B$2:$CW$2,0))*INDEX('ei names mapping'!$B$137:$BL$300,MATCH(B$627,'ei names mapping'!$A$137:$A$300,0),MATCH(G681,'ei names mapping'!$B$136:$BL$136,0))</f>
        <v>1.1426146468529841E-7</v>
      </c>
      <c r="D681" t="str">
        <f>INDEX('ei names mapping'!$B$104:$BL$133,MATCH(B$234,'ei names mapping'!$A$4:$A$33,0),MATCH(G681,'ei names mapping'!$B$3:$BL$3,0))</f>
        <v>kilogram</v>
      </c>
      <c r="E681" t="str">
        <f>INDEX('ei names mapping'!$B$305:$BL$335,MATCH(B$234,'ei names mapping'!$A$4:$A$33,0),MATCH(G681,'ei names mapping'!$B$3:$BL$3,0))</f>
        <v>air::urban air close to ground</v>
      </c>
      <c r="F681" t="s">
        <v>167</v>
      </c>
      <c r="G681" t="s">
        <v>556</v>
      </c>
    </row>
    <row r="682" spans="1:7" x14ac:dyDescent="0.2">
      <c r="A682" t="str">
        <f>INDEX('ei names mapping'!$B$4:$BL$33,MATCH(B$234,'ei names mapping'!$A$4:$A$33,0),MATCH(G682,'ei names mapping'!$B$3:$BL$3,0))</f>
        <v>Acetone</v>
      </c>
      <c r="B682" s="7">
        <f>INDEX('vehicles specifications'!$B$3:$CW$166,MATCH(B$627,'vehicles specifications'!$A$3:$A$166,0),MATCH(G682,'vehicles specifications'!$B$2:$CW$2,0))*INDEX('ei names mapping'!$B$137:$BL$300,MATCH(B$627,'ei names mapping'!$A$137:$A$300,0),MATCH(G682,'ei names mapping'!$B$136:$BL$136,0))</f>
        <v>3.16815879354691E-7</v>
      </c>
      <c r="D682" t="str">
        <f>INDEX('ei names mapping'!$B$104:$BL$133,MATCH(B$234,'ei names mapping'!$A$4:$A$33,0),MATCH(G682,'ei names mapping'!$B$3:$BL$3,0))</f>
        <v>kilogram</v>
      </c>
      <c r="E682" t="str">
        <f>INDEX('ei names mapping'!$B$305:$BL$335,MATCH(B$234,'ei names mapping'!$A$4:$A$33,0),MATCH(G682,'ei names mapping'!$B$3:$BL$3,0))</f>
        <v>air::urban air close to ground</v>
      </c>
      <c r="F682" t="s">
        <v>167</v>
      </c>
      <c r="G682" t="s">
        <v>557</v>
      </c>
    </row>
    <row r="683" spans="1:7" x14ac:dyDescent="0.2">
      <c r="A683" t="str">
        <f>INDEX('ei names mapping'!$B$4:$BL$33,MATCH(B$234,'ei names mapping'!$A$4:$A$33,0),MATCH(G683,'ei names mapping'!$B$3:$BL$3,0))</f>
        <v>Methyl ethyl ketone</v>
      </c>
      <c r="B683" s="7">
        <f>INDEX('vehicles specifications'!$B$3:$CW$166,MATCH(B$627,'vehicles specifications'!$A$3:$A$166,0),MATCH(G683,'vehicles specifications'!$B$2:$CW$2,0))*INDEX('ei names mapping'!$B$137:$BL$300,MATCH(B$627,'ei names mapping'!$A$137:$A$300,0),MATCH(G683,'ei names mapping'!$B$136:$BL$136,0))</f>
        <v>0</v>
      </c>
      <c r="D683" t="str">
        <f>INDEX('ei names mapping'!$B$104:$BL$133,MATCH(B$234,'ei names mapping'!$A$4:$A$33,0),MATCH(G683,'ei names mapping'!$B$3:$BL$3,0))</f>
        <v>kilogram</v>
      </c>
      <c r="E683" t="str">
        <f>INDEX('ei names mapping'!$B$305:$BL$335,MATCH(B$234,'ei names mapping'!$A$4:$A$33,0),MATCH(G683,'ei names mapping'!$B$3:$BL$3,0))</f>
        <v>air::urban air close to ground</v>
      </c>
      <c r="F683" t="s">
        <v>167</v>
      </c>
      <c r="G683" t="s">
        <v>560</v>
      </c>
    </row>
    <row r="684" spans="1:7" x14ac:dyDescent="0.2">
      <c r="A684" t="str">
        <f>INDEX('ei names mapping'!$B$4:$BL$33,MATCH(B$234,'ei names mapping'!$A$4:$A$33,0),MATCH(G684,'ei names mapping'!$B$3:$BL$3,0))</f>
        <v>Acrolein</v>
      </c>
      <c r="B684" s="7">
        <f>INDEX('vehicles specifications'!$B$3:$CW$166,MATCH(B$627,'vehicles specifications'!$A$3:$A$166,0),MATCH(G684,'vehicles specifications'!$B$2:$CW$2,0))*INDEX('ei names mapping'!$B$137:$BL$300,MATCH(B$627,'ei names mapping'!$A$137:$A$300,0),MATCH(G684,'ei names mapping'!$B$136:$BL$136,0))</f>
        <v>9.8680355864575885E-8</v>
      </c>
      <c r="D684" t="str">
        <f>INDEX('ei names mapping'!$B$104:$BL$133,MATCH(B$234,'ei names mapping'!$A$4:$A$33,0),MATCH(G684,'ei names mapping'!$B$3:$BL$3,0))</f>
        <v>kilogram</v>
      </c>
      <c r="E684" t="str">
        <f>INDEX('ei names mapping'!$B$305:$BL$335,MATCH(B$234,'ei names mapping'!$A$4:$A$33,0),MATCH(G684,'ei names mapping'!$B$3:$BL$3,0))</f>
        <v>air::urban air close to ground</v>
      </c>
      <c r="F684" t="s">
        <v>167</v>
      </c>
      <c r="G684" t="s">
        <v>558</v>
      </c>
    </row>
    <row r="685" spans="1:7" x14ac:dyDescent="0.2">
      <c r="A685" t="str">
        <f>INDEX('ei names mapping'!$B$4:$BL$33,MATCH(B$234,'ei names mapping'!$A$4:$A$33,0),MATCH(G685,'ei names mapping'!$B$3:$BL$3,0))</f>
        <v>Styrene</v>
      </c>
      <c r="B685" s="7">
        <f>INDEX('vehicles specifications'!$B$3:$CW$166,MATCH(B$627,'vehicles specifications'!$A$3:$A$166,0),MATCH(G685,'vehicles specifications'!$B$2:$CW$2,0))*INDEX('ei names mapping'!$B$137:$BL$300,MATCH(B$627,'ei names mapping'!$A$137:$A$300,0),MATCH(G685,'ei names mapping'!$B$136:$BL$136,0))</f>
        <v>5.2456399696432443E-7</v>
      </c>
      <c r="D685" t="str">
        <f>INDEX('ei names mapping'!$B$104:$BL$133,MATCH(B$234,'ei names mapping'!$A$4:$A$33,0),MATCH(G685,'ei names mapping'!$B$3:$BL$3,0))</f>
        <v>kilogram</v>
      </c>
      <c r="E685" t="str">
        <f>INDEX('ei names mapping'!$B$305:$BL$335,MATCH(B$234,'ei names mapping'!$A$4:$A$33,0),MATCH(G685,'ei names mapping'!$B$3:$BL$3,0))</f>
        <v>air::urban air close to ground</v>
      </c>
      <c r="F685" t="s">
        <v>167</v>
      </c>
      <c r="G685" t="s">
        <v>559</v>
      </c>
    </row>
    <row r="686" spans="1:7" x14ac:dyDescent="0.2">
      <c r="A686" t="str">
        <f>INDEX('ei names mapping'!$B$4:$BL$33,MATCH(B$234,'ei names mapping'!$A$4:$A$33,0),MATCH(G686,'ei names mapping'!$B$3:$BL$3,0))</f>
        <v>PAH, polycyclic aromatic hydrocarbons</v>
      </c>
      <c r="B686" s="7">
        <f>INDEX('vehicles specifications'!$B$3:$CW$166,MATCH(B$627,'vehicles specifications'!$A$3:$A$166,0),MATCH(G686,'vehicles specifications'!$B$2:$CW$2,0))*INDEX('ei names mapping'!$B$137:$BL$300,MATCH(B$627,'ei names mapping'!$A$137:$A$300,0),MATCH(G686,'ei names mapping'!$B$136:$BL$136,0))</f>
        <v>7.9908143014975087E-10</v>
      </c>
      <c r="D686" t="str">
        <f>INDEX('ei names mapping'!$B$104:$BL$133,MATCH(B$234,'ei names mapping'!$A$4:$A$33,0),MATCH(G686,'ei names mapping'!$B$3:$BL$3,0))</f>
        <v>kilogram</v>
      </c>
      <c r="E686" t="str">
        <f>INDEX('ei names mapping'!$B$305:$BL$335,MATCH(B$234,'ei names mapping'!$A$4:$A$33,0),MATCH(G686,'ei names mapping'!$B$3:$BL$3,0))</f>
        <v>air::urban air close to ground</v>
      </c>
      <c r="F686" t="s">
        <v>167</v>
      </c>
      <c r="G686" t="s">
        <v>561</v>
      </c>
    </row>
    <row r="687" spans="1:7" x14ac:dyDescent="0.2">
      <c r="A687" t="str">
        <f>INDEX('ei names mapping'!$B$4:$BL$33,MATCH(B$234,'ei names mapping'!$A$4:$A$33,0),MATCH(G687,'ei names mapping'!$B$3:$BL$3,0))</f>
        <v>Arsenic</v>
      </c>
      <c r="B687" s="7">
        <f>INDEX('vehicles specifications'!$B$3:$CW$166,MATCH(B$627,'vehicles specifications'!$A$3:$A$166,0),MATCH(G687,'vehicles specifications'!$B$2:$CW$2,0))*INDEX('ei names mapping'!$B$137:$BL$300,MATCH(B$627,'ei names mapping'!$A$137:$A$300,0),MATCH(G687,'ei names mapping'!$B$136:$BL$136,0))</f>
        <v>6.8886330185323354E-12</v>
      </c>
      <c r="D687" t="str">
        <f>INDEX('ei names mapping'!$B$104:$BL$133,MATCH(B$234,'ei names mapping'!$A$4:$A$33,0),MATCH(G687,'ei names mapping'!$B$3:$BL$3,0))</f>
        <v>kilogram</v>
      </c>
      <c r="E687" t="str">
        <f>INDEX('ei names mapping'!$B$305:$BL$335,MATCH(B$234,'ei names mapping'!$A$4:$A$33,0),MATCH(G687,'ei names mapping'!$B$3:$BL$3,0))</f>
        <v>air::urban air close to ground</v>
      </c>
      <c r="F687" t="s">
        <v>167</v>
      </c>
      <c r="G687" t="s">
        <v>562</v>
      </c>
    </row>
    <row r="688" spans="1:7" x14ac:dyDescent="0.2">
      <c r="A688" t="str">
        <f>INDEX('ei names mapping'!$B$4:$BL$33,MATCH(B$234,'ei names mapping'!$A$4:$A$33,0),MATCH(G688,'ei names mapping'!$B$3:$BL$3,0))</f>
        <v>Selenium</v>
      </c>
      <c r="B688" s="7">
        <f>INDEX('vehicles specifications'!$B$3:$CW$166,MATCH(B$627,'vehicles specifications'!$A$3:$A$166,0),MATCH(G688,'vehicles specifications'!$B$2:$CW$2,0))*INDEX('ei names mapping'!$B$137:$BL$300,MATCH(B$627,'ei names mapping'!$A$137:$A$300,0),MATCH(G688,'ei names mapping'!$B$136:$BL$136,0))</f>
        <v>4.5924220123548903E-12</v>
      </c>
      <c r="D688" t="str">
        <f>INDEX('ei names mapping'!$B$104:$BL$133,MATCH(B$234,'ei names mapping'!$A$4:$A$33,0),MATCH(G688,'ei names mapping'!$B$3:$BL$3,0))</f>
        <v>kilogram</v>
      </c>
      <c r="E688" t="str">
        <f>INDEX('ei names mapping'!$B$305:$BL$335,MATCH(B$234,'ei names mapping'!$A$4:$A$33,0),MATCH(G688,'ei names mapping'!$B$3:$BL$3,0))</f>
        <v>air::urban air close to ground</v>
      </c>
      <c r="F688" t="s">
        <v>167</v>
      </c>
      <c r="G688" t="s">
        <v>563</v>
      </c>
    </row>
    <row r="689" spans="1:8" x14ac:dyDescent="0.2">
      <c r="A689" t="str">
        <f>INDEX('ei names mapping'!$B$4:$BL$33,MATCH(B$234,'ei names mapping'!$A$4:$A$33,0),MATCH(G689,'ei names mapping'!$B$3:$BL$3,0))</f>
        <v>Zinc</v>
      </c>
      <c r="B689" s="7">
        <f>INDEX('vehicles specifications'!$B$3:$CW$166,MATCH(B$627,'vehicles specifications'!$A$3:$A$166,0),MATCH(G689,'vehicles specifications'!$B$2:$CW$2,0))*INDEX('ei names mapping'!$B$137:$BL$300,MATCH(B$627,'ei names mapping'!$A$137:$A$300,0),MATCH(G689,'ei names mapping'!$B$136:$BL$136,0))</f>
        <v>4.9598157733432818E-8</v>
      </c>
      <c r="D689" t="str">
        <f>INDEX('ei names mapping'!$B$104:$BL$133,MATCH(B$234,'ei names mapping'!$A$4:$A$33,0),MATCH(G689,'ei names mapping'!$B$3:$BL$3,0))</f>
        <v>kilogram</v>
      </c>
      <c r="E689" t="str">
        <f>INDEX('ei names mapping'!$B$305:$BL$335,MATCH(B$234,'ei names mapping'!$A$4:$A$33,0),MATCH(G689,'ei names mapping'!$B$3:$BL$3,0))</f>
        <v>air::urban air close to ground</v>
      </c>
      <c r="F689" t="s">
        <v>167</v>
      </c>
      <c r="G689" t="s">
        <v>564</v>
      </c>
    </row>
    <row r="690" spans="1:8" x14ac:dyDescent="0.2">
      <c r="A690" t="str">
        <f>INDEX('ei names mapping'!$B$4:$BL$33,MATCH(B$234,'ei names mapping'!$A$4:$A$33,0),MATCH(G690,'ei names mapping'!$B$3:$BL$3,0))</f>
        <v>Copper</v>
      </c>
      <c r="B690" s="7">
        <f>INDEX('vehicles specifications'!$B$3:$CW$166,MATCH(B$627,'vehicles specifications'!$A$3:$A$166,0),MATCH(G690,'vehicles specifications'!$B$2:$CW$2,0))*INDEX('ei names mapping'!$B$137:$BL$300,MATCH(B$627,'ei names mapping'!$A$137:$A$300,0),MATCH(G690,'ei names mapping'!$B$136:$BL$136,0))</f>
        <v>9.6440862259452689E-10</v>
      </c>
      <c r="D690" t="str">
        <f>INDEX('ei names mapping'!$B$104:$BL$133,MATCH(B$234,'ei names mapping'!$A$4:$A$33,0),MATCH(G690,'ei names mapping'!$B$3:$BL$3,0))</f>
        <v>kilogram</v>
      </c>
      <c r="E690" t="str">
        <f>INDEX('ei names mapping'!$B$305:$BL$335,MATCH(B$234,'ei names mapping'!$A$4:$A$33,0),MATCH(G690,'ei names mapping'!$B$3:$BL$3,0))</f>
        <v>air::urban air close to ground</v>
      </c>
      <c r="F690" t="s">
        <v>167</v>
      </c>
      <c r="G690" t="s">
        <v>522</v>
      </c>
    </row>
    <row r="691" spans="1:8" x14ac:dyDescent="0.2">
      <c r="A691" t="str">
        <f>INDEX('ei names mapping'!$B$4:$BL$33,MATCH(B$234,'ei names mapping'!$A$4:$A$33,0),MATCH(G691,'ei names mapping'!$B$3:$BL$3,0))</f>
        <v>Nickel</v>
      </c>
      <c r="B691" s="7">
        <f>INDEX('vehicles specifications'!$B$3:$CW$166,MATCH(B$627,'vehicles specifications'!$A$3:$A$166,0),MATCH(G691,'vehicles specifications'!$B$2:$CW$2,0))*INDEX('ei names mapping'!$B$137:$BL$300,MATCH(B$627,'ei names mapping'!$A$137:$A$300,0),MATCH(G691,'ei names mapping'!$B$136:$BL$136,0))</f>
        <v>2.9850743080306785E-10</v>
      </c>
      <c r="D691" t="str">
        <f>INDEX('ei names mapping'!$B$104:$BL$133,MATCH(B$234,'ei names mapping'!$A$4:$A$33,0),MATCH(G691,'ei names mapping'!$B$3:$BL$3,0))</f>
        <v>kilogram</v>
      </c>
      <c r="E691" t="str">
        <f>INDEX('ei names mapping'!$B$305:$BL$335,MATCH(B$234,'ei names mapping'!$A$4:$A$33,0),MATCH(G691,'ei names mapping'!$B$3:$BL$3,0))</f>
        <v>air::urban air close to ground</v>
      </c>
      <c r="F691" t="s">
        <v>167</v>
      </c>
      <c r="G691" t="s">
        <v>524</v>
      </c>
    </row>
    <row r="692" spans="1:8" x14ac:dyDescent="0.2">
      <c r="A692" t="str">
        <f>INDEX('ei names mapping'!$B$4:$BL$33,MATCH(B$234,'ei names mapping'!$A$4:$A$33,0),MATCH(G692,'ei names mapping'!$B$3:$BL$3,0))</f>
        <v>Chromium</v>
      </c>
      <c r="B692" s="7">
        <f>INDEX('vehicles specifications'!$B$3:$CW$166,MATCH(B$627,'vehicles specifications'!$A$3:$A$166,0),MATCH(G692,'vehicles specifications'!$B$2:$CW$2,0))*INDEX('ei names mapping'!$B$137:$BL$300,MATCH(B$627,'ei names mapping'!$A$137:$A$300,0),MATCH(G692,'ei names mapping'!$B$136:$BL$136,0))</f>
        <v>3.6739376098839125E-10</v>
      </c>
      <c r="D692" t="str">
        <f>INDEX('ei names mapping'!$B$104:$BL$133,MATCH(B$234,'ei names mapping'!$A$4:$A$33,0),MATCH(G692,'ei names mapping'!$B$3:$BL$3,0))</f>
        <v>kilogram</v>
      </c>
      <c r="E692" t="str">
        <f>INDEX('ei names mapping'!$B$305:$BL$335,MATCH(B$234,'ei names mapping'!$A$4:$A$33,0),MATCH(G692,'ei names mapping'!$B$3:$BL$3,0))</f>
        <v>air::urban air close to ground</v>
      </c>
      <c r="F692" t="s">
        <v>167</v>
      </c>
      <c r="G692" t="s">
        <v>523</v>
      </c>
    </row>
    <row r="693" spans="1:8" x14ac:dyDescent="0.2">
      <c r="A693" t="str">
        <f>INDEX('ei names mapping'!$B$4:$BL$33,MATCH(B$234,'ei names mapping'!$A$4:$A$33,0),MATCH(G693,'ei names mapping'!$B$3:$BL$3,0))</f>
        <v>Chromium VI</v>
      </c>
      <c r="B693" s="7">
        <f>INDEX('vehicles specifications'!$B$3:$CW$166,MATCH(B$627,'vehicles specifications'!$A$3:$A$166,0),MATCH(G693,'vehicles specifications'!$B$2:$CW$2,0))*INDEX('ei names mapping'!$B$137:$BL$300,MATCH(B$627,'ei names mapping'!$A$137:$A$300,0),MATCH(G693,'ei names mapping'!$B$136:$BL$136,0))</f>
        <v>7.3478752197678232E-13</v>
      </c>
      <c r="D693" t="str">
        <f>INDEX('ei names mapping'!$B$104:$BL$133,MATCH(B$234,'ei names mapping'!$A$4:$A$33,0),MATCH(G693,'ei names mapping'!$B$3:$BL$3,0))</f>
        <v>kilogram</v>
      </c>
      <c r="E693" t="str">
        <f>INDEX('ei names mapping'!$B$305:$BL$335,MATCH(B$234,'ei names mapping'!$A$4:$A$33,0),MATCH(G693,'ei names mapping'!$B$3:$BL$3,0))</f>
        <v>air::urban air close to ground</v>
      </c>
      <c r="F693" t="s">
        <v>167</v>
      </c>
      <c r="G693" t="s">
        <v>567</v>
      </c>
    </row>
    <row r="694" spans="1:8" x14ac:dyDescent="0.2">
      <c r="A694" t="str">
        <f>INDEX('ei names mapping'!$B$4:$BL$33,MATCH(B$234,'ei names mapping'!$A$4:$A$33,0),MATCH(G694,'ei names mapping'!$B$3:$BL$3,0))</f>
        <v>Mercury</v>
      </c>
      <c r="B694" s="7">
        <f>INDEX('vehicles specifications'!$B$3:$CW$166,MATCH(B$627,'vehicles specifications'!$A$3:$A$166,0),MATCH(G694,'vehicles specifications'!$B$2:$CW$2,0))*INDEX('ei names mapping'!$B$137:$BL$300,MATCH(B$627,'ei names mapping'!$A$137:$A$300,0),MATCH(G694,'ei names mapping'!$B$136:$BL$136,0))</f>
        <v>1.9977035753743772E-10</v>
      </c>
      <c r="D694" t="str">
        <f>INDEX('ei names mapping'!$B$104:$BL$133,MATCH(B$234,'ei names mapping'!$A$4:$A$33,0),MATCH(G694,'ei names mapping'!$B$3:$BL$3,0))</f>
        <v>kilogram</v>
      </c>
      <c r="E694" t="str">
        <f>INDEX('ei names mapping'!$B$305:$BL$335,MATCH(B$234,'ei names mapping'!$A$4:$A$33,0),MATCH(G694,'ei names mapping'!$B$3:$BL$3,0))</f>
        <v>air::urban air close to ground</v>
      </c>
      <c r="F694" t="s">
        <v>167</v>
      </c>
      <c r="G694" t="s">
        <v>565</v>
      </c>
    </row>
    <row r="695" spans="1:8" x14ac:dyDescent="0.2">
      <c r="A695" t="str">
        <f>INDEX('ei names mapping'!$B$4:$BL$33,MATCH(B$234,'ei names mapping'!$A$4:$A$33,0),MATCH(G695,'ei names mapping'!$B$3:$BL$3,0))</f>
        <v>Cadmium</v>
      </c>
      <c r="B695" s="7">
        <f>INDEX('vehicles specifications'!$B$3:$CW$166,MATCH(B$627,'vehicles specifications'!$A$3:$A$166,0),MATCH(G695,'vehicles specifications'!$B$2:$CW$2,0))*INDEX('ei names mapping'!$B$137:$BL$300,MATCH(B$627,'ei names mapping'!$A$137:$A$300,0),MATCH(G695,'ei names mapping'!$B$136:$BL$136,0))</f>
        <v>2.4799078866716413E-10</v>
      </c>
      <c r="D695" t="str">
        <f>INDEX('ei names mapping'!$B$104:$BL$133,MATCH(B$234,'ei names mapping'!$A$4:$A$33,0),MATCH(G695,'ei names mapping'!$B$3:$BL$3,0))</f>
        <v>kilogram</v>
      </c>
      <c r="E695" t="str">
        <f>INDEX('ei names mapping'!$B$305:$BL$335,MATCH(B$234,'ei names mapping'!$A$4:$A$33,0),MATCH(G695,'ei names mapping'!$B$3:$BL$3,0))</f>
        <v>air::urban air close to ground</v>
      </c>
      <c r="F695" t="s">
        <v>167</v>
      </c>
      <c r="G695" t="s">
        <v>566</v>
      </c>
    </row>
    <row r="696" spans="1:8" x14ac:dyDescent="0.2">
      <c r="A696" t="str">
        <f>INDEX('ei names mapping'!$B$4:$BL$33,MATCH(B624,'ei names mapping'!$A$4:$A$33,0),MATCH(G696,'ei names mapping'!$B$3:$BL$3,0))</f>
        <v>treatment of road wear emissions, passenger car</v>
      </c>
      <c r="B696" s="7">
        <f>INDEX('vehicles specifications'!$B$3:$CW$166,MATCH(B627,'vehicles specifications'!$A$3:$A$166,0),MATCH(G696,'vehicles specifications'!$B$2:$CW$2,0))*INDEX('ei names mapping'!$B$137:$BL$300,MATCH(B627,'ei names mapping'!$A$137:$A$300,0),MATCH(G696,'ei names mapping'!$B$136:$BL$136,0))</f>
        <v>-7.369362136981513E-6</v>
      </c>
      <c r="C696" t="str">
        <f>INDEX('ei names mapping'!$B$38:$BL$67,MATCH(B624,'ei names mapping'!$A$4:$A$33,0),MATCH(G696,'ei names mapping'!$B$3:$BL$3,0))</f>
        <v>RER</v>
      </c>
      <c r="D696" t="str">
        <f>INDEX('ei names mapping'!$B$104:$BL$133,MATCH(B624,'ei names mapping'!$A$4:$A$33,0),MATCH(G696,'ei names mapping'!$B$3:$BL$3,0))</f>
        <v>kilogram</v>
      </c>
      <c r="F696" t="s">
        <v>89</v>
      </c>
      <c r="G696" t="s">
        <v>29</v>
      </c>
      <c r="H696" t="str">
        <f>INDEX('ei names mapping'!$B$71:$BL$100,MATCH(B624,'ei names mapping'!$A$4:$A$33,0),MATCH(G696,'ei names mapping'!$B$3:$BL$3,0))</f>
        <v>road wear emissions, passenger car</v>
      </c>
    </row>
    <row r="697" spans="1:8" x14ac:dyDescent="0.2">
      <c r="A697" t="str">
        <f>INDEX('ei names mapping'!$B$4:$BL$33,MATCH(B624,'ei names mapping'!$A$4:$A$33,0),MATCH(G697,'ei names mapping'!$B$3:$BL$3,0))</f>
        <v>treatment of tyre wear emissions, passenger car</v>
      </c>
      <c r="B697" s="7">
        <f>INDEX('vehicles specifications'!$B$3:$CW$166,MATCH(B627,'vehicles specifications'!$A$3:$A$166,0),MATCH(G697,'vehicles specifications'!$B$2:$CW$2,0))*INDEX('ei names mapping'!$B$137:$BL$300,MATCH(B627,'ei names mapping'!$A$137:$A$300,0),MATCH(G697,'ei names mapping'!$B$136:$BL$136,0))</f>
        <v>-5.6554732662758953E-6</v>
      </c>
      <c r="C697" t="str">
        <f>INDEX('ei names mapping'!$B$38:$BL$67,MATCH(B624,'ei names mapping'!$A$4:$A$33,0),MATCH(G697,'ei names mapping'!$B$3:$BL$3,0))</f>
        <v>RER</v>
      </c>
      <c r="D697" t="str">
        <f>INDEX('ei names mapping'!$B$104:$BL$133,MATCH(B624,'ei names mapping'!$A$4:$A$33,0),MATCH(G697,'ei names mapping'!$B$3:$BL$3,0))</f>
        <v>kilogram</v>
      </c>
      <c r="F697" t="s">
        <v>89</v>
      </c>
      <c r="G697" t="s">
        <v>30</v>
      </c>
      <c r="H697" t="str">
        <f>INDEX('ei names mapping'!$B$71:$BL$100,MATCH(B624,'ei names mapping'!$A$4:$A$33,0),MATCH(G697,'ei names mapping'!$B$3:$BL$3,0))</f>
        <v>tyre wear emissions, passenger car</v>
      </c>
    </row>
    <row r="698" spans="1:8" x14ac:dyDescent="0.2">
      <c r="A698" t="str">
        <f>INDEX('ei names mapping'!$B$4:$BL$33,MATCH(B624,'ei names mapping'!$A$4:$A$33,0),MATCH(G698,'ei names mapping'!$B$3:$BL$3,0))</f>
        <v>treatment of brake wear emissions, passenger car</v>
      </c>
      <c r="B698" s="7">
        <f>INDEX('vehicles specifications'!$B$3:$CW$166,MATCH(B627,'vehicles specifications'!$A$3:$A$166,0),MATCH(G698,'vehicles specifications'!$B$2:$CW$2,0))*INDEX('ei names mapping'!$B$137:$BL$300,MATCH(B627,'ei names mapping'!$A$137:$A$300,0),MATCH(G698,'ei names mapping'!$B$136:$BL$136,0))</f>
        <v>-4.0357583783078024E-6</v>
      </c>
      <c r="C698" t="str">
        <f>INDEX('ei names mapping'!$B$38:$BL$67,MATCH(B624,'ei names mapping'!$A$4:$A$33,0),MATCH(G698,'ei names mapping'!$B$3:$BL$3,0))</f>
        <v>RER</v>
      </c>
      <c r="D698" t="str">
        <f>INDEX('ei names mapping'!$B$104:$BL$133,MATCH(B624,'ei names mapping'!$A$4:$A$33,0),MATCH(G698,'ei names mapping'!$B$3:$BL$3,0))</f>
        <v>kilogram</v>
      </c>
      <c r="F698" t="s">
        <v>89</v>
      </c>
      <c r="G698" t="s">
        <v>31</v>
      </c>
      <c r="H698" t="str">
        <f>INDEX('ei names mapping'!$B$71:$BL$100,MATCH(B624,'ei names mapping'!$A$4:$A$33,0),MATCH(G698,'ei names mapping'!$B$3:$BL$3,0))</f>
        <v>brake wear emissions, passenger car</v>
      </c>
    </row>
    <row r="702" spans="1:8" x14ac:dyDescent="0.2">
      <c r="B702" s="11"/>
    </row>
    <row r="703" spans="1:8" x14ac:dyDescent="0.2">
      <c r="B703" s="12"/>
    </row>
    <row r="704" spans="1:8" x14ac:dyDescent="0.2">
      <c r="B704" s="11"/>
    </row>
    <row r="706" spans="1:2" ht="16" x14ac:dyDescent="0.2">
      <c r="A706" s="10"/>
      <c r="B706" s="8"/>
    </row>
    <row r="729" spans="1:2" x14ac:dyDescent="0.2">
      <c r="B729" s="6"/>
    </row>
    <row r="731" spans="1:2" ht="16" x14ac:dyDescent="0.2">
      <c r="A731" s="10"/>
    </row>
    <row r="735" spans="1:2" x14ac:dyDescent="0.2">
      <c r="B735" s="11"/>
    </row>
    <row r="736" spans="1:2" x14ac:dyDescent="0.2">
      <c r="B736" s="12"/>
    </row>
    <row r="737" spans="1:2" x14ac:dyDescent="0.2">
      <c r="B737" s="11"/>
    </row>
    <row r="739" spans="1:2" ht="16" x14ac:dyDescent="0.2">
      <c r="A739" s="10"/>
      <c r="B739" s="8"/>
    </row>
    <row r="762" spans="1:2" x14ac:dyDescent="0.2">
      <c r="B762" s="6"/>
    </row>
    <row r="764" spans="1:2" ht="16" x14ac:dyDescent="0.2">
      <c r="A764" s="10"/>
    </row>
    <row r="768" spans="1:2" x14ac:dyDescent="0.2">
      <c r="B768" s="11"/>
    </row>
    <row r="769" spans="2:2" x14ac:dyDescent="0.2">
      <c r="B769" s="12"/>
    </row>
    <row r="770" spans="2:2" x14ac:dyDescent="0.2">
      <c r="B770" s="11"/>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770"/>
  <sheetViews>
    <sheetView topLeftCell="A637" workbookViewId="0">
      <selection activeCell="A651" sqref="A651"/>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Motorbike, gasoline, 11-35kW, EURO-3, 2006</v>
      </c>
    </row>
    <row r="2" spans="1:2" x14ac:dyDescent="0.2">
      <c r="A2" t="s">
        <v>72</v>
      </c>
      <c r="B2" t="s">
        <v>37</v>
      </c>
    </row>
    <row r="3" spans="1:2" x14ac:dyDescent="0.2">
      <c r="A3" t="s">
        <v>86</v>
      </c>
      <c r="B3" t="s">
        <v>620</v>
      </c>
    </row>
    <row r="4" spans="1:2" x14ac:dyDescent="0.2">
      <c r="A4" t="s">
        <v>87</v>
      </c>
    </row>
    <row r="5" spans="1:2" x14ac:dyDescent="0.2">
      <c r="A5" t="s">
        <v>88</v>
      </c>
      <c r="B5">
        <v>2006</v>
      </c>
    </row>
    <row r="6" spans="1:2" x14ac:dyDescent="0.2">
      <c r="A6" t="s">
        <v>126</v>
      </c>
      <c r="B6" t="str">
        <f>B3&amp;" - "&amp;B5&amp;" - "&amp;B2</f>
        <v>Motorbike, gasoline, 11-35kW, EURO-3 - 2006 - CH</v>
      </c>
    </row>
    <row r="7" spans="1:2" x14ac:dyDescent="0.2">
      <c r="A7" t="s">
        <v>73</v>
      </c>
      <c r="B7" t="str">
        <f>B3</f>
        <v>Motorbike, gasoline, 11-35kW,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38500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1.54</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2405</v>
      </c>
    </row>
    <row r="16" spans="1:2" x14ac:dyDescent="0.2">
      <c r="A16" t="s">
        <v>132</v>
      </c>
      <c r="B16" s="2">
        <f>INDEX('vehicles specifications'!$B$3:$CW$166,MATCH(B6,'vehicles specifications'!$A$3:$A$166,0),MATCH("Curb mass [kg]",'vehicles specifications'!$B$2:$CW$2,0))</f>
        <v>159.98750000000001</v>
      </c>
    </row>
    <row r="17" spans="1:8" x14ac:dyDescent="0.2">
      <c r="A17" t="s">
        <v>133</v>
      </c>
      <c r="B17">
        <f>INDEX('vehicles specifications'!$B$3:$CW$166,MATCH(B6,'vehicles specifications'!$A$3:$A$166,0),MATCH("Power [kW]",'vehicles specifications'!$B$2:$CW$2,0))</f>
        <v>20</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133.125</v>
      </c>
    </row>
    <row r="21" spans="1:8" x14ac:dyDescent="0.2">
      <c r="A21" t="s">
        <v>139</v>
      </c>
      <c r="B21">
        <f>INDEX('vehicles specifications'!$B$3:$CW$166,MATCH(B6,'vehicles specifications'!$A$3:$A$166,0),MATCH("Fuel mass [kg]",'vehicles specifications'!$B$2:$CW$2,0))</f>
        <v>11.25</v>
      </c>
    </row>
    <row r="22" spans="1:8" x14ac:dyDescent="0.2">
      <c r="A22" t="s">
        <v>136</v>
      </c>
      <c r="B22" s="2">
        <f>INDEX('vehicles specifications'!$B$3:$CW$166,MATCH(B6,'vehicles specifications'!$A$3:$A$166,0),MATCH("Range [km]",'vehicles specifications'!$B$2:$CW$2,0))</f>
        <v>322.02291022423861</v>
      </c>
    </row>
    <row r="23" spans="1:8" x14ac:dyDescent="0.2">
      <c r="A23" t="s">
        <v>137</v>
      </c>
      <c r="B23" t="str">
        <f>INDEX('vehicles specifications'!$B$3:$CW$166,MATCH(B6,'vehicles specifications'!$A$3:$A$166,0),MATCH("Emission standard",'vehicles specifications'!$B$2:$CW$2,0))</f>
        <v>EURO-3</v>
      </c>
    </row>
    <row r="24" spans="1:8" ht="15" customHeight="1"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Motorbike, gasoline, 11-35kW, EURO-3, 2006</v>
      </c>
      <c r="B31">
        <v>1</v>
      </c>
      <c r="C31" t="str">
        <f>B2</f>
        <v>CH</v>
      </c>
      <c r="D31" t="str">
        <f>B9</f>
        <v>unit</v>
      </c>
      <c r="F31" t="s">
        <v>84</v>
      </c>
      <c r="G31" t="s">
        <v>85</v>
      </c>
      <c r="H31" t="str">
        <f>B3</f>
        <v>Motorbike, gasoline, 11-35kW, EURO-3</v>
      </c>
    </row>
    <row r="32" spans="1:8" x14ac:dyDescent="0.2">
      <c r="A32" t="str">
        <f>INDEX('ei names mapping'!$B$4:$R$33,MATCH(B3,'ei names mapping'!$A$4:$A$33,0),MATCH(G32,'ei names mapping'!$B$3:$R$3,0))</f>
        <v>motor scooter production</v>
      </c>
      <c r="B32" s="6">
        <f>INDEX('vehicles specifications'!$B$3:$CW$166,MATCH(B6,'vehicles specifications'!$A$3:$A$166,0),MATCH(G32,'vehicles specifications'!$B$2:$CW$2,0))*INDEX('ei names mapping'!$B$137:$BL$300,MATCH(B6,'ei names mapping'!$A$137:$A$300,0),MATCH(G32,'ei names mapping'!$B$136:$BL$136,0))</f>
        <v>0.9</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6">
        <f>INDEX('vehicles specifications'!$B$3:$CW$166,MATCH(B6,'vehicles specifications'!$A$3:$A$166,0),MATCH(G33,'vehicles specifications'!$B$2:$CW$2,0))*INDEX('ei names mapping'!$B$137:$BL$300,MATCH(B6,'ei names mapping'!$A$137:$A$300,0),MATCH(G33,'ei names mapping'!$B$136:$BL$136,0))</f>
        <v>0.68888888888888888</v>
      </c>
      <c r="C33" t="str">
        <f>INDEX('ei names mapping'!$B$38:$R$67,MATCH(B3,'ei names mapping'!$A$4:$A$33,0),MATCH(G33,'ei names mapping'!$B$3:$R$3,0))</f>
        <v>RER</v>
      </c>
      <c r="D33" t="str">
        <f>INDEX('ei names mapping'!$B$104:$R$133,MATCH(B3,'ei names mapping'!$A$104:$A$133,0),MATCH(G33,'ei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6">
        <f>INDEX('vehicles specifications'!$B$3:$CW$166,MATCH(B6,'vehicles specifications'!$A$3:$A$166,0),MATCH(G34,'vehicles specifications'!$B$2:$CW$2,0))*INDEX('ei names mapping'!$B$137:$BL$300,MATCH(B6,'ei names mapping'!$A$137:$A$300,0),MATCH(G34,'ei names mapping'!$B$136:$BL$136,0))</f>
        <v>1.6875</v>
      </c>
      <c r="C34" t="str">
        <f>INDEX('ei names mapping'!$B$38:$R$67,MATCH(B3,'ei names mapping'!$A$4:$A$33,0),MATCH(G34,'ei names mapping'!$B$3:$R$3,0))</f>
        <v>RER</v>
      </c>
      <c r="D34" t="str">
        <f>INDEX('ei names mapping'!$B$104:$R$133,MATCH(B3,'ei names mapping'!$A$104:$A$133,0),MATCH(G34,'ei names mapping'!$B$3:$R$3,0))</f>
        <v>kilogram</v>
      </c>
      <c r="F34" t="s">
        <v>89</v>
      </c>
      <c r="G34" t="s">
        <v>24</v>
      </c>
      <c r="H34" t="str">
        <f>INDEX('ei names mapping'!$B$71:$R$100,MATCH(B3,'ei names mapping'!$A$4:$A$33,0),MATCH(G34,'ei names mapping'!$B$3:$R$3,0))</f>
        <v>polyethylene, high density, granulate</v>
      </c>
    </row>
    <row r="35" spans="1:8" x14ac:dyDescent="0.2">
      <c r="A35" t="s">
        <v>282</v>
      </c>
      <c r="B35" s="6">
        <f>B34/0.994</f>
        <v>1.6976861167002013</v>
      </c>
      <c r="C35" t="s">
        <v>92</v>
      </c>
      <c r="D35" t="s">
        <v>77</v>
      </c>
      <c r="F35" t="s">
        <v>89</v>
      </c>
      <c r="G35" t="s">
        <v>647</v>
      </c>
      <c r="H35" t="s">
        <v>282</v>
      </c>
    </row>
    <row r="36" spans="1:8" x14ac:dyDescent="0.2">
      <c r="A36" s="13" t="s">
        <v>840</v>
      </c>
      <c r="B36" s="2">
        <f>(B16/1000)*B27</f>
        <v>159.98750000000001</v>
      </c>
      <c r="C36" t="s">
        <v>92</v>
      </c>
      <c r="D36" t="s">
        <v>233</v>
      </c>
      <c r="F36" t="s">
        <v>89</v>
      </c>
      <c r="H36" s="13" t="s">
        <v>841</v>
      </c>
    </row>
    <row r="37" spans="1:8" x14ac:dyDescent="0.2">
      <c r="A37" s="13" t="s">
        <v>441</v>
      </c>
      <c r="B37" s="2">
        <f>(B16/1000)*B26</f>
        <v>2543.80125</v>
      </c>
      <c r="C37" t="s">
        <v>95</v>
      </c>
      <c r="D37" t="s">
        <v>233</v>
      </c>
      <c r="F37" t="s">
        <v>89</v>
      </c>
      <c r="H37" s="13" t="s">
        <v>441</v>
      </c>
    </row>
    <row r="38" spans="1:8" x14ac:dyDescent="0.2">
      <c r="B38" s="11"/>
    </row>
    <row r="39" spans="1:8" ht="16" x14ac:dyDescent="0.2">
      <c r="A39" s="10" t="s">
        <v>71</v>
      </c>
      <c r="B39" s="8" t="str">
        <f>B41&amp;", "&amp;B43</f>
        <v>Motorbike, gasoline, 11-35kW, EURO-4, 2016</v>
      </c>
    </row>
    <row r="40" spans="1:8" x14ac:dyDescent="0.2">
      <c r="A40" t="s">
        <v>72</v>
      </c>
      <c r="B40" t="s">
        <v>37</v>
      </c>
    </row>
    <row r="41" spans="1:8" x14ac:dyDescent="0.2">
      <c r="A41" t="s">
        <v>86</v>
      </c>
      <c r="B41" t="s">
        <v>621</v>
      </c>
    </row>
    <row r="42" spans="1:8" x14ac:dyDescent="0.2">
      <c r="A42" t="s">
        <v>87</v>
      </c>
    </row>
    <row r="43" spans="1:8" x14ac:dyDescent="0.2">
      <c r="A43" t="s">
        <v>88</v>
      </c>
      <c r="B43">
        <v>2016</v>
      </c>
    </row>
    <row r="44" spans="1:8" x14ac:dyDescent="0.2">
      <c r="A44" t="s">
        <v>126</v>
      </c>
      <c r="B44" t="str">
        <f>B41&amp;" - "&amp;B43&amp;" - "&amp;B40</f>
        <v>Motorbike, gasoline, 11-35kW, EURO-4 - 2016 - CH</v>
      </c>
    </row>
    <row r="45" spans="1:8" x14ac:dyDescent="0.2">
      <c r="A45" t="s">
        <v>73</v>
      </c>
      <c r="B45" t="str">
        <f>B41</f>
        <v>Motorbike, gasoline, 11-35kW, EURO-4</v>
      </c>
    </row>
    <row r="46" spans="1:8" x14ac:dyDescent="0.2">
      <c r="A46" t="s">
        <v>74</v>
      </c>
      <c r="B46" t="s">
        <v>75</v>
      </c>
    </row>
    <row r="47" spans="1:8" x14ac:dyDescent="0.2">
      <c r="A47" t="s">
        <v>76</v>
      </c>
      <c r="B47" t="s">
        <v>76</v>
      </c>
    </row>
    <row r="48" spans="1:8" x14ac:dyDescent="0.2">
      <c r="A48" t="s">
        <v>78</v>
      </c>
      <c r="B48" t="s">
        <v>1143</v>
      </c>
    </row>
    <row r="49" spans="1:2" x14ac:dyDescent="0.2">
      <c r="A49" t="s">
        <v>127</v>
      </c>
      <c r="B49">
        <f>INDEX('vehicles specifications'!$B$3:$CW$166,MATCH(B44,'vehicles specifications'!$A$3:$A$166,0),MATCH("Lifetime [km]",'vehicles specifications'!$B$2:$CW$2,0))</f>
        <v>38500</v>
      </c>
    </row>
    <row r="50" spans="1:2" x14ac:dyDescent="0.2">
      <c r="A50" t="s">
        <v>128</v>
      </c>
      <c r="B50">
        <f>INDEX('vehicles specifications'!$B$3:$CW$166,MATCH(B44,'vehicles specifications'!$A$3:$A$166,0),MATCH("Passengers [unit]",'vehicles specifications'!$B$2:$CW$2,0))</f>
        <v>1.1000000000000001</v>
      </c>
    </row>
    <row r="51" spans="1:2" x14ac:dyDescent="0.2">
      <c r="A51" t="s">
        <v>129</v>
      </c>
      <c r="B51">
        <f>INDEX('vehicles specifications'!$B$3:$CW$166,MATCH(B44,'vehicles specifications'!$A$3:$A$166,0),MATCH("Servicing [unit]",'vehicles specifications'!$B$2:$CW$2,0))</f>
        <v>1.54</v>
      </c>
    </row>
    <row r="52" spans="1:2" x14ac:dyDescent="0.2">
      <c r="A52" t="s">
        <v>130</v>
      </c>
      <c r="B52">
        <f>INDEX('vehicles specifications'!$B$3:$CW$166,MATCH(B44,'vehicles specifications'!$A$3:$A$166,0),MATCH("Energy battery replacement [unit]",'vehicles specifications'!$B$2:$CW$2,0))</f>
        <v>0</v>
      </c>
    </row>
    <row r="53" spans="1:2" x14ac:dyDescent="0.2">
      <c r="A53" t="s">
        <v>131</v>
      </c>
      <c r="B53">
        <f>INDEX('vehicles specifications'!$B$3:$CW$166,MATCH(B44,'vehicles specifications'!$A$3:$A$166,0),MATCH("Annual kilometers [km]",'vehicles specifications'!$B$2:$CW$2,0))</f>
        <v>2405</v>
      </c>
    </row>
    <row r="54" spans="1:2" x14ac:dyDescent="0.2">
      <c r="A54" t="s">
        <v>132</v>
      </c>
      <c r="B54" s="2">
        <f>INDEX('vehicles specifications'!$B$3:$CW$166,MATCH(B44,'vehicles specifications'!$A$3:$A$166,0),MATCH("Curb mass [kg]",'vehicles specifications'!$B$2:$CW$2,0))</f>
        <v>157.5575</v>
      </c>
    </row>
    <row r="55" spans="1:2" x14ac:dyDescent="0.2">
      <c r="A55" t="s">
        <v>133</v>
      </c>
      <c r="B55">
        <f>INDEX('vehicles specifications'!$B$3:$CW$166,MATCH(B44,'vehicles specifications'!$A$3:$A$166,0),MATCH("Power [kW]",'vehicles specifications'!$B$2:$CW$2,0))</f>
        <v>20</v>
      </c>
    </row>
    <row r="56" spans="1:2" x14ac:dyDescent="0.2">
      <c r="A56" t="s">
        <v>134</v>
      </c>
      <c r="B56" t="str">
        <f>INDEX('vehicles specifications'!$B$3:$CW$166,MATCH(B44,'vehicles specifications'!$A$3:$A$166,0),MATCH("Energy battery mass [kg]",'vehicles specifications'!$B$2:$CW$2,0))</f>
        <v/>
      </c>
    </row>
    <row r="57" spans="1:2" x14ac:dyDescent="0.2">
      <c r="A57" t="s">
        <v>135</v>
      </c>
      <c r="B57">
        <f>INDEX('vehicles specifications'!$B$3:$CW$166,MATCH(B44,'vehicles specifications'!$A$3:$A$166,0),MATCH("Electric energy available [kWh]",'vehicles specifications'!$B$2:$CW$2,0))</f>
        <v>0</v>
      </c>
    </row>
    <row r="58" spans="1:2" x14ac:dyDescent="0.2">
      <c r="A58" t="s">
        <v>138</v>
      </c>
      <c r="B58" s="2">
        <f>INDEX('vehicles specifications'!$B$3:$CW$166,MATCH(B44,'vehicles specifications'!$A$3:$A$166,0),MATCH("Oxydation energy stored [kWh]",'vehicles specifications'!$B$2:$CW$2,0))</f>
        <v>133.125</v>
      </c>
    </row>
    <row r="59" spans="1:2" x14ac:dyDescent="0.2">
      <c r="A59" t="s">
        <v>139</v>
      </c>
      <c r="B59">
        <f>INDEX('vehicles specifications'!$B$3:$CW$166,MATCH(B44,'vehicles specifications'!$A$3:$A$166,0),MATCH("Fuel mass [kg]",'vehicles specifications'!$B$2:$CW$2,0))</f>
        <v>11.25</v>
      </c>
    </row>
    <row r="60" spans="1:2" x14ac:dyDescent="0.2">
      <c r="A60" t="s">
        <v>136</v>
      </c>
      <c r="B60" s="2">
        <f>INDEX('vehicles specifications'!$B$3:$CW$166,MATCH(B44,'vehicles specifications'!$A$3:$A$166,0),MATCH("Range [km]",'vehicles specifications'!$B$2:$CW$2,0))</f>
        <v>325.24313932648096</v>
      </c>
    </row>
    <row r="61" spans="1:2" x14ac:dyDescent="0.2">
      <c r="A61" t="s">
        <v>137</v>
      </c>
      <c r="B61" t="str">
        <f>INDEX('vehicles specifications'!$B$3:$CW$166,MATCH(B44,'vehicles specifications'!$A$3:$A$166,0),MATCH("Emission standard",'vehicles specifications'!$B$2:$CW$2,0))</f>
        <v>EURO-4</v>
      </c>
    </row>
    <row r="62" spans="1:2" x14ac:dyDescent="0.2">
      <c r="A62" t="s">
        <v>1174</v>
      </c>
      <c r="B62" s="6">
        <f>INDEX('vehicles specifications'!$B$3:$CW$166,MATCH(B44,'vehicles specifications'!$A$3:$A$166,0),MATCH("Lightweighting rate [%]",'vehicles specifications'!$B$2:$CW$2,0))</f>
        <v>-0.02</v>
      </c>
    </row>
    <row r="63" spans="1:2" x14ac:dyDescent="0.2">
      <c r="A63" t="s">
        <v>485</v>
      </c>
      <c r="B63" s="6" t="s">
        <v>486</v>
      </c>
    </row>
    <row r="64" spans="1:2" x14ac:dyDescent="0.2">
      <c r="A64" t="s">
        <v>487</v>
      </c>
      <c r="B64" s="2">
        <v>15900</v>
      </c>
    </row>
    <row r="65" spans="1:8" x14ac:dyDescent="0.2">
      <c r="A65" t="s">
        <v>488</v>
      </c>
      <c r="B65" s="2">
        <v>1000</v>
      </c>
    </row>
    <row r="66" spans="1:8" x14ac:dyDescent="0.2">
      <c r="A66" t="s">
        <v>83</v>
      </c>
      <c r="B66"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tr">
        <f>B39</f>
        <v>Motorbike, gasoline, 11-35kW, EURO-4, 2016</v>
      </c>
      <c r="B69">
        <v>1</v>
      </c>
      <c r="C69" t="str">
        <f>B40</f>
        <v>CH</v>
      </c>
      <c r="D69" t="str">
        <f>B47</f>
        <v>unit</v>
      </c>
      <c r="F69" t="s">
        <v>84</v>
      </c>
      <c r="G69" t="s">
        <v>85</v>
      </c>
      <c r="H69" t="str">
        <f>B41</f>
        <v>Motorbike, gasoline, 11-35kW, EURO-4</v>
      </c>
    </row>
    <row r="70" spans="1:8" x14ac:dyDescent="0.2">
      <c r="A70" t="str">
        <f>INDEX('ei names mapping'!$B$4:$R$33,MATCH(B41,'ei names mapping'!$A$4:$A$33,0),MATCH(G70,'ei names mapping'!$B$3:$R$3,0))</f>
        <v>motor scooter production</v>
      </c>
      <c r="B70" s="6">
        <f>INDEX('vehicles specifications'!$B$3:$CW$166,MATCH(B44,'vehicles specifications'!$A$3:$A$166,0),MATCH(G70,'vehicles specifications'!$B$2:$CW$2,0))*INDEX('ei names mapping'!$B$137:$BL$300,MATCH(B44,'ei names mapping'!$A$137:$A$300,0),MATCH(G70,'ei names mapping'!$B$136:$BL$136,0))</f>
        <v>0.9</v>
      </c>
      <c r="C70" t="str">
        <f>INDEX('ei names mapping'!$B$38:$R$67,MATCH(B41,'ei names mapping'!$A$4:$A$33,0),MATCH(G70,'ei names mapping'!$B$3:$R$3,0))</f>
        <v>RER</v>
      </c>
      <c r="D70" t="str">
        <f>INDEX('ei names mapping'!$B$104:$R$133,MATCH(B41,'ei names mapping'!$A$104:$A$133,0),MATCH(G70,'ei names mapping'!$B$3:$R$3,0))</f>
        <v>unit</v>
      </c>
      <c r="F70" t="s">
        <v>89</v>
      </c>
      <c r="G70" t="s">
        <v>15</v>
      </c>
      <c r="H70" t="str">
        <f>INDEX('ei names mapping'!$B$71:$R$100,MATCH(B41,'ei names mapping'!$A$4:$A$33,0),MATCH(G70,'ei names mapping'!$B$3:$R$3,0))</f>
        <v>motor scooter, 50 cubic cm engine</v>
      </c>
    </row>
    <row r="71" spans="1:8" x14ac:dyDescent="0.2">
      <c r="A71" t="str">
        <f>INDEX('ei names mapping'!$B$4:$R$33,MATCH(B41,'ei names mapping'!$A$4:$A$33,0),MATCH(G71,'ei names mapping'!$B$3:$R$3,0))</f>
        <v>motor scooter production</v>
      </c>
      <c r="B71" s="6">
        <f>INDEX('vehicles specifications'!$B$3:$CW$166,MATCH(B44,'vehicles specifications'!$A$3:$A$166,0),MATCH(G71,'vehicles specifications'!$B$2:$CW$2,0))*INDEX('ei names mapping'!$B$137:$BL$300,MATCH(B44,'ei names mapping'!$A$137:$A$300,0),MATCH(G71,'ei names mapping'!$B$136:$BL$136,0))</f>
        <v>0.68888888888888888</v>
      </c>
      <c r="C71" t="str">
        <f>INDEX('ei names mapping'!$B$38:$R$67,MATCH(B41,'ei names mapping'!$A$4:$A$33,0),MATCH(G71,'ei names mapping'!$B$3:$R$3,0))</f>
        <v>RER</v>
      </c>
      <c r="D71" t="str">
        <f>INDEX('ei names mapping'!$B$104:$R$133,MATCH(B41,'ei names mapping'!$A$104:$A$133,0),MATCH(G71,'ei names mapping'!$B$3:$R$3,0))</f>
        <v>unit</v>
      </c>
      <c r="F71" t="s">
        <v>89</v>
      </c>
      <c r="G71" t="s">
        <v>16</v>
      </c>
      <c r="H71" t="str">
        <f>INDEX('ei names mapping'!$B$71:$R$100,MATCH(B41,'ei names mapping'!$A$4:$A$33,0),MATCH(G71,'ei names mapping'!$B$3:$R$3,0))</f>
        <v>motor scooter, 50 cubic cm engine</v>
      </c>
    </row>
    <row r="72" spans="1:8" x14ac:dyDescent="0.2">
      <c r="A72" t="str">
        <f>INDEX('ei names mapping'!$B$4:$R$33,MATCH(B41,'ei names mapping'!$A$4:$A$33,0),MATCH(G72,'ei names mapping'!$B$3:$R$3,0))</f>
        <v>polyethylene production, high density, granulate</v>
      </c>
      <c r="B72" s="6">
        <f>INDEX('vehicles specifications'!$B$3:$CW$166,MATCH(B44,'vehicles specifications'!$A$3:$A$166,0),MATCH(G72,'vehicles specifications'!$B$2:$CW$2,0))*INDEX('ei names mapping'!$B$137:$BL$300,MATCH(B44,'ei names mapping'!$A$137:$A$300,0),MATCH(G72,'ei names mapping'!$B$136:$BL$136,0))</f>
        <v>1.6875</v>
      </c>
      <c r="C72" t="str">
        <f>INDEX('ei names mapping'!$B$38:$R$67,MATCH(B41,'ei names mapping'!$A$4:$A$33,0),MATCH(G72,'ei names mapping'!$B$3:$R$3,0))</f>
        <v>RER</v>
      </c>
      <c r="D72" t="str">
        <f>INDEX('ei names mapping'!$B$104:$R$133,MATCH(B41,'ei names mapping'!$A$104:$A$133,0),MATCH(G72,'ei names mapping'!$B$3:$R$3,0))</f>
        <v>kilogram</v>
      </c>
      <c r="F72" t="s">
        <v>89</v>
      </c>
      <c r="G72" t="s">
        <v>24</v>
      </c>
      <c r="H72" t="str">
        <f>INDEX('ei names mapping'!$B$71:$R$100,MATCH(B41,'ei names mapping'!$A$4:$A$33,0),MATCH(G72,'ei names mapping'!$B$3:$R$3,0))</f>
        <v>polyethylene, high density, granulate</v>
      </c>
    </row>
    <row r="73" spans="1:8" x14ac:dyDescent="0.2">
      <c r="A73" t="s">
        <v>282</v>
      </c>
      <c r="B73" s="6">
        <f>B72/0.994</f>
        <v>1.6976861167002013</v>
      </c>
      <c r="C73" t="s">
        <v>92</v>
      </c>
      <c r="D73" t="s">
        <v>77</v>
      </c>
      <c r="F73" t="s">
        <v>89</v>
      </c>
      <c r="G73" t="s">
        <v>647</v>
      </c>
      <c r="H73" t="s">
        <v>282</v>
      </c>
    </row>
    <row r="74" spans="1:8" x14ac:dyDescent="0.2">
      <c r="A74" s="13" t="s">
        <v>840</v>
      </c>
      <c r="B74" s="2">
        <f>(B54/1000)*B65</f>
        <v>157.5575</v>
      </c>
      <c r="C74" t="s">
        <v>92</v>
      </c>
      <c r="D74" t="s">
        <v>233</v>
      </c>
      <c r="F74" t="s">
        <v>89</v>
      </c>
      <c r="H74" s="13" t="s">
        <v>841</v>
      </c>
    </row>
    <row r="75" spans="1:8" x14ac:dyDescent="0.2">
      <c r="A75" s="13" t="s">
        <v>441</v>
      </c>
      <c r="B75" s="2">
        <f>(B54/1000)*B64</f>
        <v>2505.1642500000003</v>
      </c>
      <c r="C75" t="s">
        <v>95</v>
      </c>
      <c r="D75" t="s">
        <v>233</v>
      </c>
      <c r="F75" t="s">
        <v>89</v>
      </c>
      <c r="H75" s="13" t="s">
        <v>441</v>
      </c>
    </row>
    <row r="77" spans="1:8" ht="16" x14ac:dyDescent="0.2">
      <c r="A77" s="10" t="s">
        <v>71</v>
      </c>
      <c r="B77" s="8" t="str">
        <f>B79&amp;", "&amp;B81</f>
        <v>Motorbike, gasoline, 11-35kW, EURO-5, 2020</v>
      </c>
    </row>
    <row r="78" spans="1:8" x14ac:dyDescent="0.2">
      <c r="A78" t="s">
        <v>72</v>
      </c>
      <c r="B78" t="s">
        <v>37</v>
      </c>
    </row>
    <row r="79" spans="1:8" x14ac:dyDescent="0.2">
      <c r="A79" t="s">
        <v>86</v>
      </c>
      <c r="B79" t="s">
        <v>622</v>
      </c>
    </row>
    <row r="80" spans="1:8" x14ac:dyDescent="0.2">
      <c r="A80" t="s">
        <v>87</v>
      </c>
    </row>
    <row r="81" spans="1:2" x14ac:dyDescent="0.2">
      <c r="A81" t="s">
        <v>88</v>
      </c>
      <c r="B81">
        <v>2020</v>
      </c>
    </row>
    <row r="82" spans="1:2" x14ac:dyDescent="0.2">
      <c r="A82" t="s">
        <v>126</v>
      </c>
      <c r="B82" t="str">
        <f>B79&amp;" - "&amp;B81&amp;" - "&amp;B78</f>
        <v>Motorbike, gasoline, 11-35kW, EURO-5 - 2020 - CH</v>
      </c>
    </row>
    <row r="83" spans="1:2" x14ac:dyDescent="0.2">
      <c r="A83" t="s">
        <v>73</v>
      </c>
      <c r="B83" t="str">
        <f>B79</f>
        <v>Motorbike, gasoline, 11-35kW, EURO-5</v>
      </c>
    </row>
    <row r="84" spans="1:2" x14ac:dyDescent="0.2">
      <c r="A84" t="s">
        <v>74</v>
      </c>
      <c r="B84" t="s">
        <v>75</v>
      </c>
    </row>
    <row r="85" spans="1:2" x14ac:dyDescent="0.2">
      <c r="A85" t="s">
        <v>76</v>
      </c>
      <c r="B85" t="s">
        <v>76</v>
      </c>
    </row>
    <row r="86" spans="1:2" x14ac:dyDescent="0.2">
      <c r="A86" t="s">
        <v>78</v>
      </c>
      <c r="B86" t="s">
        <v>1143</v>
      </c>
    </row>
    <row r="87" spans="1:2" x14ac:dyDescent="0.2">
      <c r="A87" t="s">
        <v>127</v>
      </c>
      <c r="B87">
        <f>INDEX('vehicles specifications'!$B$3:$CW$166,MATCH(B82,'vehicles specifications'!$A$3:$A$166,0),MATCH("Lifetime [km]",'vehicles specifications'!$B$2:$CW$2,0))</f>
        <v>38500</v>
      </c>
    </row>
    <row r="88" spans="1:2" x14ac:dyDescent="0.2">
      <c r="A88" t="s">
        <v>128</v>
      </c>
      <c r="B88">
        <f>INDEX('vehicles specifications'!$B$3:$CW$166,MATCH(B82,'vehicles specifications'!$A$3:$A$166,0),MATCH("Passengers [unit]",'vehicles specifications'!$B$2:$CW$2,0))</f>
        <v>1.1000000000000001</v>
      </c>
    </row>
    <row r="89" spans="1:2" x14ac:dyDescent="0.2">
      <c r="A89" t="s">
        <v>129</v>
      </c>
      <c r="B89">
        <f>INDEX('vehicles specifications'!$B$3:$CW$166,MATCH(B82,'vehicles specifications'!$A$3:$A$166,0),MATCH("Servicing [unit]",'vehicles specifications'!$B$2:$CW$2,0))</f>
        <v>1.54</v>
      </c>
    </row>
    <row r="90" spans="1:2" x14ac:dyDescent="0.2">
      <c r="A90" t="s">
        <v>130</v>
      </c>
      <c r="B90">
        <f>INDEX('vehicles specifications'!$B$3:$CW$166,MATCH(B82,'vehicles specifications'!$A$3:$A$166,0),MATCH("Energy battery replacement [unit]",'vehicles specifications'!$B$2:$CW$2,0))</f>
        <v>0</v>
      </c>
    </row>
    <row r="91" spans="1:2" x14ac:dyDescent="0.2">
      <c r="A91" t="s">
        <v>131</v>
      </c>
      <c r="B91">
        <f>INDEX('vehicles specifications'!$B$3:$CW$166,MATCH(B82,'vehicles specifications'!$A$3:$A$166,0),MATCH("Annual kilometers [km]",'vehicles specifications'!$B$2:$CW$2,0))</f>
        <v>2405</v>
      </c>
    </row>
    <row r="92" spans="1:2" x14ac:dyDescent="0.2">
      <c r="A92" t="s">
        <v>132</v>
      </c>
      <c r="B92" s="2">
        <f>INDEX('vehicles specifications'!$B$3:$CW$166,MATCH(B82,'vehicles specifications'!$A$3:$A$166,0),MATCH("Curb mass [kg]",'vehicles specifications'!$B$2:$CW$2,0))</f>
        <v>155.9375</v>
      </c>
    </row>
    <row r="93" spans="1:2" x14ac:dyDescent="0.2">
      <c r="A93" t="s">
        <v>133</v>
      </c>
      <c r="B93">
        <f>INDEX('vehicles specifications'!$B$3:$CW$166,MATCH(B82,'vehicles specifications'!$A$3:$A$166,0),MATCH("Power [kW]",'vehicles specifications'!$B$2:$CW$2,0))</f>
        <v>20</v>
      </c>
    </row>
    <row r="94" spans="1:2" x14ac:dyDescent="0.2">
      <c r="A94" t="s">
        <v>134</v>
      </c>
      <c r="B94" t="str">
        <f>INDEX('vehicles specifications'!$B$3:$CW$166,MATCH(B82,'vehicles specifications'!$A$3:$A$166,0),MATCH("Energy battery mass [kg]",'vehicles specifications'!$B$2:$CW$2,0))</f>
        <v/>
      </c>
    </row>
    <row r="95" spans="1:2" x14ac:dyDescent="0.2">
      <c r="A95" t="s">
        <v>135</v>
      </c>
      <c r="B95">
        <f>INDEX('vehicles specifications'!$B$3:$CW$166,MATCH(B82,'vehicles specifications'!$A$3:$A$166,0),MATCH("Electric energy available [kWh]",'vehicles specifications'!$B$2:$CW$2,0))</f>
        <v>0</v>
      </c>
    </row>
    <row r="96" spans="1:2" x14ac:dyDescent="0.2">
      <c r="A96" t="s">
        <v>138</v>
      </c>
      <c r="B96" s="2">
        <f>INDEX('vehicles specifications'!$B$3:$CW$166,MATCH(B82,'vehicles specifications'!$A$3:$A$166,0),MATCH("Oxydation energy stored [kWh]",'vehicles specifications'!$B$2:$CW$2,0))</f>
        <v>133.125</v>
      </c>
    </row>
    <row r="97" spans="1:8" x14ac:dyDescent="0.2">
      <c r="A97" t="s">
        <v>139</v>
      </c>
      <c r="B97">
        <f>INDEX('vehicles specifications'!$B$3:$CW$166,MATCH(B82,'vehicles specifications'!$A$3:$A$166,0),MATCH("Fuel mass [kg]",'vehicles specifications'!$B$2:$CW$2,0))</f>
        <v>11.25</v>
      </c>
    </row>
    <row r="98" spans="1:8" x14ac:dyDescent="0.2">
      <c r="A98" t="s">
        <v>136</v>
      </c>
      <c r="B98" s="2">
        <f>INDEX('vehicles specifications'!$B$3:$CW$166,MATCH(B82,'vehicles specifications'!$A$3:$A$166,0),MATCH("Range [km]",'vehicles specifications'!$B$2:$CW$2,0))</f>
        <v>328.52842356210198</v>
      </c>
    </row>
    <row r="99" spans="1:8" x14ac:dyDescent="0.2">
      <c r="A99" t="s">
        <v>137</v>
      </c>
      <c r="B99" t="str">
        <f>INDEX('vehicles specifications'!$B$3:$CW$166,MATCH(B82,'vehicles specifications'!$A$3:$A$166,0),MATCH("Emission standard",'vehicles specifications'!$B$2:$CW$2,0))</f>
        <v>EURO-5</v>
      </c>
    </row>
    <row r="100" spans="1:8" x14ac:dyDescent="0.2">
      <c r="A100" t="s">
        <v>1174</v>
      </c>
      <c r="B100" s="6">
        <f>INDEX('vehicles specifications'!$B$3:$CW$166,MATCH(B82,'vehicles specifications'!$A$3:$A$166,0),MATCH("Lightweighting rate [%]",'vehicles specifications'!$B$2:$CW$2,0))</f>
        <v>0</v>
      </c>
    </row>
    <row r="101" spans="1:8" x14ac:dyDescent="0.2">
      <c r="A101" t="s">
        <v>485</v>
      </c>
      <c r="B101" s="6" t="s">
        <v>486</v>
      </c>
    </row>
    <row r="102" spans="1:8" x14ac:dyDescent="0.2">
      <c r="A102" t="s">
        <v>487</v>
      </c>
      <c r="B102" s="2">
        <v>15900</v>
      </c>
    </row>
    <row r="103" spans="1:8" x14ac:dyDescent="0.2">
      <c r="A103" t="s">
        <v>488</v>
      </c>
      <c r="B103" s="2">
        <v>1000</v>
      </c>
    </row>
    <row r="104" spans="1:8" x14ac:dyDescent="0.2">
      <c r="A104" t="s">
        <v>83</v>
      </c>
      <c r="B104"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tr">
        <f>B77</f>
        <v>Motorbike, gasoline, 11-35kW, EURO-5, 2020</v>
      </c>
      <c r="B107">
        <v>1</v>
      </c>
      <c r="C107" t="str">
        <f>B78</f>
        <v>CH</v>
      </c>
      <c r="D107" t="str">
        <f>B85</f>
        <v>unit</v>
      </c>
      <c r="F107" t="s">
        <v>84</v>
      </c>
      <c r="G107" t="s">
        <v>85</v>
      </c>
      <c r="H107" t="str">
        <f>B79</f>
        <v>Motorbike, gasoline, 11-35kW, EURO-5</v>
      </c>
    </row>
    <row r="108" spans="1:8" x14ac:dyDescent="0.2">
      <c r="A108" t="str">
        <f>INDEX('ei names mapping'!$B$4:$R$33,MATCH(B79,'ei names mapping'!$A$4:$A$33,0),MATCH(G108,'ei names mapping'!$B$3:$R$3,0))</f>
        <v>motor scooter production</v>
      </c>
      <c r="B108" s="6">
        <f>INDEX('vehicles specifications'!$B$3:$CW$166,MATCH(B82,'vehicles specifications'!$A$3:$A$166,0),MATCH(G108,'vehicles specifications'!$B$2:$CW$2,0))*INDEX('ei names mapping'!$B$137:$BL$300,MATCH(B82,'ei names mapping'!$A$137:$A$300,0),MATCH(G108,'ei names mapping'!$B$136:$BL$136,0))</f>
        <v>0.9</v>
      </c>
      <c r="C108" t="str">
        <f>INDEX('ei names mapping'!$B$38:$R$67,MATCH(B79,'ei names mapping'!$A$4:$A$33,0),MATCH(G108,'ei names mapping'!$B$3:$R$3,0))</f>
        <v>RER</v>
      </c>
      <c r="D108" t="str">
        <f>INDEX('ei names mapping'!$B$104:$R$133,MATCH(B79,'ei names mapping'!$A$104:$A$133,0),MATCH(G108,'ei names mapping'!$B$3:$R$3,0))</f>
        <v>unit</v>
      </c>
      <c r="F108" t="s">
        <v>89</v>
      </c>
      <c r="G108" t="s">
        <v>15</v>
      </c>
      <c r="H108" t="str">
        <f>INDEX('ei names mapping'!$B$71:$R$100,MATCH(B79,'ei names mapping'!$A$4:$A$33,0),MATCH(G108,'ei names mapping'!$B$3:$R$3,0))</f>
        <v>motor scooter, 50 cubic cm engine</v>
      </c>
    </row>
    <row r="109" spans="1:8" x14ac:dyDescent="0.2">
      <c r="A109" t="str">
        <f>INDEX('ei names mapping'!$B$4:$R$33,MATCH(B79,'ei names mapping'!$A$4:$A$33,0),MATCH(G109,'ei names mapping'!$B$3:$R$3,0))</f>
        <v>motor scooter production</v>
      </c>
      <c r="B109" s="6">
        <f>INDEX('vehicles specifications'!$B$3:$CW$166,MATCH(B82,'vehicles specifications'!$A$3:$A$166,0),MATCH(G109,'vehicles specifications'!$B$2:$CW$2,0))*INDEX('ei names mapping'!$B$137:$BL$300,MATCH(B82,'ei names mapping'!$A$137:$A$300,0),MATCH(G109,'ei names mapping'!$B$136:$BL$136,0))</f>
        <v>0.68888888888888888</v>
      </c>
      <c r="C109" t="str">
        <f>INDEX('ei names mapping'!$B$38:$R$67,MATCH(B79,'ei names mapping'!$A$4:$A$33,0),MATCH(G109,'ei names mapping'!$B$3:$R$3,0))</f>
        <v>RER</v>
      </c>
      <c r="D109" t="str">
        <f>INDEX('ei names mapping'!$B$104:$R$133,MATCH(B79,'ei names mapping'!$A$104:$A$133,0),MATCH(G109,'ei names mapping'!$B$3:$R$3,0))</f>
        <v>unit</v>
      </c>
      <c r="F109" t="s">
        <v>89</v>
      </c>
      <c r="G109" t="s">
        <v>16</v>
      </c>
      <c r="H109" t="str">
        <f>INDEX('ei names mapping'!$B$71:$R$100,MATCH(B79,'ei names mapping'!$A$4:$A$33,0),MATCH(G109,'ei names mapping'!$B$3:$R$3,0))</f>
        <v>motor scooter, 50 cubic cm engine</v>
      </c>
    </row>
    <row r="110" spans="1:8" x14ac:dyDescent="0.2">
      <c r="A110" t="str">
        <f>INDEX('ei names mapping'!$B$4:$R$33,MATCH(B79,'ei names mapping'!$A$4:$A$33,0),MATCH(G110,'ei names mapping'!$B$3:$R$3,0))</f>
        <v>polyethylene production, high density, granulate</v>
      </c>
      <c r="B110" s="6">
        <f>INDEX('vehicles specifications'!$B$3:$CW$166,MATCH(B82,'vehicles specifications'!$A$3:$A$166,0),MATCH(G110,'vehicles specifications'!$B$2:$CW$2,0))*INDEX('ei names mapping'!$B$137:$BL$300,MATCH(B82,'ei names mapping'!$A$137:$A$300,0),MATCH(G110,'ei names mapping'!$B$136:$BL$136,0))</f>
        <v>1.6875</v>
      </c>
      <c r="C110" t="str">
        <f>INDEX('ei names mapping'!$B$38:$R$67,MATCH(B79,'ei names mapping'!$A$4:$A$33,0),MATCH(G110,'ei names mapping'!$B$3:$R$3,0))</f>
        <v>RER</v>
      </c>
      <c r="D110" t="str">
        <f>INDEX('ei names mapping'!$B$104:$R$133,MATCH(B79,'ei names mapping'!$A$104:$A$133,0),MATCH(G110,'ei names mapping'!$B$3:$R$3,0))</f>
        <v>kilogram</v>
      </c>
      <c r="F110" t="s">
        <v>89</v>
      </c>
      <c r="G110" t="s">
        <v>24</v>
      </c>
      <c r="H110" t="str">
        <f>INDEX('ei names mapping'!$B$71:$R$100,MATCH(B79,'ei names mapping'!$A$4:$A$33,0),MATCH(G110,'ei names mapping'!$B$3:$R$3,0))</f>
        <v>polyethylene, high density, granulate</v>
      </c>
    </row>
    <row r="111" spans="1:8" x14ac:dyDescent="0.2">
      <c r="A111" t="s">
        <v>282</v>
      </c>
      <c r="B111" s="6">
        <f>B110/0.994</f>
        <v>1.6976861167002013</v>
      </c>
      <c r="C111" t="s">
        <v>92</v>
      </c>
      <c r="D111" t="s">
        <v>77</v>
      </c>
      <c r="F111" t="s">
        <v>89</v>
      </c>
      <c r="G111" t="s">
        <v>647</v>
      </c>
      <c r="H111" t="s">
        <v>282</v>
      </c>
    </row>
    <row r="112" spans="1:8" x14ac:dyDescent="0.2">
      <c r="A112" s="13" t="s">
        <v>840</v>
      </c>
      <c r="B112" s="2">
        <f>(B92/1000)*B103</f>
        <v>155.9375</v>
      </c>
      <c r="C112" t="s">
        <v>92</v>
      </c>
      <c r="D112" t="s">
        <v>233</v>
      </c>
      <c r="F112" t="s">
        <v>89</v>
      </c>
      <c r="H112" s="13" t="s">
        <v>841</v>
      </c>
    </row>
    <row r="113" spans="1:8" x14ac:dyDescent="0.2">
      <c r="A113" s="13" t="s">
        <v>441</v>
      </c>
      <c r="B113" s="2">
        <f>(B92/1000)*B102</f>
        <v>2479.40625</v>
      </c>
      <c r="C113" t="s">
        <v>95</v>
      </c>
      <c r="D113" t="s">
        <v>233</v>
      </c>
      <c r="F113" t="s">
        <v>89</v>
      </c>
      <c r="H113" s="13" t="s">
        <v>441</v>
      </c>
    </row>
    <row r="115" spans="1:8" ht="16" x14ac:dyDescent="0.2">
      <c r="A115" s="10" t="s">
        <v>71</v>
      </c>
      <c r="B115" s="8" t="str">
        <f>B117&amp;", "&amp;B119</f>
        <v>Motorbike, gasoline, 11-35kW, EURO-5, 2030</v>
      </c>
    </row>
    <row r="116" spans="1:8" x14ac:dyDescent="0.2">
      <c r="A116" t="s">
        <v>72</v>
      </c>
      <c r="B116" t="s">
        <v>37</v>
      </c>
    </row>
    <row r="117" spans="1:8" x14ac:dyDescent="0.2">
      <c r="A117" t="s">
        <v>86</v>
      </c>
      <c r="B117" t="s">
        <v>622</v>
      </c>
    </row>
    <row r="118" spans="1:8" x14ac:dyDescent="0.2">
      <c r="A118" t="s">
        <v>87</v>
      </c>
    </row>
    <row r="119" spans="1:8" x14ac:dyDescent="0.2">
      <c r="A119" t="s">
        <v>88</v>
      </c>
      <c r="B119">
        <v>2030</v>
      </c>
    </row>
    <row r="120" spans="1:8" x14ac:dyDescent="0.2">
      <c r="A120" t="s">
        <v>126</v>
      </c>
      <c r="B120" t="str">
        <f>B117&amp;" - "&amp;B119&amp;" - "&amp;B116</f>
        <v>Motorbike, gasoline, 11-35kW, EURO-5 - 2030 - CH</v>
      </c>
    </row>
    <row r="121" spans="1:8" x14ac:dyDescent="0.2">
      <c r="A121" t="s">
        <v>73</v>
      </c>
      <c r="B121" t="str">
        <f>B117</f>
        <v>Motorbike, gasoline, 11-35kW, EURO-5</v>
      </c>
    </row>
    <row r="122" spans="1:8" x14ac:dyDescent="0.2">
      <c r="A122" t="s">
        <v>74</v>
      </c>
      <c r="B122" t="s">
        <v>75</v>
      </c>
    </row>
    <row r="123" spans="1:8" x14ac:dyDescent="0.2">
      <c r="A123" t="s">
        <v>76</v>
      </c>
      <c r="B123" t="s">
        <v>76</v>
      </c>
    </row>
    <row r="124" spans="1:8" x14ac:dyDescent="0.2">
      <c r="A124" t="s">
        <v>78</v>
      </c>
      <c r="B124" t="s">
        <v>1143</v>
      </c>
    </row>
    <row r="125" spans="1:8" x14ac:dyDescent="0.2">
      <c r="A125" t="s">
        <v>127</v>
      </c>
      <c r="B125">
        <f>INDEX('vehicles specifications'!$B$3:$CW$166,MATCH(B120,'vehicles specifications'!$A$3:$A$166,0),MATCH("Lifetime [km]",'vehicles specifications'!$B$2:$CW$2,0))</f>
        <v>38500</v>
      </c>
    </row>
    <row r="126" spans="1:8" x14ac:dyDescent="0.2">
      <c r="A126" t="s">
        <v>128</v>
      </c>
      <c r="B126">
        <f>INDEX('vehicles specifications'!$B$3:$CW$166,MATCH(B120,'vehicles specifications'!$A$3:$A$166,0),MATCH("Passengers [unit]",'vehicles specifications'!$B$2:$CW$2,0))</f>
        <v>1.1000000000000001</v>
      </c>
    </row>
    <row r="127" spans="1:8" x14ac:dyDescent="0.2">
      <c r="A127" t="s">
        <v>129</v>
      </c>
      <c r="B127">
        <f>INDEX('vehicles specifications'!$B$3:$CW$166,MATCH(B120,'vehicles specifications'!$A$3:$A$166,0),MATCH("Servicing [unit]",'vehicles specifications'!$B$2:$CW$2,0))</f>
        <v>1.54</v>
      </c>
    </row>
    <row r="128" spans="1:8" x14ac:dyDescent="0.2">
      <c r="A128" t="s">
        <v>130</v>
      </c>
      <c r="B128">
        <f>INDEX('vehicles specifications'!$B$3:$CW$166,MATCH(B120,'vehicles specifications'!$A$3:$A$166,0),MATCH("Energy battery replacement [unit]",'vehicles specifications'!$B$2:$CW$2,0))</f>
        <v>0</v>
      </c>
    </row>
    <row r="129" spans="1:8" x14ac:dyDescent="0.2">
      <c r="A129" t="s">
        <v>131</v>
      </c>
      <c r="B129">
        <f>INDEX('vehicles specifications'!$B$3:$CW$166,MATCH(B120,'vehicles specifications'!$A$3:$A$166,0),MATCH("Annual kilometers [km]",'vehicles specifications'!$B$2:$CW$2,0))</f>
        <v>2405</v>
      </c>
    </row>
    <row r="130" spans="1:8" x14ac:dyDescent="0.2">
      <c r="A130" t="s">
        <v>132</v>
      </c>
      <c r="B130" s="2">
        <f>INDEX('vehicles specifications'!$B$3:$CW$166,MATCH(B120,'vehicles specifications'!$A$3:$A$166,0),MATCH("Curb mass [kg]",'vehicles specifications'!$B$2:$CW$2,0))</f>
        <v>153.50749999999999</v>
      </c>
    </row>
    <row r="131" spans="1:8" x14ac:dyDescent="0.2">
      <c r="A131" t="s">
        <v>133</v>
      </c>
      <c r="B131">
        <f>INDEX('vehicles specifications'!$B$3:$CW$166,MATCH(B120,'vehicles specifications'!$A$3:$A$166,0),MATCH("Power [kW]",'vehicles specifications'!$B$2:$CW$2,0))</f>
        <v>20</v>
      </c>
    </row>
    <row r="132" spans="1:8" x14ac:dyDescent="0.2">
      <c r="A132" t="s">
        <v>134</v>
      </c>
      <c r="B132" t="str">
        <f>INDEX('vehicles specifications'!$B$3:$CW$166,MATCH(B120,'vehicles specifications'!$A$3:$A$166,0),MATCH("Energy battery mass [kg]",'vehicles specifications'!$B$2:$CW$2,0))</f>
        <v/>
      </c>
    </row>
    <row r="133" spans="1:8" x14ac:dyDescent="0.2">
      <c r="A133" t="s">
        <v>135</v>
      </c>
      <c r="B133">
        <f>INDEX('vehicles specifications'!$B$3:$CW$166,MATCH(B120,'vehicles specifications'!$A$3:$A$166,0),MATCH("Electric energy available [kWh]",'vehicles specifications'!$B$2:$CW$2,0))</f>
        <v>0</v>
      </c>
    </row>
    <row r="134" spans="1:8" x14ac:dyDescent="0.2">
      <c r="A134" t="s">
        <v>138</v>
      </c>
      <c r="B134" s="2">
        <f>INDEX('vehicles specifications'!$B$3:$CW$166,MATCH(B120,'vehicles specifications'!$A$3:$A$166,0),MATCH("Oxydation energy stored [kWh]",'vehicles specifications'!$B$2:$CW$2,0))</f>
        <v>133.125</v>
      </c>
    </row>
    <row r="135" spans="1:8" x14ac:dyDescent="0.2">
      <c r="A135" t="s">
        <v>139</v>
      </c>
      <c r="B135">
        <f>INDEX('vehicles specifications'!$B$3:$CW$166,MATCH(B120,'vehicles specifications'!$A$3:$A$166,0),MATCH("Fuel mass [kg]",'vehicles specifications'!$B$2:$CW$2,0))</f>
        <v>11.25</v>
      </c>
    </row>
    <row r="136" spans="1:8" x14ac:dyDescent="0.2">
      <c r="A136" t="s">
        <v>136</v>
      </c>
      <c r="B136" s="2">
        <f>INDEX('vehicles specifications'!$B$3:$CW$166,MATCH(B120,'vehicles specifications'!$A$3:$A$166,0),MATCH("Range [km]",'vehicles specifications'!$B$2:$CW$2,0))</f>
        <v>331.84689248697174</v>
      </c>
    </row>
    <row r="137" spans="1:8" x14ac:dyDescent="0.2">
      <c r="A137" t="s">
        <v>137</v>
      </c>
      <c r="B137" t="str">
        <f>INDEX('vehicles specifications'!$B$3:$CW$166,MATCH(B120,'vehicles specifications'!$A$3:$A$166,0),MATCH("Emission standard",'vehicles specifications'!$B$2:$CW$2,0))</f>
        <v>EURO-5</v>
      </c>
    </row>
    <row r="138" spans="1:8" x14ac:dyDescent="0.2">
      <c r="A138" t="s">
        <v>1174</v>
      </c>
      <c r="B138" s="6">
        <f>INDEX('vehicles specifications'!$B$3:$CW$166,MATCH(B120,'vehicles specifications'!$A$3:$A$166,0),MATCH("Lightweighting rate [%]",'vehicles specifications'!$B$2:$CW$2,0))</f>
        <v>0.03</v>
      </c>
    </row>
    <row r="139" spans="1:8" x14ac:dyDescent="0.2">
      <c r="A139" t="s">
        <v>485</v>
      </c>
      <c r="B139" s="6" t="s">
        <v>486</v>
      </c>
    </row>
    <row r="140" spans="1:8" x14ac:dyDescent="0.2">
      <c r="A140" t="s">
        <v>487</v>
      </c>
      <c r="B140" s="2">
        <v>15900</v>
      </c>
    </row>
    <row r="141" spans="1:8" x14ac:dyDescent="0.2">
      <c r="A141" t="s">
        <v>488</v>
      </c>
      <c r="B141" s="2">
        <v>1000</v>
      </c>
    </row>
    <row r="142" spans="1:8" x14ac:dyDescent="0.2">
      <c r="A142" t="s">
        <v>83</v>
      </c>
      <c r="B142"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20 kW. Lifetime: 38500 km. Annual kilometers: 2405 km. Number of passengers: 1.1. Curb mass: 153.5 kg. Lightweighting of glider: 3%. Emission standard: EURO-5. Service visits throughout lifetime: 1.5. Range: 332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6" x14ac:dyDescent="0.2">
      <c r="A143" s="10" t="s">
        <v>79</v>
      </c>
    </row>
    <row r="144" spans="1:8" x14ac:dyDescent="0.2">
      <c r="A144" t="s">
        <v>80</v>
      </c>
      <c r="B144" t="s">
        <v>81</v>
      </c>
      <c r="C144" t="s">
        <v>72</v>
      </c>
      <c r="D144" t="s">
        <v>76</v>
      </c>
      <c r="E144" t="s">
        <v>82</v>
      </c>
      <c r="F144" t="s">
        <v>74</v>
      </c>
      <c r="G144" t="s">
        <v>83</v>
      </c>
      <c r="H144" t="s">
        <v>73</v>
      </c>
    </row>
    <row r="145" spans="1:8" x14ac:dyDescent="0.2">
      <c r="A145" t="str">
        <f>B115</f>
        <v>Motorbike, gasoline, 11-35kW, EURO-5, 2030</v>
      </c>
      <c r="B145">
        <v>1</v>
      </c>
      <c r="C145" t="str">
        <f>B116</f>
        <v>CH</v>
      </c>
      <c r="D145" t="str">
        <f>B123</f>
        <v>unit</v>
      </c>
      <c r="F145" t="s">
        <v>84</v>
      </c>
      <c r="G145" t="s">
        <v>85</v>
      </c>
      <c r="H145" t="str">
        <f>B117</f>
        <v>Motorbike, gasoline, 11-35kW, EURO-5</v>
      </c>
    </row>
    <row r="146" spans="1:8" x14ac:dyDescent="0.2">
      <c r="A146" t="str">
        <f>INDEX('ei names mapping'!$B$4:$R$33,MATCH(B117,'ei names mapping'!$A$4:$A$33,0),MATCH(G146,'ei names mapping'!$B$3:$R$3,0))</f>
        <v>motor scooter production</v>
      </c>
      <c r="B146" s="11">
        <f>INDEX('vehicles specifications'!$B$3:$CW$166,MATCH(B120,'vehicles specifications'!$A$3:$A$166,0),MATCH(G146,'vehicles specifications'!$B$2:$CW$2,0))*INDEX('ei names mapping'!$B$137:$BL$300,MATCH(B120,'ei names mapping'!$A$137:$A$300,0),MATCH(G146,'ei names mapping'!$B$136:$BL$136,0))</f>
        <v>0.9</v>
      </c>
      <c r="C146" t="str">
        <f>INDEX('ei names mapping'!$B$38:$R$67,MATCH(B117,'ei names mapping'!$A$4:$A$33,0),MATCH(G146,'ei names mapping'!$B$3:$R$3,0))</f>
        <v>RER</v>
      </c>
      <c r="D146" t="str">
        <f>INDEX('ei names mapping'!$B$104:$R$133,MATCH(B117,'ei names mapping'!$A$104:$A$133,0),MATCH(G146,'ei names mapping'!$B$3:$R$3,0))</f>
        <v>unit</v>
      </c>
      <c r="F146" t="s">
        <v>89</v>
      </c>
      <c r="G146" t="s">
        <v>15</v>
      </c>
      <c r="H146" t="str">
        <f>INDEX('ei names mapping'!$B$71:$R$100,MATCH(B117,'ei names mapping'!$A$4:$A$33,0),MATCH(G146,'ei names mapping'!$B$3:$R$3,0))</f>
        <v>motor scooter, 50 cubic cm engine</v>
      </c>
    </row>
    <row r="147" spans="1:8" x14ac:dyDescent="0.2">
      <c r="A147" t="str">
        <f>INDEX('ei names mapping'!$B$4:$R$33,MATCH(B117,'ei names mapping'!$A$4:$A$33,0),MATCH(G147,'ei names mapping'!$B$3:$R$3,0))</f>
        <v>motor scooter production</v>
      </c>
      <c r="B147" s="11">
        <f>INDEX('vehicles specifications'!$B$3:$CW$166,MATCH(B120,'vehicles specifications'!$A$3:$A$166,0),MATCH(G147,'vehicles specifications'!$B$2:$CW$2,0))*INDEX('ei names mapping'!$B$137:$BL$300,MATCH(B120,'ei names mapping'!$A$137:$A$300,0),MATCH(G147,'ei names mapping'!$B$136:$BL$136,0))</f>
        <v>0.68888888888888888</v>
      </c>
      <c r="C147" t="str">
        <f>INDEX('ei names mapping'!$B$38:$R$67,MATCH(B117,'ei names mapping'!$A$4:$A$33,0),MATCH(G147,'ei names mapping'!$B$3:$R$3,0))</f>
        <v>RER</v>
      </c>
      <c r="D147" t="str">
        <f>INDEX('ei names mapping'!$B$104:$R$133,MATCH(B117,'ei names mapping'!$A$104:$A$133,0),MATCH(G147,'ei names mapping'!$B$3:$R$3,0))</f>
        <v>unit</v>
      </c>
      <c r="F147" t="s">
        <v>89</v>
      </c>
      <c r="G147" t="s">
        <v>16</v>
      </c>
      <c r="H147" t="str">
        <f>INDEX('ei names mapping'!$B$71:$R$100,MATCH(B117,'ei names mapping'!$A$4:$A$33,0),MATCH(G147,'ei names mapping'!$B$3:$R$3,0))</f>
        <v>motor scooter, 50 cubic cm engine</v>
      </c>
    </row>
    <row r="148" spans="1:8" x14ac:dyDescent="0.2">
      <c r="A148" t="str">
        <f>INDEX('ei names mapping'!$B$4:$R$33,MATCH(B117,'ei names mapping'!$A$4:$A$33,0),MATCH(G148,'ei names mapping'!$B$3:$R$3,0))</f>
        <v>Glider lightweighting</v>
      </c>
      <c r="B148" s="11">
        <f>INDEX('vehicles specifications'!$B$3:$CW$166,MATCH(B120,'vehicles specifications'!$A$3:$A$166,0),MATCH(G148,'vehicles specifications'!$B$2:$CW$2,0))*INDEX('ei names mapping'!$B$137:$BL$300,MATCH(B120,'ei names mapping'!$A$137:$A$300,0),MATCH(G148,'ei names mapping'!$B$136:$BL$136,0))</f>
        <v>2.4299999999999997</v>
      </c>
      <c r="C148" t="str">
        <f>INDEX('ei names mapping'!$B$38:$R$67,MATCH(B117,'ei names mapping'!$A$4:$A$33,0),MATCH(G148,'ei names mapping'!$B$3:$R$3,0))</f>
        <v>GLO</v>
      </c>
      <c r="D148" t="str">
        <f>INDEX('ei names mapping'!$B$104:$R$133,MATCH(B117,'ei names mapping'!$A$104:$A$133,0),MATCH(G148,'ei names mapping'!$B$3:$R$3,0))</f>
        <v>kilogram</v>
      </c>
      <c r="F148" t="s">
        <v>89</v>
      </c>
      <c r="G148" t="s">
        <v>14</v>
      </c>
      <c r="H148" t="str">
        <f>INDEX('ei names mapping'!$B$71:$R$100,MATCH(B117,'ei names mapping'!$A$4:$A$33,0),MATCH(G148,'ei names mapping'!$B$3:$R$3,0))</f>
        <v>Glider lightweighting</v>
      </c>
    </row>
    <row r="149" spans="1:8" x14ac:dyDescent="0.2">
      <c r="A149" t="str">
        <f>INDEX('ei names mapping'!$B$4:$R$33,MATCH(B117,'ei names mapping'!$A$4:$A$33,0),MATCH(G149,'ei names mapping'!$B$3:$R$3,0))</f>
        <v>polyethylene production, high density, granulate</v>
      </c>
      <c r="B149" s="11">
        <f>INDEX('vehicles specifications'!$B$3:$CW$166,MATCH(B120,'vehicles specifications'!$A$3:$A$166,0),MATCH(G149,'vehicles specifications'!$B$2:$CW$2,0))*INDEX('ei names mapping'!$B$137:$BL$300,MATCH(B120,'ei names mapping'!$A$137:$A$300,0),MATCH(G149,'ei names mapping'!$B$136:$BL$136,0))</f>
        <v>1.6875</v>
      </c>
      <c r="C149" t="str">
        <f>INDEX('ei names mapping'!$B$38:$R$67,MATCH(B117,'ei names mapping'!$A$4:$A$33,0),MATCH(G149,'ei names mapping'!$B$3:$R$3,0))</f>
        <v>RER</v>
      </c>
      <c r="D149" t="str">
        <f>INDEX('ei names mapping'!$B$104:$R$133,MATCH(B117,'ei names mapping'!$A$104:$A$133,0),MATCH(G149,'ei names mapping'!$B$3:$R$3,0))</f>
        <v>kilogram</v>
      </c>
      <c r="F149" t="s">
        <v>89</v>
      </c>
      <c r="G149" t="s">
        <v>24</v>
      </c>
      <c r="H149" t="str">
        <f>INDEX('ei names mapping'!$B$71:$R$100,MATCH(B117,'ei names mapping'!$A$4:$A$33,0),MATCH(G149,'ei names mapping'!$B$3:$R$3,0))</f>
        <v>polyethylene, high density, granulate</v>
      </c>
    </row>
    <row r="150" spans="1:8" x14ac:dyDescent="0.2">
      <c r="A150" t="s">
        <v>282</v>
      </c>
      <c r="B150" s="6">
        <f>B149/0.994</f>
        <v>1.6976861167002013</v>
      </c>
      <c r="C150" t="s">
        <v>92</v>
      </c>
      <c r="D150" t="s">
        <v>77</v>
      </c>
      <c r="F150" t="s">
        <v>89</v>
      </c>
      <c r="G150" t="s">
        <v>647</v>
      </c>
      <c r="H150" t="s">
        <v>282</v>
      </c>
    </row>
    <row r="151" spans="1:8" x14ac:dyDescent="0.2">
      <c r="A151" s="13" t="s">
        <v>840</v>
      </c>
      <c r="B151">
        <f>(B130/1000)*B141</f>
        <v>153.50749999999999</v>
      </c>
      <c r="C151" t="s">
        <v>92</v>
      </c>
      <c r="D151" t="s">
        <v>233</v>
      </c>
      <c r="F151" t="s">
        <v>89</v>
      </c>
      <c r="H151" s="13" t="s">
        <v>841</v>
      </c>
    </row>
    <row r="152" spans="1:8" x14ac:dyDescent="0.2">
      <c r="A152" s="13" t="s">
        <v>441</v>
      </c>
      <c r="B152" s="2">
        <f>(B130/1000)*B140</f>
        <v>2440.7692499999998</v>
      </c>
      <c r="C152" t="s">
        <v>95</v>
      </c>
      <c r="D152" t="s">
        <v>233</v>
      </c>
      <c r="F152" t="s">
        <v>89</v>
      </c>
      <c r="H152" s="13" t="s">
        <v>441</v>
      </c>
    </row>
    <row r="154" spans="1:8" ht="16" x14ac:dyDescent="0.2">
      <c r="A154" s="10" t="s">
        <v>71</v>
      </c>
      <c r="B154" s="8" t="str">
        <f>B156&amp;", "&amp;B158</f>
        <v>Motorbike, gasoline, 11-35kW, EURO-5, 2040</v>
      </c>
    </row>
    <row r="155" spans="1:8" x14ac:dyDescent="0.2">
      <c r="A155" t="s">
        <v>72</v>
      </c>
      <c r="B155" t="s">
        <v>37</v>
      </c>
    </row>
    <row r="156" spans="1:8" x14ac:dyDescent="0.2">
      <c r="A156" t="s">
        <v>86</v>
      </c>
      <c r="B156" t="s">
        <v>622</v>
      </c>
    </row>
    <row r="157" spans="1:8" x14ac:dyDescent="0.2">
      <c r="A157" t="s">
        <v>87</v>
      </c>
    </row>
    <row r="158" spans="1:8" x14ac:dyDescent="0.2">
      <c r="A158" t="s">
        <v>88</v>
      </c>
      <c r="B158">
        <v>2040</v>
      </c>
    </row>
    <row r="159" spans="1:8" x14ac:dyDescent="0.2">
      <c r="A159" t="s">
        <v>126</v>
      </c>
      <c r="B159" t="str">
        <f>B156&amp;" - "&amp;B158&amp;" - "&amp;B155</f>
        <v>Motorbike, gasoline, 11-35kW, EURO-5 - 2040 - CH</v>
      </c>
    </row>
    <row r="160" spans="1:8" x14ac:dyDescent="0.2">
      <c r="A160" t="s">
        <v>73</v>
      </c>
      <c r="B160" t="str">
        <f>B156</f>
        <v>Motorbike, gasoline, 11-35kW, EURO-5</v>
      </c>
    </row>
    <row r="161" spans="1:2" x14ac:dyDescent="0.2">
      <c r="A161" t="s">
        <v>74</v>
      </c>
      <c r="B161" t="s">
        <v>75</v>
      </c>
    </row>
    <row r="162" spans="1:2" x14ac:dyDescent="0.2">
      <c r="A162" t="s">
        <v>76</v>
      </c>
      <c r="B162" t="s">
        <v>76</v>
      </c>
    </row>
    <row r="163" spans="1:2" x14ac:dyDescent="0.2">
      <c r="A163" t="s">
        <v>78</v>
      </c>
      <c r="B163" t="s">
        <v>1143</v>
      </c>
    </row>
    <row r="164" spans="1:2" x14ac:dyDescent="0.2">
      <c r="A164" t="s">
        <v>127</v>
      </c>
      <c r="B164">
        <f>INDEX('vehicles specifications'!$B$3:$CW$166,MATCH(B159,'vehicles specifications'!$A$3:$A$166,0),MATCH("Lifetime [km]",'vehicles specifications'!$B$2:$CW$2,0))</f>
        <v>38500</v>
      </c>
    </row>
    <row r="165" spans="1:2" x14ac:dyDescent="0.2">
      <c r="A165" t="s">
        <v>128</v>
      </c>
      <c r="B165">
        <f>INDEX('vehicles specifications'!$B$3:$CW$166,MATCH(B159,'vehicles specifications'!$A$3:$A$166,0),MATCH("Passengers [unit]",'vehicles specifications'!$B$2:$CW$2,0))</f>
        <v>1.1000000000000001</v>
      </c>
    </row>
    <row r="166" spans="1:2" x14ac:dyDescent="0.2">
      <c r="A166" t="s">
        <v>129</v>
      </c>
      <c r="B166">
        <f>INDEX('vehicles specifications'!$B$3:$CW$166,MATCH(B159,'vehicles specifications'!$A$3:$A$166,0),MATCH("Servicing [unit]",'vehicles specifications'!$B$2:$CW$2,0))</f>
        <v>1.54</v>
      </c>
    </row>
    <row r="167" spans="1:2" x14ac:dyDescent="0.2">
      <c r="A167" t="s">
        <v>130</v>
      </c>
      <c r="B167">
        <f>INDEX('vehicles specifications'!$B$3:$CW$166,MATCH(B159,'vehicles specifications'!$A$3:$A$166,0),MATCH("Energy battery replacement [unit]",'vehicles specifications'!$B$2:$CW$2,0))</f>
        <v>0</v>
      </c>
    </row>
    <row r="168" spans="1:2" x14ac:dyDescent="0.2">
      <c r="A168" t="s">
        <v>131</v>
      </c>
      <c r="B168">
        <f>INDEX('vehicles specifications'!$B$3:$CW$166,MATCH(B159,'vehicles specifications'!$A$3:$A$166,0),MATCH("Annual kilometers [km]",'vehicles specifications'!$B$2:$CW$2,0))</f>
        <v>2405</v>
      </c>
    </row>
    <row r="169" spans="1:2" x14ac:dyDescent="0.2">
      <c r="A169" t="s">
        <v>132</v>
      </c>
      <c r="B169" s="2">
        <f>INDEX('vehicles specifications'!$B$3:$CW$166,MATCH(B159,'vehicles specifications'!$A$3:$A$166,0),MATCH("Curb mass [kg]",'vehicles specifications'!$B$2:$CW$2,0))</f>
        <v>151.88749999999999</v>
      </c>
    </row>
    <row r="170" spans="1:2" x14ac:dyDescent="0.2">
      <c r="A170" t="s">
        <v>133</v>
      </c>
      <c r="B170">
        <f>INDEX('vehicles specifications'!$B$3:$CW$166,MATCH(B159,'vehicles specifications'!$A$3:$A$166,0),MATCH("Power [kW]",'vehicles specifications'!$B$2:$CW$2,0))</f>
        <v>20</v>
      </c>
    </row>
    <row r="171" spans="1:2" x14ac:dyDescent="0.2">
      <c r="A171" t="s">
        <v>134</v>
      </c>
      <c r="B171" t="str">
        <f>INDEX('vehicles specifications'!$B$3:$CW$166,MATCH(B159,'vehicles specifications'!$A$3:$A$166,0),MATCH("Energy battery mass [kg]",'vehicles specifications'!$B$2:$CW$2,0))</f>
        <v/>
      </c>
    </row>
    <row r="172" spans="1:2" x14ac:dyDescent="0.2">
      <c r="A172" t="s">
        <v>135</v>
      </c>
      <c r="B172">
        <f>INDEX('vehicles specifications'!$B$3:$CW$166,MATCH(B159,'vehicles specifications'!$A$3:$A$166,0),MATCH("Electric energy available [kWh]",'vehicles specifications'!$B$2:$CW$2,0))</f>
        <v>0</v>
      </c>
    </row>
    <row r="173" spans="1:2" x14ac:dyDescent="0.2">
      <c r="A173" t="s">
        <v>138</v>
      </c>
      <c r="B173" s="2">
        <f>INDEX('vehicles specifications'!$B$3:$CW$166,MATCH(B159,'vehicles specifications'!$A$3:$A$166,0),MATCH("Oxydation energy stored [kWh]",'vehicles specifications'!$B$2:$CW$2,0))</f>
        <v>133.125</v>
      </c>
    </row>
    <row r="174" spans="1:2" x14ac:dyDescent="0.2">
      <c r="A174" t="s">
        <v>139</v>
      </c>
      <c r="B174">
        <f>INDEX('vehicles specifications'!$B$3:$CW$166,MATCH(B159,'vehicles specifications'!$A$3:$A$166,0),MATCH("Fuel mass [kg]",'vehicles specifications'!$B$2:$CW$2,0))</f>
        <v>11.25</v>
      </c>
    </row>
    <row r="175" spans="1:2" x14ac:dyDescent="0.2">
      <c r="A175" t="s">
        <v>136</v>
      </c>
      <c r="B175" s="2">
        <f>INDEX('vehicles specifications'!$B$3:$CW$166,MATCH(B159,'vehicles specifications'!$A$3:$A$166,0),MATCH("Range [km]",'vehicles specifications'!$B$2:$CW$2,0))</f>
        <v>335.19888129997145</v>
      </c>
    </row>
    <row r="176" spans="1:2" x14ac:dyDescent="0.2">
      <c r="A176" t="s">
        <v>137</v>
      </c>
      <c r="B176" t="str">
        <f>INDEX('vehicles specifications'!$B$3:$CW$166,MATCH(B159,'vehicles specifications'!$A$3:$A$166,0),MATCH("Emission standard",'vehicles specifications'!$B$2:$CW$2,0))</f>
        <v>EURO-5</v>
      </c>
    </row>
    <row r="177" spans="1:8" x14ac:dyDescent="0.2">
      <c r="A177" t="s">
        <v>1174</v>
      </c>
      <c r="B177" s="6">
        <f>INDEX('vehicles specifications'!$B$3:$CW$166,MATCH(B159,'vehicles specifications'!$A$3:$A$166,0),MATCH("Lightweighting rate [%]",'vehicles specifications'!$B$2:$CW$2,0))</f>
        <v>0.05</v>
      </c>
    </row>
    <row r="178" spans="1:8" x14ac:dyDescent="0.2">
      <c r="A178" t="s">
        <v>485</v>
      </c>
      <c r="B178" s="6" t="s">
        <v>486</v>
      </c>
    </row>
    <row r="179" spans="1:8" x14ac:dyDescent="0.2">
      <c r="A179" t="s">
        <v>487</v>
      </c>
      <c r="B179" s="2">
        <v>15900</v>
      </c>
    </row>
    <row r="180" spans="1:8" x14ac:dyDescent="0.2">
      <c r="A180" t="s">
        <v>488</v>
      </c>
      <c r="B180" s="2">
        <v>1000</v>
      </c>
    </row>
    <row r="181" spans="1:8" x14ac:dyDescent="0.2">
      <c r="A181" t="s">
        <v>83</v>
      </c>
      <c r="B18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20 kW. Lifetime: 38500 km. Annual kilometers: 2405 km. Number of passengers: 1.1. Curb mass: 151.9 kg. Lightweighting of glider: 5%. Emission standard: EURO-5. Service visits throughout lifetime: 1.5. Range: 335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6" x14ac:dyDescent="0.2">
      <c r="A182" s="10" t="s">
        <v>79</v>
      </c>
    </row>
    <row r="183" spans="1:8" x14ac:dyDescent="0.2">
      <c r="A183" t="s">
        <v>80</v>
      </c>
      <c r="B183" t="s">
        <v>81</v>
      </c>
      <c r="C183" t="s">
        <v>72</v>
      </c>
      <c r="D183" t="s">
        <v>76</v>
      </c>
      <c r="E183" t="s">
        <v>82</v>
      </c>
      <c r="F183" t="s">
        <v>74</v>
      </c>
      <c r="G183" t="s">
        <v>83</v>
      </c>
      <c r="H183" t="s">
        <v>73</v>
      </c>
    </row>
    <row r="184" spans="1:8" x14ac:dyDescent="0.2">
      <c r="A184" t="str">
        <f>B154</f>
        <v>Motorbike, gasoline, 11-35kW, EURO-5, 2040</v>
      </c>
      <c r="B184">
        <v>1</v>
      </c>
      <c r="C184" t="str">
        <f>B155</f>
        <v>CH</v>
      </c>
      <c r="D184" t="str">
        <f>B162</f>
        <v>unit</v>
      </c>
      <c r="F184" t="s">
        <v>84</v>
      </c>
      <c r="G184" t="s">
        <v>85</v>
      </c>
      <c r="H184" t="str">
        <f>B156</f>
        <v>Motorbike, gasoline, 11-35kW, EURO-5</v>
      </c>
    </row>
    <row r="185" spans="1:8" x14ac:dyDescent="0.2">
      <c r="A185" t="str">
        <f>INDEX('ei names mapping'!$B$4:$R$33,MATCH(B156,'ei names mapping'!$A$4:$A$33,0),MATCH(G185,'ei names mapping'!$B$3:$R$3,0))</f>
        <v>motor scooter production</v>
      </c>
      <c r="B185" s="11">
        <f>INDEX('vehicles specifications'!$B$3:$CW$166,MATCH(B159,'vehicles specifications'!$A$3:$A$166,0),MATCH(G185,'vehicles specifications'!$B$2:$CW$2,0))*INDEX('ei names mapping'!$B$137:$BL$300,MATCH(B159,'ei names mapping'!$A$137:$A$300,0),MATCH(G185,'ei names mapping'!$B$136:$BL$136,0))</f>
        <v>0.9</v>
      </c>
      <c r="C185" t="str">
        <f>INDEX('ei names mapping'!$B$38:$R$67,MATCH(B156,'ei names mapping'!$A$4:$A$33,0),MATCH(G185,'ei names mapping'!$B$3:$R$3,0))</f>
        <v>RER</v>
      </c>
      <c r="D185" t="str">
        <f>INDEX('ei names mapping'!$B$104:$R$133,MATCH(B156,'ei names mapping'!$A$104:$A$133,0),MATCH(G185,'ei names mapping'!$B$3:$R$3,0))</f>
        <v>unit</v>
      </c>
      <c r="F185" t="s">
        <v>89</v>
      </c>
      <c r="G185" t="s">
        <v>15</v>
      </c>
      <c r="H185" t="str">
        <f>INDEX('ei names mapping'!$B$71:$R$100,MATCH(B156,'ei names mapping'!$A$4:$A$33,0),MATCH(G185,'ei names mapping'!$B$3:$R$3,0))</f>
        <v>motor scooter, 50 cubic cm engine</v>
      </c>
    </row>
    <row r="186" spans="1:8" x14ac:dyDescent="0.2">
      <c r="A186" t="str">
        <f>INDEX('ei names mapping'!$B$4:$R$33,MATCH(B156,'ei names mapping'!$A$4:$A$33,0),MATCH(G186,'ei names mapping'!$B$3:$R$3,0))</f>
        <v>motor scooter production</v>
      </c>
      <c r="B186" s="11">
        <f>INDEX('vehicles specifications'!$B$3:$CW$166,MATCH(B159,'vehicles specifications'!$A$3:$A$166,0),MATCH(G186,'vehicles specifications'!$B$2:$CW$2,0))*INDEX('ei names mapping'!$B$137:$BL$300,MATCH(B159,'ei names mapping'!$A$137:$A$300,0),MATCH(G186,'ei names mapping'!$B$136:$BL$136,0))</f>
        <v>0.68888888888888888</v>
      </c>
      <c r="C186" t="str">
        <f>INDEX('ei names mapping'!$B$38:$R$67,MATCH(B156,'ei names mapping'!$A$4:$A$33,0),MATCH(G186,'ei names mapping'!$B$3:$R$3,0))</f>
        <v>RER</v>
      </c>
      <c r="D186" t="str">
        <f>INDEX('ei names mapping'!$B$104:$R$133,MATCH(B156,'ei names mapping'!$A$104:$A$133,0),MATCH(G186,'ei names mapping'!$B$3:$R$3,0))</f>
        <v>unit</v>
      </c>
      <c r="F186" t="s">
        <v>89</v>
      </c>
      <c r="G186" t="s">
        <v>16</v>
      </c>
      <c r="H186" t="str">
        <f>INDEX('ei names mapping'!$B$71:$R$100,MATCH(B156,'ei names mapping'!$A$4:$A$33,0),MATCH(G186,'ei names mapping'!$B$3:$R$3,0))</f>
        <v>motor scooter, 50 cubic cm engine</v>
      </c>
    </row>
    <row r="187" spans="1:8" x14ac:dyDescent="0.2">
      <c r="A187" t="str">
        <f>INDEX('ei names mapping'!$B$4:$R$33,MATCH(B156,'ei names mapping'!$A$4:$A$33,0),MATCH(G187,'ei names mapping'!$B$3:$R$3,0))</f>
        <v>Glider lightweighting</v>
      </c>
      <c r="B187" s="11">
        <f>INDEX('vehicles specifications'!$B$3:$CW$166,MATCH(B159,'vehicles specifications'!$A$3:$A$166,0),MATCH(G187,'vehicles specifications'!$B$2:$CW$2,0))*INDEX('ei names mapping'!$B$137:$BL$300,MATCH(B159,'ei names mapping'!$A$137:$A$300,0),MATCH(G187,'ei names mapping'!$B$136:$BL$136,0))</f>
        <v>4.05</v>
      </c>
      <c r="C187" t="str">
        <f>INDEX('ei names mapping'!$B$38:$R$67,MATCH(B156,'ei names mapping'!$A$4:$A$33,0),MATCH(G187,'ei names mapping'!$B$3:$R$3,0))</f>
        <v>GLO</v>
      </c>
      <c r="D187" t="str">
        <f>INDEX('ei names mapping'!$B$104:$R$133,MATCH(B156,'ei names mapping'!$A$104:$A$133,0),MATCH(G187,'ei names mapping'!$B$3:$R$3,0))</f>
        <v>kilogram</v>
      </c>
      <c r="F187" t="s">
        <v>89</v>
      </c>
      <c r="G187" t="s">
        <v>14</v>
      </c>
      <c r="H187" t="str">
        <f>INDEX('ei names mapping'!$B$71:$R$100,MATCH(B156,'ei names mapping'!$A$4:$A$33,0),MATCH(G187,'ei names mapping'!$B$3:$R$3,0))</f>
        <v>Glider lightweighting</v>
      </c>
    </row>
    <row r="188" spans="1:8" x14ac:dyDescent="0.2">
      <c r="A188" t="str">
        <f>INDEX('ei names mapping'!$B$4:$R$33,MATCH(B156,'ei names mapping'!$A$4:$A$33,0),MATCH(G188,'ei names mapping'!$B$3:$R$3,0))</f>
        <v>polyethylene production, high density, granulate</v>
      </c>
      <c r="B188" s="11">
        <f>INDEX('vehicles specifications'!$B$3:$CW$166,MATCH(B159,'vehicles specifications'!$A$3:$A$166,0),MATCH(G188,'vehicles specifications'!$B$2:$CW$2,0))*INDEX('ei names mapping'!$B$137:$BL$300,MATCH(B159,'ei names mapping'!$A$137:$A$300,0),MATCH(G188,'ei names mapping'!$B$136:$BL$136,0))</f>
        <v>1.6875</v>
      </c>
      <c r="C188" t="str">
        <f>INDEX('ei names mapping'!$B$38:$R$67,MATCH(B156,'ei names mapping'!$A$4:$A$33,0),MATCH(G188,'ei names mapping'!$B$3:$R$3,0))</f>
        <v>RER</v>
      </c>
      <c r="D188" t="str">
        <f>INDEX('ei names mapping'!$B$104:$R$133,MATCH(B156,'ei names mapping'!$A$104:$A$133,0),MATCH(G188,'ei names mapping'!$B$3:$R$3,0))</f>
        <v>kilogram</v>
      </c>
      <c r="F188" t="s">
        <v>89</v>
      </c>
      <c r="G188" t="s">
        <v>24</v>
      </c>
      <c r="H188" t="str">
        <f>INDEX('ei names mapping'!$B$71:$R$100,MATCH(B156,'ei names mapping'!$A$4:$A$33,0),MATCH(G188,'ei names mapping'!$B$3:$R$3,0))</f>
        <v>polyethylene, high density, granulate</v>
      </c>
    </row>
    <row r="189" spans="1:8" x14ac:dyDescent="0.2">
      <c r="A189" t="s">
        <v>282</v>
      </c>
      <c r="B189" s="6">
        <f>B188/0.994</f>
        <v>1.6976861167002013</v>
      </c>
      <c r="C189" t="s">
        <v>92</v>
      </c>
      <c r="D189" t="s">
        <v>77</v>
      </c>
      <c r="F189" t="s">
        <v>89</v>
      </c>
      <c r="G189" t="s">
        <v>647</v>
      </c>
      <c r="H189" t="s">
        <v>282</v>
      </c>
    </row>
    <row r="190" spans="1:8" x14ac:dyDescent="0.2">
      <c r="A190" s="13" t="s">
        <v>840</v>
      </c>
      <c r="B190">
        <f>(B169/1000)*B180</f>
        <v>151.88749999999999</v>
      </c>
      <c r="C190" t="s">
        <v>92</v>
      </c>
      <c r="D190" t="s">
        <v>233</v>
      </c>
      <c r="F190" t="s">
        <v>89</v>
      </c>
      <c r="H190" s="13" t="s">
        <v>841</v>
      </c>
    </row>
    <row r="191" spans="1:8" x14ac:dyDescent="0.2">
      <c r="A191" s="13" t="s">
        <v>441</v>
      </c>
      <c r="B191" s="2">
        <f>(B169/1000)*B179</f>
        <v>2415.0112499999996</v>
      </c>
      <c r="C191" t="s">
        <v>95</v>
      </c>
      <c r="D191" t="s">
        <v>233</v>
      </c>
      <c r="F191" t="s">
        <v>89</v>
      </c>
      <c r="H191" s="13" t="s">
        <v>441</v>
      </c>
    </row>
    <row r="193" spans="1:2" ht="16" x14ac:dyDescent="0.2">
      <c r="A193" s="10" t="s">
        <v>71</v>
      </c>
      <c r="B193" s="8" t="str">
        <f>B195&amp;", "&amp;B197</f>
        <v>Motorbike, gasoline, 11-35kW, EURO-5, 2050</v>
      </c>
    </row>
    <row r="194" spans="1:2" x14ac:dyDescent="0.2">
      <c r="A194" t="s">
        <v>72</v>
      </c>
      <c r="B194" t="s">
        <v>37</v>
      </c>
    </row>
    <row r="195" spans="1:2" x14ac:dyDescent="0.2">
      <c r="A195" t="s">
        <v>86</v>
      </c>
      <c r="B195" t="s">
        <v>622</v>
      </c>
    </row>
    <row r="196" spans="1:2" x14ac:dyDescent="0.2">
      <c r="A196" t="s">
        <v>87</v>
      </c>
    </row>
    <row r="197" spans="1:2" x14ac:dyDescent="0.2">
      <c r="A197" t="s">
        <v>88</v>
      </c>
      <c r="B197">
        <v>2050</v>
      </c>
    </row>
    <row r="198" spans="1:2" x14ac:dyDescent="0.2">
      <c r="A198" t="s">
        <v>126</v>
      </c>
      <c r="B198" t="str">
        <f>B195&amp;" - "&amp;B197&amp;" - "&amp;B194</f>
        <v>Motorbike, gasoline, 11-35kW, EURO-5 - 2050 - CH</v>
      </c>
    </row>
    <row r="199" spans="1:2" x14ac:dyDescent="0.2">
      <c r="A199" t="s">
        <v>73</v>
      </c>
      <c r="B199" t="str">
        <f>B195</f>
        <v>Motorbike, gasoline, 11-35kW, EURO-5</v>
      </c>
    </row>
    <row r="200" spans="1:2" x14ac:dyDescent="0.2">
      <c r="A200" t="s">
        <v>74</v>
      </c>
      <c r="B200" t="s">
        <v>75</v>
      </c>
    </row>
    <row r="201" spans="1:2" x14ac:dyDescent="0.2">
      <c r="A201" t="s">
        <v>76</v>
      </c>
      <c r="B201" t="s">
        <v>76</v>
      </c>
    </row>
    <row r="202" spans="1:2" x14ac:dyDescent="0.2">
      <c r="A202" t="s">
        <v>78</v>
      </c>
      <c r="B202" t="s">
        <v>1143</v>
      </c>
    </row>
    <row r="203" spans="1:2" x14ac:dyDescent="0.2">
      <c r="A203" t="s">
        <v>127</v>
      </c>
      <c r="B203">
        <f>INDEX('vehicles specifications'!$B$3:$CW$166,MATCH(B198,'vehicles specifications'!$A$3:$A$166,0),MATCH("Lifetime [km]",'vehicles specifications'!$B$2:$CW$2,0))</f>
        <v>38500</v>
      </c>
    </row>
    <row r="204" spans="1:2" x14ac:dyDescent="0.2">
      <c r="A204" t="s">
        <v>128</v>
      </c>
      <c r="B204">
        <f>INDEX('vehicles specifications'!$B$3:$CW$166,MATCH(B198,'vehicles specifications'!$A$3:$A$166,0),MATCH("Passengers [unit]",'vehicles specifications'!$B$2:$CW$2,0))</f>
        <v>1.1000000000000001</v>
      </c>
    </row>
    <row r="205" spans="1:2" x14ac:dyDescent="0.2">
      <c r="A205" t="s">
        <v>129</v>
      </c>
      <c r="B205">
        <f>INDEX('vehicles specifications'!$B$3:$CW$166,MATCH(B198,'vehicles specifications'!$A$3:$A$166,0),MATCH("Servicing [unit]",'vehicles specifications'!$B$2:$CW$2,0))</f>
        <v>1.54</v>
      </c>
    </row>
    <row r="206" spans="1:2" x14ac:dyDescent="0.2">
      <c r="A206" t="s">
        <v>130</v>
      </c>
      <c r="B206">
        <f>INDEX('vehicles specifications'!$B$3:$CW$166,MATCH(B198,'vehicles specifications'!$A$3:$A$166,0),MATCH("Energy battery replacement [unit]",'vehicles specifications'!$B$2:$CW$2,0))</f>
        <v>0</v>
      </c>
    </row>
    <row r="207" spans="1:2" x14ac:dyDescent="0.2">
      <c r="A207" t="s">
        <v>131</v>
      </c>
      <c r="B207">
        <f>INDEX('vehicles specifications'!$B$3:$CW$166,MATCH(B198,'vehicles specifications'!$A$3:$A$166,0),MATCH("Annual kilometers [km]",'vehicles specifications'!$B$2:$CW$2,0))</f>
        <v>2405</v>
      </c>
    </row>
    <row r="208" spans="1:2" x14ac:dyDescent="0.2">
      <c r="A208" t="s">
        <v>132</v>
      </c>
      <c r="B208" s="2">
        <f>INDEX('vehicles specifications'!$B$3:$CW$166,MATCH(B198,'vehicles specifications'!$A$3:$A$166,0),MATCH("Curb mass [kg]",'vehicles specifications'!$B$2:$CW$2,0))</f>
        <v>150.26749999999998</v>
      </c>
    </row>
    <row r="209" spans="1:8" x14ac:dyDescent="0.2">
      <c r="A209" t="s">
        <v>133</v>
      </c>
      <c r="B209">
        <f>INDEX('vehicles specifications'!$B$3:$CW$166,MATCH(B198,'vehicles specifications'!$A$3:$A$166,0),MATCH("Power [kW]",'vehicles specifications'!$B$2:$CW$2,0))</f>
        <v>20</v>
      </c>
    </row>
    <row r="210" spans="1:8" x14ac:dyDescent="0.2">
      <c r="A210" t="s">
        <v>134</v>
      </c>
      <c r="B210" t="str">
        <f>INDEX('vehicles specifications'!$B$3:$CW$166,MATCH(B198,'vehicles specifications'!$A$3:$A$166,0),MATCH("Energy battery mass [kg]",'vehicles specifications'!$B$2:$CW$2,0))</f>
        <v/>
      </c>
    </row>
    <row r="211" spans="1:8" x14ac:dyDescent="0.2">
      <c r="A211" t="s">
        <v>135</v>
      </c>
      <c r="B211">
        <f>INDEX('vehicles specifications'!$B$3:$CW$166,MATCH(B198,'vehicles specifications'!$A$3:$A$166,0),MATCH("Electric energy available [kWh]",'vehicles specifications'!$B$2:$CW$2,0))</f>
        <v>0</v>
      </c>
    </row>
    <row r="212" spans="1:8" x14ac:dyDescent="0.2">
      <c r="A212" t="s">
        <v>138</v>
      </c>
      <c r="B212" s="2">
        <f>INDEX('vehicles specifications'!$B$3:$CW$166,MATCH(B198,'vehicles specifications'!$A$3:$A$166,0),MATCH("Oxydation energy stored [kWh]",'vehicles specifications'!$B$2:$CW$2,0))</f>
        <v>133.125</v>
      </c>
    </row>
    <row r="213" spans="1:8" x14ac:dyDescent="0.2">
      <c r="A213" t="s">
        <v>139</v>
      </c>
      <c r="B213">
        <f>INDEX('vehicles specifications'!$B$3:$CW$166,MATCH(B198,'vehicles specifications'!$A$3:$A$166,0),MATCH("Fuel mass [kg]",'vehicles specifications'!$B$2:$CW$2,0))</f>
        <v>11.25</v>
      </c>
    </row>
    <row r="214" spans="1:8" x14ac:dyDescent="0.2">
      <c r="A214" t="s">
        <v>136</v>
      </c>
      <c r="B214" s="2">
        <f>INDEX('vehicles specifications'!$B$3:$CW$166,MATCH(B198,'vehicles specifications'!$A$3:$A$166,0),MATCH("Range [km]",'vehicles specifications'!$B$2:$CW$2,0))</f>
        <v>338.58472858582974</v>
      </c>
    </row>
    <row r="215" spans="1:8" x14ac:dyDescent="0.2">
      <c r="A215" t="s">
        <v>137</v>
      </c>
      <c r="B215" t="str">
        <f>INDEX('vehicles specifications'!$B$3:$CW$166,MATCH(B198,'vehicles specifications'!$A$3:$A$166,0),MATCH("Emission standard",'vehicles specifications'!$B$2:$CW$2,0))</f>
        <v>EURO-5</v>
      </c>
    </row>
    <row r="216" spans="1:8" x14ac:dyDescent="0.2">
      <c r="A216" t="s">
        <v>1174</v>
      </c>
      <c r="B216" s="6">
        <f>INDEX('vehicles specifications'!$B$3:$CW$166,MATCH(B198,'vehicles specifications'!$A$3:$A$166,0),MATCH("Lightweighting rate [%]",'vehicles specifications'!$B$2:$CW$2,0))</f>
        <v>7.0000000000000007E-2</v>
      </c>
    </row>
    <row r="217" spans="1:8" x14ac:dyDescent="0.2">
      <c r="A217" t="s">
        <v>485</v>
      </c>
      <c r="B217" s="6" t="s">
        <v>486</v>
      </c>
    </row>
    <row r="218" spans="1:8" x14ac:dyDescent="0.2">
      <c r="A218" t="s">
        <v>487</v>
      </c>
      <c r="B218" s="2">
        <v>15900</v>
      </c>
    </row>
    <row r="219" spans="1:8" x14ac:dyDescent="0.2">
      <c r="A219" t="s">
        <v>488</v>
      </c>
      <c r="B219" s="2">
        <v>1000</v>
      </c>
    </row>
    <row r="220" spans="1:8" x14ac:dyDescent="0.2">
      <c r="A220" t="s">
        <v>83</v>
      </c>
      <c r="B220"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20 kW. Lifetime: 38500 km. Annual kilometers: 2405 km. Number of passengers: 1.1. Curb mass: 150.3 kg. Lightweighting of glider: 7%. Emission standard: EURO-5. Service visits throughout lifetime: 1.5. Range: 339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6" x14ac:dyDescent="0.2">
      <c r="A221" s="10" t="s">
        <v>79</v>
      </c>
    </row>
    <row r="222" spans="1:8" x14ac:dyDescent="0.2">
      <c r="A222" t="s">
        <v>80</v>
      </c>
      <c r="B222" t="s">
        <v>81</v>
      </c>
      <c r="C222" t="s">
        <v>72</v>
      </c>
      <c r="D222" t="s">
        <v>76</v>
      </c>
      <c r="E222" t="s">
        <v>82</v>
      </c>
      <c r="F222" t="s">
        <v>74</v>
      </c>
      <c r="G222" t="s">
        <v>83</v>
      </c>
      <c r="H222" t="s">
        <v>73</v>
      </c>
    </row>
    <row r="223" spans="1:8" x14ac:dyDescent="0.2">
      <c r="A223" t="str">
        <f>B193</f>
        <v>Motorbike, gasoline, 11-35kW, EURO-5, 2050</v>
      </c>
      <c r="B223">
        <v>1</v>
      </c>
      <c r="C223" t="str">
        <f>B194</f>
        <v>CH</v>
      </c>
      <c r="D223" t="str">
        <f>B201</f>
        <v>unit</v>
      </c>
      <c r="F223" t="s">
        <v>84</v>
      </c>
      <c r="G223" t="s">
        <v>85</v>
      </c>
      <c r="H223" t="str">
        <f>B195</f>
        <v>Motorbike, gasoline, 11-35kW, EURO-5</v>
      </c>
    </row>
    <row r="224" spans="1:8" x14ac:dyDescent="0.2">
      <c r="A224" t="str">
        <f>INDEX('ei names mapping'!$B$4:$R$33,MATCH(B195,'ei names mapping'!$A$4:$A$33,0),MATCH(G224,'ei names mapping'!$B$3:$R$3,0))</f>
        <v>motor scooter production</v>
      </c>
      <c r="B224" s="11">
        <f>INDEX('vehicles specifications'!$B$3:$CW$166,MATCH(B198,'vehicles specifications'!$A$3:$A$166,0),MATCH(G224,'vehicles specifications'!$B$2:$CW$2,0))*INDEX('ei names mapping'!$B$137:$BL$300,MATCH(B198,'ei names mapping'!$A$137:$A$300,0),MATCH(G224,'ei names mapping'!$B$136:$BL$136,0))</f>
        <v>0.9</v>
      </c>
      <c r="C224" t="str">
        <f>INDEX('ei names mapping'!$B$38:$R$67,MATCH(B195,'ei names mapping'!$A$4:$A$33,0),MATCH(G224,'ei names mapping'!$B$3:$R$3,0))</f>
        <v>RER</v>
      </c>
      <c r="D224" t="str">
        <f>INDEX('ei names mapping'!$B$104:$R$133,MATCH(B195,'ei names mapping'!$A$104:$A$133,0),MATCH(G224,'ei names mapping'!$B$3:$R$3,0))</f>
        <v>unit</v>
      </c>
      <c r="F224" t="s">
        <v>89</v>
      </c>
      <c r="G224" t="s">
        <v>15</v>
      </c>
      <c r="H224" t="str">
        <f>INDEX('ei names mapping'!$B$71:$R$100,MATCH(B195,'ei names mapping'!$A$4:$A$33,0),MATCH(G224,'ei names mapping'!$B$3:$R$3,0))</f>
        <v>motor scooter, 50 cubic cm engine</v>
      </c>
    </row>
    <row r="225" spans="1:8" x14ac:dyDescent="0.2">
      <c r="A225" t="str">
        <f>INDEX('ei names mapping'!$B$4:$R$33,MATCH(B195,'ei names mapping'!$A$4:$A$33,0),MATCH(G225,'ei names mapping'!$B$3:$R$3,0))</f>
        <v>motor scooter production</v>
      </c>
      <c r="B225" s="11">
        <f>INDEX('vehicles specifications'!$B$3:$CW$166,MATCH(B198,'vehicles specifications'!$A$3:$A$166,0),MATCH(G225,'vehicles specifications'!$B$2:$CW$2,0))*INDEX('ei names mapping'!$B$137:$BL$300,MATCH(B198,'ei names mapping'!$A$137:$A$300,0),MATCH(G225,'ei names mapping'!$B$136:$BL$136,0))</f>
        <v>0.68888888888888888</v>
      </c>
      <c r="C225" t="str">
        <f>INDEX('ei names mapping'!$B$38:$R$67,MATCH(B195,'ei names mapping'!$A$4:$A$33,0),MATCH(G225,'ei names mapping'!$B$3:$R$3,0))</f>
        <v>RER</v>
      </c>
      <c r="D225" t="str">
        <f>INDEX('ei names mapping'!$B$104:$R$133,MATCH(B195,'ei names mapping'!$A$104:$A$133,0),MATCH(G225,'ei names mapping'!$B$3:$R$3,0))</f>
        <v>unit</v>
      </c>
      <c r="F225" t="s">
        <v>89</v>
      </c>
      <c r="G225" t="s">
        <v>16</v>
      </c>
      <c r="H225" t="str">
        <f>INDEX('ei names mapping'!$B$71:$R$100,MATCH(B195,'ei names mapping'!$A$4:$A$33,0),MATCH(G225,'ei names mapping'!$B$3:$R$3,0))</f>
        <v>motor scooter, 50 cubic cm engine</v>
      </c>
    </row>
    <row r="226" spans="1:8" x14ac:dyDescent="0.2">
      <c r="A226" t="str">
        <f>INDEX('ei names mapping'!$B$4:$R$33,MATCH(B195,'ei names mapping'!$A$4:$A$33,0),MATCH(G226,'ei names mapping'!$B$3:$R$3,0))</f>
        <v>Glider lightweighting</v>
      </c>
      <c r="B226" s="11">
        <f>INDEX('vehicles specifications'!$B$3:$CW$166,MATCH(B198,'vehicles specifications'!$A$3:$A$166,0),MATCH(G226,'vehicles specifications'!$B$2:$CW$2,0))*INDEX('ei names mapping'!$B$137:$BL$300,MATCH(B198,'ei names mapping'!$A$137:$A$300,0),MATCH(G226,'ei names mapping'!$B$136:$BL$136,0))</f>
        <v>5.6700000000000008</v>
      </c>
      <c r="C226" t="str">
        <f>INDEX('ei names mapping'!$B$38:$R$67,MATCH(B195,'ei names mapping'!$A$4:$A$33,0),MATCH(G226,'ei names mapping'!$B$3:$R$3,0))</f>
        <v>GLO</v>
      </c>
      <c r="D226" t="str">
        <f>INDEX('ei names mapping'!$B$104:$R$133,MATCH(B195,'ei names mapping'!$A$104:$A$133,0),MATCH(G226,'ei names mapping'!$B$3:$R$3,0))</f>
        <v>kilogram</v>
      </c>
      <c r="F226" t="s">
        <v>89</v>
      </c>
      <c r="G226" t="s">
        <v>14</v>
      </c>
      <c r="H226" t="str">
        <f>INDEX('ei names mapping'!$B$71:$R$100,MATCH(B195,'ei names mapping'!$A$4:$A$33,0),MATCH(G226,'ei names mapping'!$B$3:$R$3,0))</f>
        <v>Glider lightweighting</v>
      </c>
    </row>
    <row r="227" spans="1:8" x14ac:dyDescent="0.2">
      <c r="A227" t="str">
        <f>INDEX('ei names mapping'!$B$4:$R$33,MATCH(B195,'ei names mapping'!$A$4:$A$33,0),MATCH(G227,'ei names mapping'!$B$3:$R$3,0))</f>
        <v>polyethylene production, high density, granulate</v>
      </c>
      <c r="B227" s="11">
        <f>INDEX('vehicles specifications'!$B$3:$CW$166,MATCH(B198,'vehicles specifications'!$A$3:$A$166,0),MATCH(G227,'vehicles specifications'!$B$2:$CW$2,0))*INDEX('ei names mapping'!$B$137:$BL$300,MATCH(B198,'ei names mapping'!$A$137:$A$300,0),MATCH(G227,'ei names mapping'!$B$136:$BL$136,0))</f>
        <v>1.6875</v>
      </c>
      <c r="C227" t="str">
        <f>INDEX('ei names mapping'!$B$38:$R$67,MATCH(B195,'ei names mapping'!$A$4:$A$33,0),MATCH(G227,'ei names mapping'!$B$3:$R$3,0))</f>
        <v>RER</v>
      </c>
      <c r="D227" t="str">
        <f>INDEX('ei names mapping'!$B$104:$R$133,MATCH(B195,'ei names mapping'!$A$104:$A$133,0),MATCH(G227,'ei names mapping'!$B$3:$R$3,0))</f>
        <v>kilogram</v>
      </c>
      <c r="F227" t="s">
        <v>89</v>
      </c>
      <c r="G227" t="s">
        <v>24</v>
      </c>
      <c r="H227" t="str">
        <f>INDEX('ei names mapping'!$B$71:$R$100,MATCH(B195,'ei names mapping'!$A$4:$A$33,0),MATCH(G227,'ei names mapping'!$B$3:$R$3,0))</f>
        <v>polyethylene, high density, granulate</v>
      </c>
    </row>
    <row r="228" spans="1:8" x14ac:dyDescent="0.2">
      <c r="A228" t="s">
        <v>282</v>
      </c>
      <c r="B228" s="6">
        <f>B227/0.994</f>
        <v>1.6976861167002013</v>
      </c>
      <c r="C228" t="s">
        <v>92</v>
      </c>
      <c r="D228" t="s">
        <v>77</v>
      </c>
      <c r="F228" t="s">
        <v>89</v>
      </c>
      <c r="G228" t="s">
        <v>647</v>
      </c>
      <c r="H228" t="s">
        <v>282</v>
      </c>
    </row>
    <row r="229" spans="1:8" x14ac:dyDescent="0.2">
      <c r="A229" s="13" t="s">
        <v>840</v>
      </c>
      <c r="B229">
        <f>(B208/1000)*B219</f>
        <v>150.26749999999998</v>
      </c>
      <c r="C229" t="s">
        <v>92</v>
      </c>
      <c r="D229" t="s">
        <v>233</v>
      </c>
      <c r="F229" t="s">
        <v>89</v>
      </c>
      <c r="H229" s="13" t="s">
        <v>841</v>
      </c>
    </row>
    <row r="230" spans="1:8" x14ac:dyDescent="0.2">
      <c r="A230" s="13" t="s">
        <v>441</v>
      </c>
      <c r="B230" s="2">
        <f>(B208/1000)*B218</f>
        <v>2389.2532499999998</v>
      </c>
      <c r="C230" t="s">
        <v>95</v>
      </c>
      <c r="D230" t="s">
        <v>233</v>
      </c>
      <c r="F230" t="s">
        <v>89</v>
      </c>
      <c r="H230" s="13" t="s">
        <v>441</v>
      </c>
    </row>
    <row r="232" spans="1:8" ht="16" x14ac:dyDescent="0.2">
      <c r="A232" s="10" t="s">
        <v>71</v>
      </c>
      <c r="B232" s="8" t="str">
        <f>"transport, "&amp;B234&amp;", "&amp;B236</f>
        <v>transport, Motorbike, gasoline, 11-35kW, EURO-3, 2006</v>
      </c>
    </row>
    <row r="233" spans="1:8" x14ac:dyDescent="0.2">
      <c r="A233" t="s">
        <v>72</v>
      </c>
      <c r="B233" t="s">
        <v>37</v>
      </c>
    </row>
    <row r="234" spans="1:8" x14ac:dyDescent="0.2">
      <c r="A234" t="s">
        <v>86</v>
      </c>
      <c r="B234" t="s">
        <v>620</v>
      </c>
    </row>
    <row r="235" spans="1:8" x14ac:dyDescent="0.2">
      <c r="A235" t="s">
        <v>87</v>
      </c>
    </row>
    <row r="236" spans="1:8" x14ac:dyDescent="0.2">
      <c r="A236" t="s">
        <v>88</v>
      </c>
      <c r="B236">
        <v>2006</v>
      </c>
    </row>
    <row r="237" spans="1:8" x14ac:dyDescent="0.2">
      <c r="A237" t="s">
        <v>126</v>
      </c>
      <c r="B237" t="str">
        <f>B234&amp;" - "&amp;B236&amp;" - "&amp;B233</f>
        <v>Motorbike, gasoline, 11-35kW, EURO-3 - 2006 - CH</v>
      </c>
    </row>
    <row r="238" spans="1:8" x14ac:dyDescent="0.2">
      <c r="A238" t="s">
        <v>73</v>
      </c>
      <c r="B238" t="str">
        <f>"transport, "&amp;B234</f>
        <v>transport, Motorbike, gasoline, 11-35kW, EURO-3</v>
      </c>
    </row>
    <row r="239" spans="1:8" x14ac:dyDescent="0.2">
      <c r="A239" t="s">
        <v>74</v>
      </c>
      <c r="B239" t="s">
        <v>75</v>
      </c>
    </row>
    <row r="240" spans="1:8" x14ac:dyDescent="0.2">
      <c r="A240" t="s">
        <v>76</v>
      </c>
      <c r="B240" t="s">
        <v>166</v>
      </c>
    </row>
    <row r="241" spans="1:2" x14ac:dyDescent="0.2">
      <c r="A241" t="s">
        <v>78</v>
      </c>
      <c r="B241" t="s">
        <v>1143</v>
      </c>
    </row>
    <row r="242" spans="1:2" x14ac:dyDescent="0.2">
      <c r="A242" t="s">
        <v>127</v>
      </c>
      <c r="B242">
        <f>INDEX('vehicles specifications'!$B$3:$CW$166,MATCH(B237,'vehicles specifications'!$A$3:$A$166,0),MATCH("Lifetime [km]",'vehicles specifications'!$B$2:$CW$2,0))</f>
        <v>38500</v>
      </c>
    </row>
    <row r="243" spans="1:2" x14ac:dyDescent="0.2">
      <c r="A243" t="s">
        <v>128</v>
      </c>
      <c r="B243">
        <f>INDEX('vehicles specifications'!$B$3:$CW$166,MATCH(B237,'vehicles specifications'!$A$3:$A$166,0),MATCH("Passengers [unit]",'vehicles specifications'!$B$2:$CW$2,0))</f>
        <v>1.1000000000000001</v>
      </c>
    </row>
    <row r="244" spans="1:2" x14ac:dyDescent="0.2">
      <c r="A244" t="s">
        <v>129</v>
      </c>
      <c r="B244">
        <f>INDEX('vehicles specifications'!$B$3:$CW$166,MATCH(B237,'vehicles specifications'!$A$3:$A$166,0),MATCH("Servicing [unit]",'vehicles specifications'!$B$2:$CW$2,0))</f>
        <v>1.54</v>
      </c>
    </row>
    <row r="245" spans="1:2" x14ac:dyDescent="0.2">
      <c r="A245" t="s">
        <v>130</v>
      </c>
      <c r="B245">
        <f>INDEX('vehicles specifications'!$B$3:$CW$166,MATCH(B237,'vehicles specifications'!$A$3:$A$166,0),MATCH("Energy battery replacement [unit]",'vehicles specifications'!$B$2:$CW$2,0))</f>
        <v>0</v>
      </c>
    </row>
    <row r="246" spans="1:2" x14ac:dyDescent="0.2">
      <c r="A246" t="s">
        <v>131</v>
      </c>
      <c r="B246">
        <f>INDEX('vehicles specifications'!$B$3:$CW$166,MATCH(B237,'vehicles specifications'!$A$3:$A$166,0),MATCH("Annual kilometers [km]",'vehicles specifications'!$B$2:$CW$2,0))</f>
        <v>2405</v>
      </c>
    </row>
    <row r="247" spans="1:2" x14ac:dyDescent="0.2">
      <c r="A247" t="s">
        <v>132</v>
      </c>
      <c r="B247" s="2">
        <f>INDEX('vehicles specifications'!$B$3:$CW$166,MATCH(B237,'vehicles specifications'!$A$3:$A$166,0),MATCH("Curb mass [kg]",'vehicles specifications'!$B$2:$CW$2,0))</f>
        <v>159.98750000000001</v>
      </c>
    </row>
    <row r="248" spans="1:2" x14ac:dyDescent="0.2">
      <c r="A248" t="s">
        <v>133</v>
      </c>
      <c r="B248">
        <f>INDEX('vehicles specifications'!$B$3:$CW$166,MATCH(B237,'vehicles specifications'!$A$3:$A$166,0),MATCH("Power [kW]",'vehicles specifications'!$B$2:$CW$2,0))</f>
        <v>20</v>
      </c>
    </row>
    <row r="249" spans="1:2" x14ac:dyDescent="0.2">
      <c r="A249" t="s">
        <v>134</v>
      </c>
      <c r="B249" t="str">
        <f>INDEX('vehicles specifications'!$B$3:$CW$166,MATCH(B237,'vehicles specifications'!$A$3:$A$166,0),MATCH("Energy battery mass [kg]",'vehicles specifications'!$B$2:$CW$2,0))</f>
        <v/>
      </c>
    </row>
    <row r="250" spans="1:2" x14ac:dyDescent="0.2">
      <c r="A250" t="s">
        <v>135</v>
      </c>
      <c r="B250">
        <f>INDEX('vehicles specifications'!$B$3:$CW$166,MATCH(B237,'vehicles specifications'!$A$3:$A$166,0),MATCH("Electric energy available [kWh]",'vehicles specifications'!$B$2:$CW$2,0))</f>
        <v>0</v>
      </c>
    </row>
    <row r="251" spans="1:2" x14ac:dyDescent="0.2">
      <c r="A251" t="s">
        <v>138</v>
      </c>
      <c r="B251" s="2">
        <f>INDEX('vehicles specifications'!$B$3:$CW$166,MATCH(B237,'vehicles specifications'!$A$3:$A$166,0),MATCH("Oxydation energy stored [kWh]",'vehicles specifications'!$B$2:$CW$2,0))</f>
        <v>133.125</v>
      </c>
    </row>
    <row r="252" spans="1:2" x14ac:dyDescent="0.2">
      <c r="A252" t="s">
        <v>139</v>
      </c>
      <c r="B252">
        <f>INDEX('vehicles specifications'!$B$3:$CW$166,MATCH(B237,'vehicles specifications'!$A$3:$A$166,0),MATCH("Fuel mass [kg]",'vehicles specifications'!$B$2:$CW$2,0))</f>
        <v>11.25</v>
      </c>
    </row>
    <row r="253" spans="1:2" x14ac:dyDescent="0.2">
      <c r="A253" t="s">
        <v>136</v>
      </c>
      <c r="B253" s="2">
        <f>INDEX('vehicles specifications'!$B$3:$CW$166,MATCH(B237,'vehicles specifications'!$A$3:$A$166,0),MATCH("Range [km]",'vehicles specifications'!$B$2:$CW$2,0))</f>
        <v>322.02291022423861</v>
      </c>
    </row>
    <row r="254" spans="1:2" x14ac:dyDescent="0.2">
      <c r="A254" t="s">
        <v>137</v>
      </c>
      <c r="B254" t="str">
        <f>INDEX('vehicles specifications'!$B$3:$CW$166,MATCH(B237,'vehicles specifications'!$A$3:$A$166,0),MATCH("Emission standard",'vehicles specifications'!$B$2:$CW$2,0))</f>
        <v>EURO-3</v>
      </c>
    </row>
    <row r="255" spans="1:2" x14ac:dyDescent="0.2">
      <c r="A255" t="s">
        <v>1174</v>
      </c>
      <c r="B255" s="6">
        <f>INDEX('vehicles specifications'!$B$3:$CW$166,MATCH(B237,'vehicles specifications'!$A$3:$A$166,0),MATCH("Lightweighting rate [%]",'vehicles specifications'!$B$2:$CW$2,0))</f>
        <v>-0.05</v>
      </c>
    </row>
    <row r="256" spans="1:2" x14ac:dyDescent="0.2">
      <c r="A256" t="s">
        <v>83</v>
      </c>
      <c r="B256"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v>
      </c>
    </row>
    <row r="257" spans="1:8" ht="16" x14ac:dyDescent="0.2">
      <c r="A257" s="10" t="s">
        <v>79</v>
      </c>
    </row>
    <row r="258" spans="1:8" x14ac:dyDescent="0.2">
      <c r="A258" t="s">
        <v>80</v>
      </c>
      <c r="B258" t="s">
        <v>81</v>
      </c>
      <c r="C258" t="s">
        <v>72</v>
      </c>
      <c r="D258" t="s">
        <v>76</v>
      </c>
      <c r="E258" t="s">
        <v>82</v>
      </c>
      <c r="F258" t="s">
        <v>74</v>
      </c>
      <c r="G258" t="s">
        <v>83</v>
      </c>
      <c r="H258" t="s">
        <v>73</v>
      </c>
    </row>
    <row r="259" spans="1:8" x14ac:dyDescent="0.2">
      <c r="A259" t="str">
        <f>B232</f>
        <v>transport, Motorbike, gasoline, 11-35kW, EURO-3, 2006</v>
      </c>
      <c r="B259">
        <v>1</v>
      </c>
      <c r="C259" t="str">
        <f>B233</f>
        <v>CH</v>
      </c>
      <c r="D259" t="s">
        <v>166</v>
      </c>
      <c r="F259" t="s">
        <v>84</v>
      </c>
      <c r="G259" t="s">
        <v>85</v>
      </c>
      <c r="H259" t="str">
        <f>B238</f>
        <v>transport, Motorbike, gasoline, 11-35kW, EURO-3</v>
      </c>
    </row>
    <row r="260" spans="1:8" x14ac:dyDescent="0.2">
      <c r="A260" t="str">
        <f>RIGHT(A259,LEN(A259)-11)</f>
        <v>Motorbike, gasoline, 11-35kW, EURO-3, 2006</v>
      </c>
      <c r="B260" s="7">
        <f>1/B242</f>
        <v>2.5974025974025975E-5</v>
      </c>
      <c r="C260" t="str">
        <f>B233</f>
        <v>CH</v>
      </c>
      <c r="D260" t="s">
        <v>76</v>
      </c>
      <c r="F260" t="s">
        <v>89</v>
      </c>
      <c r="H260" t="str">
        <f>RIGHT(H259,LEN(H259)-11)</f>
        <v>Motorbike, gasoline, 11-35kW, EURO-3</v>
      </c>
    </row>
    <row r="261" spans="1:8" x14ac:dyDescent="0.2">
      <c r="A261" t="str">
        <f>INDEX('ei names mapping'!$B$4:$R$33,MATCH(B234,'ei names mapping'!$A$4:$A$33,0),MATCH(G261,'ei names mapping'!$B$3:$R$3,0))</f>
        <v>road construction</v>
      </c>
      <c r="B261" s="7">
        <f>INDEX('vehicles specifications'!$B$3:$CW$166,MATCH(B237,'vehicles specifications'!$A$3:$A$166,0),MATCH(G261,'vehicles specifications'!$B$2:$CW$2,0))*INDEX('ei names mapping'!$B$137:$BL$300,MATCH(B237,'ei names mapping'!$A$137:$A$300,0),MATCH(G261,'ei names mapping'!$B$136:$BL$136,0))</f>
        <v>1.334377875E-4</v>
      </c>
      <c r="C261" t="str">
        <f>INDEX('ei names mapping'!$B$38:$R$67,MATCH(B234,'ei names mapping'!$A$4:$A$33,0),MATCH(G261,'ei names mapping'!$B$3:$R$3,0))</f>
        <v>CH</v>
      </c>
      <c r="D261" t="str">
        <f>INDEX('ei names mapping'!$B$104:$BL$133,MATCH(B234,'ei names mapping'!$A$4:$A$33,0),MATCH(G261,'ei names mapping'!$B$3:$BL$3,0))</f>
        <v>meter-year</v>
      </c>
      <c r="F261" t="s">
        <v>89</v>
      </c>
      <c r="G261" t="s">
        <v>105</v>
      </c>
      <c r="H261" t="str">
        <f>INDEX('ei names mapping'!$B$71:$BL$100,MATCH(B234,'ei names mapping'!$A$4:$A$33,0),MATCH(G261,'ei names mapping'!$B$3:$BL$3,0))</f>
        <v>road</v>
      </c>
    </row>
    <row r="262" spans="1:8" x14ac:dyDescent="0.2">
      <c r="A262" t="str">
        <f>INDEX('ei names mapping'!$B$4:$R$33,MATCH(B234,'ei names mapping'!$A$4:$A$33,0),MATCH(G262,'ei names mapping'!$B$3:$R$3,0))</f>
        <v>road maintenance</v>
      </c>
      <c r="B262" s="7">
        <f>INDEX('vehicles specifications'!$B$3:$CW$166,MATCH(B237,'vehicles specifications'!$A$3:$A$166,0),MATCH(G262,'vehicles specifications'!$B$2:$CW$2,0))*INDEX('ei names mapping'!$B$137:$BL$300,MATCH(B237,'ei names mapping'!$A$137:$A$300,0),MATCH(G262,'ei names mapping'!$B$136:$BL$136,0))</f>
        <v>1.2899999999999999E-3</v>
      </c>
      <c r="C262" t="str">
        <f>INDEX('ei names mapping'!$B$38:$R$67,MATCH(B234,'ei names mapping'!$A$4:$A$33,0),MATCH(G262,'ei names mapping'!$B$3:$R$3,0))</f>
        <v>CH</v>
      </c>
      <c r="D262" t="str">
        <f>INDEX('ei names mapping'!$B$104:$BL$133,MATCH(B234,'ei names mapping'!$A$4:$A$33,0),MATCH(G262,'ei names mapping'!$B$3:$BL$3,0))</f>
        <v>meter-year</v>
      </c>
      <c r="F262" t="s">
        <v>89</v>
      </c>
      <c r="G262" t="s">
        <v>112</v>
      </c>
      <c r="H262" t="str">
        <f>INDEX('ei names mapping'!$B$71:$BL$100,MATCH(B234,'ei names mapping'!$A$4:$A$33,0),MATCH(G262,'ei names mapping'!$B$3:$BL$3,0))</f>
        <v>road maintenance</v>
      </c>
    </row>
    <row r="263" spans="1:8" x14ac:dyDescent="0.2">
      <c r="A263" t="str">
        <f>INDEX('ei names mapping'!$B$4:$R$33,MATCH(B234,'ei names mapping'!$A$4:$A$33,0),MATCH(G263,'ei names mapping'!$B$3:$R$3,0))</f>
        <v>maintenance, motor scooter</v>
      </c>
      <c r="B263" s="7">
        <f>INDEX('vehicles specifications'!$B$3:$CW$166,MATCH(B237,'vehicles specifications'!$A$3:$A$166,0),MATCH(G263,'vehicles specifications'!$B$2:$CW$2,0))*INDEX('ei names mapping'!$B$137:$BL$300,MATCH(B237,'ei names mapping'!$A$137:$A$300,0),MATCH(G263,'ei names mapping'!$B$136:$BL$136,0))</f>
        <v>4.0000000000000003E-5</v>
      </c>
      <c r="C263" t="str">
        <f>INDEX('ei names mapping'!$B$38:$BL$67,MATCH(B234,'ei names mapping'!$A$4:$A$33,0),MATCH(G263,'ei names mapping'!$B$3:$BL$3,0))</f>
        <v>CH</v>
      </c>
      <c r="D263" t="str">
        <f>INDEX('ei names mapping'!$B$104:$BL$133,MATCH(B234,'ei names mapping'!$A$4:$A$33,0),MATCH(G263,'ei names mapping'!$B$3:$BL$3,0))</f>
        <v>unit</v>
      </c>
      <c r="F263" t="s">
        <v>89</v>
      </c>
      <c r="G263" t="s">
        <v>118</v>
      </c>
      <c r="H263" t="str">
        <f>INDEX('ei names mapping'!$B$71:$BL$100,MATCH(B234,'ei names mapping'!$A$4:$A$33,0),MATCH(G263,'ei names mapping'!$B$3:$BL$3,0))</f>
        <v>maintenance, motor scooter</v>
      </c>
    </row>
    <row r="264" spans="1:8" x14ac:dyDescent="0.2">
      <c r="A264" t="str">
        <f>INDEX('ei names mapping'!$B$4:$R$33,MATCH(B234,'ei names mapping'!$A$4:$A$33,0),MATCH(G264,'ei names mapping'!$B$3:$R$3,0))</f>
        <v>fuel supply for gasoline vehicles</v>
      </c>
      <c r="B264" s="7">
        <f>INDEX('vehicles specifications'!$B$3:$CW$166,MATCH(B237,'vehicles specifications'!$A$3:$A$166,0),MATCH(G264,'vehicles specifications'!$B$2:$CW$2,0))*INDEX('ei names mapping'!$B$137:$BL$300,MATCH(B237,'ei names mapping'!$A$137:$A$300,0),MATCH(G264,'ei names mapping'!$B$136:$BL$136,0))</f>
        <v>3.4935402553085845E-2</v>
      </c>
      <c r="C264" t="str">
        <f>INDEX('ei names mapping'!$B$38:$BL$67,MATCH(B234,'ei names mapping'!$A$4:$A$33,0),MATCH(G264,'ei names mapping'!$B$3:$BL$3,0))</f>
        <v>CH</v>
      </c>
      <c r="D264" t="str">
        <f>INDEX('ei names mapping'!$B$104:$BL$133,MATCH(B234,'ei names mapping'!$A$4:$A$33,0),MATCH(G264,'ei names mapping'!$B$3:$BL$3,0))</f>
        <v>kilogram</v>
      </c>
      <c r="F264" t="s">
        <v>89</v>
      </c>
      <c r="G264" t="s">
        <v>27</v>
      </c>
      <c r="H264" t="str">
        <f>INDEX('ei names mapping'!$B$71:$BL$100,MATCH(B234,'ei names mapping'!$A$4:$A$33,0),MATCH(G264,'ei names mapping'!$B$3:$BL$3,0))</f>
        <v>gasoline blend</v>
      </c>
    </row>
    <row r="265" spans="1:8" x14ac:dyDescent="0.2">
      <c r="A265" t="str">
        <f>INDEX('ei names mapping'!$B$4:$BL$33,MATCH(B234,'ei names mapping'!$A$4:$A$33,0),MATCH(G265,'ei names mapping'!$B$3:$BL$3,0))</f>
        <v>Carbon dioxide, fossil</v>
      </c>
      <c r="B265" s="11">
        <f>INDEX('vehicles specifications'!$B$3:$CW$166,MATCH(B237,'vehicles specifications'!$A$3:$A$166,0),MATCH(G265,'vehicles specifications'!$B$2:$CW$2,0))*INDEX('ei names mapping'!$B$137:$BL$300,MATCH(B237,'ei names mapping'!$A$137:$A$300,0),MATCH(G265,'ei names mapping'!$B$136:$BL$136,0))</f>
        <v>0.10838079804848928</v>
      </c>
      <c r="D265" t="str">
        <f>INDEX('ei names mapping'!$B$104:$BL$133,MATCH(B234,'ei names mapping'!$A$4:$A$33,0),MATCH(G265,'ei names mapping'!$B$3:$BL$3,0))</f>
        <v>kilogram</v>
      </c>
      <c r="E265" t="str">
        <f>INDEX('ei names mapping'!$B$305:$BL$335,MATCH(B234,'ei names mapping'!$A$4:$A$33,0),MATCH(G265,'ei names mapping'!$B$3:$BL$3,0))</f>
        <v>air::urban air close to ground</v>
      </c>
      <c r="F265" t="s">
        <v>167</v>
      </c>
      <c r="G265" t="s">
        <v>66</v>
      </c>
    </row>
    <row r="266" spans="1:8" x14ac:dyDescent="0.2">
      <c r="A266" t="str">
        <f>INDEX('ei names mapping'!$B$4:$BL$33,MATCH(B234,'ei names mapping'!$A$4:$A$33,0),MATCH(G266,'ei names mapping'!$B$3:$BL$3,0))</f>
        <v>Carbon dioxide, from soil or biomass stock</v>
      </c>
      <c r="B266" s="11">
        <f>INDEX('vehicles specifications'!$B$3:$CW$166,MATCH(B237,'vehicles specifications'!$A$3:$A$166,0),MATCH(G266,'vehicles specifications'!$B$2:$CW$2,0))*INDEX('ei names mapping'!$B$137:$BL$300,MATCH(B237,'ei names mapping'!$A$137:$A$300,0),MATCH(G266,'ei names mapping'!$B$136:$BL$136,0))</f>
        <v>1.3163659682002746E-3</v>
      </c>
      <c r="D266" t="str">
        <f>INDEX('ei names mapping'!$B$104:$BL$133,MATCH(B234,'ei names mapping'!$A$4:$A$33,0),MATCH(G266,'ei names mapping'!$B$3:$BL$3,0))</f>
        <v>kilogram</v>
      </c>
      <c r="E266" t="str">
        <f>INDEX('ei names mapping'!$B$305:$BL$335,MATCH(B234,'ei names mapping'!$A$4:$A$33,0),MATCH(G266,'ei names mapping'!$B$3:$BL$3,0))</f>
        <v>air::urban air close to ground</v>
      </c>
      <c r="F266" t="s">
        <v>167</v>
      </c>
      <c r="G266" t="s">
        <v>843</v>
      </c>
    </row>
    <row r="267" spans="1:8" x14ac:dyDescent="0.2">
      <c r="A267" t="str">
        <f>INDEX('ei names mapping'!$B$4:$BL$33,MATCH(B234,'ei names mapping'!$A$4:$A$33,0),MATCH(G267,'ei names mapping'!$B$3:$BL$3,0))</f>
        <v>Sulfur dioxide</v>
      </c>
      <c r="B267" s="7">
        <f>INDEX('vehicles specifications'!$B$3:$CW$166,MATCH(B237,'vehicles specifications'!$A$3:$A$166,0),MATCH(G267,'vehicles specifications'!$B$2:$CW$2,0))*INDEX('ei names mapping'!$B$137:$BL$300,MATCH(B237,'ei names mapping'!$A$137:$A$300,0),MATCH(G267,'ei names mapping'!$B$136:$BL$136,0))</f>
        <v>5.589664408493735E-7</v>
      </c>
      <c r="D267" t="str">
        <f>INDEX('ei names mapping'!$B$104:$BL$133,MATCH(B234,'ei names mapping'!$A$4:$A$33,0),MATCH(G267,'ei names mapping'!$B$3:$BL$3,0))</f>
        <v>kilogram</v>
      </c>
      <c r="E267" t="str">
        <f>INDEX('ei names mapping'!$B$305:$BL$335,MATCH(B234,'ei names mapping'!$A$4:$A$33,0),MATCH(G267,'ei names mapping'!$B$3:$BL$3,0))</f>
        <v>air::urban air close to ground</v>
      </c>
      <c r="F267" t="s">
        <v>167</v>
      </c>
      <c r="G267" t="s">
        <v>67</v>
      </c>
    </row>
    <row r="268" spans="1:8" x14ac:dyDescent="0.2">
      <c r="A268" t="str">
        <f>INDEX('ei names mapping'!$B$4:$BL$33,MATCH(B234,'ei names mapping'!$A$4:$A$33,0),MATCH(G268,'ei names mapping'!$B$3:$BL$3,0))</f>
        <v>Benzene</v>
      </c>
      <c r="B268" s="7">
        <f>INDEX('vehicles specifications'!$B$3:$CW$166,MATCH(B237,'vehicles specifications'!$A$3:$A$166,0),MATCH(G268,'vehicles specifications'!$B$2:$CW$2,0))*INDEX('ei names mapping'!$B$137:$BL$300,MATCH(B237,'ei names mapping'!$A$137:$A$300,0),MATCH(G268,'ei names mapping'!$B$136:$BL$136,0))</f>
        <v>5.4417962719780696E-6</v>
      </c>
      <c r="D268" t="str">
        <f>INDEX('ei names mapping'!$B$104:$BL$133,MATCH(B234,'ei names mapping'!$A$4:$A$33,0),MATCH(G268,'ei names mapping'!$B$3:$BL$3,0))</f>
        <v>kilogram</v>
      </c>
      <c r="E268" t="str">
        <f>INDEX('ei names mapping'!$B$305:$BL$335,MATCH(B234,'ei names mapping'!$A$4:$A$33,0),MATCH(G268,'ei names mapping'!$B$3:$BL$3,0))</f>
        <v>air::urban air close to ground</v>
      </c>
      <c r="F268" t="s">
        <v>167</v>
      </c>
      <c r="G268" t="s">
        <v>55</v>
      </c>
    </row>
    <row r="269" spans="1:8" x14ac:dyDescent="0.2">
      <c r="A269" t="str">
        <f>INDEX('ei names mapping'!$B$4:$BL$33,MATCH(B234,'ei names mapping'!$A$4:$A$33,0),MATCH(G269,'ei names mapping'!$B$3:$BL$3,0))</f>
        <v>Methane, fossil</v>
      </c>
      <c r="B269" s="7">
        <f>INDEX('vehicles specifications'!$B$3:$CW$166,MATCH(B237,'vehicles specifications'!$A$3:$A$166,0),MATCH(G269,'vehicles specifications'!$B$2:$CW$2,0))*INDEX('ei names mapping'!$B$137:$BL$300,MATCH(B237,'ei names mapping'!$A$137:$A$300,0),MATCH(G269,'ei names mapping'!$B$136:$BL$136,0))</f>
        <v>2.203769637337727E-5</v>
      </c>
      <c r="D269" t="str">
        <f>INDEX('ei names mapping'!$B$104:$BL$133,MATCH(B234,'ei names mapping'!$A$4:$A$33,0),MATCH(G269,'ei names mapping'!$B$3:$BL$3,0))</f>
        <v>kilogram</v>
      </c>
      <c r="E269" t="str">
        <f>INDEX('ei names mapping'!$B$305:$BL$335,MATCH(B234,'ei names mapping'!$A$4:$A$33,0),MATCH(G269,'ei names mapping'!$B$3:$BL$3,0))</f>
        <v>air::urban air close to ground</v>
      </c>
      <c r="F269" t="s">
        <v>167</v>
      </c>
      <c r="G269" t="s">
        <v>56</v>
      </c>
    </row>
    <row r="270" spans="1:8" x14ac:dyDescent="0.2">
      <c r="A270" t="str">
        <f>INDEX('ei names mapping'!$B$4:$BL$33,MATCH(B234,'ei names mapping'!$A$4:$A$33,0),MATCH(G270,'ei names mapping'!$B$3:$BL$3,0))</f>
        <v>Carbon monoxide, fossil</v>
      </c>
      <c r="B270" s="7">
        <f>INDEX('vehicles specifications'!$B$3:$CW$166,MATCH(B237,'vehicles specifications'!$A$3:$A$166,0),MATCH(G270,'vehicles specifications'!$B$2:$CW$2,0))*INDEX('ei names mapping'!$B$137:$BL$300,MATCH(B237,'ei names mapping'!$A$137:$A$300,0),MATCH(G270,'ei names mapping'!$B$136:$BL$136,0))</f>
        <v>2.2122455045910314E-4</v>
      </c>
      <c r="D270" t="str">
        <f>INDEX('ei names mapping'!$B$104:$BL$133,MATCH(B234,'ei names mapping'!$A$4:$A$33,0),MATCH(G270,'ei names mapping'!$B$3:$BL$3,0))</f>
        <v>kilogram</v>
      </c>
      <c r="E270" t="str">
        <f>INDEX('ei names mapping'!$B$305:$BL$335,MATCH(B234,'ei names mapping'!$A$4:$A$33,0),MATCH(G270,'ei names mapping'!$B$3:$BL$3,0))</f>
        <v>air::urban air close to ground</v>
      </c>
      <c r="F270" t="s">
        <v>167</v>
      </c>
      <c r="G270" t="s">
        <v>57</v>
      </c>
    </row>
    <row r="271" spans="1:8" x14ac:dyDescent="0.2">
      <c r="A271" t="str">
        <f>INDEX('ei names mapping'!$B$4:$BL$33,MATCH(B234,'ei names mapping'!$A$4:$A$33,0),MATCH(G271,'ei names mapping'!$B$3:$BL$3,0))</f>
        <v>Dinitrogen monoxide</v>
      </c>
      <c r="B271" s="7">
        <f>INDEX('vehicles specifications'!$B$3:$CW$166,MATCH(B237,'vehicles specifications'!$A$3:$A$166,0),MATCH(G271,'vehicles specifications'!$B$2:$CW$2,0))*INDEX('ei names mapping'!$B$137:$BL$300,MATCH(B237,'ei names mapping'!$A$137:$A$300,0),MATCH(G271,'ei names mapping'!$B$136:$BL$136,0))</f>
        <v>6.627878608534517E-7</v>
      </c>
      <c r="D271" t="str">
        <f>INDEX('ei names mapping'!$B$104:$BL$133,MATCH(B234,'ei names mapping'!$A$4:$A$33,0),MATCH(G271,'ei names mapping'!$B$3:$BL$3,0))</f>
        <v>kilogram</v>
      </c>
      <c r="E271" t="str">
        <f>INDEX('ei names mapping'!$B$305:$BL$335,MATCH(B234,'ei names mapping'!$A$4:$A$33,0),MATCH(G271,'ei names mapping'!$B$3:$BL$3,0))</f>
        <v>air::urban air close to ground</v>
      </c>
      <c r="F271" t="s">
        <v>167</v>
      </c>
      <c r="G271" t="s">
        <v>58</v>
      </c>
    </row>
    <row r="272" spans="1:8" x14ac:dyDescent="0.2">
      <c r="A272" t="str">
        <f>INDEX('ei names mapping'!$B$4:$BL$33,MATCH(B234,'ei names mapping'!$A$4:$A$33,0),MATCH(G272,'ei names mapping'!$B$3:$BL$3,0))</f>
        <v>Ammonia</v>
      </c>
      <c r="B272" s="7">
        <f>INDEX('vehicles specifications'!$B$3:$CW$166,MATCH(B237,'vehicles specifications'!$A$3:$A$166,0),MATCH(G272,'vehicles specifications'!$B$2:$CW$2,0))*INDEX('ei names mapping'!$B$137:$BL$300,MATCH(B237,'ei names mapping'!$A$137:$A$300,0),MATCH(G272,'ei names mapping'!$B$136:$BL$136,0))</f>
        <v>6.627878608534517E-7</v>
      </c>
      <c r="D272" t="str">
        <f>INDEX('ei names mapping'!$B$104:$BL$133,MATCH(B234,'ei names mapping'!$A$4:$A$33,0),MATCH(G272,'ei names mapping'!$B$3:$BL$3,0))</f>
        <v>kilogram</v>
      </c>
      <c r="E272" t="str">
        <f>INDEX('ei names mapping'!$B$305:$BL$335,MATCH(B234,'ei names mapping'!$A$4:$A$33,0),MATCH(G272,'ei names mapping'!$B$3:$BL$3,0))</f>
        <v>air::urban air close to ground</v>
      </c>
      <c r="F272" t="s">
        <v>167</v>
      </c>
      <c r="G272" t="s">
        <v>59</v>
      </c>
    </row>
    <row r="273" spans="1:7" x14ac:dyDescent="0.2">
      <c r="A273" t="str">
        <f>INDEX('ei names mapping'!$B$4:$BL$33,MATCH(B234,'ei names mapping'!$A$4:$A$33,0),MATCH(G273,'ei names mapping'!$B$3:$BL$3,0))</f>
        <v>Nitrogen oxides</v>
      </c>
      <c r="B273" s="7">
        <f>INDEX('vehicles specifications'!$B$3:$CW$166,MATCH(B237,'vehicles specifications'!$A$3:$A$166,0),MATCH(G273,'vehicles specifications'!$B$2:$CW$2,0))*INDEX('ei names mapping'!$B$137:$BL$300,MATCH(B237,'ei names mapping'!$A$137:$A$300,0),MATCH(G273,'ei names mapping'!$B$136:$BL$136,0))</f>
        <v>2.6220817193601416E-5</v>
      </c>
      <c r="D273" t="str">
        <f>INDEX('ei names mapping'!$B$104:$BL$133,MATCH(B234,'ei names mapping'!$A$4:$A$33,0),MATCH(G273,'ei names mapping'!$B$3:$BL$3,0))</f>
        <v>kilogram</v>
      </c>
      <c r="E273" t="str">
        <f>INDEX('ei names mapping'!$B$305:$BL$335,MATCH(B234,'ei names mapping'!$A$4:$A$33,0),MATCH(G273,'ei names mapping'!$B$3:$BL$3,0))</f>
        <v>air::urban air close to ground</v>
      </c>
      <c r="F273" t="s">
        <v>167</v>
      </c>
      <c r="G273" t="s">
        <v>60</v>
      </c>
    </row>
    <row r="274" spans="1:7" x14ac:dyDescent="0.2">
      <c r="A274" t="str">
        <f>INDEX('ei names mapping'!$B$4:$BL$33,MATCH(B234,'ei names mapping'!$A$4:$A$33,0),MATCH(G274,'ei names mapping'!$B$3:$BL$3,0))</f>
        <v>Particulates, &lt; 2.5 um</v>
      </c>
      <c r="B274" s="7">
        <f>INDEX('vehicles specifications'!$B$3:$CW$166,MATCH(B$237,'vehicles specifications'!$A$3:$A$166,0),MATCH(G274,'vehicles specifications'!$B$2:$CW$2,0))*INDEX('ei names mapping'!$B$137:$BL$300,MATCH(B$237,'ei names mapping'!$A$137:$A$300,0),MATCH(G274,'ei names mapping'!$B$136:$BL$136,0))</f>
        <v>1.6569696521336294E-6</v>
      </c>
      <c r="D274" t="str">
        <f>INDEX('ei names mapping'!$B$104:$BL$133,MATCH(B234,'ei names mapping'!$A$4:$A$33,0),MATCH(G274,'ei names mapping'!$B$3:$BL$3,0))</f>
        <v>kilogram</v>
      </c>
      <c r="E274" t="str">
        <f>INDEX('ei names mapping'!$B$305:$BL$335,MATCH(B234,'ei names mapping'!$A$4:$A$33,0),MATCH(G274,'ei names mapping'!$B$3:$BL$3,0))</f>
        <v>air::urban air close to ground</v>
      </c>
      <c r="F274" t="s">
        <v>167</v>
      </c>
      <c r="G274" t="s">
        <v>62</v>
      </c>
    </row>
    <row r="275" spans="1:7" x14ac:dyDescent="0.2">
      <c r="A275" t="str">
        <f>INDEX('ei names mapping'!$B$4:$BL$33,MATCH(B$234,'ei names mapping'!$A$4:$A$33,0),MATCH(G275,'ei names mapping'!$B$3:$BL$3,0))</f>
        <v>NMVOC, non-methane volatile organic compounds, unspecified origin</v>
      </c>
      <c r="B275" s="7">
        <f>INDEX('vehicles specifications'!$B$3:$CW$166,MATCH(B$237,'vehicles specifications'!$A$3:$A$166,0),MATCH(G275,'vehicles specifications'!$B$2:$CW$2,0))*INDEX('ei names mapping'!$B$137:$BL$300,MATCH(B$237,'ei names mapping'!$A$137:$A$300,0),MATCH(G275,'ei names mapping'!$B$136:$BL$136,0))</f>
        <v>4.3883576353705504E-5</v>
      </c>
      <c r="D275" t="str">
        <f>INDEX('ei names mapping'!$B$104:$BL$133,MATCH(B$234,'ei names mapping'!$A$4:$A$33,0),MATCH(G275,'ei names mapping'!$B$3:$BL$3,0))</f>
        <v>kilogram</v>
      </c>
      <c r="E275" t="str">
        <f>INDEX('ei names mapping'!$B$305:$BL$335,MATCH(B$234,'ei names mapping'!$A$4:$A$33,0),MATCH(G275,'ei names mapping'!$B$3:$BL$3,0))</f>
        <v>air::urban air close to ground</v>
      </c>
      <c r="F275" t="s">
        <v>167</v>
      </c>
      <c r="G275" t="s">
        <v>593</v>
      </c>
    </row>
    <row r="276" spans="1:7" x14ac:dyDescent="0.2">
      <c r="A276" t="str">
        <f>INDEX('ei names mapping'!$B$4:$BL$33,MATCH(B$234,'ei names mapping'!$A$4:$A$33,0),MATCH(G276,'ei names mapping'!$B$3:$BL$3,0))</f>
        <v>Ethane</v>
      </c>
      <c r="B276" s="7">
        <f>INDEX('vehicles specifications'!$B$3:$CW$166,MATCH(B$237,'vehicles specifications'!$A$3:$A$166,0),MATCH(G276,'vehicles specifications'!$B$2:$CW$2,0))*INDEX('ei names mapping'!$B$137:$BL$300,MATCH(B$237,'ei names mapping'!$A$137:$A$300,0),MATCH(G276,'ei names mapping'!$B$136:$BL$136,0))</f>
        <v>3.09435474288949E-6</v>
      </c>
      <c r="D276" t="str">
        <f>INDEX('ei names mapping'!$B$104:$BL$133,MATCH(B$234,'ei names mapping'!$A$4:$A$33,0),MATCH(G276,'ei names mapping'!$B$3:$BL$3,0))</f>
        <v>kilogram</v>
      </c>
      <c r="E276" t="str">
        <f>INDEX('ei names mapping'!$B$305:$BL$335,MATCH(B$234,'ei names mapping'!$A$4:$A$33,0),MATCH(G276,'ei names mapping'!$B$3:$BL$3,0))</f>
        <v>air::urban air close to ground</v>
      </c>
      <c r="F276" t="s">
        <v>167</v>
      </c>
      <c r="G276" t="s">
        <v>541</v>
      </c>
    </row>
    <row r="277" spans="1:7" x14ac:dyDescent="0.2">
      <c r="A277" t="str">
        <f>INDEX('ei names mapping'!$B$4:$BL$33,MATCH(B$234,'ei names mapping'!$A$4:$A$33,0),MATCH(G277,'ei names mapping'!$B$3:$BL$3,0))</f>
        <v>Propane</v>
      </c>
      <c r="B277" s="7">
        <f>INDEX('vehicles specifications'!$B$3:$CW$166,MATCH(B$237,'vehicles specifications'!$A$3:$A$166,0),MATCH(G277,'vehicles specifications'!$B$2:$CW$2,0))*INDEX('ei names mapping'!$B$137:$BL$300,MATCH(B$237,'ei names mapping'!$A$137:$A$300,0),MATCH(G277,'ei names mapping'!$B$136:$BL$136,0))</f>
        <v>6.3051115450726299E-7</v>
      </c>
      <c r="D277" t="str">
        <f>INDEX('ei names mapping'!$B$104:$BL$133,MATCH(B$234,'ei names mapping'!$A$4:$A$33,0),MATCH(G277,'ei names mapping'!$B$3:$BL$3,0))</f>
        <v>kilogram</v>
      </c>
      <c r="E277" t="str">
        <f>INDEX('ei names mapping'!$B$305:$BL$335,MATCH(B$234,'ei names mapping'!$A$4:$A$33,0),MATCH(G277,'ei names mapping'!$B$3:$BL$3,0))</f>
        <v>air::urban air close to ground</v>
      </c>
      <c r="F277" t="s">
        <v>167</v>
      </c>
      <c r="G277" t="s">
        <v>542</v>
      </c>
    </row>
    <row r="278" spans="1:7" x14ac:dyDescent="0.2">
      <c r="A278" t="str">
        <f>INDEX('ei names mapping'!$B$4:$BL$33,MATCH(B$234,'ei names mapping'!$A$4:$A$33,0),MATCH(G278,'ei names mapping'!$B$3:$BL$3,0))</f>
        <v>Butane</v>
      </c>
      <c r="B278" s="7">
        <f>INDEX('vehicles specifications'!$B$3:$CW$166,MATCH(B$237,'vehicles specifications'!$A$3:$A$166,0),MATCH(G278,'vehicles specifications'!$B$2:$CW$2,0))*INDEX('ei names mapping'!$B$137:$BL$300,MATCH(B$237,'ei names mapping'!$A$137:$A$300,0),MATCH(G278,'ei names mapping'!$B$136:$BL$136,0))</f>
        <v>5.0828899224893196E-6</v>
      </c>
      <c r="D278" t="str">
        <f>INDEX('ei names mapping'!$B$104:$BL$133,MATCH(B$234,'ei names mapping'!$A$4:$A$33,0),MATCH(G278,'ei names mapping'!$B$3:$BL$3,0))</f>
        <v>kilogram</v>
      </c>
      <c r="E278" t="str">
        <f>INDEX('ei names mapping'!$B$305:$BL$335,MATCH(B$234,'ei names mapping'!$A$4:$A$33,0),MATCH(G278,'ei names mapping'!$B$3:$BL$3,0))</f>
        <v>air::urban air close to ground</v>
      </c>
      <c r="F278" t="s">
        <v>167</v>
      </c>
      <c r="G278" t="s">
        <v>543</v>
      </c>
    </row>
    <row r="279" spans="1:7" x14ac:dyDescent="0.2">
      <c r="A279" t="str">
        <f>INDEX('ei names mapping'!$B$4:$BL$33,MATCH(B$234,'ei names mapping'!$A$4:$A$33,0),MATCH(G279,'ei names mapping'!$B$3:$BL$3,0))</f>
        <v>Pentane</v>
      </c>
      <c r="B279" s="7">
        <f>INDEX('vehicles specifications'!$B$3:$CW$166,MATCH(B$237,'vehicles specifications'!$A$3:$A$166,0),MATCH(G279,'vehicles specifications'!$B$2:$CW$2,0))*INDEX('ei names mapping'!$B$137:$BL$300,MATCH(B$237,'ei names mapping'!$A$137:$A$300,0),MATCH(G279,'ei names mapping'!$B$136:$BL$136,0))</f>
        <v>2.0855368956778698E-6</v>
      </c>
      <c r="D279" t="str">
        <f>INDEX('ei names mapping'!$B$104:$BL$133,MATCH(B$234,'ei names mapping'!$A$4:$A$33,0),MATCH(G279,'ei names mapping'!$B$3:$BL$3,0))</f>
        <v>kilogram</v>
      </c>
      <c r="E279" t="str">
        <f>INDEX('ei names mapping'!$B$305:$BL$335,MATCH(B$234,'ei names mapping'!$A$4:$A$33,0),MATCH(G279,'ei names mapping'!$B$3:$BL$3,0))</f>
        <v>air::urban air close to ground</v>
      </c>
      <c r="F279" t="s">
        <v>167</v>
      </c>
      <c r="G279" t="s">
        <v>544</v>
      </c>
    </row>
    <row r="280" spans="1:7" x14ac:dyDescent="0.2">
      <c r="A280" t="str">
        <f>INDEX('ei names mapping'!$B$4:$BL$33,MATCH(B$234,'ei names mapping'!$A$4:$A$33,0),MATCH(G280,'ei names mapping'!$B$3:$BL$3,0))</f>
        <v>Hexane</v>
      </c>
      <c r="B280" s="7">
        <f>INDEX('vehicles specifications'!$B$3:$CW$166,MATCH(B$237,'vehicles specifications'!$A$3:$A$166,0),MATCH(G280,'vehicles specifications'!$B$2:$CW$2,0))*INDEX('ei names mapping'!$B$137:$BL$300,MATCH(B$237,'ei names mapping'!$A$137:$A$300,0),MATCH(G280,'ei names mapping'!$B$136:$BL$136,0))</f>
        <v>1.5617276288564514E-6</v>
      </c>
      <c r="D280" t="str">
        <f>INDEX('ei names mapping'!$B$104:$BL$133,MATCH(B$234,'ei names mapping'!$A$4:$A$33,0),MATCH(G280,'ei names mapping'!$B$3:$BL$3,0))</f>
        <v>kilogram</v>
      </c>
      <c r="E280" t="str">
        <f>INDEX('ei names mapping'!$B$305:$BL$335,MATCH(B$234,'ei names mapping'!$A$4:$A$33,0),MATCH(G280,'ei names mapping'!$B$3:$BL$3,0))</f>
        <v>air::urban air close to ground</v>
      </c>
      <c r="F280" t="s">
        <v>167</v>
      </c>
      <c r="G280" t="s">
        <v>545</v>
      </c>
    </row>
    <row r="281" spans="1:7" x14ac:dyDescent="0.2">
      <c r="A281" t="str">
        <f>INDEX('ei names mapping'!$B$4:$BL$33,MATCH(B$234,'ei names mapping'!$A$4:$A$33,0),MATCH(G281,'ei names mapping'!$B$3:$BL$3,0))</f>
        <v>Cyclohexane</v>
      </c>
      <c r="B281" s="7">
        <f>INDEX('vehicles specifications'!$B$3:$CW$166,MATCH(B$237,'vehicles specifications'!$A$3:$A$166,0),MATCH(G281,'vehicles specifications'!$B$2:$CW$2,0))*INDEX('ei names mapping'!$B$137:$BL$300,MATCH(B$237,'ei names mapping'!$A$137:$A$300,0),MATCH(G281,'ei names mapping'!$B$136:$BL$136,0))</f>
        <v>1.1058195632896611E-6</v>
      </c>
      <c r="D281" t="str">
        <f>INDEX('ei names mapping'!$B$104:$BL$133,MATCH(B$234,'ei names mapping'!$A$4:$A$33,0),MATCH(G281,'ei names mapping'!$B$3:$BL$3,0))</f>
        <v>kilogram</v>
      </c>
      <c r="E281" t="str">
        <f>INDEX('ei names mapping'!$B$305:$BL$335,MATCH(B$234,'ei names mapping'!$A$4:$A$33,0),MATCH(G281,'ei names mapping'!$B$3:$BL$3,0))</f>
        <v>air::urban air close to ground</v>
      </c>
      <c r="F281" t="s">
        <v>167</v>
      </c>
      <c r="G281" t="s">
        <v>546</v>
      </c>
    </row>
    <row r="282" spans="1:7" x14ac:dyDescent="0.2">
      <c r="A282" t="str">
        <f>INDEX('ei names mapping'!$B$4:$BL$33,MATCH(B$234,'ei names mapping'!$A$4:$A$33,0),MATCH(G282,'ei names mapping'!$B$3:$BL$3,0))</f>
        <v>Heptane</v>
      </c>
      <c r="B282" s="7">
        <f>INDEX('vehicles specifications'!$B$3:$CW$166,MATCH(B$237,'vehicles specifications'!$A$3:$A$166,0),MATCH(G282,'vehicles specifications'!$B$2:$CW$2,0))*INDEX('ei names mapping'!$B$137:$BL$300,MATCH(B$237,'ei names mapping'!$A$137:$A$300,0),MATCH(G282,'ei names mapping'!$B$136:$BL$136,0))</f>
        <v>7.1781269897749935E-7</v>
      </c>
      <c r="D282" t="str">
        <f>INDEX('ei names mapping'!$B$104:$BL$133,MATCH(B$234,'ei names mapping'!$A$4:$A$33,0),MATCH(G282,'ei names mapping'!$B$3:$BL$3,0))</f>
        <v>kilogram</v>
      </c>
      <c r="E282" t="str">
        <f>INDEX('ei names mapping'!$B$305:$BL$335,MATCH(B$234,'ei names mapping'!$A$4:$A$33,0),MATCH(G282,'ei names mapping'!$B$3:$BL$3,0))</f>
        <v>air::urban air close to ground</v>
      </c>
      <c r="F282" t="s">
        <v>167</v>
      </c>
      <c r="G282" t="s">
        <v>547</v>
      </c>
    </row>
    <row r="283" spans="1:7" x14ac:dyDescent="0.2">
      <c r="A283" t="str">
        <f>INDEX('ei names mapping'!$B$4:$BL$33,MATCH(B$234,'ei names mapping'!$A$4:$A$33,0),MATCH(G283,'ei names mapping'!$B$3:$BL$3,0))</f>
        <v>Ethene</v>
      </c>
      <c r="B283" s="7">
        <f>INDEX('vehicles specifications'!$B$3:$CW$166,MATCH(B$237,'vehicles specifications'!$A$3:$A$166,0),MATCH(G283,'vehicles specifications'!$B$2:$CW$2,0))*INDEX('ei names mapping'!$B$137:$BL$300,MATCH(B$237,'ei names mapping'!$A$137:$A$300,0),MATCH(G283,'ei names mapping'!$B$136:$BL$136,0))</f>
        <v>7.0811252736969535E-6</v>
      </c>
      <c r="D283" t="str">
        <f>INDEX('ei names mapping'!$B$104:$BL$133,MATCH(B$234,'ei names mapping'!$A$4:$A$33,0),MATCH(G283,'ei names mapping'!$B$3:$BL$3,0))</f>
        <v>kilogram</v>
      </c>
      <c r="E283" t="str">
        <f>INDEX('ei names mapping'!$B$305:$BL$335,MATCH(B$234,'ei names mapping'!$A$4:$A$33,0),MATCH(G283,'ei names mapping'!$B$3:$BL$3,0))</f>
        <v>air::urban air close to ground</v>
      </c>
      <c r="F283" t="s">
        <v>167</v>
      </c>
      <c r="G283" t="s">
        <v>548</v>
      </c>
    </row>
    <row r="284" spans="1:7" x14ac:dyDescent="0.2">
      <c r="A284" t="str">
        <f>INDEX('ei names mapping'!$B$4:$BL$33,MATCH(B$234,'ei names mapping'!$A$4:$A$33,0),MATCH(G284,'ei names mapping'!$B$3:$BL$3,0))</f>
        <v>Propene</v>
      </c>
      <c r="B284" s="7">
        <f>INDEX('vehicles specifications'!$B$3:$CW$166,MATCH(B$237,'vehicles specifications'!$A$3:$A$166,0),MATCH(G284,'vehicles specifications'!$B$2:$CW$2,0))*INDEX('ei names mapping'!$B$137:$BL$300,MATCH(B$237,'ei names mapping'!$A$137:$A$300,0),MATCH(G284,'ei names mapping'!$B$136:$BL$136,0))</f>
        <v>3.7054655541811453E-6</v>
      </c>
      <c r="D284" t="str">
        <f>INDEX('ei names mapping'!$B$104:$BL$133,MATCH(B$234,'ei names mapping'!$A$4:$A$33,0),MATCH(G284,'ei names mapping'!$B$3:$BL$3,0))</f>
        <v>kilogram</v>
      </c>
      <c r="E284" t="str">
        <f>INDEX('ei names mapping'!$B$305:$BL$335,MATCH(B$234,'ei names mapping'!$A$4:$A$33,0),MATCH(G284,'ei names mapping'!$B$3:$BL$3,0))</f>
        <v>air::urban air close to ground</v>
      </c>
      <c r="F284" t="s">
        <v>167</v>
      </c>
      <c r="G284" t="s">
        <v>549</v>
      </c>
    </row>
    <row r="285" spans="1:7" x14ac:dyDescent="0.2">
      <c r="A285" t="str">
        <f>INDEX('ei names mapping'!$B$4:$BL$33,MATCH(B$234,'ei names mapping'!$A$4:$A$33,0),MATCH(G285,'ei names mapping'!$B$3:$BL$3,0))</f>
        <v>1-Pentene</v>
      </c>
      <c r="B285" s="7">
        <f>INDEX('vehicles specifications'!$B$3:$CW$166,MATCH(B$237,'vehicles specifications'!$A$3:$A$166,0),MATCH(G285,'vehicles specifications'!$B$2:$CW$2,0))*INDEX('ei names mapping'!$B$137:$BL$300,MATCH(B$237,'ei names mapping'!$A$137:$A$300,0),MATCH(G285,'ei names mapping'!$B$136:$BL$136,0))</f>
        <v>1.0670188768584451E-7</v>
      </c>
      <c r="D285" t="str">
        <f>INDEX('ei names mapping'!$B$104:$BL$133,MATCH(B$234,'ei names mapping'!$A$4:$A$33,0),MATCH(G285,'ei names mapping'!$B$3:$BL$3,0))</f>
        <v>kilogram</v>
      </c>
      <c r="E285" t="str">
        <f>INDEX('ei names mapping'!$B$305:$BL$335,MATCH(B$234,'ei names mapping'!$A$4:$A$33,0),MATCH(G285,'ei names mapping'!$B$3:$BL$3,0))</f>
        <v>air::urban air close to ground</v>
      </c>
      <c r="F285" t="s">
        <v>167</v>
      </c>
      <c r="G285" t="s">
        <v>550</v>
      </c>
    </row>
    <row r="286" spans="1:7" x14ac:dyDescent="0.2">
      <c r="A286" t="str">
        <f>INDEX('ei names mapping'!$B$4:$BL$33,MATCH(B$234,'ei names mapping'!$A$4:$A$33,0),MATCH(G286,'ei names mapping'!$B$3:$BL$3,0))</f>
        <v>Toluene</v>
      </c>
      <c r="B286" s="7">
        <f>INDEX('vehicles specifications'!$B$3:$CW$166,MATCH(B$237,'vehicles specifications'!$A$3:$A$166,0),MATCH(G286,'vehicles specifications'!$B$2:$CW$2,0))*INDEX('ei names mapping'!$B$137:$BL$300,MATCH(B$237,'ei names mapping'!$A$137:$A$300,0),MATCH(G286,'ei names mapping'!$B$136:$BL$136,0))</f>
        <v>1.0650788425368842E-5</v>
      </c>
      <c r="D286" t="str">
        <f>INDEX('ei names mapping'!$B$104:$BL$133,MATCH(B$234,'ei names mapping'!$A$4:$A$33,0),MATCH(G286,'ei names mapping'!$B$3:$BL$3,0))</f>
        <v>kilogram</v>
      </c>
      <c r="E286" t="str">
        <f>INDEX('ei names mapping'!$B$305:$BL$335,MATCH(B$234,'ei names mapping'!$A$4:$A$33,0),MATCH(G286,'ei names mapping'!$B$3:$BL$3,0))</f>
        <v>air::urban air close to ground</v>
      </c>
      <c r="F286" t="s">
        <v>167</v>
      </c>
      <c r="G286" t="s">
        <v>551</v>
      </c>
    </row>
    <row r="287" spans="1:7" x14ac:dyDescent="0.2">
      <c r="A287" t="str">
        <f>INDEX('ei names mapping'!$B$4:$BL$33,MATCH(B$234,'ei names mapping'!$A$4:$A$33,0),MATCH(G287,'ei names mapping'!$B$3:$BL$3,0))</f>
        <v>m-Xylene</v>
      </c>
      <c r="B287" s="7">
        <f>INDEX('vehicles specifications'!$B$3:$CW$166,MATCH(B$237,'vehicles specifications'!$A$3:$A$166,0),MATCH(G287,'vehicles specifications'!$B$2:$CW$2,0))*INDEX('ei names mapping'!$B$137:$BL$300,MATCH(B$237,'ei names mapping'!$A$137:$A$300,0),MATCH(G287,'ei names mapping'!$B$136:$BL$136,0))</f>
        <v>5.2671931830375969E-6</v>
      </c>
      <c r="D287" t="str">
        <f>INDEX('ei names mapping'!$B$104:$BL$133,MATCH(B$234,'ei names mapping'!$A$4:$A$33,0),MATCH(G287,'ei names mapping'!$B$3:$BL$3,0))</f>
        <v>kilogram</v>
      </c>
      <c r="E287" t="str">
        <f>INDEX('ei names mapping'!$B$305:$BL$335,MATCH(B$234,'ei names mapping'!$A$4:$A$33,0),MATCH(G287,'ei names mapping'!$B$3:$BL$3,0))</f>
        <v>air::urban air close to ground</v>
      </c>
      <c r="F287" t="s">
        <v>167</v>
      </c>
      <c r="G287" t="s">
        <v>552</v>
      </c>
    </row>
    <row r="288" spans="1:7" x14ac:dyDescent="0.2">
      <c r="A288" t="str">
        <f>INDEX('ei names mapping'!$B$4:$BL$33,MATCH(B$234,'ei names mapping'!$A$4:$A$33,0),MATCH(G288,'ei names mapping'!$B$3:$BL$3,0))</f>
        <v>o-Xylene</v>
      </c>
      <c r="B288" s="7">
        <f>INDEX('vehicles specifications'!$B$3:$CW$166,MATCH(B$237,'vehicles specifications'!$A$3:$A$166,0),MATCH(G288,'vehicles specifications'!$B$2:$CW$2,0))*INDEX('ei names mapping'!$B$137:$BL$300,MATCH(B$237,'ei names mapping'!$A$137:$A$300,0),MATCH(G288,'ei names mapping'!$B$136:$BL$136,0))</f>
        <v>2.192238783363714E-6</v>
      </c>
      <c r="D288" t="str">
        <f>INDEX('ei names mapping'!$B$104:$BL$133,MATCH(B$234,'ei names mapping'!$A$4:$A$33,0),MATCH(G288,'ei names mapping'!$B$3:$BL$3,0))</f>
        <v>kilogram</v>
      </c>
      <c r="E288" t="str">
        <f>INDEX('ei names mapping'!$B$305:$BL$335,MATCH(B$234,'ei names mapping'!$A$4:$A$33,0),MATCH(G288,'ei names mapping'!$B$3:$BL$3,0))</f>
        <v>air::urban air close to ground</v>
      </c>
      <c r="F288" t="s">
        <v>167</v>
      </c>
      <c r="G288" t="s">
        <v>553</v>
      </c>
    </row>
    <row r="289" spans="1:7" x14ac:dyDescent="0.2">
      <c r="A289" t="str">
        <f>INDEX('ei names mapping'!$B$4:$BL$33,MATCH(B$234,'ei names mapping'!$A$4:$A$33,0),MATCH(G289,'ei names mapping'!$B$3:$BL$3,0))</f>
        <v>Formaldehyde</v>
      </c>
      <c r="B289" s="7">
        <f>INDEX('vehicles specifications'!$B$3:$CW$166,MATCH(B$237,'vehicles specifications'!$A$3:$A$166,0),MATCH(G289,'vehicles specifications'!$B$2:$CW$2,0))*INDEX('ei names mapping'!$B$137:$BL$300,MATCH(B$237,'ei names mapping'!$A$137:$A$300,0),MATCH(G289,'ei names mapping'!$B$136:$BL$136,0))</f>
        <v>1.649029173326688E-6</v>
      </c>
      <c r="D289" t="str">
        <f>INDEX('ei names mapping'!$B$104:$BL$133,MATCH(B$234,'ei names mapping'!$A$4:$A$33,0),MATCH(G289,'ei names mapping'!$B$3:$BL$3,0))</f>
        <v>kilogram</v>
      </c>
      <c r="E289" t="str">
        <f>INDEX('ei names mapping'!$B$305:$BL$335,MATCH(B$234,'ei names mapping'!$A$4:$A$33,0),MATCH(G289,'ei names mapping'!$B$3:$BL$3,0))</f>
        <v>air::urban air close to ground</v>
      </c>
      <c r="F289" t="s">
        <v>167</v>
      </c>
      <c r="G289" t="s">
        <v>554</v>
      </c>
    </row>
    <row r="290" spans="1:7" x14ac:dyDescent="0.2">
      <c r="A290" t="str">
        <f>INDEX('ei names mapping'!$B$4:$BL$33,MATCH(B$234,'ei names mapping'!$A$4:$A$33,0),MATCH(G290,'ei names mapping'!$B$3:$BL$3,0))</f>
        <v>Acetaldehyde</v>
      </c>
      <c r="B290" s="7">
        <f>INDEX('vehicles specifications'!$B$3:$CW$166,MATCH(B$237,'vehicles specifications'!$A$3:$A$166,0),MATCH(G290,'vehicles specifications'!$B$2:$CW$2,0))*INDEX('ei names mapping'!$B$137:$BL$300,MATCH(B$237,'ei names mapping'!$A$137:$A$300,0),MATCH(G290,'ei names mapping'!$B$136:$BL$136,0))</f>
        <v>7.2751287058530338E-7</v>
      </c>
      <c r="D290" t="str">
        <f>INDEX('ei names mapping'!$B$104:$BL$133,MATCH(B$234,'ei names mapping'!$A$4:$A$33,0),MATCH(G290,'ei names mapping'!$B$3:$BL$3,0))</f>
        <v>kilogram</v>
      </c>
      <c r="E290" t="str">
        <f>INDEX('ei names mapping'!$B$305:$BL$335,MATCH(B$234,'ei names mapping'!$A$4:$A$33,0),MATCH(G290,'ei names mapping'!$B$3:$BL$3,0))</f>
        <v>air::urban air close to ground</v>
      </c>
      <c r="F290" t="s">
        <v>167</v>
      </c>
      <c r="G290" t="s">
        <v>555</v>
      </c>
    </row>
    <row r="291" spans="1:7" x14ac:dyDescent="0.2">
      <c r="A291" t="str">
        <f>INDEX('ei names mapping'!$B$4:$BL$33,MATCH(B$234,'ei names mapping'!$A$4:$A$33,0),MATCH(G291,'ei names mapping'!$B$3:$BL$3,0))</f>
        <v>Benzaldehyde</v>
      </c>
      <c r="B291" s="7">
        <f>INDEX('vehicles specifications'!$B$3:$CW$166,MATCH(B$237,'vehicles specifications'!$A$3:$A$166,0),MATCH(G291,'vehicles specifications'!$B$2:$CW$2,0))*INDEX('ei names mapping'!$B$137:$BL$300,MATCH(B$237,'ei names mapping'!$A$137:$A$300,0),MATCH(G291,'ei names mapping'!$B$136:$BL$136,0))</f>
        <v>2.1340377537168902E-7</v>
      </c>
      <c r="D291" t="str">
        <f>INDEX('ei names mapping'!$B$104:$BL$133,MATCH(B$234,'ei names mapping'!$A$4:$A$33,0),MATCH(G291,'ei names mapping'!$B$3:$BL$3,0))</f>
        <v>kilogram</v>
      </c>
      <c r="E291" t="str">
        <f>INDEX('ei names mapping'!$B$305:$BL$335,MATCH(B$234,'ei names mapping'!$A$4:$A$33,0),MATCH(G291,'ei names mapping'!$B$3:$BL$3,0))</f>
        <v>air::urban air close to ground</v>
      </c>
      <c r="F291" t="s">
        <v>167</v>
      </c>
      <c r="G291" t="s">
        <v>556</v>
      </c>
    </row>
    <row r="292" spans="1:7" x14ac:dyDescent="0.2">
      <c r="A292" t="str">
        <f>INDEX('ei names mapping'!$B$4:$BL$33,MATCH(B$234,'ei names mapping'!$A$4:$A$33,0),MATCH(G292,'ei names mapping'!$B$3:$BL$3,0))</f>
        <v>Acetone</v>
      </c>
      <c r="B292" s="7">
        <f>INDEX('vehicles specifications'!$B$3:$CW$166,MATCH(B$237,'vehicles specifications'!$A$3:$A$166,0),MATCH(G292,'vehicles specifications'!$B$2:$CW$2,0))*INDEX('ei names mapping'!$B$137:$BL$300,MATCH(B$237,'ei names mapping'!$A$137:$A$300,0),MATCH(G292,'ei names mapping'!$B$136:$BL$136,0))</f>
        <v>5.9171046807604678E-7</v>
      </c>
      <c r="D292" t="str">
        <f>INDEX('ei names mapping'!$B$104:$BL$133,MATCH(B$234,'ei names mapping'!$A$4:$A$33,0),MATCH(G292,'ei names mapping'!$B$3:$BL$3,0))</f>
        <v>kilogram</v>
      </c>
      <c r="E292" t="str">
        <f>INDEX('ei names mapping'!$B$305:$BL$335,MATCH(B$234,'ei names mapping'!$A$4:$A$33,0),MATCH(G292,'ei names mapping'!$B$3:$BL$3,0))</f>
        <v>air::urban air close to ground</v>
      </c>
      <c r="F292" t="s">
        <v>167</v>
      </c>
      <c r="G292" t="s">
        <v>557</v>
      </c>
    </row>
    <row r="293" spans="1:7" x14ac:dyDescent="0.2">
      <c r="A293" t="str">
        <f>INDEX('ei names mapping'!$B$4:$BL$33,MATCH(B$234,'ei names mapping'!$A$4:$A$33,0),MATCH(G293,'ei names mapping'!$B$3:$BL$3,0))</f>
        <v>Methyl ethyl ketone</v>
      </c>
      <c r="B293" s="7">
        <f>INDEX('vehicles specifications'!$B$3:$CW$166,MATCH(B$237,'vehicles specifications'!$A$3:$A$166,0),MATCH(G293,'vehicles specifications'!$B$2:$CW$2,0))*INDEX('ei names mapping'!$B$137:$BL$300,MATCH(B$237,'ei names mapping'!$A$137:$A$300,0),MATCH(G293,'ei names mapping'!$B$136:$BL$136,0))</f>
        <v>4.8500858039020227E-8</v>
      </c>
      <c r="D293" t="str">
        <f>INDEX('ei names mapping'!$B$104:$BL$133,MATCH(B$234,'ei names mapping'!$A$4:$A$33,0),MATCH(G293,'ei names mapping'!$B$3:$BL$3,0))</f>
        <v>kilogram</v>
      </c>
      <c r="E293" t="str">
        <f>INDEX('ei names mapping'!$B$305:$BL$335,MATCH(B$234,'ei names mapping'!$A$4:$A$33,0),MATCH(G293,'ei names mapping'!$B$3:$BL$3,0))</f>
        <v>air::urban air close to ground</v>
      </c>
      <c r="F293" t="s">
        <v>167</v>
      </c>
      <c r="G293" t="s">
        <v>560</v>
      </c>
    </row>
    <row r="294" spans="1:7" x14ac:dyDescent="0.2">
      <c r="A294" t="str">
        <f>INDEX('ei names mapping'!$B$4:$BL$33,MATCH(B$234,'ei names mapping'!$A$4:$A$33,0),MATCH(G294,'ei names mapping'!$B$3:$BL$3,0))</f>
        <v>Acrolein</v>
      </c>
      <c r="B294" s="7">
        <f>INDEX('vehicles specifications'!$B$3:$CW$166,MATCH(B$237,'vehicles specifications'!$A$3:$A$166,0),MATCH(G294,'vehicles specifications'!$B$2:$CW$2,0))*INDEX('ei names mapping'!$B$137:$BL$300,MATCH(B$237,'ei names mapping'!$A$137:$A$300,0),MATCH(G294,'ei names mapping'!$B$136:$BL$136,0))</f>
        <v>1.8430326054827685E-7</v>
      </c>
      <c r="D294" t="str">
        <f>INDEX('ei names mapping'!$B$104:$BL$133,MATCH(B$234,'ei names mapping'!$A$4:$A$33,0),MATCH(G294,'ei names mapping'!$B$3:$BL$3,0))</f>
        <v>kilogram</v>
      </c>
      <c r="E294" t="str">
        <f>INDEX('ei names mapping'!$B$305:$BL$335,MATCH(B$234,'ei names mapping'!$A$4:$A$33,0),MATCH(G294,'ei names mapping'!$B$3:$BL$3,0))</f>
        <v>air::urban air close to ground</v>
      </c>
      <c r="F294" t="s">
        <v>167</v>
      </c>
      <c r="G294" t="s">
        <v>558</v>
      </c>
    </row>
    <row r="295" spans="1:7" x14ac:dyDescent="0.2">
      <c r="A295" t="str">
        <f>INDEX('ei names mapping'!$B$4:$BL$33,MATCH(B$234,'ei names mapping'!$A$4:$A$33,0),MATCH(G295,'ei names mapping'!$B$3:$BL$3,0))</f>
        <v>Styrene</v>
      </c>
      <c r="B295" s="7">
        <f>INDEX('vehicles specifications'!$B$3:$CW$166,MATCH(B$237,'vehicles specifications'!$A$3:$A$166,0),MATCH(G295,'vehicles specifications'!$B$2:$CW$2,0))*INDEX('ei names mapping'!$B$137:$BL$300,MATCH(B$237,'ei names mapping'!$A$137:$A$300,0),MATCH(G295,'ei names mapping'!$B$136:$BL$136,0))</f>
        <v>9.7971733238820843E-7</v>
      </c>
      <c r="D295" t="str">
        <f>INDEX('ei names mapping'!$B$104:$BL$133,MATCH(B$234,'ei names mapping'!$A$4:$A$33,0),MATCH(G295,'ei names mapping'!$B$3:$BL$3,0))</f>
        <v>kilogram</v>
      </c>
      <c r="E295" t="str">
        <f>INDEX('ei names mapping'!$B$305:$BL$335,MATCH(B$234,'ei names mapping'!$A$4:$A$33,0),MATCH(G295,'ei names mapping'!$B$3:$BL$3,0))</f>
        <v>air::urban air close to ground</v>
      </c>
      <c r="F295" t="s">
        <v>167</v>
      </c>
      <c r="G295" t="s">
        <v>559</v>
      </c>
    </row>
    <row r="296" spans="1:7" x14ac:dyDescent="0.2">
      <c r="A296" t="str">
        <f>INDEX('ei names mapping'!$B$4:$BL$33,MATCH(B$234,'ei names mapping'!$A$4:$A$33,0),MATCH(G296,'ei names mapping'!$B$3:$BL$3,0))</f>
        <v>PAH, polycyclic aromatic hydrocarbons</v>
      </c>
      <c r="B296" s="7">
        <f>INDEX('vehicles specifications'!$B$3:$CW$166,MATCH(B$237,'vehicles specifications'!$A$3:$A$166,0),MATCH(G296,'vehicles specifications'!$B$2:$CW$2,0))*INDEX('ei names mapping'!$B$137:$BL$300,MATCH(B$237,'ei names mapping'!$A$137:$A$300,0),MATCH(G296,'ei names mapping'!$B$136:$BL$136,0))</f>
        <v>1.2186126018093815E-9</v>
      </c>
      <c r="D296" t="str">
        <f>INDEX('ei names mapping'!$B$104:$BL$133,MATCH(B$234,'ei names mapping'!$A$4:$A$33,0),MATCH(G296,'ei names mapping'!$B$3:$BL$3,0))</f>
        <v>kilogram</v>
      </c>
      <c r="E296" t="str">
        <f>INDEX('ei names mapping'!$B$305:$BL$335,MATCH(B$234,'ei names mapping'!$A$4:$A$33,0),MATCH(G296,'ei names mapping'!$B$3:$BL$3,0))</f>
        <v>air::urban air close to ground</v>
      </c>
      <c r="F296" t="s">
        <v>167</v>
      </c>
      <c r="G296" t="s">
        <v>561</v>
      </c>
    </row>
    <row r="297" spans="1:7" x14ac:dyDescent="0.2">
      <c r="A297" t="str">
        <f>INDEX('ei names mapping'!$B$4:$BL$33,MATCH(B$234,'ei names mapping'!$A$4:$A$33,0),MATCH(G297,'ei names mapping'!$B$3:$BL$3,0))</f>
        <v>Arsenic</v>
      </c>
      <c r="B297" s="7">
        <f>INDEX('vehicles specifications'!$B$3:$CW$166,MATCH(B$237,'vehicles specifications'!$A$3:$A$166,0),MATCH(G297,'vehicles specifications'!$B$2:$CW$2,0))*INDEX('ei names mapping'!$B$137:$BL$300,MATCH(B$237,'ei names mapping'!$A$137:$A$300,0),MATCH(G297,'ei names mapping'!$B$136:$BL$136,0))</f>
        <v>1.0505281050080874E-11</v>
      </c>
      <c r="D297" t="str">
        <f>INDEX('ei names mapping'!$B$104:$BL$133,MATCH(B$234,'ei names mapping'!$A$4:$A$33,0),MATCH(G297,'ei names mapping'!$B$3:$BL$3,0))</f>
        <v>kilogram</v>
      </c>
      <c r="E297" t="str">
        <f>INDEX('ei names mapping'!$B$305:$BL$335,MATCH(B$234,'ei names mapping'!$A$4:$A$33,0),MATCH(G297,'ei names mapping'!$B$3:$BL$3,0))</f>
        <v>air::urban air close to ground</v>
      </c>
      <c r="F297" t="s">
        <v>167</v>
      </c>
      <c r="G297" t="s">
        <v>562</v>
      </c>
    </row>
    <row r="298" spans="1:7" x14ac:dyDescent="0.2">
      <c r="A298" t="str">
        <f>INDEX('ei names mapping'!$B$4:$BL$33,MATCH(B$234,'ei names mapping'!$A$4:$A$33,0),MATCH(G298,'ei names mapping'!$B$3:$BL$3,0))</f>
        <v>Selenium</v>
      </c>
      <c r="B298" s="7">
        <f>INDEX('vehicles specifications'!$B$3:$CW$166,MATCH(B$237,'vehicles specifications'!$A$3:$A$166,0),MATCH(G298,'vehicles specifications'!$B$2:$CW$2,0))*INDEX('ei names mapping'!$B$137:$BL$300,MATCH(B$237,'ei names mapping'!$A$137:$A$300,0),MATCH(G298,'ei names mapping'!$B$136:$BL$136,0))</f>
        <v>7.0035207000539162E-12</v>
      </c>
      <c r="D298" t="str">
        <f>INDEX('ei names mapping'!$B$104:$BL$133,MATCH(B$234,'ei names mapping'!$A$4:$A$33,0),MATCH(G298,'ei names mapping'!$B$3:$BL$3,0))</f>
        <v>kilogram</v>
      </c>
      <c r="E298" t="str">
        <f>INDEX('ei names mapping'!$B$305:$BL$335,MATCH(B$234,'ei names mapping'!$A$4:$A$33,0),MATCH(G298,'ei names mapping'!$B$3:$BL$3,0))</f>
        <v>air::urban air close to ground</v>
      </c>
      <c r="F298" t="s">
        <v>167</v>
      </c>
      <c r="G298" t="s">
        <v>563</v>
      </c>
    </row>
    <row r="299" spans="1:7" x14ac:dyDescent="0.2">
      <c r="A299" t="str">
        <f>INDEX('ei names mapping'!$B$4:$BL$33,MATCH(B$234,'ei names mapping'!$A$4:$A$33,0),MATCH(G299,'ei names mapping'!$B$3:$BL$3,0))</f>
        <v>Zinc</v>
      </c>
      <c r="B299" s="7">
        <f>INDEX('vehicles specifications'!$B$3:$CW$166,MATCH(B$237,'vehicles specifications'!$A$3:$A$166,0),MATCH(G299,'vehicles specifications'!$B$2:$CW$2,0))*INDEX('ei names mapping'!$B$137:$BL$300,MATCH(B$237,'ei names mapping'!$A$137:$A$300,0),MATCH(G299,'ei names mapping'!$B$136:$BL$136,0))</f>
        <v>7.5638023560582296E-8</v>
      </c>
      <c r="D299" t="str">
        <f>INDEX('ei names mapping'!$B$104:$BL$133,MATCH(B$234,'ei names mapping'!$A$4:$A$33,0),MATCH(G299,'ei names mapping'!$B$3:$BL$3,0))</f>
        <v>kilogram</v>
      </c>
      <c r="E299" t="str">
        <f>INDEX('ei names mapping'!$B$305:$BL$335,MATCH(B$234,'ei names mapping'!$A$4:$A$33,0),MATCH(G299,'ei names mapping'!$B$3:$BL$3,0))</f>
        <v>air::urban air close to ground</v>
      </c>
      <c r="F299" t="s">
        <v>167</v>
      </c>
      <c r="G299" t="s">
        <v>564</v>
      </c>
    </row>
    <row r="300" spans="1:7" x14ac:dyDescent="0.2">
      <c r="A300" t="str">
        <f>INDEX('ei names mapping'!$B$4:$BL$33,MATCH(B$234,'ei names mapping'!$A$4:$A$33,0),MATCH(G300,'ei names mapping'!$B$3:$BL$3,0))</f>
        <v>Copper</v>
      </c>
      <c r="B300" s="7">
        <f>INDEX('vehicles specifications'!$B$3:$CW$166,MATCH(B$237,'vehicles specifications'!$A$3:$A$166,0),MATCH(G300,'vehicles specifications'!$B$2:$CW$2,0))*INDEX('ei names mapping'!$B$137:$BL$300,MATCH(B$237,'ei names mapping'!$A$137:$A$300,0),MATCH(G300,'ei names mapping'!$B$136:$BL$136,0))</f>
        <v>1.4707393470113222E-9</v>
      </c>
      <c r="D300" t="str">
        <f>INDEX('ei names mapping'!$B$104:$BL$133,MATCH(B$234,'ei names mapping'!$A$4:$A$33,0),MATCH(G300,'ei names mapping'!$B$3:$BL$3,0))</f>
        <v>kilogram</v>
      </c>
      <c r="E300" t="str">
        <f>INDEX('ei names mapping'!$B$305:$BL$335,MATCH(B$234,'ei names mapping'!$A$4:$A$33,0),MATCH(G300,'ei names mapping'!$B$3:$BL$3,0))</f>
        <v>air::urban air close to ground</v>
      </c>
      <c r="F300" t="s">
        <v>167</v>
      </c>
      <c r="G300" t="s">
        <v>522</v>
      </c>
    </row>
    <row r="301" spans="1:7" x14ac:dyDescent="0.2">
      <c r="A301" t="str">
        <f>INDEX('ei names mapping'!$B$4:$BL$33,MATCH(B$234,'ei names mapping'!$A$4:$A$33,0),MATCH(G301,'ei names mapping'!$B$3:$BL$3,0))</f>
        <v>Nickel</v>
      </c>
      <c r="B301" s="7">
        <f>INDEX('vehicles specifications'!$B$3:$CW$166,MATCH(B$237,'vehicles specifications'!$A$3:$A$166,0),MATCH(G301,'vehicles specifications'!$B$2:$CW$2,0))*INDEX('ei names mapping'!$B$137:$BL$300,MATCH(B$237,'ei names mapping'!$A$137:$A$300,0),MATCH(G301,'ei names mapping'!$B$136:$BL$136,0))</f>
        <v>4.5522884550350459E-10</v>
      </c>
      <c r="D301" t="str">
        <f>INDEX('ei names mapping'!$B$104:$BL$133,MATCH(B$234,'ei names mapping'!$A$4:$A$33,0),MATCH(G301,'ei names mapping'!$B$3:$BL$3,0))</f>
        <v>kilogram</v>
      </c>
      <c r="E301" t="str">
        <f>INDEX('ei names mapping'!$B$305:$BL$335,MATCH(B$234,'ei names mapping'!$A$4:$A$33,0),MATCH(G301,'ei names mapping'!$B$3:$BL$3,0))</f>
        <v>air::urban air close to ground</v>
      </c>
      <c r="F301" t="s">
        <v>167</v>
      </c>
      <c r="G301" t="s">
        <v>524</v>
      </c>
    </row>
    <row r="302" spans="1:7" x14ac:dyDescent="0.2">
      <c r="A302" t="str">
        <f>INDEX('ei names mapping'!$B$4:$BL$33,MATCH(B$234,'ei names mapping'!$A$4:$A$33,0),MATCH(G302,'ei names mapping'!$B$3:$BL$3,0))</f>
        <v>Chromium</v>
      </c>
      <c r="B302" s="7">
        <f>INDEX('vehicles specifications'!$B$3:$CW$166,MATCH(B$237,'vehicles specifications'!$A$3:$A$166,0),MATCH(G302,'vehicles specifications'!$B$2:$CW$2,0))*INDEX('ei names mapping'!$B$137:$BL$300,MATCH(B$237,'ei names mapping'!$A$137:$A$300,0),MATCH(G302,'ei names mapping'!$B$136:$BL$136,0))</f>
        <v>5.6028165600431336E-10</v>
      </c>
      <c r="D302" t="str">
        <f>INDEX('ei names mapping'!$B$104:$BL$133,MATCH(B$234,'ei names mapping'!$A$4:$A$33,0),MATCH(G302,'ei names mapping'!$B$3:$BL$3,0))</f>
        <v>kilogram</v>
      </c>
      <c r="E302" t="str">
        <f>INDEX('ei names mapping'!$B$305:$BL$335,MATCH(B$234,'ei names mapping'!$A$4:$A$33,0),MATCH(G302,'ei names mapping'!$B$3:$BL$3,0))</f>
        <v>air::urban air close to ground</v>
      </c>
      <c r="F302" t="s">
        <v>167</v>
      </c>
      <c r="G302" t="s">
        <v>523</v>
      </c>
    </row>
    <row r="303" spans="1:7" x14ac:dyDescent="0.2">
      <c r="A303" t="str">
        <f>INDEX('ei names mapping'!$B$4:$BL$33,MATCH(B$234,'ei names mapping'!$A$4:$A$33,0),MATCH(G303,'ei names mapping'!$B$3:$BL$3,0))</f>
        <v>Chromium VI</v>
      </c>
      <c r="B303" s="7">
        <f>INDEX('vehicles specifications'!$B$3:$CW$166,MATCH(B$237,'vehicles specifications'!$A$3:$A$166,0),MATCH(G303,'vehicles specifications'!$B$2:$CW$2,0))*INDEX('ei names mapping'!$B$137:$BL$300,MATCH(B$237,'ei names mapping'!$A$137:$A$300,0),MATCH(G303,'ei names mapping'!$B$136:$BL$136,0))</f>
        <v>1.1205633120086266E-12</v>
      </c>
      <c r="D303" t="str">
        <f>INDEX('ei names mapping'!$B$104:$BL$133,MATCH(B$234,'ei names mapping'!$A$4:$A$33,0),MATCH(G303,'ei names mapping'!$B$3:$BL$3,0))</f>
        <v>kilogram</v>
      </c>
      <c r="E303" t="str">
        <f>INDEX('ei names mapping'!$B$305:$BL$335,MATCH(B$234,'ei names mapping'!$A$4:$A$33,0),MATCH(G303,'ei names mapping'!$B$3:$BL$3,0))</f>
        <v>air::urban air close to ground</v>
      </c>
      <c r="F303" t="s">
        <v>167</v>
      </c>
      <c r="G303" t="s">
        <v>567</v>
      </c>
    </row>
    <row r="304" spans="1:7" x14ac:dyDescent="0.2">
      <c r="A304" t="str">
        <f>INDEX('ei names mapping'!$B$4:$BL$33,MATCH(B$234,'ei names mapping'!$A$4:$A$33,0),MATCH(G304,'ei names mapping'!$B$3:$BL$3,0))</f>
        <v>Mercury</v>
      </c>
      <c r="B304" s="7">
        <f>INDEX('vehicles specifications'!$B$3:$CW$166,MATCH(B$237,'vehicles specifications'!$A$3:$A$166,0),MATCH(G304,'vehicles specifications'!$B$2:$CW$2,0))*INDEX('ei names mapping'!$B$137:$BL$300,MATCH(B$237,'ei names mapping'!$A$137:$A$300,0),MATCH(G304,'ei names mapping'!$B$136:$BL$136,0))</f>
        <v>3.0465315045234537E-10</v>
      </c>
      <c r="D304" t="str">
        <f>INDEX('ei names mapping'!$B$104:$BL$133,MATCH(B$234,'ei names mapping'!$A$4:$A$33,0),MATCH(G304,'ei names mapping'!$B$3:$BL$3,0))</f>
        <v>kilogram</v>
      </c>
      <c r="E304" t="str">
        <f>INDEX('ei names mapping'!$B$305:$BL$335,MATCH(B$234,'ei names mapping'!$A$4:$A$33,0),MATCH(G304,'ei names mapping'!$B$3:$BL$3,0))</f>
        <v>air::urban air close to ground</v>
      </c>
      <c r="F304" t="s">
        <v>167</v>
      </c>
      <c r="G304" t="s">
        <v>565</v>
      </c>
    </row>
    <row r="305" spans="1:8" x14ac:dyDescent="0.2">
      <c r="A305" t="str">
        <f>INDEX('ei names mapping'!$B$4:$BL$33,MATCH(B$234,'ei names mapping'!$A$4:$A$33,0),MATCH(G305,'ei names mapping'!$B$3:$BL$3,0))</f>
        <v>Cadmium</v>
      </c>
      <c r="B305" s="7">
        <f>INDEX('vehicles specifications'!$B$3:$CW$166,MATCH(B$237,'vehicles specifications'!$A$3:$A$166,0),MATCH(G305,'vehicles specifications'!$B$2:$CW$2,0))*INDEX('ei names mapping'!$B$137:$BL$300,MATCH(B$237,'ei names mapping'!$A$137:$A$300,0),MATCH(G305,'ei names mapping'!$B$136:$BL$136,0))</f>
        <v>3.7819011780291154E-10</v>
      </c>
      <c r="D305" t="str">
        <f>INDEX('ei names mapping'!$B$104:$BL$133,MATCH(B$234,'ei names mapping'!$A$4:$A$33,0),MATCH(G305,'ei names mapping'!$B$3:$BL$3,0))</f>
        <v>kilogram</v>
      </c>
      <c r="E305" t="str">
        <f>INDEX('ei names mapping'!$B$305:$BL$335,MATCH(B$234,'ei names mapping'!$A$4:$A$33,0),MATCH(G305,'ei names mapping'!$B$3:$BL$3,0))</f>
        <v>air::urban air close to ground</v>
      </c>
      <c r="F305" t="s">
        <v>167</v>
      </c>
      <c r="G305" t="s">
        <v>566</v>
      </c>
    </row>
    <row r="306" spans="1:8" x14ac:dyDescent="0.2">
      <c r="A306" t="str">
        <f>INDEX('ei names mapping'!$B$4:$BL$33,MATCH(B234,'ei names mapping'!$A$4:$A$33,0),MATCH(G306,'ei names mapping'!$B$3:$BL$3,0))</f>
        <v>treatment of road wear emissions, passenger car</v>
      </c>
      <c r="B306" s="7">
        <f>INDEX('vehicles specifications'!$B$3:$CW$166,MATCH(B237,'vehicles specifications'!$A$3:$A$166,0),MATCH(G306,'vehicles specifications'!$B$2:$CW$2,0))*INDEX('ei names mapping'!$B$137:$BL$300,MATCH(B237,'ei names mapping'!$A$137:$A$300,0),MATCH(G306,'ei names mapping'!$B$136:$BL$136,0))</f>
        <v>-8.656625299749574E-6</v>
      </c>
      <c r="C306" t="str">
        <f>INDEX('ei names mapping'!$B$38:$BL$67,MATCH(B234,'ei names mapping'!$A$4:$A$33,0),MATCH(G306,'ei names mapping'!$B$3:$BL$3,0))</f>
        <v>RER</v>
      </c>
      <c r="D306" t="str">
        <f>INDEX('ei names mapping'!$B$104:$BL$133,MATCH(B234,'ei names mapping'!$A$4:$A$33,0),MATCH(G306,'ei names mapping'!$B$3:$BL$3,0))</f>
        <v>kilogram</v>
      </c>
      <c r="F306" t="s">
        <v>89</v>
      </c>
      <c r="G306" t="s">
        <v>29</v>
      </c>
      <c r="H306" t="str">
        <f>INDEX('ei names mapping'!$B$71:$BL$100,MATCH(B234,'ei names mapping'!$A$4:$A$33,0),MATCH(G306,'ei names mapping'!$B$3:$BL$3,0))</f>
        <v>road wear emissions, passenger car</v>
      </c>
    </row>
    <row r="307" spans="1:8" x14ac:dyDescent="0.2">
      <c r="A307" t="str">
        <f>INDEX('ei names mapping'!$B$4:$BL$33,MATCH(B234,'ei names mapping'!$A$4:$A$33,0),MATCH(G307,'ei names mapping'!$B$3:$BL$3,0))</f>
        <v>treatment of tyre wear emissions, passenger car</v>
      </c>
      <c r="B307" s="7">
        <f>INDEX('vehicles specifications'!$B$3:$CW$166,MATCH(B237,'vehicles specifications'!$A$3:$A$166,0),MATCH(G307,'vehicles specifications'!$B$2:$CW$2,0))*INDEX('ei names mapping'!$B$137:$BL$300,MATCH(B237,'ei names mapping'!$A$137:$A$300,0),MATCH(G307,'ei names mapping'!$B$136:$BL$136,0))</f>
        <v>-5.7181641106782229E-6</v>
      </c>
      <c r="C307" t="str">
        <f>INDEX('ei names mapping'!$B$38:$BL$67,MATCH(B234,'ei names mapping'!$A$4:$A$33,0),MATCH(G307,'ei names mapping'!$B$3:$BL$3,0))</f>
        <v>RER</v>
      </c>
      <c r="D307" t="str">
        <f>INDEX('ei names mapping'!$B$104:$BL$133,MATCH(B234,'ei names mapping'!$A$4:$A$33,0),MATCH(G307,'ei names mapping'!$B$3:$BL$3,0))</f>
        <v>kilogram</v>
      </c>
      <c r="F307" t="s">
        <v>89</v>
      </c>
      <c r="G307" t="s">
        <v>30</v>
      </c>
      <c r="H307" t="str">
        <f>INDEX('ei names mapping'!$B$71:$BL$100,MATCH(B234,'ei names mapping'!$A$4:$A$33,0),MATCH(G307,'ei names mapping'!$B$3:$BL$3,0))</f>
        <v>tyre wear emissions, passenger car</v>
      </c>
    </row>
    <row r="308" spans="1:8" x14ac:dyDescent="0.2">
      <c r="A308" t="str">
        <f>INDEX('ei names mapping'!$B$4:$BL$33,MATCH(B234,'ei names mapping'!$A$4:$A$33,0),MATCH(G308,'ei names mapping'!$B$3:$BL$3,0))</f>
        <v>treatment of brake wear emissions, passenger car</v>
      </c>
      <c r="B308" s="7">
        <f>INDEX('vehicles specifications'!$B$3:$CW$166,MATCH(B237,'vehicles specifications'!$A$3:$A$166,0),MATCH(G308,'vehicles specifications'!$B$2:$CW$2,0))*INDEX('ei names mapping'!$B$137:$BL$300,MATCH(B237,'ei names mapping'!$A$137:$A$300,0),MATCH(G308,'ei names mapping'!$B$136:$BL$136,0))</f>
        <v>-3.1799843875219737E-6</v>
      </c>
      <c r="C308" t="str">
        <f>INDEX('ei names mapping'!$B$38:$BL$67,MATCH(B234,'ei names mapping'!$A$4:$A$33,0),MATCH(G308,'ei names mapping'!$B$3:$BL$3,0))</f>
        <v>RER</v>
      </c>
      <c r="D308" t="str">
        <f>INDEX('ei names mapping'!$B$104:$BL$133,MATCH(B234,'ei names mapping'!$A$4:$A$33,0),MATCH(G308,'ei names mapping'!$B$3:$BL$3,0))</f>
        <v>kilogram</v>
      </c>
      <c r="F308" t="s">
        <v>89</v>
      </c>
      <c r="G308" t="s">
        <v>31</v>
      </c>
      <c r="H308" t="str">
        <f>INDEX('ei names mapping'!$B$71:$BL$100,MATCH(B234,'ei names mapping'!$A$4:$A$33,0),MATCH(G308,'ei names mapping'!$B$3:$BL$3,0))</f>
        <v>brake wear emissions, passenger car</v>
      </c>
    </row>
    <row r="310" spans="1:8" ht="16" x14ac:dyDescent="0.2">
      <c r="A310" s="10" t="s">
        <v>71</v>
      </c>
      <c r="B310" s="8" t="str">
        <f>"transport, "&amp;B312&amp;", "&amp;B314</f>
        <v>transport, Motorbike, gasoline, 11-35kW, EURO-4, 2016</v>
      </c>
    </row>
    <row r="311" spans="1:8" x14ac:dyDescent="0.2">
      <c r="A311" t="s">
        <v>72</v>
      </c>
      <c r="B311" t="s">
        <v>37</v>
      </c>
    </row>
    <row r="312" spans="1:8" x14ac:dyDescent="0.2">
      <c r="A312" t="s">
        <v>86</v>
      </c>
      <c r="B312" t="s">
        <v>621</v>
      </c>
    </row>
    <row r="313" spans="1:8" x14ac:dyDescent="0.2">
      <c r="A313" t="s">
        <v>87</v>
      </c>
    </row>
    <row r="314" spans="1:8" x14ac:dyDescent="0.2">
      <c r="A314" t="s">
        <v>88</v>
      </c>
      <c r="B314">
        <v>2016</v>
      </c>
    </row>
    <row r="315" spans="1:8" x14ac:dyDescent="0.2">
      <c r="A315" t="s">
        <v>126</v>
      </c>
      <c r="B315" t="str">
        <f>B312&amp;" - "&amp;B314&amp;" - "&amp;B311</f>
        <v>Motorbike, gasoline, 11-35kW, EURO-4 - 2016 - CH</v>
      </c>
    </row>
    <row r="316" spans="1:8" x14ac:dyDescent="0.2">
      <c r="A316" t="s">
        <v>73</v>
      </c>
      <c r="B316" t="str">
        <f>"transport, "&amp;B312</f>
        <v>transport, Motorbike, gasoline, 11-35kW, EURO-4</v>
      </c>
    </row>
    <row r="317" spans="1:8" x14ac:dyDescent="0.2">
      <c r="A317" t="s">
        <v>74</v>
      </c>
      <c r="B317" t="s">
        <v>75</v>
      </c>
    </row>
    <row r="318" spans="1:8" x14ac:dyDescent="0.2">
      <c r="A318" t="s">
        <v>76</v>
      </c>
      <c r="B318" t="s">
        <v>166</v>
      </c>
    </row>
    <row r="319" spans="1:8" x14ac:dyDescent="0.2">
      <c r="A319" t="s">
        <v>78</v>
      </c>
      <c r="B319" t="s">
        <v>1143</v>
      </c>
    </row>
    <row r="320" spans="1:8" x14ac:dyDescent="0.2">
      <c r="A320" t="s">
        <v>127</v>
      </c>
      <c r="B320">
        <f>INDEX('vehicles specifications'!$B$3:$CW$166,MATCH(B315,'vehicles specifications'!$A$3:$A$166,0),MATCH("Lifetime [km]",'vehicles specifications'!$B$2:$CW$2,0))</f>
        <v>38500</v>
      </c>
    </row>
    <row r="321" spans="1:8" x14ac:dyDescent="0.2">
      <c r="A321" t="s">
        <v>128</v>
      </c>
      <c r="B321">
        <f>INDEX('vehicles specifications'!$B$3:$CW$166,MATCH(B315,'vehicles specifications'!$A$3:$A$166,0),MATCH("Passengers [unit]",'vehicles specifications'!$B$2:$CW$2,0))</f>
        <v>1.1000000000000001</v>
      </c>
    </row>
    <row r="322" spans="1:8" x14ac:dyDescent="0.2">
      <c r="A322" t="s">
        <v>129</v>
      </c>
      <c r="B322">
        <f>INDEX('vehicles specifications'!$B$3:$CW$166,MATCH(B315,'vehicles specifications'!$A$3:$A$166,0),MATCH("Servicing [unit]",'vehicles specifications'!$B$2:$CW$2,0))</f>
        <v>1.54</v>
      </c>
    </row>
    <row r="323" spans="1:8" x14ac:dyDescent="0.2">
      <c r="A323" t="s">
        <v>130</v>
      </c>
      <c r="B323">
        <f>INDEX('vehicles specifications'!$B$3:$CW$166,MATCH(B315,'vehicles specifications'!$A$3:$A$166,0),MATCH("Energy battery replacement [unit]",'vehicles specifications'!$B$2:$CW$2,0))</f>
        <v>0</v>
      </c>
    </row>
    <row r="324" spans="1:8" x14ac:dyDescent="0.2">
      <c r="A324" t="s">
        <v>131</v>
      </c>
      <c r="B324">
        <f>INDEX('vehicles specifications'!$B$3:$CW$166,MATCH(B315,'vehicles specifications'!$A$3:$A$166,0),MATCH("Annual kilometers [km]",'vehicles specifications'!$B$2:$CW$2,0))</f>
        <v>2405</v>
      </c>
    </row>
    <row r="325" spans="1:8" x14ac:dyDescent="0.2">
      <c r="A325" t="s">
        <v>132</v>
      </c>
      <c r="B325" s="2">
        <f>INDEX('vehicles specifications'!$B$3:$CW$166,MATCH(B315,'vehicles specifications'!$A$3:$A$166,0),MATCH("Curb mass [kg]",'vehicles specifications'!$B$2:$CW$2,0))</f>
        <v>157.5575</v>
      </c>
    </row>
    <row r="326" spans="1:8" x14ac:dyDescent="0.2">
      <c r="A326" t="s">
        <v>133</v>
      </c>
      <c r="B326">
        <f>INDEX('vehicles specifications'!$B$3:$CW$166,MATCH(B315,'vehicles specifications'!$A$3:$A$166,0),MATCH("Power [kW]",'vehicles specifications'!$B$2:$CW$2,0))</f>
        <v>20</v>
      </c>
    </row>
    <row r="327" spans="1:8" x14ac:dyDescent="0.2">
      <c r="A327" t="s">
        <v>134</v>
      </c>
      <c r="B327" t="str">
        <f>INDEX('vehicles specifications'!$B$3:$CW$166,MATCH(B315,'vehicles specifications'!$A$3:$A$166,0),MATCH("Energy battery mass [kg]",'vehicles specifications'!$B$2:$CW$2,0))</f>
        <v/>
      </c>
    </row>
    <row r="328" spans="1:8" x14ac:dyDescent="0.2">
      <c r="A328" t="s">
        <v>135</v>
      </c>
      <c r="B328">
        <f>INDEX('vehicles specifications'!$B$3:$CW$166,MATCH(B315,'vehicles specifications'!$A$3:$A$166,0),MATCH("Electric energy available [kWh]",'vehicles specifications'!$B$2:$CW$2,0))</f>
        <v>0</v>
      </c>
    </row>
    <row r="329" spans="1:8" x14ac:dyDescent="0.2">
      <c r="A329" t="s">
        <v>138</v>
      </c>
      <c r="B329" s="2">
        <f>INDEX('vehicles specifications'!$B$3:$CW$166,MATCH(B315,'vehicles specifications'!$A$3:$A$166,0),MATCH("Oxydation energy stored [kWh]",'vehicles specifications'!$B$2:$CW$2,0))</f>
        <v>133.125</v>
      </c>
    </row>
    <row r="330" spans="1:8" x14ac:dyDescent="0.2">
      <c r="A330" t="s">
        <v>139</v>
      </c>
      <c r="B330">
        <f>INDEX('vehicles specifications'!$B$3:$CW$166,MATCH(B315,'vehicles specifications'!$A$3:$A$166,0),MATCH("Fuel mass [kg]",'vehicles specifications'!$B$2:$CW$2,0))</f>
        <v>11.25</v>
      </c>
    </row>
    <row r="331" spans="1:8" x14ac:dyDescent="0.2">
      <c r="A331" t="s">
        <v>136</v>
      </c>
      <c r="B331" s="2">
        <f>INDEX('vehicles specifications'!$B$3:$CW$166,MATCH(B315,'vehicles specifications'!$A$3:$A$166,0),MATCH("Range [km]",'vehicles specifications'!$B$2:$CW$2,0))</f>
        <v>325.24313932648096</v>
      </c>
    </row>
    <row r="332" spans="1:8" x14ac:dyDescent="0.2">
      <c r="A332" t="s">
        <v>137</v>
      </c>
      <c r="B332" t="str">
        <f>INDEX('vehicles specifications'!$B$3:$CW$166,MATCH(B315,'vehicles specifications'!$A$3:$A$166,0),MATCH("Emission standard",'vehicles specifications'!$B$2:$CW$2,0))</f>
        <v>EURO-4</v>
      </c>
    </row>
    <row r="333" spans="1:8" x14ac:dyDescent="0.2">
      <c r="A333" t="s">
        <v>1174</v>
      </c>
      <c r="B333" s="6">
        <f>INDEX('vehicles specifications'!$B$3:$CW$166,MATCH(B315,'vehicles specifications'!$A$3:$A$166,0),MATCH("Lightweighting rate [%]",'vehicles specifications'!$B$2:$CW$2,0))</f>
        <v>-0.02</v>
      </c>
    </row>
    <row r="334" spans="1:8" x14ac:dyDescent="0.2">
      <c r="A334" t="s">
        <v>83</v>
      </c>
      <c r="B334"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v>
      </c>
    </row>
    <row r="335" spans="1:8" ht="16" x14ac:dyDescent="0.2">
      <c r="A335" s="10" t="s">
        <v>79</v>
      </c>
    </row>
    <row r="336" spans="1:8" x14ac:dyDescent="0.2">
      <c r="A336" t="s">
        <v>80</v>
      </c>
      <c r="B336" t="s">
        <v>81</v>
      </c>
      <c r="C336" t="s">
        <v>72</v>
      </c>
      <c r="D336" t="s">
        <v>76</v>
      </c>
      <c r="E336" t="s">
        <v>82</v>
      </c>
      <c r="F336" t="s">
        <v>74</v>
      </c>
      <c r="G336" t="s">
        <v>83</v>
      </c>
      <c r="H336" t="s">
        <v>73</v>
      </c>
    </row>
    <row r="337" spans="1:8" x14ac:dyDescent="0.2">
      <c r="A337" t="str">
        <f>B310</f>
        <v>transport, Motorbike, gasoline, 11-35kW, EURO-4, 2016</v>
      </c>
      <c r="B337">
        <v>1</v>
      </c>
      <c r="C337" t="str">
        <f>B311</f>
        <v>CH</v>
      </c>
      <c r="D337" t="s">
        <v>166</v>
      </c>
      <c r="F337" t="s">
        <v>84</v>
      </c>
      <c r="G337" t="s">
        <v>85</v>
      </c>
      <c r="H337" t="str">
        <f>B316</f>
        <v>transport, Motorbike, gasoline, 11-35kW, EURO-4</v>
      </c>
    </row>
    <row r="338" spans="1:8" x14ac:dyDescent="0.2">
      <c r="A338" t="str">
        <f>RIGHT(A337,LEN(A337)-11)</f>
        <v>Motorbike, gasoline, 11-35kW, EURO-4, 2016</v>
      </c>
      <c r="B338" s="7">
        <f>1/B320</f>
        <v>2.5974025974025975E-5</v>
      </c>
      <c r="C338" t="str">
        <f>B311</f>
        <v>CH</v>
      </c>
      <c r="D338" t="s">
        <v>76</v>
      </c>
      <c r="F338" t="s">
        <v>89</v>
      </c>
      <c r="H338" t="str">
        <f>RIGHT(H337,LEN(H337)-11)</f>
        <v>Motorbike, gasoline, 11-35kW, EURO-4</v>
      </c>
    </row>
    <row r="339" spans="1:8" x14ac:dyDescent="0.2">
      <c r="A339" t="str">
        <f>INDEX('ei names mapping'!$B$4:$R$33,MATCH(B312,'ei names mapping'!$A$4:$A$33,0),MATCH(G339,'ei names mapping'!$B$3:$R$3,0))</f>
        <v>road construction</v>
      </c>
      <c r="B339" s="7">
        <f>INDEX('vehicles specifications'!$B$3:$CW$166,MATCH(B315,'vehicles specifications'!$A$3:$A$166,0),MATCH(G339,'vehicles specifications'!$B$2:$CW$2,0))*INDEX('ei names mapping'!$B$137:$BL$300,MATCH(B315,'ei names mapping'!$A$137:$A$300,0),MATCH(G339,'ei names mapping'!$B$136:$BL$136,0))</f>
        <v>1.3213287749999999E-4</v>
      </c>
      <c r="C339" t="str">
        <f>INDEX('ei names mapping'!$B$38:$R$67,MATCH(B312,'ei names mapping'!$A$4:$A$33,0),MATCH(G339,'ei names mapping'!$B$3:$R$3,0))</f>
        <v>CH</v>
      </c>
      <c r="D339" t="str">
        <f>INDEX('ei names mapping'!$B$104:$BL$133,MATCH(B312,'ei names mapping'!$A$4:$A$33,0),MATCH(G339,'ei names mapping'!$B$3:$BL$3,0))</f>
        <v>meter-year</v>
      </c>
      <c r="F339" t="s">
        <v>89</v>
      </c>
      <c r="G339" t="s">
        <v>105</v>
      </c>
      <c r="H339" t="str">
        <f>INDEX('ei names mapping'!$B$71:$BL$100,MATCH(B312,'ei names mapping'!$A$4:$A$33,0),MATCH(G339,'ei names mapping'!$B$3:$BL$3,0))</f>
        <v>road</v>
      </c>
    </row>
    <row r="340" spans="1:8" x14ac:dyDescent="0.2">
      <c r="A340" t="str">
        <f>INDEX('ei names mapping'!$B$4:$R$33,MATCH(B312,'ei names mapping'!$A$4:$A$33,0),MATCH(G340,'ei names mapping'!$B$3:$R$3,0))</f>
        <v>road maintenance</v>
      </c>
      <c r="B340" s="7">
        <f>INDEX('vehicles specifications'!$B$3:$CW$166,MATCH(B315,'vehicles specifications'!$A$3:$A$166,0),MATCH(G340,'vehicles specifications'!$B$2:$CW$2,0))*INDEX('ei names mapping'!$B$137:$BL$300,MATCH(B315,'ei names mapping'!$A$137:$A$300,0),MATCH(G340,'ei names mapping'!$B$136:$BL$136,0))</f>
        <v>1.2899999999999999E-3</v>
      </c>
      <c r="C340" t="str">
        <f>INDEX('ei names mapping'!$B$38:$R$67,MATCH(B312,'ei names mapping'!$A$4:$A$33,0),MATCH(G340,'ei names mapping'!$B$3:$R$3,0))</f>
        <v>CH</v>
      </c>
      <c r="D340" t="str">
        <f>INDEX('ei names mapping'!$B$104:$BL$133,MATCH(B312,'ei names mapping'!$A$4:$A$33,0),MATCH(G340,'ei names mapping'!$B$3:$BL$3,0))</f>
        <v>meter-year</v>
      </c>
      <c r="F340" t="s">
        <v>89</v>
      </c>
      <c r="G340" t="s">
        <v>112</v>
      </c>
      <c r="H340" t="str">
        <f>INDEX('ei names mapping'!$B$71:$BL$100,MATCH(B312,'ei names mapping'!$A$4:$A$33,0),MATCH(G340,'ei names mapping'!$B$3:$BL$3,0))</f>
        <v>road maintenance</v>
      </c>
    </row>
    <row r="341" spans="1:8" x14ac:dyDescent="0.2">
      <c r="A341" t="str">
        <f>INDEX('ei names mapping'!$B$4:$R$33,MATCH(B312,'ei names mapping'!$A$4:$A$33,0),MATCH(G341,'ei names mapping'!$B$3:$R$3,0))</f>
        <v>maintenance, motor scooter</v>
      </c>
      <c r="B341" s="7">
        <f>INDEX('vehicles specifications'!$B$3:$CW$166,MATCH(B315,'vehicles specifications'!$A$3:$A$166,0),MATCH(G341,'vehicles specifications'!$B$2:$CW$2,0))*INDEX('ei names mapping'!$B$137:$BL$300,MATCH(B315,'ei names mapping'!$A$137:$A$300,0),MATCH(G341,'ei names mapping'!$B$136:$BL$136,0))</f>
        <v>4.0000000000000003E-5</v>
      </c>
      <c r="C341" t="str">
        <f>INDEX('ei names mapping'!$B$38:$BL$67,MATCH(B312,'ei names mapping'!$A$4:$A$33,0),MATCH(G341,'ei names mapping'!$B$3:$BL$3,0))</f>
        <v>CH</v>
      </c>
      <c r="D341" t="str">
        <f>INDEX('ei names mapping'!$B$104:$BL$133,MATCH(B312,'ei names mapping'!$A$4:$A$33,0),MATCH(G341,'ei names mapping'!$B$3:$BL$3,0))</f>
        <v>unit</v>
      </c>
      <c r="F341" t="s">
        <v>89</v>
      </c>
      <c r="G341" t="s">
        <v>118</v>
      </c>
      <c r="H341" t="str">
        <f>INDEX('ei names mapping'!$B$71:$BL$100,MATCH(B312,'ei names mapping'!$A$4:$A$33,0),MATCH(G341,'ei names mapping'!$B$3:$BL$3,0))</f>
        <v>maintenance, motor scooter</v>
      </c>
    </row>
    <row r="342" spans="1:8" x14ac:dyDescent="0.2">
      <c r="A342" t="str">
        <f>INDEX('ei names mapping'!$B$4:$R$33,MATCH(B312,'ei names mapping'!$A$4:$A$33,0),MATCH(G342,'ei names mapping'!$B$3:$R$3,0))</f>
        <v>fuel supply for gasoline vehicles</v>
      </c>
      <c r="B342" s="7">
        <f>INDEX('vehicles specifications'!$B$3:$CW$166,MATCH(B315,'vehicles specifications'!$A$3:$A$166,0),MATCH(G342,'vehicles specifications'!$B$2:$CW$2,0))*INDEX('ei names mapping'!$B$137:$BL$300,MATCH(B315,'ei names mapping'!$A$137:$A$300,0),MATCH(G342,'ei names mapping'!$B$136:$BL$136,0))</f>
        <v>3.4589507478302819E-2</v>
      </c>
      <c r="C342" t="str">
        <f>INDEX('ei names mapping'!$B$38:$BL$67,MATCH(B312,'ei names mapping'!$A$4:$A$33,0),MATCH(G342,'ei names mapping'!$B$3:$BL$3,0))</f>
        <v>CH</v>
      </c>
      <c r="D342" t="str">
        <f>INDEX('ei names mapping'!$B$104:$BL$133,MATCH(B312,'ei names mapping'!$A$4:$A$33,0),MATCH(G342,'ei names mapping'!$B$3:$BL$3,0))</f>
        <v>kilogram</v>
      </c>
      <c r="F342" t="s">
        <v>89</v>
      </c>
      <c r="G342" t="s">
        <v>27</v>
      </c>
      <c r="H342" t="str">
        <f>INDEX('ei names mapping'!$B$71:$BL$100,MATCH(B312,'ei names mapping'!$A$4:$A$33,0),MATCH(G342,'ei names mapping'!$B$3:$BL$3,0))</f>
        <v>gasoline blend</v>
      </c>
    </row>
    <row r="343" spans="1:8" x14ac:dyDescent="0.2">
      <c r="A343" t="str">
        <f>INDEX('ei names mapping'!$B$4:$BL$33,MATCH(B312,'ei names mapping'!$A$4:$A$33,0),MATCH(G343,'ei names mapping'!$B$3:$BL$3,0))</f>
        <v>Carbon dioxide, fossil</v>
      </c>
      <c r="B343" s="11">
        <f>INDEX('vehicles specifications'!$B$3:$CW$166,MATCH(B315,'vehicles specifications'!$A$3:$A$166,0),MATCH(G343,'vehicles specifications'!$B$2:$CW$2,0))*INDEX('ei names mapping'!$B$137:$BL$300,MATCH(B315,'ei names mapping'!$A$137:$A$300,0),MATCH(G343,'ei names mapping'!$B$136:$BL$136,0))</f>
        <v>0.10730772084008841</v>
      </c>
      <c r="D343" t="str">
        <f>INDEX('ei names mapping'!$B$104:$BL$133,MATCH(B312,'ei names mapping'!$A$4:$A$33,0),MATCH(G343,'ei names mapping'!$B$3:$BL$3,0))</f>
        <v>kilogram</v>
      </c>
      <c r="E343" t="str">
        <f>INDEX('ei names mapping'!$B$305:$BL$335,MATCH(B312,'ei names mapping'!$A$4:$A$33,0),MATCH(G343,'ei names mapping'!$B$3:$BL$3,0))</f>
        <v>air::urban air close to ground</v>
      </c>
      <c r="F343" t="s">
        <v>167</v>
      </c>
      <c r="G343" t="s">
        <v>66</v>
      </c>
    </row>
    <row r="344" spans="1:8" x14ac:dyDescent="0.2">
      <c r="A344" t="str">
        <f>INDEX('ei names mapping'!$B$4:$BL$33,MATCH(B312,'ei names mapping'!$A$4:$A$33,0),MATCH(G344,'ei names mapping'!$B$3:$BL$3,0))</f>
        <v>Carbon dioxide, from soil or biomass stock</v>
      </c>
      <c r="B344" s="11">
        <f>INDEX('vehicles specifications'!$B$3:$CW$166,MATCH(B315,'vehicles specifications'!$A$3:$A$166,0),MATCH(G344,'vehicles specifications'!$B$2:$CW$2,0))*INDEX('ei names mapping'!$B$137:$BL$300,MATCH(B315,'ei names mapping'!$A$137:$A$300,0),MATCH(G344,'ei names mapping'!$B$136:$BL$136,0))</f>
        <v>1.3033326417824505E-3</v>
      </c>
      <c r="D344" t="str">
        <f>INDEX('ei names mapping'!$B$104:$BL$133,MATCH(B312,'ei names mapping'!$A$4:$A$33,0),MATCH(G344,'ei names mapping'!$B$3:$BL$3,0))</f>
        <v>kilogram</v>
      </c>
      <c r="E344" t="str">
        <f>INDEX('ei names mapping'!$B$305:$BL$335,MATCH(B312,'ei names mapping'!$A$4:$A$33,0),MATCH(G344,'ei names mapping'!$B$3:$BL$3,0))</f>
        <v>air::urban air close to ground</v>
      </c>
      <c r="F344" t="s">
        <v>167</v>
      </c>
      <c r="G344" t="s">
        <v>843</v>
      </c>
    </row>
    <row r="345" spans="1:8" x14ac:dyDescent="0.2">
      <c r="A345" t="str">
        <f>INDEX('ei names mapping'!$B$4:$BL$33,MATCH(B312,'ei names mapping'!$A$4:$A$33,0),MATCH(G345,'ei names mapping'!$B$3:$BL$3,0))</f>
        <v>Sulfur dioxide</v>
      </c>
      <c r="B345" s="7">
        <f>INDEX('vehicles specifications'!$B$3:$CW$166,MATCH(B315,'vehicles specifications'!$A$3:$A$166,0),MATCH(G345,'vehicles specifications'!$B$2:$CW$2,0))*INDEX('ei names mapping'!$B$137:$BL$300,MATCH(B315,'ei names mapping'!$A$137:$A$300,0),MATCH(G345,'ei names mapping'!$B$136:$BL$136,0))</f>
        <v>5.5343211965284504E-7</v>
      </c>
      <c r="D345" t="str">
        <f>INDEX('ei names mapping'!$B$104:$BL$133,MATCH(B312,'ei names mapping'!$A$4:$A$33,0),MATCH(G345,'ei names mapping'!$B$3:$BL$3,0))</f>
        <v>kilogram</v>
      </c>
      <c r="E345" t="str">
        <f>INDEX('ei names mapping'!$B$305:$BL$335,MATCH(B312,'ei names mapping'!$A$4:$A$33,0),MATCH(G345,'ei names mapping'!$B$3:$BL$3,0))</f>
        <v>air::urban air close to ground</v>
      </c>
      <c r="F345" t="s">
        <v>167</v>
      </c>
      <c r="G345" t="s">
        <v>67</v>
      </c>
    </row>
    <row r="346" spans="1:8" x14ac:dyDescent="0.2">
      <c r="A346" t="str">
        <f>INDEX('ei names mapping'!$B$4:$BL$33,MATCH(B312,'ei names mapping'!$A$4:$A$33,0),MATCH(G346,'ei names mapping'!$B$3:$BL$3,0))</f>
        <v>Benzene</v>
      </c>
      <c r="B346" s="7">
        <f>INDEX('vehicles specifications'!$B$3:$CW$166,MATCH(B315,'vehicles specifications'!$A$3:$A$166,0),MATCH(G346,'vehicles specifications'!$B$2:$CW$2,0))*INDEX('ei names mapping'!$B$137:$BL$300,MATCH(B315,'ei names mapping'!$A$137:$A$300,0),MATCH(G346,'ei names mapping'!$B$136:$BL$136,0))</f>
        <v>1.9073617591137917E-6</v>
      </c>
      <c r="D346" t="str">
        <f>INDEX('ei names mapping'!$B$104:$BL$133,MATCH(B312,'ei names mapping'!$A$4:$A$33,0),MATCH(G346,'ei names mapping'!$B$3:$BL$3,0))</f>
        <v>kilogram</v>
      </c>
      <c r="E346" t="str">
        <f>INDEX('ei names mapping'!$B$305:$BL$335,MATCH(B312,'ei names mapping'!$A$4:$A$33,0),MATCH(G346,'ei names mapping'!$B$3:$BL$3,0))</f>
        <v>air::urban air close to ground</v>
      </c>
      <c r="F346" t="s">
        <v>167</v>
      </c>
      <c r="G346" t="s">
        <v>55</v>
      </c>
    </row>
    <row r="347" spans="1:8" x14ac:dyDescent="0.2">
      <c r="A347" t="str">
        <f>INDEX('ei names mapping'!$B$4:$BL$33,MATCH(B312,'ei names mapping'!$A$4:$A$33,0),MATCH(G347,'ei names mapping'!$B$3:$BL$3,0))</f>
        <v>Methane, fossil</v>
      </c>
      <c r="B347" s="7">
        <f>INDEX('vehicles specifications'!$B$3:$CW$166,MATCH(B315,'vehicles specifications'!$A$3:$A$166,0),MATCH(G347,'vehicles specifications'!$B$2:$CW$2,0))*INDEX('ei names mapping'!$B$137:$BL$300,MATCH(B315,'ei names mapping'!$A$137:$A$300,0),MATCH(G347,'ei names mapping'!$B$136:$BL$136,0))</f>
        <v>2.7697735778460602E-5</v>
      </c>
      <c r="D347" t="str">
        <f>INDEX('ei names mapping'!$B$104:$BL$133,MATCH(B312,'ei names mapping'!$A$4:$A$33,0),MATCH(G347,'ei names mapping'!$B$3:$BL$3,0))</f>
        <v>kilogram</v>
      </c>
      <c r="E347" t="str">
        <f>INDEX('ei names mapping'!$B$305:$BL$335,MATCH(B312,'ei names mapping'!$A$4:$A$33,0),MATCH(G347,'ei names mapping'!$B$3:$BL$3,0))</f>
        <v>air::urban air close to ground</v>
      </c>
      <c r="F347" t="s">
        <v>167</v>
      </c>
      <c r="G347" t="s">
        <v>56</v>
      </c>
    </row>
    <row r="348" spans="1:8" x14ac:dyDescent="0.2">
      <c r="A348" t="str">
        <f>INDEX('ei names mapping'!$B$4:$BL$33,MATCH(B312,'ei names mapping'!$A$4:$A$33,0),MATCH(G348,'ei names mapping'!$B$3:$BL$3,0))</f>
        <v>Carbon monoxide, fossil</v>
      </c>
      <c r="B348" s="7">
        <f>INDEX('vehicles specifications'!$B$3:$CW$166,MATCH(B315,'vehicles specifications'!$A$3:$A$166,0),MATCH(G348,'vehicles specifications'!$B$2:$CW$2,0))*INDEX('ei names mapping'!$B$137:$BL$300,MATCH(B315,'ei names mapping'!$A$137:$A$300,0),MATCH(G348,'ei names mapping'!$B$136:$BL$136,0))</f>
        <v>1.4020599038117664E-4</v>
      </c>
      <c r="D348" t="str">
        <f>INDEX('ei names mapping'!$B$104:$BL$133,MATCH(B312,'ei names mapping'!$A$4:$A$33,0),MATCH(G348,'ei names mapping'!$B$3:$BL$3,0))</f>
        <v>kilogram</v>
      </c>
      <c r="E348" t="str">
        <f>INDEX('ei names mapping'!$B$305:$BL$335,MATCH(B312,'ei names mapping'!$A$4:$A$33,0),MATCH(G348,'ei names mapping'!$B$3:$BL$3,0))</f>
        <v>air::urban air close to ground</v>
      </c>
      <c r="F348" t="s">
        <v>167</v>
      </c>
      <c r="G348" t="s">
        <v>57</v>
      </c>
    </row>
    <row r="349" spans="1:8" x14ac:dyDescent="0.2">
      <c r="A349" t="str">
        <f>INDEX('ei names mapping'!$B$4:$BL$33,MATCH(B312,'ei names mapping'!$A$4:$A$33,0),MATCH(G349,'ei names mapping'!$B$3:$BL$3,0))</f>
        <v>Dinitrogen monoxide</v>
      </c>
      <c r="B349" s="7">
        <f>INDEX('vehicles specifications'!$B$3:$CW$166,MATCH(B315,'vehicles specifications'!$A$3:$A$166,0),MATCH(G349,'vehicles specifications'!$B$2:$CW$2,0))*INDEX('ei names mapping'!$B$137:$BL$300,MATCH(B315,'ei names mapping'!$A$137:$A$300,0),MATCH(G349,'ei names mapping'!$B$136:$BL$136,0))</f>
        <v>8.3301460987851437E-7</v>
      </c>
      <c r="D349" t="str">
        <f>INDEX('ei names mapping'!$B$104:$BL$133,MATCH(B312,'ei names mapping'!$A$4:$A$33,0),MATCH(G349,'ei names mapping'!$B$3:$BL$3,0))</f>
        <v>kilogram</v>
      </c>
      <c r="E349" t="str">
        <f>INDEX('ei names mapping'!$B$305:$BL$335,MATCH(B312,'ei names mapping'!$A$4:$A$33,0),MATCH(G349,'ei names mapping'!$B$3:$BL$3,0))</f>
        <v>air::urban air close to ground</v>
      </c>
      <c r="F349" t="s">
        <v>167</v>
      </c>
      <c r="G349" t="s">
        <v>58</v>
      </c>
    </row>
    <row r="350" spans="1:8" x14ac:dyDescent="0.2">
      <c r="A350" t="str">
        <f>INDEX('ei names mapping'!$B$4:$BL$33,MATCH(B312,'ei names mapping'!$A$4:$A$33,0),MATCH(G350,'ei names mapping'!$B$3:$BL$3,0))</f>
        <v>Ammonia</v>
      </c>
      <c r="B350" s="7">
        <f>INDEX('vehicles specifications'!$B$3:$CW$166,MATCH(B315,'vehicles specifications'!$A$3:$A$166,0),MATCH(G350,'vehicles specifications'!$B$2:$CW$2,0))*INDEX('ei names mapping'!$B$137:$BL$300,MATCH(B315,'ei names mapping'!$A$137:$A$300,0),MATCH(G350,'ei names mapping'!$B$136:$BL$136,0))</f>
        <v>8.3301460987851437E-7</v>
      </c>
      <c r="D350" t="str">
        <f>INDEX('ei names mapping'!$B$104:$BL$133,MATCH(B312,'ei names mapping'!$A$4:$A$33,0),MATCH(G350,'ei names mapping'!$B$3:$BL$3,0))</f>
        <v>kilogram</v>
      </c>
      <c r="E350" t="str">
        <f>INDEX('ei names mapping'!$B$305:$BL$335,MATCH(B312,'ei names mapping'!$A$4:$A$33,0),MATCH(G350,'ei names mapping'!$B$3:$BL$3,0))</f>
        <v>air::urban air close to ground</v>
      </c>
      <c r="F350" t="s">
        <v>167</v>
      </c>
      <c r="G350" t="s">
        <v>59</v>
      </c>
    </row>
    <row r="351" spans="1:8" x14ac:dyDescent="0.2">
      <c r="A351" t="str">
        <f>INDEX('ei names mapping'!$B$4:$BL$33,MATCH(B312,'ei names mapping'!$A$4:$A$33,0),MATCH(G351,'ei names mapping'!$B$3:$BL$3,0))</f>
        <v>Nitrogen oxides</v>
      </c>
      <c r="B351" s="7">
        <f>INDEX('vehicles specifications'!$B$3:$CW$166,MATCH(B315,'vehicles specifications'!$A$3:$A$166,0),MATCH(G351,'vehicles specifications'!$B$2:$CW$2,0))*INDEX('ei names mapping'!$B$137:$BL$300,MATCH(B315,'ei names mapping'!$A$137:$A$300,0),MATCH(G351,'ei names mapping'!$B$136:$BL$136,0))</f>
        <v>1.3603299444488674E-5</v>
      </c>
      <c r="D351" t="str">
        <f>INDEX('ei names mapping'!$B$104:$BL$133,MATCH(B312,'ei names mapping'!$A$4:$A$33,0),MATCH(G351,'ei names mapping'!$B$3:$BL$3,0))</f>
        <v>kilogram</v>
      </c>
      <c r="E351" t="str">
        <f>INDEX('ei names mapping'!$B$305:$BL$335,MATCH(B312,'ei names mapping'!$A$4:$A$33,0),MATCH(G351,'ei names mapping'!$B$3:$BL$3,0))</f>
        <v>air::urban air close to ground</v>
      </c>
      <c r="F351" t="s">
        <v>167</v>
      </c>
      <c r="G351" t="s">
        <v>60</v>
      </c>
    </row>
    <row r="352" spans="1:8" x14ac:dyDescent="0.2">
      <c r="A352" t="str">
        <f>INDEX('ei names mapping'!$B$4:$BL$33,MATCH(B312,'ei names mapping'!$A$4:$A$33,0),MATCH(G352,'ei names mapping'!$B$3:$BL$3,0))</f>
        <v>Particulates, &lt; 2.5 um</v>
      </c>
      <c r="B352" s="7">
        <f>INDEX('vehicles specifications'!$B$3:$CW$166,MATCH(B$315,'vehicles specifications'!$A$3:$A$166,0),MATCH(G352,'vehicles specifications'!$B$2:$CW$2,0))*INDEX('ei names mapping'!$B$137:$BL$300,MATCH(B$315,'ei names mapping'!$A$137:$A$300,0),MATCH(G352,'ei names mapping'!$B$136:$BL$136,0))</f>
        <v>2.082536524696286E-6</v>
      </c>
      <c r="D352" t="str">
        <f>INDEX('ei names mapping'!$B$104:$BL$133,MATCH(B312,'ei names mapping'!$A$4:$A$33,0),MATCH(G352,'ei names mapping'!$B$3:$BL$3,0))</f>
        <v>kilogram</v>
      </c>
      <c r="E352" t="str">
        <f>INDEX('ei names mapping'!$B$305:$BL$335,MATCH(B312,'ei names mapping'!$A$4:$A$33,0),MATCH(G352,'ei names mapping'!$B$3:$BL$3,0))</f>
        <v>air::urban air close to ground</v>
      </c>
      <c r="F352" t="s">
        <v>167</v>
      </c>
      <c r="G352" t="s">
        <v>62</v>
      </c>
    </row>
    <row r="353" spans="1:7" x14ac:dyDescent="0.2">
      <c r="A353" t="str">
        <f>INDEX('ei names mapping'!$B$4:$BL$33,MATCH(B$234,'ei names mapping'!$A$4:$A$33,0),MATCH(G353,'ei names mapping'!$B$3:$BL$3,0))</f>
        <v>NMVOC, non-methane volatile organic compounds, unspecified origin</v>
      </c>
      <c r="B353" s="7">
        <f>INDEX('vehicles specifications'!$B$3:$CW$166,MATCH(B$315,'vehicles specifications'!$A$3:$A$166,0),MATCH(G353,'vehicles specifications'!$B$2:$CW$2,0))*INDEX('ei names mapping'!$B$137:$BL$300,MATCH(B$315,'ei names mapping'!$A$137:$A$300,0),MATCH(G353,'ei names mapping'!$B$136:$BL$136,0))</f>
        <v>1.5381291618949722E-5</v>
      </c>
      <c r="D353" t="str">
        <f>INDEX('ei names mapping'!$B$104:$BL$133,MATCH(B$234,'ei names mapping'!$A$4:$A$33,0),MATCH(G353,'ei names mapping'!$B$3:$BL$3,0))</f>
        <v>kilogram</v>
      </c>
      <c r="E353" t="str">
        <f>INDEX('ei names mapping'!$B$305:$BL$335,MATCH(B$234,'ei names mapping'!$A$4:$A$33,0),MATCH(G353,'ei names mapping'!$B$3:$BL$3,0))</f>
        <v>air::urban air close to ground</v>
      </c>
      <c r="F353" t="s">
        <v>167</v>
      </c>
      <c r="G353" t="s">
        <v>593</v>
      </c>
    </row>
    <row r="354" spans="1:7" x14ac:dyDescent="0.2">
      <c r="A354" t="str">
        <f>INDEX('ei names mapping'!$B$4:$BL$33,MATCH(B$234,'ei names mapping'!$A$4:$A$33,0),MATCH(G354,'ei names mapping'!$B$3:$BL$3,0))</f>
        <v>Ethane</v>
      </c>
      <c r="B354" s="7">
        <f>INDEX('vehicles specifications'!$B$3:$CW$166,MATCH(B$315,'vehicles specifications'!$A$3:$A$166,0),MATCH(G354,'vehicles specifications'!$B$2:$CW$2,0))*INDEX('ei names mapping'!$B$137:$BL$300,MATCH(B$315,'ei names mapping'!$A$137:$A$300,0),MATCH(G354,'ei names mapping'!$B$136:$BL$136,0))</f>
        <v>1.084578255182352E-6</v>
      </c>
      <c r="D354" t="str">
        <f>INDEX('ei names mapping'!$B$104:$BL$133,MATCH(B$234,'ei names mapping'!$A$4:$A$33,0),MATCH(G354,'ei names mapping'!$B$3:$BL$3,0))</f>
        <v>kilogram</v>
      </c>
      <c r="E354" t="str">
        <f>INDEX('ei names mapping'!$B$305:$BL$335,MATCH(B$234,'ei names mapping'!$A$4:$A$33,0),MATCH(G354,'ei names mapping'!$B$3:$BL$3,0))</f>
        <v>air::urban air close to ground</v>
      </c>
      <c r="F354" t="s">
        <v>167</v>
      </c>
      <c r="G354" t="s">
        <v>541</v>
      </c>
    </row>
    <row r="355" spans="1:7" x14ac:dyDescent="0.2">
      <c r="A355" t="str">
        <f>INDEX('ei names mapping'!$B$4:$BL$33,MATCH(B$234,'ei names mapping'!$A$4:$A$33,0),MATCH(G355,'ei names mapping'!$B$3:$BL$3,0))</f>
        <v>Propane</v>
      </c>
      <c r="B355" s="7">
        <f>INDEX('vehicles specifications'!$B$3:$CW$166,MATCH(B$315,'vehicles specifications'!$A$3:$A$166,0),MATCH(G355,'vehicles specifications'!$B$2:$CW$2,0))*INDEX('ei names mapping'!$B$137:$BL$300,MATCH(B$315,'ei names mapping'!$A$137:$A$300,0),MATCH(G355,'ei names mapping'!$B$136:$BL$136,0))</f>
        <v>2.2099556923778335E-7</v>
      </c>
      <c r="D355" t="str">
        <f>INDEX('ei names mapping'!$B$104:$BL$133,MATCH(B$234,'ei names mapping'!$A$4:$A$33,0),MATCH(G355,'ei names mapping'!$B$3:$BL$3,0))</f>
        <v>kilogram</v>
      </c>
      <c r="E355" t="str">
        <f>INDEX('ei names mapping'!$B$305:$BL$335,MATCH(B$234,'ei names mapping'!$A$4:$A$33,0),MATCH(G355,'ei names mapping'!$B$3:$BL$3,0))</f>
        <v>air::urban air close to ground</v>
      </c>
      <c r="F355" t="s">
        <v>167</v>
      </c>
      <c r="G355" t="s">
        <v>542</v>
      </c>
    </row>
    <row r="356" spans="1:7" x14ac:dyDescent="0.2">
      <c r="A356" t="str">
        <f>INDEX('ei names mapping'!$B$4:$BL$33,MATCH(B$234,'ei names mapping'!$A$4:$A$33,0),MATCH(G356,'ei names mapping'!$B$3:$BL$3,0))</f>
        <v>Butane</v>
      </c>
      <c r="B356" s="7">
        <f>INDEX('vehicles specifications'!$B$3:$CW$166,MATCH(B$315,'vehicles specifications'!$A$3:$A$166,0),MATCH(G356,'vehicles specifications'!$B$2:$CW$2,0))*INDEX('ei names mapping'!$B$137:$BL$300,MATCH(B$315,'ei names mapping'!$A$137:$A$300,0),MATCH(G356,'ei names mapping'!$B$136:$BL$136,0))</f>
        <v>1.7815642812399767E-6</v>
      </c>
      <c r="D356" t="str">
        <f>INDEX('ei names mapping'!$B$104:$BL$133,MATCH(B$234,'ei names mapping'!$A$4:$A$33,0),MATCH(G356,'ei names mapping'!$B$3:$BL$3,0))</f>
        <v>kilogram</v>
      </c>
      <c r="E356" t="str">
        <f>INDEX('ei names mapping'!$B$305:$BL$335,MATCH(B$234,'ei names mapping'!$A$4:$A$33,0),MATCH(G356,'ei names mapping'!$B$3:$BL$3,0))</f>
        <v>air::urban air close to ground</v>
      </c>
      <c r="F356" t="s">
        <v>167</v>
      </c>
      <c r="G356" t="s">
        <v>543</v>
      </c>
    </row>
    <row r="357" spans="1:7" x14ac:dyDescent="0.2">
      <c r="A357" t="str">
        <f>INDEX('ei names mapping'!$B$4:$BL$33,MATCH(B$234,'ei names mapping'!$A$4:$A$33,0),MATCH(G357,'ei names mapping'!$B$3:$BL$3,0))</f>
        <v>Pentane</v>
      </c>
      <c r="B357" s="7">
        <f>INDEX('vehicles specifications'!$B$3:$CW$166,MATCH(B$315,'vehicles specifications'!$A$3:$A$166,0),MATCH(G357,'vehicles specifications'!$B$2:$CW$2,0))*INDEX('ei names mapping'!$B$137:$BL$300,MATCH(B$315,'ei names mapping'!$A$137:$A$300,0),MATCH(G357,'ei names mapping'!$B$136:$BL$136,0))</f>
        <v>7.3098534440189867E-7</v>
      </c>
      <c r="D357" t="str">
        <f>INDEX('ei names mapping'!$B$104:$BL$133,MATCH(B$234,'ei names mapping'!$A$4:$A$33,0),MATCH(G357,'ei names mapping'!$B$3:$BL$3,0))</f>
        <v>kilogram</v>
      </c>
      <c r="E357" t="str">
        <f>INDEX('ei names mapping'!$B$305:$BL$335,MATCH(B$234,'ei names mapping'!$A$4:$A$33,0),MATCH(G357,'ei names mapping'!$B$3:$BL$3,0))</f>
        <v>air::urban air close to ground</v>
      </c>
      <c r="F357" t="s">
        <v>167</v>
      </c>
      <c r="G357" t="s">
        <v>544</v>
      </c>
    </row>
    <row r="358" spans="1:7" x14ac:dyDescent="0.2">
      <c r="A358" t="str">
        <f>INDEX('ei names mapping'!$B$4:$BL$33,MATCH(B$234,'ei names mapping'!$A$4:$A$33,0),MATCH(G358,'ei names mapping'!$B$3:$BL$3,0))</f>
        <v>Hexane</v>
      </c>
      <c r="B358" s="7">
        <f>INDEX('vehicles specifications'!$B$3:$CW$166,MATCH(B$315,'vehicles specifications'!$A$3:$A$166,0),MATCH(G358,'vehicles specifications'!$B$2:$CW$2,0))*INDEX('ei names mapping'!$B$137:$BL$300,MATCH(B$315,'ei names mapping'!$A$137:$A$300,0),MATCH(G358,'ei names mapping'!$B$136:$BL$136,0))</f>
        <v>5.4738902534281725E-7</v>
      </c>
      <c r="D358" t="str">
        <f>INDEX('ei names mapping'!$B$104:$BL$133,MATCH(B$234,'ei names mapping'!$A$4:$A$33,0),MATCH(G358,'ei names mapping'!$B$3:$BL$3,0))</f>
        <v>kilogram</v>
      </c>
      <c r="E358" t="str">
        <f>INDEX('ei names mapping'!$B$305:$BL$335,MATCH(B$234,'ei names mapping'!$A$4:$A$33,0),MATCH(G358,'ei names mapping'!$B$3:$BL$3,0))</f>
        <v>air::urban air close to ground</v>
      </c>
      <c r="F358" t="s">
        <v>167</v>
      </c>
      <c r="G358" t="s">
        <v>545</v>
      </c>
    </row>
    <row r="359" spans="1:7" x14ac:dyDescent="0.2">
      <c r="A359" t="str">
        <f>INDEX('ei names mapping'!$B$4:$BL$33,MATCH(B$234,'ei names mapping'!$A$4:$A$33,0),MATCH(G359,'ei names mapping'!$B$3:$BL$3,0))</f>
        <v>Cyclohexane</v>
      </c>
      <c r="B359" s="7">
        <f>INDEX('vehicles specifications'!$B$3:$CW$166,MATCH(B$315,'vehicles specifications'!$A$3:$A$166,0),MATCH(G359,'vehicles specifications'!$B$2:$CW$2,0))*INDEX('ei names mapping'!$B$137:$BL$300,MATCH(B$315,'ei names mapping'!$A$137:$A$300,0),MATCH(G359,'ei names mapping'!$B$136:$BL$136,0))</f>
        <v>3.875922291247277E-7</v>
      </c>
      <c r="D359" t="str">
        <f>INDEX('ei names mapping'!$B$104:$BL$133,MATCH(B$234,'ei names mapping'!$A$4:$A$33,0),MATCH(G359,'ei names mapping'!$B$3:$BL$3,0))</f>
        <v>kilogram</v>
      </c>
      <c r="E359" t="str">
        <f>INDEX('ei names mapping'!$B$305:$BL$335,MATCH(B$234,'ei names mapping'!$A$4:$A$33,0),MATCH(G359,'ei names mapping'!$B$3:$BL$3,0))</f>
        <v>air::urban air close to ground</v>
      </c>
      <c r="F359" t="s">
        <v>167</v>
      </c>
      <c r="G359" t="s">
        <v>546</v>
      </c>
    </row>
    <row r="360" spans="1:7" x14ac:dyDescent="0.2">
      <c r="A360" t="str">
        <f>INDEX('ei names mapping'!$B$4:$BL$33,MATCH(B$234,'ei names mapping'!$A$4:$A$33,0),MATCH(G360,'ei names mapping'!$B$3:$BL$3,0))</f>
        <v>Heptane</v>
      </c>
      <c r="B360" s="7">
        <f>INDEX('vehicles specifications'!$B$3:$CW$166,MATCH(B$315,'vehicles specifications'!$A$3:$A$166,0),MATCH(G360,'vehicles specifications'!$B$2:$CW$2,0))*INDEX('ei names mapping'!$B$137:$BL$300,MATCH(B$315,'ei names mapping'!$A$137:$A$300,0),MATCH(G360,'ei names mapping'!$B$136:$BL$136,0))</f>
        <v>2.5159495574763026E-7</v>
      </c>
      <c r="D360" t="str">
        <f>INDEX('ei names mapping'!$B$104:$BL$133,MATCH(B$234,'ei names mapping'!$A$4:$A$33,0),MATCH(G360,'ei names mapping'!$B$3:$BL$3,0))</f>
        <v>kilogram</v>
      </c>
      <c r="E360" t="str">
        <f>INDEX('ei names mapping'!$B$305:$BL$335,MATCH(B$234,'ei names mapping'!$A$4:$A$33,0),MATCH(G360,'ei names mapping'!$B$3:$BL$3,0))</f>
        <v>air::urban air close to ground</v>
      </c>
      <c r="F360" t="s">
        <v>167</v>
      </c>
      <c r="G360" t="s">
        <v>547</v>
      </c>
    </row>
    <row r="361" spans="1:7" x14ac:dyDescent="0.2">
      <c r="A361" t="str">
        <f>INDEX('ei names mapping'!$B$4:$BL$33,MATCH(B$234,'ei names mapping'!$A$4:$A$33,0),MATCH(G361,'ei names mapping'!$B$3:$BL$3,0))</f>
        <v>Ethene</v>
      </c>
      <c r="B361" s="7">
        <f>INDEX('vehicles specifications'!$B$3:$CW$166,MATCH(B$315,'vehicles specifications'!$A$3:$A$166,0),MATCH(G361,'vehicles specifications'!$B$2:$CW$2,0))*INDEX('ei names mapping'!$B$137:$BL$300,MATCH(B$315,'ei names mapping'!$A$137:$A$300,0),MATCH(G361,'ei names mapping'!$B$136:$BL$136,0))</f>
        <v>2.481950239132028E-6</v>
      </c>
      <c r="D361" t="str">
        <f>INDEX('ei names mapping'!$B$104:$BL$133,MATCH(B$234,'ei names mapping'!$A$4:$A$33,0),MATCH(G361,'ei names mapping'!$B$3:$BL$3,0))</f>
        <v>kilogram</v>
      </c>
      <c r="E361" t="str">
        <f>INDEX('ei names mapping'!$B$305:$BL$335,MATCH(B$234,'ei names mapping'!$A$4:$A$33,0),MATCH(G361,'ei names mapping'!$B$3:$BL$3,0))</f>
        <v>air::urban air close to ground</v>
      </c>
      <c r="F361" t="s">
        <v>167</v>
      </c>
      <c r="G361" t="s">
        <v>548</v>
      </c>
    </row>
    <row r="362" spans="1:7" x14ac:dyDescent="0.2">
      <c r="A362" t="str">
        <f>INDEX('ei names mapping'!$B$4:$BL$33,MATCH(B$234,'ei names mapping'!$A$4:$A$33,0),MATCH(G362,'ei names mapping'!$B$3:$BL$3,0))</f>
        <v>Propene</v>
      </c>
      <c r="B362" s="7">
        <f>INDEX('vehicles specifications'!$B$3:$CW$166,MATCH(B$315,'vehicles specifications'!$A$3:$A$166,0),MATCH(G362,'vehicles specifications'!$B$2:$CW$2,0))*INDEX('ei names mapping'!$B$137:$BL$300,MATCH(B$315,'ei names mapping'!$A$137:$A$300,0),MATCH(G362,'ei names mapping'!$B$136:$BL$136,0))</f>
        <v>1.2987739607512805E-6</v>
      </c>
      <c r="D362" t="str">
        <f>INDEX('ei names mapping'!$B$104:$BL$133,MATCH(B$234,'ei names mapping'!$A$4:$A$33,0),MATCH(G362,'ei names mapping'!$B$3:$BL$3,0))</f>
        <v>kilogram</v>
      </c>
      <c r="E362" t="str">
        <f>INDEX('ei names mapping'!$B$305:$BL$335,MATCH(B$234,'ei names mapping'!$A$4:$A$33,0),MATCH(G362,'ei names mapping'!$B$3:$BL$3,0))</f>
        <v>air::urban air close to ground</v>
      </c>
      <c r="F362" t="s">
        <v>167</v>
      </c>
      <c r="G362" t="s">
        <v>549</v>
      </c>
    </row>
    <row r="363" spans="1:7" x14ac:dyDescent="0.2">
      <c r="A363" t="str">
        <f>INDEX('ei names mapping'!$B$4:$BL$33,MATCH(B$234,'ei names mapping'!$A$4:$A$33,0),MATCH(G363,'ei names mapping'!$B$3:$BL$3,0))</f>
        <v>1-Pentene</v>
      </c>
      <c r="B363" s="7">
        <f>INDEX('vehicles specifications'!$B$3:$CW$166,MATCH(B$315,'vehicles specifications'!$A$3:$A$166,0),MATCH(G363,'vehicles specifications'!$B$2:$CW$2,0))*INDEX('ei names mapping'!$B$137:$BL$300,MATCH(B$315,'ei names mapping'!$A$137:$A$300,0),MATCH(G363,'ei names mapping'!$B$136:$BL$136,0))</f>
        <v>3.73992501787018E-8</v>
      </c>
      <c r="D363" t="str">
        <f>INDEX('ei names mapping'!$B$104:$BL$133,MATCH(B$234,'ei names mapping'!$A$4:$A$33,0),MATCH(G363,'ei names mapping'!$B$3:$BL$3,0))</f>
        <v>kilogram</v>
      </c>
      <c r="E363" t="str">
        <f>INDEX('ei names mapping'!$B$305:$BL$335,MATCH(B$234,'ei names mapping'!$A$4:$A$33,0),MATCH(G363,'ei names mapping'!$B$3:$BL$3,0))</f>
        <v>air::urban air close to ground</v>
      </c>
      <c r="F363" t="s">
        <v>167</v>
      </c>
      <c r="G363" t="s">
        <v>550</v>
      </c>
    </row>
    <row r="364" spans="1:7" x14ac:dyDescent="0.2">
      <c r="A364" t="str">
        <f>INDEX('ei names mapping'!$B$4:$BL$33,MATCH(B$234,'ei names mapping'!$A$4:$A$33,0),MATCH(G364,'ei names mapping'!$B$3:$BL$3,0))</f>
        <v>Toluene</v>
      </c>
      <c r="B364" s="7">
        <f>INDEX('vehicles specifications'!$B$3:$CW$166,MATCH(B$315,'vehicles specifications'!$A$3:$A$166,0),MATCH(G364,'vehicles specifications'!$B$2:$CW$2,0))*INDEX('ei names mapping'!$B$137:$BL$300,MATCH(B$315,'ei names mapping'!$A$137:$A$300,0),MATCH(G364,'ei names mapping'!$B$136:$BL$136,0))</f>
        <v>3.7331251542013252E-6</v>
      </c>
      <c r="D364" t="str">
        <f>INDEX('ei names mapping'!$B$104:$BL$133,MATCH(B$234,'ei names mapping'!$A$4:$A$33,0),MATCH(G364,'ei names mapping'!$B$3:$BL$3,0))</f>
        <v>kilogram</v>
      </c>
      <c r="E364" t="str">
        <f>INDEX('ei names mapping'!$B$305:$BL$335,MATCH(B$234,'ei names mapping'!$A$4:$A$33,0),MATCH(G364,'ei names mapping'!$B$3:$BL$3,0))</f>
        <v>air::urban air close to ground</v>
      </c>
      <c r="F364" t="s">
        <v>167</v>
      </c>
      <c r="G364" t="s">
        <v>551</v>
      </c>
    </row>
    <row r="365" spans="1:7" x14ac:dyDescent="0.2">
      <c r="A365" t="str">
        <f>INDEX('ei names mapping'!$B$4:$BL$33,MATCH(B$234,'ei names mapping'!$A$4:$A$33,0),MATCH(G365,'ei names mapping'!$B$3:$BL$3,0))</f>
        <v>m-Xylene</v>
      </c>
      <c r="B365" s="7">
        <f>INDEX('vehicles specifications'!$B$3:$CW$166,MATCH(B$315,'vehicles specifications'!$A$3:$A$166,0),MATCH(G365,'vehicles specifications'!$B$2:$CW$2,0))*INDEX('ei names mapping'!$B$137:$BL$300,MATCH(B$315,'ei names mapping'!$A$137:$A$300,0),MATCH(G365,'ei names mapping'!$B$136:$BL$136,0))</f>
        <v>1.8461629860940981E-6</v>
      </c>
      <c r="D365" t="str">
        <f>INDEX('ei names mapping'!$B$104:$BL$133,MATCH(B$234,'ei names mapping'!$A$4:$A$33,0),MATCH(G365,'ei names mapping'!$B$3:$BL$3,0))</f>
        <v>kilogram</v>
      </c>
      <c r="E365" t="str">
        <f>INDEX('ei names mapping'!$B$305:$BL$335,MATCH(B$234,'ei names mapping'!$A$4:$A$33,0),MATCH(G365,'ei names mapping'!$B$3:$BL$3,0))</f>
        <v>air::urban air close to ground</v>
      </c>
      <c r="F365" t="s">
        <v>167</v>
      </c>
      <c r="G365" t="s">
        <v>552</v>
      </c>
    </row>
    <row r="366" spans="1:7" x14ac:dyDescent="0.2">
      <c r="A366" t="str">
        <f>INDEX('ei names mapping'!$B$4:$BL$33,MATCH(B$234,'ei names mapping'!$A$4:$A$33,0),MATCH(G366,'ei names mapping'!$B$3:$BL$3,0))</f>
        <v>o-Xylene</v>
      </c>
      <c r="B366" s="7">
        <f>INDEX('vehicles specifications'!$B$3:$CW$166,MATCH(B$315,'vehicles specifications'!$A$3:$A$166,0),MATCH(G366,'vehicles specifications'!$B$2:$CW$2,0))*INDEX('ei names mapping'!$B$137:$BL$300,MATCH(B$315,'ei names mapping'!$A$137:$A$300,0),MATCH(G366,'ei names mapping'!$B$136:$BL$136,0))</f>
        <v>7.6838459458060058E-7</v>
      </c>
      <c r="D366" t="str">
        <f>INDEX('ei names mapping'!$B$104:$BL$133,MATCH(B$234,'ei names mapping'!$A$4:$A$33,0),MATCH(G366,'ei names mapping'!$B$3:$BL$3,0))</f>
        <v>kilogram</v>
      </c>
      <c r="E366" t="str">
        <f>INDEX('ei names mapping'!$B$305:$BL$335,MATCH(B$234,'ei names mapping'!$A$4:$A$33,0),MATCH(G366,'ei names mapping'!$B$3:$BL$3,0))</f>
        <v>air::urban air close to ground</v>
      </c>
      <c r="F366" t="s">
        <v>167</v>
      </c>
      <c r="G366" t="s">
        <v>553</v>
      </c>
    </row>
    <row r="367" spans="1:7" x14ac:dyDescent="0.2">
      <c r="A367" t="str">
        <f>INDEX('ei names mapping'!$B$4:$BL$33,MATCH(B$234,'ei names mapping'!$A$4:$A$33,0),MATCH(G367,'ei names mapping'!$B$3:$BL$3,0))</f>
        <v>Formaldehyde</v>
      </c>
      <c r="B367" s="7">
        <f>INDEX('vehicles specifications'!$B$3:$CW$166,MATCH(B$315,'vehicles specifications'!$A$3:$A$166,0),MATCH(G367,'vehicles specifications'!$B$2:$CW$2,0))*INDEX('ei names mapping'!$B$137:$BL$300,MATCH(B$315,'ei names mapping'!$A$137:$A$300,0),MATCH(G367,'ei names mapping'!$B$136:$BL$136,0))</f>
        <v>5.7798841185266424E-7</v>
      </c>
      <c r="D367" t="str">
        <f>INDEX('ei names mapping'!$B$104:$BL$133,MATCH(B$234,'ei names mapping'!$A$4:$A$33,0),MATCH(G367,'ei names mapping'!$B$3:$BL$3,0))</f>
        <v>kilogram</v>
      </c>
      <c r="E367" t="str">
        <f>INDEX('ei names mapping'!$B$305:$BL$335,MATCH(B$234,'ei names mapping'!$A$4:$A$33,0),MATCH(G367,'ei names mapping'!$B$3:$BL$3,0))</f>
        <v>air::urban air close to ground</v>
      </c>
      <c r="F367" t="s">
        <v>167</v>
      </c>
      <c r="G367" t="s">
        <v>554</v>
      </c>
    </row>
    <row r="368" spans="1:7" x14ac:dyDescent="0.2">
      <c r="A368" t="str">
        <f>INDEX('ei names mapping'!$B$4:$BL$33,MATCH(B$234,'ei names mapping'!$A$4:$A$33,0),MATCH(G368,'ei names mapping'!$B$3:$BL$3,0))</f>
        <v>Acetaldehyde</v>
      </c>
      <c r="B368" s="7">
        <f>INDEX('vehicles specifications'!$B$3:$CW$166,MATCH(B$315,'vehicles specifications'!$A$3:$A$166,0),MATCH(G368,'vehicles specifications'!$B$2:$CW$2,0))*INDEX('ei names mapping'!$B$137:$BL$300,MATCH(B$315,'ei names mapping'!$A$137:$A$300,0),MATCH(G368,'ei names mapping'!$B$136:$BL$136,0))</f>
        <v>2.5499488758205772E-7</v>
      </c>
      <c r="D368" t="str">
        <f>INDEX('ei names mapping'!$B$104:$BL$133,MATCH(B$234,'ei names mapping'!$A$4:$A$33,0),MATCH(G368,'ei names mapping'!$B$3:$BL$3,0))</f>
        <v>kilogram</v>
      </c>
      <c r="E368" t="str">
        <f>INDEX('ei names mapping'!$B$305:$BL$335,MATCH(B$234,'ei names mapping'!$A$4:$A$33,0),MATCH(G368,'ei names mapping'!$B$3:$BL$3,0))</f>
        <v>air::urban air close to ground</v>
      </c>
      <c r="F368" t="s">
        <v>167</v>
      </c>
      <c r="G368" t="s">
        <v>555</v>
      </c>
    </row>
    <row r="369" spans="1:8" x14ac:dyDescent="0.2">
      <c r="A369" t="str">
        <f>INDEX('ei names mapping'!$B$4:$BL$33,MATCH(B$234,'ei names mapping'!$A$4:$A$33,0),MATCH(G369,'ei names mapping'!$B$3:$BL$3,0))</f>
        <v>Benzaldehyde</v>
      </c>
      <c r="B369" s="7">
        <f>INDEX('vehicles specifications'!$B$3:$CW$166,MATCH(B$315,'vehicles specifications'!$A$3:$A$166,0),MATCH(G369,'vehicles specifications'!$B$2:$CW$2,0))*INDEX('ei names mapping'!$B$137:$BL$300,MATCH(B$315,'ei names mapping'!$A$137:$A$300,0),MATCH(G369,'ei names mapping'!$B$136:$BL$136,0))</f>
        <v>7.47985003574036E-8</v>
      </c>
      <c r="D369" t="str">
        <f>INDEX('ei names mapping'!$B$104:$BL$133,MATCH(B$234,'ei names mapping'!$A$4:$A$33,0),MATCH(G369,'ei names mapping'!$B$3:$BL$3,0))</f>
        <v>kilogram</v>
      </c>
      <c r="E369" t="str">
        <f>INDEX('ei names mapping'!$B$305:$BL$335,MATCH(B$234,'ei names mapping'!$A$4:$A$33,0),MATCH(G369,'ei names mapping'!$B$3:$BL$3,0))</f>
        <v>air::urban air close to ground</v>
      </c>
      <c r="F369" t="s">
        <v>167</v>
      </c>
      <c r="G369" t="s">
        <v>556</v>
      </c>
    </row>
    <row r="370" spans="1:8" x14ac:dyDescent="0.2">
      <c r="A370" t="str">
        <f>INDEX('ei names mapping'!$B$4:$BL$33,MATCH(B$234,'ei names mapping'!$A$4:$A$33,0),MATCH(G370,'ei names mapping'!$B$3:$BL$3,0))</f>
        <v>Acetone</v>
      </c>
      <c r="B370" s="7">
        <f>INDEX('vehicles specifications'!$B$3:$CW$166,MATCH(B$315,'vehicles specifications'!$A$3:$A$166,0),MATCH(G370,'vehicles specifications'!$B$2:$CW$2,0))*INDEX('ei names mapping'!$B$137:$BL$300,MATCH(B$315,'ei names mapping'!$A$137:$A$300,0),MATCH(G370,'ei names mapping'!$B$136:$BL$136,0))</f>
        <v>2.0739584190007364E-7</v>
      </c>
      <c r="D370" t="str">
        <f>INDEX('ei names mapping'!$B$104:$BL$133,MATCH(B$234,'ei names mapping'!$A$4:$A$33,0),MATCH(G370,'ei names mapping'!$B$3:$BL$3,0))</f>
        <v>kilogram</v>
      </c>
      <c r="E370" t="str">
        <f>INDEX('ei names mapping'!$B$305:$BL$335,MATCH(B$234,'ei names mapping'!$A$4:$A$33,0),MATCH(G370,'ei names mapping'!$B$3:$BL$3,0))</f>
        <v>air::urban air close to ground</v>
      </c>
      <c r="F370" t="s">
        <v>167</v>
      </c>
      <c r="G370" t="s">
        <v>557</v>
      </c>
    </row>
    <row r="371" spans="1:8" x14ac:dyDescent="0.2">
      <c r="A371" t="str">
        <f>INDEX('ei names mapping'!$B$4:$BL$33,MATCH(B$234,'ei names mapping'!$A$4:$A$33,0),MATCH(G371,'ei names mapping'!$B$3:$BL$3,0))</f>
        <v>Methyl ethyl ketone</v>
      </c>
      <c r="B371" s="7">
        <f>INDEX('vehicles specifications'!$B$3:$CW$166,MATCH(B$315,'vehicles specifications'!$A$3:$A$166,0),MATCH(G371,'vehicles specifications'!$B$2:$CW$2,0))*INDEX('ei names mapping'!$B$137:$BL$300,MATCH(B$315,'ei names mapping'!$A$137:$A$300,0),MATCH(G371,'ei names mapping'!$B$136:$BL$136,0))</f>
        <v>0</v>
      </c>
      <c r="D371" t="str">
        <f>INDEX('ei names mapping'!$B$104:$BL$133,MATCH(B$234,'ei names mapping'!$A$4:$A$33,0),MATCH(G371,'ei names mapping'!$B$3:$BL$3,0))</f>
        <v>kilogram</v>
      </c>
      <c r="E371" t="str">
        <f>INDEX('ei names mapping'!$B$305:$BL$335,MATCH(B$234,'ei names mapping'!$A$4:$A$33,0),MATCH(G371,'ei names mapping'!$B$3:$BL$3,0))</f>
        <v>air::urban air close to ground</v>
      </c>
      <c r="F371" t="s">
        <v>167</v>
      </c>
      <c r="G371" t="s">
        <v>560</v>
      </c>
    </row>
    <row r="372" spans="1:8" x14ac:dyDescent="0.2">
      <c r="A372" t="str">
        <f>INDEX('ei names mapping'!$B$4:$BL$33,MATCH(B$234,'ei names mapping'!$A$4:$A$33,0),MATCH(G372,'ei names mapping'!$B$3:$BL$3,0))</f>
        <v>Acrolein</v>
      </c>
      <c r="B372" s="7">
        <f>INDEX('vehicles specifications'!$B$3:$CW$166,MATCH(B$315,'vehicles specifications'!$A$3:$A$166,0),MATCH(G372,'vehicles specifications'!$B$2:$CW$2,0))*INDEX('ei names mapping'!$B$137:$BL$300,MATCH(B$315,'ei names mapping'!$A$137:$A$300,0),MATCH(G372,'ei names mapping'!$B$136:$BL$136,0))</f>
        <v>6.4598704854121283E-8</v>
      </c>
      <c r="D372" t="str">
        <f>INDEX('ei names mapping'!$B$104:$BL$133,MATCH(B$234,'ei names mapping'!$A$4:$A$33,0),MATCH(G372,'ei names mapping'!$B$3:$BL$3,0))</f>
        <v>kilogram</v>
      </c>
      <c r="E372" t="str">
        <f>INDEX('ei names mapping'!$B$305:$BL$335,MATCH(B$234,'ei names mapping'!$A$4:$A$33,0),MATCH(G372,'ei names mapping'!$B$3:$BL$3,0))</f>
        <v>air::urban air close to ground</v>
      </c>
      <c r="F372" t="s">
        <v>167</v>
      </c>
      <c r="G372" t="s">
        <v>558</v>
      </c>
    </row>
    <row r="373" spans="1:8" x14ac:dyDescent="0.2">
      <c r="A373" t="str">
        <f>INDEX('ei names mapping'!$B$4:$BL$33,MATCH(B$234,'ei names mapping'!$A$4:$A$33,0),MATCH(G373,'ei names mapping'!$B$3:$BL$3,0))</f>
        <v>Styrene</v>
      </c>
      <c r="B373" s="7">
        <f>INDEX('vehicles specifications'!$B$3:$CW$166,MATCH(B$315,'vehicles specifications'!$A$3:$A$166,0),MATCH(G373,'vehicles specifications'!$B$2:$CW$2,0))*INDEX('ei names mapping'!$B$137:$BL$300,MATCH(B$315,'ei names mapping'!$A$137:$A$300,0),MATCH(G373,'ei names mapping'!$B$136:$BL$136,0))</f>
        <v>3.4339311527717102E-7</v>
      </c>
      <c r="D373" t="str">
        <f>INDEX('ei names mapping'!$B$104:$BL$133,MATCH(B$234,'ei names mapping'!$A$4:$A$33,0),MATCH(G373,'ei names mapping'!$B$3:$BL$3,0))</f>
        <v>kilogram</v>
      </c>
      <c r="E373" t="str">
        <f>INDEX('ei names mapping'!$B$305:$BL$335,MATCH(B$234,'ei names mapping'!$A$4:$A$33,0),MATCH(G373,'ei names mapping'!$B$3:$BL$3,0))</f>
        <v>air::urban air close to ground</v>
      </c>
      <c r="F373" t="s">
        <v>167</v>
      </c>
      <c r="G373" t="s">
        <v>559</v>
      </c>
    </row>
    <row r="374" spans="1:8" x14ac:dyDescent="0.2">
      <c r="A374" t="str">
        <f>INDEX('ei names mapping'!$B$4:$BL$33,MATCH(B$234,'ei names mapping'!$A$4:$A$33,0),MATCH(G374,'ei names mapping'!$B$3:$BL$3,0))</f>
        <v>PAH, polycyclic aromatic hydrocarbons</v>
      </c>
      <c r="B374" s="7">
        <f>INDEX('vehicles specifications'!$B$3:$CW$166,MATCH(B$315,'vehicles specifications'!$A$3:$A$166,0),MATCH(G374,'vehicles specifications'!$B$2:$CW$2,0))*INDEX('ei names mapping'!$B$137:$BL$300,MATCH(B$315,'ei names mapping'!$A$137:$A$300,0),MATCH(G374,'ei names mapping'!$B$136:$BL$136,0))</f>
        <v>1.206547130504338E-9</v>
      </c>
      <c r="D374" t="str">
        <f>INDEX('ei names mapping'!$B$104:$BL$133,MATCH(B$234,'ei names mapping'!$A$4:$A$33,0),MATCH(G374,'ei names mapping'!$B$3:$BL$3,0))</f>
        <v>kilogram</v>
      </c>
      <c r="E374" t="str">
        <f>INDEX('ei names mapping'!$B$305:$BL$335,MATCH(B$234,'ei names mapping'!$A$4:$A$33,0),MATCH(G374,'ei names mapping'!$B$3:$BL$3,0))</f>
        <v>air::urban air close to ground</v>
      </c>
      <c r="F374" t="s">
        <v>167</v>
      </c>
      <c r="G374" t="s">
        <v>561</v>
      </c>
    </row>
    <row r="375" spans="1:8" x14ac:dyDescent="0.2">
      <c r="A375" t="str">
        <f>INDEX('ei names mapping'!$B$4:$BL$33,MATCH(B$234,'ei names mapping'!$A$4:$A$33,0),MATCH(G375,'ei names mapping'!$B$3:$BL$3,0))</f>
        <v>Arsenic</v>
      </c>
      <c r="B375" s="7">
        <f>INDEX('vehicles specifications'!$B$3:$CW$166,MATCH(B$315,'vehicles specifications'!$A$3:$A$166,0),MATCH(G375,'vehicles specifications'!$B$2:$CW$2,0))*INDEX('ei names mapping'!$B$137:$BL$300,MATCH(B$315,'ei names mapping'!$A$137:$A$300,0),MATCH(G375,'ei names mapping'!$B$136:$BL$136,0))</f>
        <v>1.0401268366416708E-11</v>
      </c>
      <c r="D375" t="str">
        <f>INDEX('ei names mapping'!$B$104:$BL$133,MATCH(B$234,'ei names mapping'!$A$4:$A$33,0),MATCH(G375,'ei names mapping'!$B$3:$BL$3,0))</f>
        <v>kilogram</v>
      </c>
      <c r="E375" t="str">
        <f>INDEX('ei names mapping'!$B$305:$BL$335,MATCH(B$234,'ei names mapping'!$A$4:$A$33,0),MATCH(G375,'ei names mapping'!$B$3:$BL$3,0))</f>
        <v>air::urban air close to ground</v>
      </c>
      <c r="F375" t="s">
        <v>167</v>
      </c>
      <c r="G375" t="s">
        <v>562</v>
      </c>
    </row>
    <row r="376" spans="1:8" x14ac:dyDescent="0.2">
      <c r="A376" t="str">
        <f>INDEX('ei names mapping'!$B$4:$BL$33,MATCH(B$234,'ei names mapping'!$A$4:$A$33,0),MATCH(G376,'ei names mapping'!$B$3:$BL$3,0))</f>
        <v>Selenium</v>
      </c>
      <c r="B376" s="7">
        <f>INDEX('vehicles specifications'!$B$3:$CW$166,MATCH(B$315,'vehicles specifications'!$A$3:$A$166,0),MATCH(G376,'vehicles specifications'!$B$2:$CW$2,0))*INDEX('ei names mapping'!$B$137:$BL$300,MATCH(B$315,'ei names mapping'!$A$137:$A$300,0),MATCH(G376,'ei names mapping'!$B$136:$BL$136,0))</f>
        <v>6.9341789109444719E-12</v>
      </c>
      <c r="D376" t="str">
        <f>INDEX('ei names mapping'!$B$104:$BL$133,MATCH(B$234,'ei names mapping'!$A$4:$A$33,0),MATCH(G376,'ei names mapping'!$B$3:$BL$3,0))</f>
        <v>kilogram</v>
      </c>
      <c r="E376" t="str">
        <f>INDEX('ei names mapping'!$B$305:$BL$335,MATCH(B$234,'ei names mapping'!$A$4:$A$33,0),MATCH(G376,'ei names mapping'!$B$3:$BL$3,0))</f>
        <v>air::urban air close to ground</v>
      </c>
      <c r="F376" t="s">
        <v>167</v>
      </c>
      <c r="G376" t="s">
        <v>563</v>
      </c>
    </row>
    <row r="377" spans="1:8" x14ac:dyDescent="0.2">
      <c r="A377" t="str">
        <f>INDEX('ei names mapping'!$B$4:$BL$33,MATCH(B$234,'ei names mapping'!$A$4:$A$33,0),MATCH(G377,'ei names mapping'!$B$3:$BL$3,0))</f>
        <v>Zinc</v>
      </c>
      <c r="B377" s="7">
        <f>INDEX('vehicles specifications'!$B$3:$CW$166,MATCH(B$315,'vehicles specifications'!$A$3:$A$166,0),MATCH(G377,'vehicles specifications'!$B$2:$CW$2,0))*INDEX('ei names mapping'!$B$137:$BL$300,MATCH(B$315,'ei names mapping'!$A$137:$A$300,0),MATCH(G377,'ei names mapping'!$B$136:$BL$136,0))</f>
        <v>7.4889132238200295E-8</v>
      </c>
      <c r="D377" t="str">
        <f>INDEX('ei names mapping'!$B$104:$BL$133,MATCH(B$234,'ei names mapping'!$A$4:$A$33,0),MATCH(G377,'ei names mapping'!$B$3:$BL$3,0))</f>
        <v>kilogram</v>
      </c>
      <c r="E377" t="str">
        <f>INDEX('ei names mapping'!$B$305:$BL$335,MATCH(B$234,'ei names mapping'!$A$4:$A$33,0),MATCH(G377,'ei names mapping'!$B$3:$BL$3,0))</f>
        <v>air::urban air close to ground</v>
      </c>
      <c r="F377" t="s">
        <v>167</v>
      </c>
      <c r="G377" t="s">
        <v>564</v>
      </c>
    </row>
    <row r="378" spans="1:8" x14ac:dyDescent="0.2">
      <c r="A378" t="str">
        <f>INDEX('ei names mapping'!$B$4:$BL$33,MATCH(B$234,'ei names mapping'!$A$4:$A$33,0),MATCH(G378,'ei names mapping'!$B$3:$BL$3,0))</f>
        <v>Copper</v>
      </c>
      <c r="B378" s="7">
        <f>INDEX('vehicles specifications'!$B$3:$CW$166,MATCH(B$315,'vehicles specifications'!$A$3:$A$166,0),MATCH(G378,'vehicles specifications'!$B$2:$CW$2,0))*INDEX('ei names mapping'!$B$137:$BL$300,MATCH(B$315,'ei names mapping'!$A$137:$A$300,0),MATCH(G378,'ei names mapping'!$B$136:$BL$136,0))</f>
        <v>1.4561775712983389E-9</v>
      </c>
      <c r="D378" t="str">
        <f>INDEX('ei names mapping'!$B$104:$BL$133,MATCH(B$234,'ei names mapping'!$A$4:$A$33,0),MATCH(G378,'ei names mapping'!$B$3:$BL$3,0))</f>
        <v>kilogram</v>
      </c>
      <c r="E378" t="str">
        <f>INDEX('ei names mapping'!$B$305:$BL$335,MATCH(B$234,'ei names mapping'!$A$4:$A$33,0),MATCH(G378,'ei names mapping'!$B$3:$BL$3,0))</f>
        <v>air::urban air close to ground</v>
      </c>
      <c r="F378" t="s">
        <v>167</v>
      </c>
      <c r="G378" t="s">
        <v>522</v>
      </c>
    </row>
    <row r="379" spans="1:8" x14ac:dyDescent="0.2">
      <c r="A379" t="str">
        <f>INDEX('ei names mapping'!$B$4:$BL$33,MATCH(B$234,'ei names mapping'!$A$4:$A$33,0),MATCH(G379,'ei names mapping'!$B$3:$BL$3,0))</f>
        <v>Nickel</v>
      </c>
      <c r="B379" s="7">
        <f>INDEX('vehicles specifications'!$B$3:$CW$166,MATCH(B$315,'vehicles specifications'!$A$3:$A$166,0),MATCH(G379,'vehicles specifications'!$B$2:$CW$2,0))*INDEX('ei names mapping'!$B$137:$BL$300,MATCH(B$315,'ei names mapping'!$A$137:$A$300,0),MATCH(G379,'ei names mapping'!$B$136:$BL$136,0))</f>
        <v>4.5072162921139066E-10</v>
      </c>
      <c r="D379" t="str">
        <f>INDEX('ei names mapping'!$B$104:$BL$133,MATCH(B$234,'ei names mapping'!$A$4:$A$33,0),MATCH(G379,'ei names mapping'!$B$3:$BL$3,0))</f>
        <v>kilogram</v>
      </c>
      <c r="E379" t="str">
        <f>INDEX('ei names mapping'!$B$305:$BL$335,MATCH(B$234,'ei names mapping'!$A$4:$A$33,0),MATCH(G379,'ei names mapping'!$B$3:$BL$3,0))</f>
        <v>air::urban air close to ground</v>
      </c>
      <c r="F379" t="s">
        <v>167</v>
      </c>
      <c r="G379" t="s">
        <v>524</v>
      </c>
    </row>
    <row r="380" spans="1:8" x14ac:dyDescent="0.2">
      <c r="A380" t="str">
        <f>INDEX('ei names mapping'!$B$4:$BL$33,MATCH(B$234,'ei names mapping'!$A$4:$A$33,0),MATCH(G380,'ei names mapping'!$B$3:$BL$3,0))</f>
        <v>Chromium</v>
      </c>
      <c r="B380" s="7">
        <f>INDEX('vehicles specifications'!$B$3:$CW$166,MATCH(B$315,'vehicles specifications'!$A$3:$A$166,0),MATCH(G380,'vehicles specifications'!$B$2:$CW$2,0))*INDEX('ei names mapping'!$B$137:$BL$300,MATCH(B$315,'ei names mapping'!$A$137:$A$300,0),MATCH(G380,'ei names mapping'!$B$136:$BL$136,0))</f>
        <v>5.5473431287555782E-10</v>
      </c>
      <c r="D380" t="str">
        <f>INDEX('ei names mapping'!$B$104:$BL$133,MATCH(B$234,'ei names mapping'!$A$4:$A$33,0),MATCH(G380,'ei names mapping'!$B$3:$BL$3,0))</f>
        <v>kilogram</v>
      </c>
      <c r="E380" t="str">
        <f>INDEX('ei names mapping'!$B$305:$BL$335,MATCH(B$234,'ei names mapping'!$A$4:$A$33,0),MATCH(G380,'ei names mapping'!$B$3:$BL$3,0))</f>
        <v>air::urban air close to ground</v>
      </c>
      <c r="F380" t="s">
        <v>167</v>
      </c>
      <c r="G380" t="s">
        <v>523</v>
      </c>
    </row>
    <row r="381" spans="1:8" x14ac:dyDescent="0.2">
      <c r="A381" t="str">
        <f>INDEX('ei names mapping'!$B$4:$BL$33,MATCH(B$234,'ei names mapping'!$A$4:$A$33,0),MATCH(G381,'ei names mapping'!$B$3:$BL$3,0))</f>
        <v>Chromium VI</v>
      </c>
      <c r="B381" s="7">
        <f>INDEX('vehicles specifications'!$B$3:$CW$166,MATCH(B$315,'vehicles specifications'!$A$3:$A$166,0),MATCH(G381,'vehicles specifications'!$B$2:$CW$2,0))*INDEX('ei names mapping'!$B$137:$BL$300,MATCH(B$315,'ei names mapping'!$A$137:$A$300,0),MATCH(G381,'ei names mapping'!$B$136:$BL$136,0))</f>
        <v>1.1094686257511153E-12</v>
      </c>
      <c r="D381" t="str">
        <f>INDEX('ei names mapping'!$B$104:$BL$133,MATCH(B$234,'ei names mapping'!$A$4:$A$33,0),MATCH(G381,'ei names mapping'!$B$3:$BL$3,0))</f>
        <v>kilogram</v>
      </c>
      <c r="E381" t="str">
        <f>INDEX('ei names mapping'!$B$305:$BL$335,MATCH(B$234,'ei names mapping'!$A$4:$A$33,0),MATCH(G381,'ei names mapping'!$B$3:$BL$3,0))</f>
        <v>air::urban air close to ground</v>
      </c>
      <c r="F381" t="s">
        <v>167</v>
      </c>
      <c r="G381" t="s">
        <v>567</v>
      </c>
    </row>
    <row r="382" spans="1:8" x14ac:dyDescent="0.2">
      <c r="A382" t="str">
        <f>INDEX('ei names mapping'!$B$4:$BL$33,MATCH(B$234,'ei names mapping'!$A$4:$A$33,0),MATCH(G382,'ei names mapping'!$B$3:$BL$3,0))</f>
        <v>Mercury</v>
      </c>
      <c r="B382" s="7">
        <f>INDEX('vehicles specifications'!$B$3:$CW$166,MATCH(B$315,'vehicles specifications'!$A$3:$A$166,0),MATCH(G382,'vehicles specifications'!$B$2:$CW$2,0))*INDEX('ei names mapping'!$B$137:$BL$300,MATCH(B$315,'ei names mapping'!$A$137:$A$300,0),MATCH(G382,'ei names mapping'!$B$136:$BL$136,0))</f>
        <v>3.016367826260845E-10</v>
      </c>
      <c r="D382" t="str">
        <f>INDEX('ei names mapping'!$B$104:$BL$133,MATCH(B$234,'ei names mapping'!$A$4:$A$33,0),MATCH(G382,'ei names mapping'!$B$3:$BL$3,0))</f>
        <v>kilogram</v>
      </c>
      <c r="E382" t="str">
        <f>INDEX('ei names mapping'!$B$305:$BL$335,MATCH(B$234,'ei names mapping'!$A$4:$A$33,0),MATCH(G382,'ei names mapping'!$B$3:$BL$3,0))</f>
        <v>air::urban air close to ground</v>
      </c>
      <c r="F382" t="s">
        <v>167</v>
      </c>
      <c r="G382" t="s">
        <v>565</v>
      </c>
    </row>
    <row r="383" spans="1:8" x14ac:dyDescent="0.2">
      <c r="A383" t="str">
        <f>INDEX('ei names mapping'!$B$4:$BL$33,MATCH(B$234,'ei names mapping'!$A$4:$A$33,0),MATCH(G383,'ei names mapping'!$B$3:$BL$3,0))</f>
        <v>Cadmium</v>
      </c>
      <c r="B383" s="7">
        <f>INDEX('vehicles specifications'!$B$3:$CW$166,MATCH(B$315,'vehicles specifications'!$A$3:$A$166,0),MATCH(G383,'vehicles specifications'!$B$2:$CW$2,0))*INDEX('ei names mapping'!$B$137:$BL$300,MATCH(B$315,'ei names mapping'!$A$137:$A$300,0),MATCH(G383,'ei names mapping'!$B$136:$BL$136,0))</f>
        <v>3.7444566119100157E-10</v>
      </c>
      <c r="D383" t="str">
        <f>INDEX('ei names mapping'!$B$104:$BL$133,MATCH(B$234,'ei names mapping'!$A$4:$A$33,0),MATCH(G383,'ei names mapping'!$B$3:$BL$3,0))</f>
        <v>kilogram</v>
      </c>
      <c r="E383" t="str">
        <f>INDEX('ei names mapping'!$B$305:$BL$335,MATCH(B$234,'ei names mapping'!$A$4:$A$33,0),MATCH(G383,'ei names mapping'!$B$3:$BL$3,0))</f>
        <v>air::urban air close to ground</v>
      </c>
      <c r="F383" t="s">
        <v>167</v>
      </c>
      <c r="G383" t="s">
        <v>566</v>
      </c>
    </row>
    <row r="384" spans="1:8" x14ac:dyDescent="0.2">
      <c r="A384" t="str">
        <f>INDEX('ei names mapping'!$B$4:$BL$33,MATCH(B312,'ei names mapping'!$A$4:$A$33,0),MATCH(G384,'ei names mapping'!$B$3:$BL$3,0))</f>
        <v>treatment of road wear emissions, passenger car</v>
      </c>
      <c r="B384" s="7">
        <f>INDEX('vehicles specifications'!$B$3:$CW$166,MATCH(B315,'vehicles specifications'!$A$3:$A$166,0),MATCH(G384,'vehicles specifications'!$B$2:$CW$2,0))*INDEX('ei names mapping'!$B$137:$BL$300,MATCH(B315,'ei names mapping'!$A$137:$A$300,0),MATCH(G384,'ei names mapping'!$B$136:$BL$136,0))</f>
        <v>-8.5891628161937534E-6</v>
      </c>
      <c r="C384" t="str">
        <f>INDEX('ei names mapping'!$B$38:$BL$67,MATCH(B312,'ei names mapping'!$A$4:$A$33,0),MATCH(G384,'ei names mapping'!$B$3:$BL$3,0))</f>
        <v>RER</v>
      </c>
      <c r="D384" t="str">
        <f>INDEX('ei names mapping'!$B$104:$BL$133,MATCH(B312,'ei names mapping'!$A$4:$A$33,0),MATCH(G384,'ei names mapping'!$B$3:$BL$3,0))</f>
        <v>kilogram</v>
      </c>
      <c r="F384" t="s">
        <v>89</v>
      </c>
      <c r="G384" t="s">
        <v>29</v>
      </c>
      <c r="H384" t="str">
        <f>INDEX('ei names mapping'!$B$71:$BL$100,MATCH(B312,'ei names mapping'!$A$4:$A$33,0),MATCH(G384,'ei names mapping'!$B$3:$BL$3,0))</f>
        <v>road wear emissions, passenger car</v>
      </c>
    </row>
    <row r="385" spans="1:8" x14ac:dyDescent="0.2">
      <c r="A385" t="str">
        <f>INDEX('ei names mapping'!$B$4:$BL$33,MATCH(B312,'ei names mapping'!$A$4:$A$33,0),MATCH(G385,'ei names mapping'!$B$3:$BL$3,0))</f>
        <v>treatment of tyre wear emissions, passenger car</v>
      </c>
      <c r="B385" s="7">
        <f>INDEX('vehicles specifications'!$B$3:$CW$166,MATCH(B315,'vehicles specifications'!$A$3:$A$166,0),MATCH(G385,'vehicles specifications'!$B$2:$CW$2,0))*INDEX('ei names mapping'!$B$137:$BL$300,MATCH(B315,'ei names mapping'!$A$137:$A$300,0),MATCH(G385,'ei names mapping'!$B$136:$BL$136,0))</f>
        <v>-5.6888158267475719E-6</v>
      </c>
      <c r="C385" t="str">
        <f>INDEX('ei names mapping'!$B$38:$BL$67,MATCH(B312,'ei names mapping'!$A$4:$A$33,0),MATCH(G385,'ei names mapping'!$B$3:$BL$3,0))</f>
        <v>RER</v>
      </c>
      <c r="D385" t="str">
        <f>INDEX('ei names mapping'!$B$104:$BL$133,MATCH(B312,'ei names mapping'!$A$4:$A$33,0),MATCH(G385,'ei names mapping'!$B$3:$BL$3,0))</f>
        <v>kilogram</v>
      </c>
      <c r="F385" t="s">
        <v>89</v>
      </c>
      <c r="G385" t="s">
        <v>30</v>
      </c>
      <c r="H385" t="str">
        <f>INDEX('ei names mapping'!$B$71:$BL$100,MATCH(B312,'ei names mapping'!$A$4:$A$33,0),MATCH(G385,'ei names mapping'!$B$3:$BL$3,0))</f>
        <v>tyre wear emissions, passenger car</v>
      </c>
    </row>
    <row r="386" spans="1:8" x14ac:dyDescent="0.2">
      <c r="A386" t="str">
        <f>INDEX('ei names mapping'!$B$4:$BL$33,MATCH(B312,'ei names mapping'!$A$4:$A$33,0),MATCH(G386,'ei names mapping'!$B$3:$BL$3,0))</f>
        <v>treatment of brake wear emissions, passenger car</v>
      </c>
      <c r="B386" s="7">
        <f>INDEX('vehicles specifications'!$B$3:$CW$166,MATCH(B315,'vehicles specifications'!$A$3:$A$166,0),MATCH(G386,'vehicles specifications'!$B$2:$CW$2,0))*INDEX('ei names mapping'!$B$137:$BL$300,MATCH(B315,'ei names mapping'!$A$137:$A$300,0),MATCH(G386,'ei names mapping'!$B$136:$BL$136,0))</f>
        <v>-3.1599080713138445E-6</v>
      </c>
      <c r="C386" t="str">
        <f>INDEX('ei names mapping'!$B$38:$BL$67,MATCH(B312,'ei names mapping'!$A$4:$A$33,0),MATCH(G386,'ei names mapping'!$B$3:$BL$3,0))</f>
        <v>RER</v>
      </c>
      <c r="D386" t="str">
        <f>INDEX('ei names mapping'!$B$104:$BL$133,MATCH(B312,'ei names mapping'!$A$4:$A$33,0),MATCH(G386,'ei names mapping'!$B$3:$BL$3,0))</f>
        <v>kilogram</v>
      </c>
      <c r="F386" t="s">
        <v>89</v>
      </c>
      <c r="G386" t="s">
        <v>31</v>
      </c>
      <c r="H386" t="str">
        <f>INDEX('ei names mapping'!$B$71:$BL$100,MATCH(B312,'ei names mapping'!$A$4:$A$33,0),MATCH(G386,'ei names mapping'!$B$3:$BL$3,0))</f>
        <v>brake wear emissions, passenger car</v>
      </c>
    </row>
    <row r="388" spans="1:8" ht="16" x14ac:dyDescent="0.2">
      <c r="A388" s="10" t="s">
        <v>71</v>
      </c>
      <c r="B388" s="8" t="str">
        <f>"transport, "&amp;B390&amp;", "&amp;B392</f>
        <v>transport, Motorbike, gasoline, 11-35kW, EURO-5, 2020</v>
      </c>
    </row>
    <row r="389" spans="1:8" x14ac:dyDescent="0.2">
      <c r="A389" t="s">
        <v>72</v>
      </c>
      <c r="B389" t="s">
        <v>37</v>
      </c>
    </row>
    <row r="390" spans="1:8" x14ac:dyDescent="0.2">
      <c r="A390" t="s">
        <v>86</v>
      </c>
      <c r="B390" t="s">
        <v>622</v>
      </c>
    </row>
    <row r="391" spans="1:8" x14ac:dyDescent="0.2">
      <c r="A391" t="s">
        <v>87</v>
      </c>
    </row>
    <row r="392" spans="1:8" x14ac:dyDescent="0.2">
      <c r="A392" t="s">
        <v>88</v>
      </c>
      <c r="B392">
        <v>2020</v>
      </c>
    </row>
    <row r="393" spans="1:8" x14ac:dyDescent="0.2">
      <c r="A393" t="s">
        <v>126</v>
      </c>
      <c r="B393" t="str">
        <f>B390&amp;" - "&amp;B392&amp;" - "&amp;B389</f>
        <v>Motorbike, gasoline, 11-35kW, EURO-5 - 2020 - CH</v>
      </c>
    </row>
    <row r="394" spans="1:8" x14ac:dyDescent="0.2">
      <c r="A394" t="s">
        <v>73</v>
      </c>
      <c r="B394" t="str">
        <f>"transport, "&amp;B390</f>
        <v>transport, Motorbike, gasoline, 11-35kW, EURO-5</v>
      </c>
    </row>
    <row r="395" spans="1:8" x14ac:dyDescent="0.2">
      <c r="A395" t="s">
        <v>74</v>
      </c>
      <c r="B395" t="s">
        <v>75</v>
      </c>
    </row>
    <row r="396" spans="1:8" x14ac:dyDescent="0.2">
      <c r="A396" t="s">
        <v>76</v>
      </c>
      <c r="B396" t="s">
        <v>166</v>
      </c>
    </row>
    <row r="397" spans="1:8" x14ac:dyDescent="0.2">
      <c r="A397" t="s">
        <v>78</v>
      </c>
      <c r="B397" t="s">
        <v>1143</v>
      </c>
    </row>
    <row r="398" spans="1:8" x14ac:dyDescent="0.2">
      <c r="A398" t="s">
        <v>127</v>
      </c>
      <c r="B398">
        <f>INDEX('vehicles specifications'!$B$3:$CW$166,MATCH(B393,'vehicles specifications'!$A$3:$A$166,0),MATCH("Lifetime [km]",'vehicles specifications'!$B$2:$CW$2,0))</f>
        <v>38500</v>
      </c>
    </row>
    <row r="399" spans="1:8" x14ac:dyDescent="0.2">
      <c r="A399" t="s">
        <v>128</v>
      </c>
      <c r="B399">
        <f>INDEX('vehicles specifications'!$B$3:$CW$166,MATCH(B393,'vehicles specifications'!$A$3:$A$166,0),MATCH("Passengers [unit]",'vehicles specifications'!$B$2:$CW$2,0))</f>
        <v>1.1000000000000001</v>
      </c>
    </row>
    <row r="400" spans="1:8" x14ac:dyDescent="0.2">
      <c r="A400" t="s">
        <v>129</v>
      </c>
      <c r="B400">
        <f>INDEX('vehicles specifications'!$B$3:$CW$166,MATCH(B393,'vehicles specifications'!$A$3:$A$166,0),MATCH("Servicing [unit]",'vehicles specifications'!$B$2:$CW$2,0))</f>
        <v>1.54</v>
      </c>
    </row>
    <row r="401" spans="1:8" x14ac:dyDescent="0.2">
      <c r="A401" t="s">
        <v>130</v>
      </c>
      <c r="B401">
        <f>INDEX('vehicles specifications'!$B$3:$CW$166,MATCH(B393,'vehicles specifications'!$A$3:$A$166,0),MATCH("Energy battery replacement [unit]",'vehicles specifications'!$B$2:$CW$2,0))</f>
        <v>0</v>
      </c>
    </row>
    <row r="402" spans="1:8" x14ac:dyDescent="0.2">
      <c r="A402" t="s">
        <v>131</v>
      </c>
      <c r="B402">
        <f>INDEX('vehicles specifications'!$B$3:$CW$166,MATCH(B393,'vehicles specifications'!$A$3:$A$166,0),MATCH("Annual kilometers [km]",'vehicles specifications'!$B$2:$CW$2,0))</f>
        <v>2405</v>
      </c>
    </row>
    <row r="403" spans="1:8" x14ac:dyDescent="0.2">
      <c r="A403" t="s">
        <v>132</v>
      </c>
      <c r="B403" s="2">
        <f>INDEX('vehicles specifications'!$B$3:$CW$166,MATCH(B393,'vehicles specifications'!$A$3:$A$166,0),MATCH("Curb mass [kg]",'vehicles specifications'!$B$2:$CW$2,0))</f>
        <v>155.9375</v>
      </c>
    </row>
    <row r="404" spans="1:8" x14ac:dyDescent="0.2">
      <c r="A404" t="s">
        <v>133</v>
      </c>
      <c r="B404">
        <f>INDEX('vehicles specifications'!$B$3:$CW$166,MATCH(B393,'vehicles specifications'!$A$3:$A$166,0),MATCH("Power [kW]",'vehicles specifications'!$B$2:$CW$2,0))</f>
        <v>20</v>
      </c>
    </row>
    <row r="405" spans="1:8" x14ac:dyDescent="0.2">
      <c r="A405" t="s">
        <v>134</v>
      </c>
      <c r="B405" t="str">
        <f>INDEX('vehicles specifications'!$B$3:$CW$166,MATCH(B393,'vehicles specifications'!$A$3:$A$166,0),MATCH("Energy battery mass [kg]",'vehicles specifications'!$B$2:$CW$2,0))</f>
        <v/>
      </c>
    </row>
    <row r="406" spans="1:8" x14ac:dyDescent="0.2">
      <c r="A406" t="s">
        <v>135</v>
      </c>
      <c r="B406">
        <f>INDEX('vehicles specifications'!$B$3:$CW$166,MATCH(B393,'vehicles specifications'!$A$3:$A$166,0),MATCH("Electric energy available [kWh]",'vehicles specifications'!$B$2:$CW$2,0))</f>
        <v>0</v>
      </c>
    </row>
    <row r="407" spans="1:8" x14ac:dyDescent="0.2">
      <c r="A407" t="s">
        <v>138</v>
      </c>
      <c r="B407" s="2">
        <f>INDEX('vehicles specifications'!$B$3:$CW$166,MATCH(B393,'vehicles specifications'!$A$3:$A$166,0),MATCH("Oxydation energy stored [kWh]",'vehicles specifications'!$B$2:$CW$2,0))</f>
        <v>133.125</v>
      </c>
    </row>
    <row r="408" spans="1:8" x14ac:dyDescent="0.2">
      <c r="A408" t="s">
        <v>139</v>
      </c>
      <c r="B408">
        <f>INDEX('vehicles specifications'!$B$3:$CW$166,MATCH(B393,'vehicles specifications'!$A$3:$A$166,0),MATCH("Fuel mass [kg]",'vehicles specifications'!$B$2:$CW$2,0))</f>
        <v>11.25</v>
      </c>
    </row>
    <row r="409" spans="1:8" x14ac:dyDescent="0.2">
      <c r="A409" t="s">
        <v>136</v>
      </c>
      <c r="B409" s="2">
        <f>INDEX('vehicles specifications'!$B$3:$CW$166,MATCH(B393,'vehicles specifications'!$A$3:$A$166,0),MATCH("Range [km]",'vehicles specifications'!$B$2:$CW$2,0))</f>
        <v>328.52842356210198</v>
      </c>
    </row>
    <row r="410" spans="1:8" x14ac:dyDescent="0.2">
      <c r="A410" t="s">
        <v>137</v>
      </c>
      <c r="B410" t="str">
        <f>INDEX('vehicles specifications'!$B$3:$CW$166,MATCH(B393,'vehicles specifications'!$A$3:$A$166,0),MATCH("Emission standard",'vehicles specifications'!$B$2:$CW$2,0))</f>
        <v>EURO-5</v>
      </c>
    </row>
    <row r="411" spans="1:8" x14ac:dyDescent="0.2">
      <c r="A411" t="s">
        <v>1174</v>
      </c>
      <c r="B411" s="6">
        <f>INDEX('vehicles specifications'!$B$3:$CW$166,MATCH(B393,'vehicles specifications'!$A$3:$A$166,0),MATCH("Lightweighting rate [%]",'vehicles specifications'!$B$2:$CW$2,0))</f>
        <v>0</v>
      </c>
    </row>
    <row r="412" spans="1:8" x14ac:dyDescent="0.2">
      <c r="A412" t="s">
        <v>83</v>
      </c>
      <c r="B412"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v>
      </c>
    </row>
    <row r="413" spans="1:8" ht="16" x14ac:dyDescent="0.2">
      <c r="A413" s="10" t="s">
        <v>79</v>
      </c>
    </row>
    <row r="414" spans="1:8" x14ac:dyDescent="0.2">
      <c r="A414" t="s">
        <v>80</v>
      </c>
      <c r="B414" t="s">
        <v>81</v>
      </c>
      <c r="C414" t="s">
        <v>72</v>
      </c>
      <c r="D414" t="s">
        <v>76</v>
      </c>
      <c r="E414" t="s">
        <v>82</v>
      </c>
      <c r="F414" t="s">
        <v>74</v>
      </c>
      <c r="G414" t="s">
        <v>83</v>
      </c>
      <c r="H414" t="s">
        <v>73</v>
      </c>
    </row>
    <row r="415" spans="1:8" x14ac:dyDescent="0.2">
      <c r="A415" t="str">
        <f>B388</f>
        <v>transport, Motorbike, gasoline, 11-35kW, EURO-5, 2020</v>
      </c>
      <c r="B415">
        <v>1</v>
      </c>
      <c r="C415" t="str">
        <f>B389</f>
        <v>CH</v>
      </c>
      <c r="D415" t="s">
        <v>166</v>
      </c>
      <c r="F415" t="s">
        <v>84</v>
      </c>
      <c r="G415" t="s">
        <v>85</v>
      </c>
      <c r="H415" t="str">
        <f>B394</f>
        <v>transport, Motorbike, gasoline, 11-35kW, EURO-5</v>
      </c>
    </row>
    <row r="416" spans="1:8" x14ac:dyDescent="0.2">
      <c r="A416" t="str">
        <f>RIGHT(A415,LEN(A415)-11)</f>
        <v>Motorbike, gasoline, 11-35kW, EURO-5, 2020</v>
      </c>
      <c r="B416" s="7">
        <f>1/B398</f>
        <v>2.5974025974025975E-5</v>
      </c>
      <c r="C416" t="str">
        <f>B389</f>
        <v>CH</v>
      </c>
      <c r="D416" t="s">
        <v>76</v>
      </c>
      <c r="F416" t="s">
        <v>89</v>
      </c>
      <c r="H416" t="str">
        <f>RIGHT(H415,LEN(H415)-11)</f>
        <v>Motorbike, gasoline, 11-35kW, EURO-5</v>
      </c>
    </row>
    <row r="417" spans="1:8" x14ac:dyDescent="0.2">
      <c r="A417" t="str">
        <f>INDEX('ei names mapping'!$B$4:$R$33,MATCH(B390,'ei names mapping'!$A$4:$A$33,0),MATCH(G417,'ei names mapping'!$B$3:$R$3,0))</f>
        <v>road construction</v>
      </c>
      <c r="B417" s="7">
        <f>INDEX('vehicles specifications'!$B$3:$CW$166,MATCH(B393,'vehicles specifications'!$A$3:$A$166,0),MATCH(G417,'vehicles specifications'!$B$2:$CW$2,0))*INDEX('ei names mapping'!$B$137:$BL$300,MATCH(B393,'ei names mapping'!$A$137:$A$300,0),MATCH(G417,'ei names mapping'!$B$136:$BL$136,0))</f>
        <v>1.3126293750000001E-4</v>
      </c>
      <c r="C417" t="str">
        <f>INDEX('ei names mapping'!$B$38:$R$67,MATCH(B390,'ei names mapping'!$A$4:$A$33,0),MATCH(G417,'ei names mapping'!$B$3:$R$3,0))</f>
        <v>CH</v>
      </c>
      <c r="D417" t="str">
        <f>INDEX('ei names mapping'!$B$104:$BL$133,MATCH(B390,'ei names mapping'!$A$4:$A$33,0),MATCH(G417,'ei names mapping'!$B$3:$BL$3,0))</f>
        <v>meter-year</v>
      </c>
      <c r="F417" t="s">
        <v>89</v>
      </c>
      <c r="G417" t="s">
        <v>105</v>
      </c>
      <c r="H417" t="str">
        <f>INDEX('ei names mapping'!$B$71:$BL$100,MATCH(B390,'ei names mapping'!$A$4:$A$33,0),MATCH(G417,'ei names mapping'!$B$3:$BL$3,0))</f>
        <v>road</v>
      </c>
    </row>
    <row r="418" spans="1:8" x14ac:dyDescent="0.2">
      <c r="A418" t="str">
        <f>INDEX('ei names mapping'!$B$4:$R$33,MATCH(B390,'ei names mapping'!$A$4:$A$33,0),MATCH(G418,'ei names mapping'!$B$3:$R$3,0))</f>
        <v>road maintenance</v>
      </c>
      <c r="B418" s="7">
        <f>INDEX('vehicles specifications'!$B$3:$CW$166,MATCH(B393,'vehicles specifications'!$A$3:$A$166,0),MATCH(G418,'vehicles specifications'!$B$2:$CW$2,0))*INDEX('ei names mapping'!$B$137:$BL$300,MATCH(B393,'ei names mapping'!$A$137:$A$300,0),MATCH(G418,'ei names mapping'!$B$136:$BL$136,0))</f>
        <v>1.2899999999999999E-3</v>
      </c>
      <c r="C418" t="str">
        <f>INDEX('ei names mapping'!$B$38:$R$67,MATCH(B390,'ei names mapping'!$A$4:$A$33,0),MATCH(G418,'ei names mapping'!$B$3:$R$3,0))</f>
        <v>CH</v>
      </c>
      <c r="D418" t="str">
        <f>INDEX('ei names mapping'!$B$104:$BL$133,MATCH(B390,'ei names mapping'!$A$4:$A$33,0),MATCH(G418,'ei names mapping'!$B$3:$BL$3,0))</f>
        <v>meter-year</v>
      </c>
      <c r="F418" t="s">
        <v>89</v>
      </c>
      <c r="G418" t="s">
        <v>112</v>
      </c>
      <c r="H418" t="str">
        <f>INDEX('ei names mapping'!$B$71:$BL$100,MATCH(B390,'ei names mapping'!$A$4:$A$33,0),MATCH(G418,'ei names mapping'!$B$3:$BL$3,0))</f>
        <v>road maintenance</v>
      </c>
    </row>
    <row r="419" spans="1:8" x14ac:dyDescent="0.2">
      <c r="A419" t="str">
        <f>INDEX('ei names mapping'!$B$4:$R$33,MATCH(B390,'ei names mapping'!$A$4:$A$33,0),MATCH(G419,'ei names mapping'!$B$3:$R$3,0))</f>
        <v>maintenance, motor scooter</v>
      </c>
      <c r="B419" s="7">
        <f>INDEX('vehicles specifications'!$B$3:$CW$166,MATCH(B393,'vehicles specifications'!$A$3:$A$166,0),MATCH(G419,'vehicles specifications'!$B$2:$CW$2,0))*INDEX('ei names mapping'!$B$137:$BL$300,MATCH(B393,'ei names mapping'!$A$137:$A$300,0),MATCH(G419,'ei names mapping'!$B$136:$BL$136,0))</f>
        <v>4.0000000000000003E-5</v>
      </c>
      <c r="C419" t="str">
        <f>INDEX('ei names mapping'!$B$38:$BL$67,MATCH(B390,'ei names mapping'!$A$4:$A$33,0),MATCH(G419,'ei names mapping'!$B$3:$BL$3,0))</f>
        <v>CH</v>
      </c>
      <c r="D419" t="str">
        <f>INDEX('ei names mapping'!$B$104:$BL$133,MATCH(B390,'ei names mapping'!$A$4:$A$33,0),MATCH(G419,'ei names mapping'!$B$3:$BL$3,0))</f>
        <v>unit</v>
      </c>
      <c r="F419" t="s">
        <v>89</v>
      </c>
      <c r="G419" t="s">
        <v>118</v>
      </c>
      <c r="H419" t="str">
        <f>INDEX('ei names mapping'!$B$71:$BL$100,MATCH(B390,'ei names mapping'!$A$4:$A$33,0),MATCH(G419,'ei names mapping'!$B$3:$BL$3,0))</f>
        <v>maintenance, motor scooter</v>
      </c>
    </row>
    <row r="420" spans="1:8" x14ac:dyDescent="0.2">
      <c r="A420" t="str">
        <f>INDEX('ei names mapping'!$B$4:$R$33,MATCH(B390,'ei names mapping'!$A$4:$A$33,0),MATCH(G420,'ei names mapping'!$B$3:$R$3,0))</f>
        <v>fuel supply for gasoline vehicles</v>
      </c>
      <c r="B420" s="7">
        <f>INDEX('vehicles specifications'!$B$3:$CW$166,MATCH(B393,'vehicles specifications'!$A$3:$A$166,0),MATCH(G420,'vehicles specifications'!$B$2:$CW$2,0))*INDEX('ei names mapping'!$B$137:$BL$300,MATCH(B393,'ei names mapping'!$A$137:$A$300,0),MATCH(G420,'ei names mapping'!$B$136:$BL$136,0))</f>
        <v>3.4243612403519794E-2</v>
      </c>
      <c r="C420" t="str">
        <f>INDEX('ei names mapping'!$B$38:$BL$67,MATCH(B390,'ei names mapping'!$A$4:$A$33,0),MATCH(G420,'ei names mapping'!$B$3:$BL$3,0))</f>
        <v>CH</v>
      </c>
      <c r="D420" t="str">
        <f>INDEX('ei names mapping'!$B$104:$BL$133,MATCH(B390,'ei names mapping'!$A$4:$A$33,0),MATCH(G420,'ei names mapping'!$B$3:$BL$3,0))</f>
        <v>kilogram</v>
      </c>
      <c r="F420" t="s">
        <v>89</v>
      </c>
      <c r="G420" t="s">
        <v>27</v>
      </c>
      <c r="H420" t="str">
        <f>INDEX('ei names mapping'!$B$71:$BL$100,MATCH(B390,'ei names mapping'!$A$4:$A$33,0),MATCH(G420,'ei names mapping'!$B$3:$BL$3,0))</f>
        <v>gasoline blend</v>
      </c>
    </row>
    <row r="421" spans="1:8" x14ac:dyDescent="0.2">
      <c r="A421" t="str">
        <f>INDEX('ei names mapping'!$B$4:$BL$33,MATCH(B390,'ei names mapping'!$A$4:$A$33,0),MATCH(G421,'ei names mapping'!$B$3:$BL$3,0))</f>
        <v>Carbon dioxide, fossil</v>
      </c>
      <c r="B421" s="11">
        <f>INDEX('vehicles specifications'!$B$3:$CW$166,MATCH(B393,'vehicles specifications'!$A$3:$A$166,0),MATCH(G421,'vehicles specifications'!$B$2:$CW$2,0))*INDEX('ei names mapping'!$B$137:$BL$300,MATCH(B393,'ei names mapping'!$A$137:$A$300,0),MATCH(G421,'ei names mapping'!$B$136:$BL$136,0))</f>
        <v>0.10623464363168753</v>
      </c>
      <c r="D421" t="str">
        <f>INDEX('ei names mapping'!$B$104:$BL$133,MATCH(B390,'ei names mapping'!$A$4:$A$33,0),MATCH(G421,'ei names mapping'!$B$3:$BL$3,0))</f>
        <v>kilogram</v>
      </c>
      <c r="E421" t="str">
        <f>INDEX('ei names mapping'!$B$305:$BL$335,MATCH(B390,'ei names mapping'!$A$4:$A$33,0),MATCH(G421,'ei names mapping'!$B$3:$BL$3,0))</f>
        <v>air::urban air close to ground</v>
      </c>
      <c r="F421" t="s">
        <v>167</v>
      </c>
      <c r="G421" t="s">
        <v>66</v>
      </c>
    </row>
    <row r="422" spans="1:8" x14ac:dyDescent="0.2">
      <c r="A422" t="str">
        <f>INDEX('ei names mapping'!$B$4:$BL$33,MATCH(B390,'ei names mapping'!$A$4:$A$33,0),MATCH(G422,'ei names mapping'!$B$3:$BL$3,0))</f>
        <v>Carbon dioxide, from soil or biomass stock</v>
      </c>
      <c r="B422" s="11">
        <f>INDEX('vehicles specifications'!$B$3:$CW$166,MATCH(B393,'vehicles specifications'!$A$3:$A$166,0),MATCH(G422,'vehicles specifications'!$B$2:$CW$2,0))*INDEX('ei names mapping'!$B$137:$BL$300,MATCH(B393,'ei names mapping'!$A$137:$A$300,0),MATCH(G422,'ei names mapping'!$B$136:$BL$136,0))</f>
        <v>1.2902993153646259E-3</v>
      </c>
      <c r="D422" t="str">
        <f>INDEX('ei names mapping'!$B$104:$BL$133,MATCH(B390,'ei names mapping'!$A$4:$A$33,0),MATCH(G422,'ei names mapping'!$B$3:$BL$3,0))</f>
        <v>kilogram</v>
      </c>
      <c r="E422" t="str">
        <f>INDEX('ei names mapping'!$B$305:$BL$335,MATCH(B390,'ei names mapping'!$A$4:$A$33,0),MATCH(G422,'ei names mapping'!$B$3:$BL$3,0))</f>
        <v>air::urban air close to ground</v>
      </c>
      <c r="F422" t="s">
        <v>167</v>
      </c>
      <c r="G422" t="s">
        <v>843</v>
      </c>
    </row>
    <row r="423" spans="1:8" x14ac:dyDescent="0.2">
      <c r="A423" t="str">
        <f>INDEX('ei names mapping'!$B$4:$BL$33,MATCH(B390,'ei names mapping'!$A$4:$A$33,0),MATCH(G423,'ei names mapping'!$B$3:$BL$3,0))</f>
        <v>Sulfur dioxide</v>
      </c>
      <c r="B423" s="7">
        <f>INDEX('vehicles specifications'!$B$3:$CW$166,MATCH(B393,'vehicles specifications'!$A$3:$A$166,0),MATCH(G423,'vehicles specifications'!$B$2:$CW$2,0))*INDEX('ei names mapping'!$B$137:$BL$300,MATCH(B393,'ei names mapping'!$A$137:$A$300,0),MATCH(G423,'ei names mapping'!$B$136:$BL$136,0))</f>
        <v>5.478977984563167E-7</v>
      </c>
      <c r="D423" t="str">
        <f>INDEX('ei names mapping'!$B$104:$BL$133,MATCH(B390,'ei names mapping'!$A$4:$A$33,0),MATCH(G423,'ei names mapping'!$B$3:$BL$3,0))</f>
        <v>kilogram</v>
      </c>
      <c r="E423" t="str">
        <f>INDEX('ei names mapping'!$B$305:$BL$335,MATCH(B390,'ei names mapping'!$A$4:$A$33,0),MATCH(G423,'ei names mapping'!$B$3:$BL$3,0))</f>
        <v>air::urban air close to ground</v>
      </c>
      <c r="F423" t="s">
        <v>167</v>
      </c>
      <c r="G423" t="s">
        <v>67</v>
      </c>
    </row>
    <row r="424" spans="1:8" x14ac:dyDescent="0.2">
      <c r="A424" t="str">
        <f>INDEX('ei names mapping'!$B$4:$BL$33,MATCH(B390,'ei names mapping'!$A$4:$A$33,0),MATCH(G424,'ei names mapping'!$B$3:$BL$3,0))</f>
        <v>Benzene</v>
      </c>
      <c r="B424" s="7">
        <f>INDEX('vehicles specifications'!$B$3:$CW$166,MATCH(B393,'vehicles specifications'!$A$3:$A$166,0),MATCH(G424,'vehicles specifications'!$B$2:$CW$2,0))*INDEX('ei names mapping'!$B$137:$BL$300,MATCH(B393,'ei names mapping'!$A$137:$A$300,0),MATCH(G424,'ei names mapping'!$B$136:$BL$136,0))</f>
        <v>1.1120861815633757E-6</v>
      </c>
      <c r="D424" t="str">
        <f>INDEX('ei names mapping'!$B$104:$BL$133,MATCH(B390,'ei names mapping'!$A$4:$A$33,0),MATCH(G424,'ei names mapping'!$B$3:$BL$3,0))</f>
        <v>kilogram</v>
      </c>
      <c r="E424" t="str">
        <f>INDEX('ei names mapping'!$B$305:$BL$335,MATCH(B390,'ei names mapping'!$A$4:$A$33,0),MATCH(G424,'ei names mapping'!$B$3:$BL$3,0))</f>
        <v>air::urban air close to ground</v>
      </c>
      <c r="F424" t="s">
        <v>167</v>
      </c>
      <c r="G424" t="s">
        <v>55</v>
      </c>
    </row>
    <row r="425" spans="1:8" x14ac:dyDescent="0.2">
      <c r="A425" t="str">
        <f>INDEX('ei names mapping'!$B$4:$BL$33,MATCH(B390,'ei names mapping'!$A$4:$A$33,0),MATCH(G425,'ei names mapping'!$B$3:$BL$3,0))</f>
        <v>Methane, fossil</v>
      </c>
      <c r="B425" s="7">
        <f>INDEX('vehicles specifications'!$B$3:$CW$166,MATCH(B393,'vehicles specifications'!$A$3:$A$166,0),MATCH(G425,'vehicles specifications'!$B$2:$CW$2,0))*INDEX('ei names mapping'!$B$137:$BL$300,MATCH(B393,'ei names mapping'!$A$137:$A$300,0),MATCH(G425,'ei names mapping'!$B$136:$BL$136,0))</f>
        <v>2.7420758420675998E-5</v>
      </c>
      <c r="D425" t="str">
        <f>INDEX('ei names mapping'!$B$104:$BL$133,MATCH(B390,'ei names mapping'!$A$4:$A$33,0),MATCH(G425,'ei names mapping'!$B$3:$BL$3,0))</f>
        <v>kilogram</v>
      </c>
      <c r="E425" t="str">
        <f>INDEX('ei names mapping'!$B$305:$BL$335,MATCH(B390,'ei names mapping'!$A$4:$A$33,0),MATCH(G425,'ei names mapping'!$B$3:$BL$3,0))</f>
        <v>air::urban air close to ground</v>
      </c>
      <c r="F425" t="s">
        <v>167</v>
      </c>
      <c r="G425" t="s">
        <v>56</v>
      </c>
    </row>
    <row r="426" spans="1:8" x14ac:dyDescent="0.2">
      <c r="A426" t="str">
        <f>INDEX('ei names mapping'!$B$4:$BL$33,MATCH(B390,'ei names mapping'!$A$4:$A$33,0),MATCH(G426,'ei names mapping'!$B$3:$BL$3,0))</f>
        <v>Carbon monoxide, fossil</v>
      </c>
      <c r="B426" s="7">
        <f>INDEX('vehicles specifications'!$B$3:$CW$166,MATCH(B393,'vehicles specifications'!$A$3:$A$166,0),MATCH(G426,'vehicles specifications'!$B$2:$CW$2,0))*INDEX('ei names mapping'!$B$137:$BL$300,MATCH(B393,'ei names mapping'!$A$137:$A$300,0),MATCH(G426,'ei names mapping'!$B$136:$BL$136,0))</f>
        <v>1.217425302427384E-4</v>
      </c>
      <c r="D426" t="str">
        <f>INDEX('ei names mapping'!$B$104:$BL$133,MATCH(B390,'ei names mapping'!$A$4:$A$33,0),MATCH(G426,'ei names mapping'!$B$3:$BL$3,0))</f>
        <v>kilogram</v>
      </c>
      <c r="E426" t="str">
        <f>INDEX('ei names mapping'!$B$305:$BL$335,MATCH(B390,'ei names mapping'!$A$4:$A$33,0),MATCH(G426,'ei names mapping'!$B$3:$BL$3,0))</f>
        <v>air::urban air close to ground</v>
      </c>
      <c r="F426" t="s">
        <v>167</v>
      </c>
      <c r="G426" t="s">
        <v>57</v>
      </c>
    </row>
    <row r="427" spans="1:8" x14ac:dyDescent="0.2">
      <c r="A427" t="str">
        <f>INDEX('ei names mapping'!$B$4:$BL$33,MATCH(B390,'ei names mapping'!$A$4:$A$33,0),MATCH(G427,'ei names mapping'!$B$3:$BL$3,0))</f>
        <v>Dinitrogen monoxide</v>
      </c>
      <c r="B427" s="7">
        <f>INDEX('vehicles specifications'!$B$3:$CW$166,MATCH(B393,'vehicles specifications'!$A$3:$A$166,0),MATCH(G427,'vehicles specifications'!$B$2:$CW$2,0))*INDEX('ei names mapping'!$B$137:$BL$300,MATCH(B393,'ei names mapping'!$A$137:$A$300,0),MATCH(G427,'ei names mapping'!$B$136:$BL$136,0))</f>
        <v>8.2468446377972918E-7</v>
      </c>
      <c r="D427" t="str">
        <f>INDEX('ei names mapping'!$B$104:$BL$133,MATCH(B390,'ei names mapping'!$A$4:$A$33,0),MATCH(G427,'ei names mapping'!$B$3:$BL$3,0))</f>
        <v>kilogram</v>
      </c>
      <c r="E427" t="str">
        <f>INDEX('ei names mapping'!$B$305:$BL$335,MATCH(B390,'ei names mapping'!$A$4:$A$33,0),MATCH(G427,'ei names mapping'!$B$3:$BL$3,0))</f>
        <v>air::urban air close to ground</v>
      </c>
      <c r="F427" t="s">
        <v>167</v>
      </c>
      <c r="G427" t="s">
        <v>58</v>
      </c>
    </row>
    <row r="428" spans="1:8" x14ac:dyDescent="0.2">
      <c r="A428" t="str">
        <f>INDEX('ei names mapping'!$B$4:$BL$33,MATCH(B390,'ei names mapping'!$A$4:$A$33,0),MATCH(G428,'ei names mapping'!$B$3:$BL$3,0))</f>
        <v>Ammonia</v>
      </c>
      <c r="B428" s="7">
        <f>INDEX('vehicles specifications'!$B$3:$CW$166,MATCH(B393,'vehicles specifications'!$A$3:$A$166,0),MATCH(G428,'vehicles specifications'!$B$2:$CW$2,0))*INDEX('ei names mapping'!$B$137:$BL$300,MATCH(B393,'ei names mapping'!$A$137:$A$300,0),MATCH(G428,'ei names mapping'!$B$136:$BL$136,0))</f>
        <v>8.2468446377972918E-7</v>
      </c>
      <c r="D428" t="str">
        <f>INDEX('ei names mapping'!$B$104:$BL$133,MATCH(B390,'ei names mapping'!$A$4:$A$33,0),MATCH(G428,'ei names mapping'!$B$3:$BL$3,0))</f>
        <v>kilogram</v>
      </c>
      <c r="E428" t="str">
        <f>INDEX('ei names mapping'!$B$305:$BL$335,MATCH(B390,'ei names mapping'!$A$4:$A$33,0),MATCH(G428,'ei names mapping'!$B$3:$BL$3,0))</f>
        <v>air::urban air close to ground</v>
      </c>
      <c r="F428" t="s">
        <v>167</v>
      </c>
      <c r="G428" t="s">
        <v>59</v>
      </c>
    </row>
    <row r="429" spans="1:8" x14ac:dyDescent="0.2">
      <c r="A429" t="str">
        <f>INDEX('ei names mapping'!$B$4:$BL$33,MATCH(B390,'ei names mapping'!$A$4:$A$33,0),MATCH(G429,'ei names mapping'!$B$3:$BL$3,0))</f>
        <v>Nitrogen oxides</v>
      </c>
      <c r="B429" s="7">
        <f>INDEX('vehicles specifications'!$B$3:$CW$166,MATCH(B393,'vehicles specifications'!$A$3:$A$166,0),MATCH(G429,'vehicles specifications'!$B$2:$CW$2,0))*INDEX('ei names mapping'!$B$137:$BL$300,MATCH(B393,'ei names mapping'!$A$137:$A$300,0),MATCH(G429,'ei names mapping'!$B$136:$BL$136,0))</f>
        <v>8.9890099189194488E-6</v>
      </c>
      <c r="D429" t="str">
        <f>INDEX('ei names mapping'!$B$104:$BL$133,MATCH(B390,'ei names mapping'!$A$4:$A$33,0),MATCH(G429,'ei names mapping'!$B$3:$BL$3,0))</f>
        <v>kilogram</v>
      </c>
      <c r="E429" t="str">
        <f>INDEX('ei names mapping'!$B$305:$BL$335,MATCH(B390,'ei names mapping'!$A$4:$A$33,0),MATCH(G429,'ei names mapping'!$B$3:$BL$3,0))</f>
        <v>air::urban air close to ground</v>
      </c>
      <c r="F429" t="s">
        <v>167</v>
      </c>
      <c r="G429" t="s">
        <v>60</v>
      </c>
    </row>
    <row r="430" spans="1:8" x14ac:dyDescent="0.2">
      <c r="A430" t="str">
        <f>INDEX('ei names mapping'!$B$4:$BL$33,MATCH(B390,'ei names mapping'!$A$4:$A$33,0),MATCH(G430,'ei names mapping'!$B$3:$BL$3,0))</f>
        <v>Particulates, &lt; 2.5 um</v>
      </c>
      <c r="B430" s="7">
        <f>INDEX('vehicles specifications'!$B$3:$CW$166,MATCH(B$393,'vehicles specifications'!$A$3:$A$166,0),MATCH(G430,'vehicles specifications'!$B$2:$CW$2,0))*INDEX('ei names mapping'!$B$137:$BL$300,MATCH(B$393,'ei names mapping'!$A$137:$A$300,0),MATCH(G430,'ei names mapping'!$B$136:$BL$136,0))</f>
        <v>2.0617111594493231E-6</v>
      </c>
      <c r="D430" t="str">
        <f>INDEX('ei names mapping'!$B$104:$BL$133,MATCH(B390,'ei names mapping'!$A$4:$A$33,0),MATCH(G430,'ei names mapping'!$B$3:$BL$3,0))</f>
        <v>kilogram</v>
      </c>
      <c r="E430" t="str">
        <f>INDEX('ei names mapping'!$B$305:$BL$335,MATCH(B390,'ei names mapping'!$A$4:$A$33,0),MATCH(G430,'ei names mapping'!$B$3:$BL$3,0))</f>
        <v>air::urban air close to ground</v>
      </c>
      <c r="F430" t="s">
        <v>167</v>
      </c>
      <c r="G430" t="s">
        <v>62</v>
      </c>
    </row>
    <row r="431" spans="1:8" x14ac:dyDescent="0.2">
      <c r="A431" t="str">
        <f>INDEX('ei names mapping'!$B$4:$BL$33,MATCH(B$234,'ei names mapping'!$A$4:$A$33,0),MATCH(G431,'ei names mapping'!$B$3:$BL$3,0))</f>
        <v>NMVOC, non-methane volatile organic compounds, unspecified origin</v>
      </c>
      <c r="B431" s="7">
        <f>INDEX('vehicles specifications'!$B$3:$CW$166,MATCH(B$393,'vehicles specifications'!$A$3:$A$166,0),MATCH(G431,'vehicles specifications'!$B$2:$CW$2,0))*INDEX('ei names mapping'!$B$137:$BL$300,MATCH(B$393,'ei names mapping'!$A$137:$A$300,0),MATCH(G431,'ei names mapping'!$B$136:$BL$136,0))</f>
        <v>8.9680532716447633E-6</v>
      </c>
      <c r="D431" t="str">
        <f>INDEX('ei names mapping'!$B$104:$BL$133,MATCH(B$234,'ei names mapping'!$A$4:$A$33,0),MATCH(G431,'ei names mapping'!$B$3:$BL$3,0))</f>
        <v>kilogram</v>
      </c>
      <c r="E431" t="str">
        <f>INDEX('ei names mapping'!$B$305:$BL$335,MATCH(B$234,'ei names mapping'!$A$4:$A$33,0),MATCH(G431,'ei names mapping'!$B$3:$BL$3,0))</f>
        <v>air::urban air close to ground</v>
      </c>
      <c r="F431" t="s">
        <v>167</v>
      </c>
      <c r="G431" t="s">
        <v>593</v>
      </c>
    </row>
    <row r="432" spans="1:8" x14ac:dyDescent="0.2">
      <c r="A432" t="str">
        <f>INDEX('ei names mapping'!$B$4:$BL$33,MATCH(B$234,'ei names mapping'!$A$4:$A$33,0),MATCH(G432,'ei names mapping'!$B$3:$BL$3,0))</f>
        <v>Ethane</v>
      </c>
      <c r="B432" s="7">
        <f>INDEX('vehicles specifications'!$B$3:$CW$166,MATCH(B$393,'vehicles specifications'!$A$3:$A$166,0),MATCH(G432,'vehicles specifications'!$B$2:$CW$2,0))*INDEX('ei names mapping'!$B$137:$BL$300,MATCH(B$393,'ei names mapping'!$A$137:$A$300,0),MATCH(G432,'ei names mapping'!$B$136:$BL$136,0))</f>
        <v>6.3236273069289983E-7</v>
      </c>
      <c r="D432" t="str">
        <f>INDEX('ei names mapping'!$B$104:$BL$133,MATCH(B$234,'ei names mapping'!$A$4:$A$33,0),MATCH(G432,'ei names mapping'!$B$3:$BL$3,0))</f>
        <v>kilogram</v>
      </c>
      <c r="E432" t="str">
        <f>INDEX('ei names mapping'!$B$305:$BL$335,MATCH(B$234,'ei names mapping'!$A$4:$A$33,0),MATCH(G432,'ei names mapping'!$B$3:$BL$3,0))</f>
        <v>air::urban air close to ground</v>
      </c>
      <c r="F432" t="s">
        <v>167</v>
      </c>
      <c r="G432" t="s">
        <v>541</v>
      </c>
    </row>
    <row r="433" spans="1:7" x14ac:dyDescent="0.2">
      <c r="A433" t="str">
        <f>INDEX('ei names mapping'!$B$4:$BL$33,MATCH(B$234,'ei names mapping'!$A$4:$A$33,0),MATCH(G433,'ei names mapping'!$B$3:$BL$3,0))</f>
        <v>Propane</v>
      </c>
      <c r="B433" s="7">
        <f>INDEX('vehicles specifications'!$B$3:$CW$166,MATCH(B$393,'vehicles specifications'!$A$3:$A$166,0),MATCH(G433,'vehicles specifications'!$B$2:$CW$2,0))*INDEX('ei names mapping'!$B$137:$BL$300,MATCH(B$393,'ei names mapping'!$A$137:$A$300,0),MATCH(G433,'ei names mapping'!$B$136:$BL$136,0))</f>
        <v>1.2885134010983853E-7</v>
      </c>
      <c r="D433" t="str">
        <f>INDEX('ei names mapping'!$B$104:$BL$133,MATCH(B$234,'ei names mapping'!$A$4:$A$33,0),MATCH(G433,'ei names mapping'!$B$3:$BL$3,0))</f>
        <v>kilogram</v>
      </c>
      <c r="E433" t="str">
        <f>INDEX('ei names mapping'!$B$305:$BL$335,MATCH(B$234,'ei names mapping'!$A$4:$A$33,0),MATCH(G433,'ei names mapping'!$B$3:$BL$3,0))</f>
        <v>air::urban air close to ground</v>
      </c>
      <c r="F433" t="s">
        <v>167</v>
      </c>
      <c r="G433" t="s">
        <v>542</v>
      </c>
    </row>
    <row r="434" spans="1:7" x14ac:dyDescent="0.2">
      <c r="A434" t="str">
        <f>INDEX('ei names mapping'!$B$4:$BL$33,MATCH(B$234,'ei names mapping'!$A$4:$A$33,0),MATCH(G434,'ei names mapping'!$B$3:$BL$3,0))</f>
        <v>Butane</v>
      </c>
      <c r="B434" s="7">
        <f>INDEX('vehicles specifications'!$B$3:$CW$166,MATCH(B$393,'vehicles specifications'!$A$3:$A$166,0),MATCH(G434,'vehicles specifications'!$B$2:$CW$2,0))*INDEX('ei names mapping'!$B$137:$BL$300,MATCH(B$393,'ei names mapping'!$A$137:$A$300,0),MATCH(G434,'ei names mapping'!$B$136:$BL$136,0))</f>
        <v>1.0387400341162367E-6</v>
      </c>
      <c r="D434" t="str">
        <f>INDEX('ei names mapping'!$B$104:$BL$133,MATCH(B$234,'ei names mapping'!$A$4:$A$33,0),MATCH(G434,'ei names mapping'!$B$3:$BL$3,0))</f>
        <v>kilogram</v>
      </c>
      <c r="E434" t="str">
        <f>INDEX('ei names mapping'!$B$305:$BL$335,MATCH(B$234,'ei names mapping'!$A$4:$A$33,0),MATCH(G434,'ei names mapping'!$B$3:$BL$3,0))</f>
        <v>air::urban air close to ground</v>
      </c>
      <c r="F434" t="s">
        <v>167</v>
      </c>
      <c r="G434" t="s">
        <v>543</v>
      </c>
    </row>
    <row r="435" spans="1:7" x14ac:dyDescent="0.2">
      <c r="A435" t="str">
        <f>INDEX('ei names mapping'!$B$4:$BL$33,MATCH(B$234,'ei names mapping'!$A$4:$A$33,0),MATCH(G435,'ei names mapping'!$B$3:$BL$3,0))</f>
        <v>Pentane</v>
      </c>
      <c r="B435" s="7">
        <f>INDEX('vehicles specifications'!$B$3:$CW$166,MATCH(B$393,'vehicles specifications'!$A$3:$A$166,0),MATCH(G435,'vehicles specifications'!$B$2:$CW$2,0))*INDEX('ei names mapping'!$B$137:$BL$300,MATCH(B$393,'ei names mapping'!$A$137:$A$300,0),MATCH(G435,'ei names mapping'!$B$136:$BL$136,0))</f>
        <v>4.2620058651715824E-7</v>
      </c>
      <c r="D435" t="str">
        <f>INDEX('ei names mapping'!$B$104:$BL$133,MATCH(B$234,'ei names mapping'!$A$4:$A$33,0),MATCH(G435,'ei names mapping'!$B$3:$BL$3,0))</f>
        <v>kilogram</v>
      </c>
      <c r="E435" t="str">
        <f>INDEX('ei names mapping'!$B$305:$BL$335,MATCH(B$234,'ei names mapping'!$A$4:$A$33,0),MATCH(G435,'ei names mapping'!$B$3:$BL$3,0))</f>
        <v>air::urban air close to ground</v>
      </c>
      <c r="F435" t="s">
        <v>167</v>
      </c>
      <c r="G435" t="s">
        <v>544</v>
      </c>
    </row>
    <row r="436" spans="1:7" x14ac:dyDescent="0.2">
      <c r="A436" t="str">
        <f>INDEX('ei names mapping'!$B$4:$BL$33,MATCH(B$234,'ei names mapping'!$A$4:$A$33,0),MATCH(G436,'ei names mapping'!$B$3:$BL$3,0))</f>
        <v>Hexane</v>
      </c>
      <c r="B436" s="7">
        <f>INDEX('vehicles specifications'!$B$3:$CW$166,MATCH(B$393,'vehicles specifications'!$A$3:$A$166,0),MATCH(G436,'vehicles specifications'!$B$2:$CW$2,0))*INDEX('ei names mapping'!$B$137:$BL$300,MATCH(B$393,'ei names mapping'!$A$137:$A$300,0),MATCH(G436,'ei names mapping'!$B$136:$BL$136,0))</f>
        <v>3.1915485781052317E-7</v>
      </c>
      <c r="D436" t="str">
        <f>INDEX('ei names mapping'!$B$104:$BL$133,MATCH(B$234,'ei names mapping'!$A$4:$A$33,0),MATCH(G436,'ei names mapping'!$B$3:$BL$3,0))</f>
        <v>kilogram</v>
      </c>
      <c r="E436" t="str">
        <f>INDEX('ei names mapping'!$B$305:$BL$335,MATCH(B$234,'ei names mapping'!$A$4:$A$33,0),MATCH(G436,'ei names mapping'!$B$3:$BL$3,0))</f>
        <v>air::urban air close to ground</v>
      </c>
      <c r="F436" t="s">
        <v>167</v>
      </c>
      <c r="G436" t="s">
        <v>545</v>
      </c>
    </row>
    <row r="437" spans="1:7" x14ac:dyDescent="0.2">
      <c r="A437" t="str">
        <f>INDEX('ei names mapping'!$B$4:$BL$33,MATCH(B$234,'ei names mapping'!$A$4:$A$33,0),MATCH(G437,'ei names mapping'!$B$3:$BL$3,0))</f>
        <v>Cyclohexane</v>
      </c>
      <c r="B437" s="7">
        <f>INDEX('vehicles specifications'!$B$3:$CW$166,MATCH(B$393,'vehicles specifications'!$A$3:$A$166,0),MATCH(G437,'vehicles specifications'!$B$2:$CW$2,0))*INDEX('ei names mapping'!$B$137:$BL$300,MATCH(B$393,'ei names mapping'!$A$137:$A$300,0),MATCH(G437,'ei names mapping'!$B$136:$BL$136,0))</f>
        <v>2.2598542726956295E-7</v>
      </c>
      <c r="D437" t="str">
        <f>INDEX('ei names mapping'!$B$104:$BL$133,MATCH(B$234,'ei names mapping'!$A$4:$A$33,0),MATCH(G437,'ei names mapping'!$B$3:$BL$3,0))</f>
        <v>kilogram</v>
      </c>
      <c r="E437" t="str">
        <f>INDEX('ei names mapping'!$B$305:$BL$335,MATCH(B$234,'ei names mapping'!$A$4:$A$33,0),MATCH(G437,'ei names mapping'!$B$3:$BL$3,0))</f>
        <v>air::urban air close to ground</v>
      </c>
      <c r="F437" t="s">
        <v>167</v>
      </c>
      <c r="G437" t="s">
        <v>546</v>
      </c>
    </row>
    <row r="438" spans="1:7" x14ac:dyDescent="0.2">
      <c r="A438" t="str">
        <f>INDEX('ei names mapping'!$B$4:$BL$33,MATCH(B$234,'ei names mapping'!$A$4:$A$33,0),MATCH(G438,'ei names mapping'!$B$3:$BL$3,0))</f>
        <v>Heptane</v>
      </c>
      <c r="B438" s="7">
        <f>INDEX('vehicles specifications'!$B$3:$CW$166,MATCH(B$393,'vehicles specifications'!$A$3:$A$166,0),MATCH(G438,'vehicles specifications'!$B$2:$CW$2,0))*INDEX('ei names mapping'!$B$137:$BL$300,MATCH(B$393,'ei names mapping'!$A$137:$A$300,0),MATCH(G438,'ei names mapping'!$B$136:$BL$136,0))</f>
        <v>1.4669229489427773E-7</v>
      </c>
      <c r="D438" t="str">
        <f>INDEX('ei names mapping'!$B$104:$BL$133,MATCH(B$234,'ei names mapping'!$A$4:$A$33,0),MATCH(G438,'ei names mapping'!$B$3:$BL$3,0))</f>
        <v>kilogram</v>
      </c>
      <c r="E438" t="str">
        <f>INDEX('ei names mapping'!$B$305:$BL$335,MATCH(B$234,'ei names mapping'!$A$4:$A$33,0),MATCH(G438,'ei names mapping'!$B$3:$BL$3,0))</f>
        <v>air::urban air close to ground</v>
      </c>
      <c r="F438" t="s">
        <v>167</v>
      </c>
      <c r="G438" t="s">
        <v>547</v>
      </c>
    </row>
    <row r="439" spans="1:7" x14ac:dyDescent="0.2">
      <c r="A439" t="str">
        <f>INDEX('ei names mapping'!$B$4:$BL$33,MATCH(B$234,'ei names mapping'!$A$4:$A$33,0),MATCH(G439,'ei names mapping'!$B$3:$BL$3,0))</f>
        <v>Ethene</v>
      </c>
      <c r="B439" s="7">
        <f>INDEX('vehicles specifications'!$B$3:$CW$166,MATCH(B$393,'vehicles specifications'!$A$3:$A$166,0),MATCH(G439,'vehicles specifications'!$B$2:$CW$2,0))*INDEX('ei names mapping'!$B$137:$BL$300,MATCH(B$393,'ei names mapping'!$A$137:$A$300,0),MATCH(G439,'ei names mapping'!$B$136:$BL$136,0))</f>
        <v>1.4470996658489557E-6</v>
      </c>
      <c r="D439" t="str">
        <f>INDEX('ei names mapping'!$B$104:$BL$133,MATCH(B$234,'ei names mapping'!$A$4:$A$33,0),MATCH(G439,'ei names mapping'!$B$3:$BL$3,0))</f>
        <v>kilogram</v>
      </c>
      <c r="E439" t="str">
        <f>INDEX('ei names mapping'!$B$305:$BL$335,MATCH(B$234,'ei names mapping'!$A$4:$A$33,0),MATCH(G439,'ei names mapping'!$B$3:$BL$3,0))</f>
        <v>air::urban air close to ground</v>
      </c>
      <c r="F439" t="s">
        <v>167</v>
      </c>
      <c r="G439" t="s">
        <v>548</v>
      </c>
    </row>
    <row r="440" spans="1:7" x14ac:dyDescent="0.2">
      <c r="A440" t="str">
        <f>INDEX('ei names mapping'!$B$4:$BL$33,MATCH(B$234,'ei names mapping'!$A$4:$A$33,0),MATCH(G440,'ei names mapping'!$B$3:$BL$3,0))</f>
        <v>Propene</v>
      </c>
      <c r="B440" s="7">
        <f>INDEX('vehicles specifications'!$B$3:$CW$166,MATCH(B$393,'vehicles specifications'!$A$3:$A$166,0),MATCH(G440,'vehicles specifications'!$B$2:$CW$2,0))*INDEX('ei names mapping'!$B$137:$BL$300,MATCH(B$393,'ei names mapping'!$A$137:$A$300,0),MATCH(G440,'ei names mapping'!$B$136:$BL$136,0))</f>
        <v>7.572494141839741E-7</v>
      </c>
      <c r="D440" t="str">
        <f>INDEX('ei names mapping'!$B$104:$BL$133,MATCH(B$234,'ei names mapping'!$A$4:$A$33,0),MATCH(G440,'ei names mapping'!$B$3:$BL$3,0))</f>
        <v>kilogram</v>
      </c>
      <c r="E440" t="str">
        <f>INDEX('ei names mapping'!$B$305:$BL$335,MATCH(B$234,'ei names mapping'!$A$4:$A$33,0),MATCH(G440,'ei names mapping'!$B$3:$BL$3,0))</f>
        <v>air::urban air close to ground</v>
      </c>
      <c r="F440" t="s">
        <v>167</v>
      </c>
      <c r="G440" t="s">
        <v>549</v>
      </c>
    </row>
    <row r="441" spans="1:7" x14ac:dyDescent="0.2">
      <c r="A441" t="str">
        <f>INDEX('ei names mapping'!$B$4:$BL$33,MATCH(B$234,'ei names mapping'!$A$4:$A$33,0),MATCH(G441,'ei names mapping'!$B$3:$BL$3,0))</f>
        <v>1-Pentene</v>
      </c>
      <c r="B441" s="7">
        <f>INDEX('vehicles specifications'!$B$3:$CW$166,MATCH(B$393,'vehicles specifications'!$A$3:$A$166,0),MATCH(G441,'vehicles specifications'!$B$2:$CW$2,0))*INDEX('ei names mapping'!$B$137:$BL$300,MATCH(B$393,'ei names mapping'!$A$137:$A$300,0),MATCH(G441,'ei names mapping'!$B$136:$BL$136,0))</f>
        <v>2.1805611403203451E-8</v>
      </c>
      <c r="D441" t="str">
        <f>INDEX('ei names mapping'!$B$104:$BL$133,MATCH(B$234,'ei names mapping'!$A$4:$A$33,0),MATCH(G441,'ei names mapping'!$B$3:$BL$3,0))</f>
        <v>kilogram</v>
      </c>
      <c r="E441" t="str">
        <f>INDEX('ei names mapping'!$B$305:$BL$335,MATCH(B$234,'ei names mapping'!$A$4:$A$33,0),MATCH(G441,'ei names mapping'!$B$3:$BL$3,0))</f>
        <v>air::urban air close to ground</v>
      </c>
      <c r="F441" t="s">
        <v>167</v>
      </c>
      <c r="G441" t="s">
        <v>550</v>
      </c>
    </row>
    <row r="442" spans="1:7" x14ac:dyDescent="0.2">
      <c r="A442" t="str">
        <f>INDEX('ei names mapping'!$B$4:$BL$33,MATCH(B$234,'ei names mapping'!$A$4:$A$33,0),MATCH(G442,'ei names mapping'!$B$3:$BL$3,0))</f>
        <v>Toluene</v>
      </c>
      <c r="B442" s="7">
        <f>INDEX('vehicles specifications'!$B$3:$CW$166,MATCH(B$393,'vehicles specifications'!$A$3:$A$166,0),MATCH(G442,'vehicles specifications'!$B$2:$CW$2,0))*INDEX('ei names mapping'!$B$137:$BL$300,MATCH(B$393,'ei names mapping'!$A$137:$A$300,0),MATCH(G442,'ei names mapping'!$B$136:$BL$136,0))</f>
        <v>2.1765964837015801E-6</v>
      </c>
      <c r="D442" t="str">
        <f>INDEX('ei names mapping'!$B$104:$BL$133,MATCH(B$234,'ei names mapping'!$A$4:$A$33,0),MATCH(G442,'ei names mapping'!$B$3:$BL$3,0))</f>
        <v>kilogram</v>
      </c>
      <c r="E442" t="str">
        <f>INDEX('ei names mapping'!$B$305:$BL$335,MATCH(B$234,'ei names mapping'!$A$4:$A$33,0),MATCH(G442,'ei names mapping'!$B$3:$BL$3,0))</f>
        <v>air::urban air close to ground</v>
      </c>
      <c r="F442" t="s">
        <v>167</v>
      </c>
      <c r="G442" t="s">
        <v>551</v>
      </c>
    </row>
    <row r="443" spans="1:7" x14ac:dyDescent="0.2">
      <c r="A443" t="str">
        <f>INDEX('ei names mapping'!$B$4:$BL$33,MATCH(B$234,'ei names mapping'!$A$4:$A$33,0),MATCH(G443,'ei names mapping'!$B$3:$BL$3,0))</f>
        <v>m-Xylene</v>
      </c>
      <c r="B443" s="7">
        <f>INDEX('vehicles specifications'!$B$3:$CW$166,MATCH(B$393,'vehicles specifications'!$A$3:$A$166,0),MATCH(G443,'vehicles specifications'!$B$2:$CW$2,0))*INDEX('ei names mapping'!$B$137:$BL$300,MATCH(B$393,'ei names mapping'!$A$137:$A$300,0),MATCH(G443,'ei names mapping'!$B$136:$BL$136,0))</f>
        <v>1.0764042719944975E-6</v>
      </c>
      <c r="D443" t="str">
        <f>INDEX('ei names mapping'!$B$104:$BL$133,MATCH(B$234,'ei names mapping'!$A$4:$A$33,0),MATCH(G443,'ei names mapping'!$B$3:$BL$3,0))</f>
        <v>kilogram</v>
      </c>
      <c r="E443" t="str">
        <f>INDEX('ei names mapping'!$B$305:$BL$335,MATCH(B$234,'ei names mapping'!$A$4:$A$33,0),MATCH(G443,'ei names mapping'!$B$3:$BL$3,0))</f>
        <v>air::urban air close to ground</v>
      </c>
      <c r="F443" t="s">
        <v>167</v>
      </c>
      <c r="G443" t="s">
        <v>552</v>
      </c>
    </row>
    <row r="444" spans="1:7" x14ac:dyDescent="0.2">
      <c r="A444" t="str">
        <f>INDEX('ei names mapping'!$B$4:$BL$33,MATCH(B$234,'ei names mapping'!$A$4:$A$33,0),MATCH(G444,'ei names mapping'!$B$3:$BL$3,0))</f>
        <v>o-Xylene</v>
      </c>
      <c r="B444" s="7">
        <f>INDEX('vehicles specifications'!$B$3:$CW$166,MATCH(B$393,'vehicles specifications'!$A$3:$A$166,0),MATCH(G444,'vehicles specifications'!$B$2:$CW$2,0))*INDEX('ei names mapping'!$B$137:$BL$300,MATCH(B$393,'ei names mapping'!$A$137:$A$300,0),MATCH(G444,'ei names mapping'!$B$136:$BL$136,0))</f>
        <v>4.4800619792036162E-7</v>
      </c>
      <c r="D444" t="str">
        <f>INDEX('ei names mapping'!$B$104:$BL$133,MATCH(B$234,'ei names mapping'!$A$4:$A$33,0),MATCH(G444,'ei names mapping'!$B$3:$BL$3,0))</f>
        <v>kilogram</v>
      </c>
      <c r="E444" t="str">
        <f>INDEX('ei names mapping'!$B$305:$BL$335,MATCH(B$234,'ei names mapping'!$A$4:$A$33,0),MATCH(G444,'ei names mapping'!$B$3:$BL$3,0))</f>
        <v>air::urban air close to ground</v>
      </c>
      <c r="F444" t="s">
        <v>167</v>
      </c>
      <c r="G444" t="s">
        <v>553</v>
      </c>
    </row>
    <row r="445" spans="1:7" x14ac:dyDescent="0.2">
      <c r="A445" t="str">
        <f>INDEX('ei names mapping'!$B$4:$BL$33,MATCH(B$234,'ei names mapping'!$A$4:$A$33,0),MATCH(G445,'ei names mapping'!$B$3:$BL$3,0))</f>
        <v>Formaldehyde</v>
      </c>
      <c r="B445" s="7">
        <f>INDEX('vehicles specifications'!$B$3:$CW$166,MATCH(B$393,'vehicles specifications'!$A$3:$A$166,0),MATCH(G445,'vehicles specifications'!$B$2:$CW$2,0))*INDEX('ei names mapping'!$B$137:$BL$300,MATCH(B$393,'ei names mapping'!$A$137:$A$300,0),MATCH(G445,'ei names mapping'!$B$136:$BL$136,0))</f>
        <v>3.3699581259496236E-7</v>
      </c>
      <c r="D445" t="str">
        <f>INDEX('ei names mapping'!$B$104:$BL$133,MATCH(B$234,'ei names mapping'!$A$4:$A$33,0),MATCH(G445,'ei names mapping'!$B$3:$BL$3,0))</f>
        <v>kilogram</v>
      </c>
      <c r="E445" t="str">
        <f>INDEX('ei names mapping'!$B$305:$BL$335,MATCH(B$234,'ei names mapping'!$A$4:$A$33,0),MATCH(G445,'ei names mapping'!$B$3:$BL$3,0))</f>
        <v>air::urban air close to ground</v>
      </c>
      <c r="F445" t="s">
        <v>167</v>
      </c>
      <c r="G445" t="s">
        <v>554</v>
      </c>
    </row>
    <row r="446" spans="1:7" x14ac:dyDescent="0.2">
      <c r="A446" t="str">
        <f>INDEX('ei names mapping'!$B$4:$BL$33,MATCH(B$234,'ei names mapping'!$A$4:$A$33,0),MATCH(G446,'ei names mapping'!$B$3:$BL$3,0))</f>
        <v>Acetaldehyde</v>
      </c>
      <c r="B446" s="7">
        <f>INDEX('vehicles specifications'!$B$3:$CW$166,MATCH(B$393,'vehicles specifications'!$A$3:$A$166,0),MATCH(G446,'vehicles specifications'!$B$2:$CW$2,0))*INDEX('ei names mapping'!$B$137:$BL$300,MATCH(B$393,'ei names mapping'!$A$137:$A$300,0),MATCH(G446,'ei names mapping'!$B$136:$BL$136,0))</f>
        <v>1.4867462320365984E-7</v>
      </c>
      <c r="D446" t="str">
        <f>INDEX('ei names mapping'!$B$104:$BL$133,MATCH(B$234,'ei names mapping'!$A$4:$A$33,0),MATCH(G446,'ei names mapping'!$B$3:$BL$3,0))</f>
        <v>kilogram</v>
      </c>
      <c r="E446" t="str">
        <f>INDEX('ei names mapping'!$B$305:$BL$335,MATCH(B$234,'ei names mapping'!$A$4:$A$33,0),MATCH(G446,'ei names mapping'!$B$3:$BL$3,0))</f>
        <v>air::urban air close to ground</v>
      </c>
      <c r="F446" t="s">
        <v>167</v>
      </c>
      <c r="G446" t="s">
        <v>555</v>
      </c>
    </row>
    <row r="447" spans="1:7" x14ac:dyDescent="0.2">
      <c r="A447" t="str">
        <f>INDEX('ei names mapping'!$B$4:$BL$33,MATCH(B$234,'ei names mapping'!$A$4:$A$33,0),MATCH(G447,'ei names mapping'!$B$3:$BL$3,0))</f>
        <v>Benzaldehyde</v>
      </c>
      <c r="B447" s="7">
        <f>INDEX('vehicles specifications'!$B$3:$CW$166,MATCH(B$393,'vehicles specifications'!$A$3:$A$166,0),MATCH(G447,'vehicles specifications'!$B$2:$CW$2,0))*INDEX('ei names mapping'!$B$137:$BL$300,MATCH(B$393,'ei names mapping'!$A$137:$A$300,0),MATCH(G447,'ei names mapping'!$B$136:$BL$136,0))</f>
        <v>4.3611222806406902E-8</v>
      </c>
      <c r="D447" t="str">
        <f>INDEX('ei names mapping'!$B$104:$BL$133,MATCH(B$234,'ei names mapping'!$A$4:$A$33,0),MATCH(G447,'ei names mapping'!$B$3:$BL$3,0))</f>
        <v>kilogram</v>
      </c>
      <c r="E447" t="str">
        <f>INDEX('ei names mapping'!$B$305:$BL$335,MATCH(B$234,'ei names mapping'!$A$4:$A$33,0),MATCH(G447,'ei names mapping'!$B$3:$BL$3,0))</f>
        <v>air::urban air close to ground</v>
      </c>
      <c r="F447" t="s">
        <v>167</v>
      </c>
      <c r="G447" t="s">
        <v>556</v>
      </c>
    </row>
    <row r="448" spans="1:7" x14ac:dyDescent="0.2">
      <c r="A448" t="str">
        <f>INDEX('ei names mapping'!$B$4:$BL$33,MATCH(B$234,'ei names mapping'!$A$4:$A$33,0),MATCH(G448,'ei names mapping'!$B$3:$BL$3,0))</f>
        <v>Acetone</v>
      </c>
      <c r="B448" s="7">
        <f>INDEX('vehicles specifications'!$B$3:$CW$166,MATCH(B$393,'vehicles specifications'!$A$3:$A$166,0),MATCH(G448,'vehicles specifications'!$B$2:$CW$2,0))*INDEX('ei names mapping'!$B$137:$BL$300,MATCH(B$393,'ei names mapping'!$A$137:$A$300,0),MATCH(G448,'ei names mapping'!$B$136:$BL$136,0))</f>
        <v>1.2092202687231004E-7</v>
      </c>
      <c r="D448" t="str">
        <f>INDEX('ei names mapping'!$B$104:$BL$133,MATCH(B$234,'ei names mapping'!$A$4:$A$33,0),MATCH(G448,'ei names mapping'!$B$3:$BL$3,0))</f>
        <v>kilogram</v>
      </c>
      <c r="E448" t="str">
        <f>INDEX('ei names mapping'!$B$305:$BL$335,MATCH(B$234,'ei names mapping'!$A$4:$A$33,0),MATCH(G448,'ei names mapping'!$B$3:$BL$3,0))</f>
        <v>air::urban air close to ground</v>
      </c>
      <c r="F448" t="s">
        <v>167</v>
      </c>
      <c r="G448" t="s">
        <v>557</v>
      </c>
    </row>
    <row r="449" spans="1:8" x14ac:dyDescent="0.2">
      <c r="A449" t="str">
        <f>INDEX('ei names mapping'!$B$4:$BL$33,MATCH(B$234,'ei names mapping'!$A$4:$A$33,0),MATCH(G449,'ei names mapping'!$B$3:$BL$3,0))</f>
        <v>Methyl ethyl ketone</v>
      </c>
      <c r="B449" s="7">
        <f>INDEX('vehicles specifications'!$B$3:$CW$166,MATCH(B$393,'vehicles specifications'!$A$3:$A$166,0),MATCH(G449,'vehicles specifications'!$B$2:$CW$2,0))*INDEX('ei names mapping'!$B$137:$BL$300,MATCH(B$393,'ei names mapping'!$A$137:$A$300,0),MATCH(G449,'ei names mapping'!$B$136:$BL$136,0))</f>
        <v>0</v>
      </c>
      <c r="D449" t="str">
        <f>INDEX('ei names mapping'!$B$104:$BL$133,MATCH(B$234,'ei names mapping'!$A$4:$A$33,0),MATCH(G449,'ei names mapping'!$B$3:$BL$3,0))</f>
        <v>kilogram</v>
      </c>
      <c r="E449" t="str">
        <f>INDEX('ei names mapping'!$B$305:$BL$335,MATCH(B$234,'ei names mapping'!$A$4:$A$33,0),MATCH(G449,'ei names mapping'!$B$3:$BL$3,0))</f>
        <v>air::urban air close to ground</v>
      </c>
      <c r="F449" t="s">
        <v>167</v>
      </c>
      <c r="G449" t="s">
        <v>560</v>
      </c>
    </row>
    <row r="450" spans="1:8" x14ac:dyDescent="0.2">
      <c r="A450" t="str">
        <f>INDEX('ei names mapping'!$B$4:$BL$33,MATCH(B$234,'ei names mapping'!$A$4:$A$33,0),MATCH(G450,'ei names mapping'!$B$3:$BL$3,0))</f>
        <v>Acrolein</v>
      </c>
      <c r="B450" s="7">
        <f>INDEX('vehicles specifications'!$B$3:$CW$166,MATCH(B$393,'vehicles specifications'!$A$3:$A$166,0),MATCH(G450,'vehicles specifications'!$B$2:$CW$2,0))*INDEX('ei names mapping'!$B$137:$BL$300,MATCH(B$393,'ei names mapping'!$A$137:$A$300,0),MATCH(G450,'ei names mapping'!$B$136:$BL$136,0))</f>
        <v>3.7664237878260496E-8</v>
      </c>
      <c r="D450" t="str">
        <f>INDEX('ei names mapping'!$B$104:$BL$133,MATCH(B$234,'ei names mapping'!$A$4:$A$33,0),MATCH(G450,'ei names mapping'!$B$3:$BL$3,0))</f>
        <v>kilogram</v>
      </c>
      <c r="E450" t="str">
        <f>INDEX('ei names mapping'!$B$305:$BL$335,MATCH(B$234,'ei names mapping'!$A$4:$A$33,0),MATCH(G450,'ei names mapping'!$B$3:$BL$3,0))</f>
        <v>air::urban air close to ground</v>
      </c>
      <c r="F450" t="s">
        <v>167</v>
      </c>
      <c r="G450" t="s">
        <v>558</v>
      </c>
    </row>
    <row r="451" spans="1:8" x14ac:dyDescent="0.2">
      <c r="A451" t="str">
        <f>INDEX('ei names mapping'!$B$4:$BL$33,MATCH(B$234,'ei names mapping'!$A$4:$A$33,0),MATCH(G451,'ei names mapping'!$B$3:$BL$3,0))</f>
        <v>Styrene</v>
      </c>
      <c r="B451" s="7">
        <f>INDEX('vehicles specifications'!$B$3:$CW$166,MATCH(B$393,'vehicles specifications'!$A$3:$A$166,0),MATCH(G451,'vehicles specifications'!$B$2:$CW$2,0))*INDEX('ei names mapping'!$B$137:$BL$300,MATCH(B$393,'ei names mapping'!$A$137:$A$300,0),MATCH(G451,'ei names mapping'!$B$136:$BL$136,0))</f>
        <v>2.0021515924759527E-7</v>
      </c>
      <c r="D451" t="str">
        <f>INDEX('ei names mapping'!$B$104:$BL$133,MATCH(B$234,'ei names mapping'!$A$4:$A$33,0),MATCH(G451,'ei names mapping'!$B$3:$BL$3,0))</f>
        <v>kilogram</v>
      </c>
      <c r="E451" t="str">
        <f>INDEX('ei names mapping'!$B$305:$BL$335,MATCH(B$234,'ei names mapping'!$A$4:$A$33,0),MATCH(G451,'ei names mapping'!$B$3:$BL$3,0))</f>
        <v>air::urban air close to ground</v>
      </c>
      <c r="F451" t="s">
        <v>167</v>
      </c>
      <c r="G451" t="s">
        <v>559</v>
      </c>
    </row>
    <row r="452" spans="1:8" x14ac:dyDescent="0.2">
      <c r="A452" t="str">
        <f>INDEX('ei names mapping'!$B$4:$BL$33,MATCH(B$234,'ei names mapping'!$A$4:$A$33,0),MATCH(G452,'ei names mapping'!$B$3:$BL$3,0))</f>
        <v>PAH, polycyclic aromatic hydrocarbons</v>
      </c>
      <c r="B452" s="7">
        <f>INDEX('vehicles specifications'!$B$3:$CW$166,MATCH(B$393,'vehicles specifications'!$A$3:$A$166,0),MATCH(G452,'vehicles specifications'!$B$2:$CW$2,0))*INDEX('ei names mapping'!$B$137:$BL$300,MATCH(B$393,'ei names mapping'!$A$137:$A$300,0),MATCH(G452,'ei names mapping'!$B$136:$BL$136,0))</f>
        <v>1.1944816591992947E-9</v>
      </c>
      <c r="D452" t="str">
        <f>INDEX('ei names mapping'!$B$104:$BL$133,MATCH(B$234,'ei names mapping'!$A$4:$A$33,0),MATCH(G452,'ei names mapping'!$B$3:$BL$3,0))</f>
        <v>kilogram</v>
      </c>
      <c r="E452" t="str">
        <f>INDEX('ei names mapping'!$B$305:$BL$335,MATCH(B$234,'ei names mapping'!$A$4:$A$33,0),MATCH(G452,'ei names mapping'!$B$3:$BL$3,0))</f>
        <v>air::urban air close to ground</v>
      </c>
      <c r="F452" t="s">
        <v>167</v>
      </c>
      <c r="G452" t="s">
        <v>561</v>
      </c>
    </row>
    <row r="453" spans="1:8" x14ac:dyDescent="0.2">
      <c r="A453" t="str">
        <f>INDEX('ei names mapping'!$B$4:$BL$33,MATCH(B$234,'ei names mapping'!$A$4:$A$33,0),MATCH(G453,'ei names mapping'!$B$3:$BL$3,0))</f>
        <v>Arsenic</v>
      </c>
      <c r="B453" s="7">
        <f>INDEX('vehicles specifications'!$B$3:$CW$166,MATCH(B$393,'vehicles specifications'!$A$3:$A$166,0),MATCH(G453,'vehicles specifications'!$B$2:$CW$2,0))*INDEX('ei names mapping'!$B$137:$BL$300,MATCH(B$393,'ei names mapping'!$A$137:$A$300,0),MATCH(G453,'ei names mapping'!$B$136:$BL$136,0))</f>
        <v>1.0297255682752541E-11</v>
      </c>
      <c r="D453" t="str">
        <f>INDEX('ei names mapping'!$B$104:$BL$133,MATCH(B$234,'ei names mapping'!$A$4:$A$33,0),MATCH(G453,'ei names mapping'!$B$3:$BL$3,0))</f>
        <v>kilogram</v>
      </c>
      <c r="E453" t="str">
        <f>INDEX('ei names mapping'!$B$305:$BL$335,MATCH(B$234,'ei names mapping'!$A$4:$A$33,0),MATCH(G453,'ei names mapping'!$B$3:$BL$3,0))</f>
        <v>air::urban air close to ground</v>
      </c>
      <c r="F453" t="s">
        <v>167</v>
      </c>
      <c r="G453" t="s">
        <v>562</v>
      </c>
    </row>
    <row r="454" spans="1:8" x14ac:dyDescent="0.2">
      <c r="A454" t="str">
        <f>INDEX('ei names mapping'!$B$4:$BL$33,MATCH(B$234,'ei names mapping'!$A$4:$A$33,0),MATCH(G454,'ei names mapping'!$B$3:$BL$3,0))</f>
        <v>Selenium</v>
      </c>
      <c r="B454" s="7">
        <f>INDEX('vehicles specifications'!$B$3:$CW$166,MATCH(B$393,'vehicles specifications'!$A$3:$A$166,0),MATCH(G454,'vehicles specifications'!$B$2:$CW$2,0))*INDEX('ei names mapping'!$B$137:$BL$300,MATCH(B$393,'ei names mapping'!$A$137:$A$300,0),MATCH(G454,'ei names mapping'!$B$136:$BL$136,0))</f>
        <v>6.8648371218350269E-12</v>
      </c>
      <c r="D454" t="str">
        <f>INDEX('ei names mapping'!$B$104:$BL$133,MATCH(B$234,'ei names mapping'!$A$4:$A$33,0),MATCH(G454,'ei names mapping'!$B$3:$BL$3,0))</f>
        <v>kilogram</v>
      </c>
      <c r="E454" t="str">
        <f>INDEX('ei names mapping'!$B$305:$BL$335,MATCH(B$234,'ei names mapping'!$A$4:$A$33,0),MATCH(G454,'ei names mapping'!$B$3:$BL$3,0))</f>
        <v>air::urban air close to ground</v>
      </c>
      <c r="F454" t="s">
        <v>167</v>
      </c>
      <c r="G454" t="s">
        <v>563</v>
      </c>
    </row>
    <row r="455" spans="1:8" x14ac:dyDescent="0.2">
      <c r="A455" t="str">
        <f>INDEX('ei names mapping'!$B$4:$BL$33,MATCH(B$234,'ei names mapping'!$A$4:$A$33,0),MATCH(G455,'ei names mapping'!$B$3:$BL$3,0))</f>
        <v>Zinc</v>
      </c>
      <c r="B455" s="7">
        <f>INDEX('vehicles specifications'!$B$3:$CW$166,MATCH(B$393,'vehicles specifications'!$A$3:$A$166,0),MATCH(G455,'vehicles specifications'!$B$2:$CW$2,0))*INDEX('ei names mapping'!$B$137:$BL$300,MATCH(B$393,'ei names mapping'!$A$137:$A$300,0),MATCH(G455,'ei names mapping'!$B$136:$BL$136,0))</f>
        <v>7.4140240915818294E-8</v>
      </c>
      <c r="D455" t="str">
        <f>INDEX('ei names mapping'!$B$104:$BL$133,MATCH(B$234,'ei names mapping'!$A$4:$A$33,0),MATCH(G455,'ei names mapping'!$B$3:$BL$3,0))</f>
        <v>kilogram</v>
      </c>
      <c r="E455" t="str">
        <f>INDEX('ei names mapping'!$B$305:$BL$335,MATCH(B$234,'ei names mapping'!$A$4:$A$33,0),MATCH(G455,'ei names mapping'!$B$3:$BL$3,0))</f>
        <v>air::urban air close to ground</v>
      </c>
      <c r="F455" t="s">
        <v>167</v>
      </c>
      <c r="G455" t="s">
        <v>564</v>
      </c>
    </row>
    <row r="456" spans="1:8" x14ac:dyDescent="0.2">
      <c r="A456" t="str">
        <f>INDEX('ei names mapping'!$B$4:$BL$33,MATCH(B$234,'ei names mapping'!$A$4:$A$33,0),MATCH(G456,'ei names mapping'!$B$3:$BL$3,0))</f>
        <v>Copper</v>
      </c>
      <c r="B456" s="7">
        <f>INDEX('vehicles specifications'!$B$3:$CW$166,MATCH(B$393,'vehicles specifications'!$A$3:$A$166,0),MATCH(G456,'vehicles specifications'!$B$2:$CW$2,0))*INDEX('ei names mapping'!$B$137:$BL$300,MATCH(B$393,'ei names mapping'!$A$137:$A$300,0),MATCH(G456,'ei names mapping'!$B$136:$BL$136,0))</f>
        <v>1.4416157955853554E-9</v>
      </c>
      <c r="D456" t="str">
        <f>INDEX('ei names mapping'!$B$104:$BL$133,MATCH(B$234,'ei names mapping'!$A$4:$A$33,0),MATCH(G456,'ei names mapping'!$B$3:$BL$3,0))</f>
        <v>kilogram</v>
      </c>
      <c r="E456" t="str">
        <f>INDEX('ei names mapping'!$B$305:$BL$335,MATCH(B$234,'ei names mapping'!$A$4:$A$33,0),MATCH(G456,'ei names mapping'!$B$3:$BL$3,0))</f>
        <v>air::urban air close to ground</v>
      </c>
      <c r="F456" t="s">
        <v>167</v>
      </c>
      <c r="G456" t="s">
        <v>522</v>
      </c>
    </row>
    <row r="457" spans="1:8" x14ac:dyDescent="0.2">
      <c r="A457" t="str">
        <f>INDEX('ei names mapping'!$B$4:$BL$33,MATCH(B$234,'ei names mapping'!$A$4:$A$33,0),MATCH(G457,'ei names mapping'!$B$3:$BL$3,0))</f>
        <v>Nickel</v>
      </c>
      <c r="B457" s="7">
        <f>INDEX('vehicles specifications'!$B$3:$CW$166,MATCH(B$393,'vehicles specifications'!$A$3:$A$166,0),MATCH(G457,'vehicles specifications'!$B$2:$CW$2,0))*INDEX('ei names mapping'!$B$137:$BL$300,MATCH(B$393,'ei names mapping'!$A$137:$A$300,0),MATCH(G457,'ei names mapping'!$B$136:$BL$136,0))</f>
        <v>4.4621441291927677E-10</v>
      </c>
      <c r="D457" t="str">
        <f>INDEX('ei names mapping'!$B$104:$BL$133,MATCH(B$234,'ei names mapping'!$A$4:$A$33,0),MATCH(G457,'ei names mapping'!$B$3:$BL$3,0))</f>
        <v>kilogram</v>
      </c>
      <c r="E457" t="str">
        <f>INDEX('ei names mapping'!$B$305:$BL$335,MATCH(B$234,'ei names mapping'!$A$4:$A$33,0),MATCH(G457,'ei names mapping'!$B$3:$BL$3,0))</f>
        <v>air::urban air close to ground</v>
      </c>
      <c r="F457" t="s">
        <v>167</v>
      </c>
      <c r="G457" t="s">
        <v>524</v>
      </c>
    </row>
    <row r="458" spans="1:8" x14ac:dyDescent="0.2">
      <c r="A458" t="str">
        <f>INDEX('ei names mapping'!$B$4:$BL$33,MATCH(B$234,'ei names mapping'!$A$4:$A$33,0),MATCH(G458,'ei names mapping'!$B$3:$BL$3,0))</f>
        <v>Chromium</v>
      </c>
      <c r="B458" s="7">
        <f>INDEX('vehicles specifications'!$B$3:$CW$166,MATCH(B$393,'vehicles specifications'!$A$3:$A$166,0),MATCH(G458,'vehicles specifications'!$B$2:$CW$2,0))*INDEX('ei names mapping'!$B$137:$BL$300,MATCH(B$393,'ei names mapping'!$A$137:$A$300,0),MATCH(G458,'ei names mapping'!$B$136:$BL$136,0))</f>
        <v>5.4918696974680217E-10</v>
      </c>
      <c r="D458" t="str">
        <f>INDEX('ei names mapping'!$B$104:$BL$133,MATCH(B$234,'ei names mapping'!$A$4:$A$33,0),MATCH(G458,'ei names mapping'!$B$3:$BL$3,0))</f>
        <v>kilogram</v>
      </c>
      <c r="E458" t="str">
        <f>INDEX('ei names mapping'!$B$305:$BL$335,MATCH(B$234,'ei names mapping'!$A$4:$A$33,0),MATCH(G458,'ei names mapping'!$B$3:$BL$3,0))</f>
        <v>air::urban air close to ground</v>
      </c>
      <c r="F458" t="s">
        <v>167</v>
      </c>
      <c r="G458" t="s">
        <v>523</v>
      </c>
    </row>
    <row r="459" spans="1:8" x14ac:dyDescent="0.2">
      <c r="A459" t="str">
        <f>INDEX('ei names mapping'!$B$4:$BL$33,MATCH(B$234,'ei names mapping'!$A$4:$A$33,0),MATCH(G459,'ei names mapping'!$B$3:$BL$3,0))</f>
        <v>Chromium VI</v>
      </c>
      <c r="B459" s="7">
        <f>INDEX('vehicles specifications'!$B$3:$CW$166,MATCH(B$393,'vehicles specifications'!$A$3:$A$166,0),MATCH(G459,'vehicles specifications'!$B$2:$CW$2,0))*INDEX('ei names mapping'!$B$137:$BL$300,MATCH(B$393,'ei names mapping'!$A$137:$A$300,0),MATCH(G459,'ei names mapping'!$B$136:$BL$136,0))</f>
        <v>1.0983739394936042E-12</v>
      </c>
      <c r="D459" t="str">
        <f>INDEX('ei names mapping'!$B$104:$BL$133,MATCH(B$234,'ei names mapping'!$A$4:$A$33,0),MATCH(G459,'ei names mapping'!$B$3:$BL$3,0))</f>
        <v>kilogram</v>
      </c>
      <c r="E459" t="str">
        <f>INDEX('ei names mapping'!$B$305:$BL$335,MATCH(B$234,'ei names mapping'!$A$4:$A$33,0),MATCH(G459,'ei names mapping'!$B$3:$BL$3,0))</f>
        <v>air::urban air close to ground</v>
      </c>
      <c r="F459" t="s">
        <v>167</v>
      </c>
      <c r="G459" t="s">
        <v>567</v>
      </c>
    </row>
    <row r="460" spans="1:8" x14ac:dyDescent="0.2">
      <c r="A460" t="str">
        <f>INDEX('ei names mapping'!$B$4:$BL$33,MATCH(B$234,'ei names mapping'!$A$4:$A$33,0),MATCH(G460,'ei names mapping'!$B$3:$BL$3,0))</f>
        <v>Mercury</v>
      </c>
      <c r="B460" s="7">
        <f>INDEX('vehicles specifications'!$B$3:$CW$166,MATCH(B$393,'vehicles specifications'!$A$3:$A$166,0),MATCH(G460,'vehicles specifications'!$B$2:$CW$2,0))*INDEX('ei names mapping'!$B$137:$BL$300,MATCH(B$393,'ei names mapping'!$A$137:$A$300,0),MATCH(G460,'ei names mapping'!$B$136:$BL$136,0))</f>
        <v>2.9862041479982367E-10</v>
      </c>
      <c r="D460" t="str">
        <f>INDEX('ei names mapping'!$B$104:$BL$133,MATCH(B$234,'ei names mapping'!$A$4:$A$33,0),MATCH(G460,'ei names mapping'!$B$3:$BL$3,0))</f>
        <v>kilogram</v>
      </c>
      <c r="E460" t="str">
        <f>INDEX('ei names mapping'!$B$305:$BL$335,MATCH(B$234,'ei names mapping'!$A$4:$A$33,0),MATCH(G460,'ei names mapping'!$B$3:$BL$3,0))</f>
        <v>air::urban air close to ground</v>
      </c>
      <c r="F460" t="s">
        <v>167</v>
      </c>
      <c r="G460" t="s">
        <v>565</v>
      </c>
    </row>
    <row r="461" spans="1:8" x14ac:dyDescent="0.2">
      <c r="A461" t="str">
        <f>INDEX('ei names mapping'!$B$4:$BL$33,MATCH(B$234,'ei names mapping'!$A$4:$A$33,0),MATCH(G461,'ei names mapping'!$B$3:$BL$3,0))</f>
        <v>Cadmium</v>
      </c>
      <c r="B461" s="7">
        <f>INDEX('vehicles specifications'!$B$3:$CW$166,MATCH(B$393,'vehicles specifications'!$A$3:$A$166,0),MATCH(G461,'vehicles specifications'!$B$2:$CW$2,0))*INDEX('ei names mapping'!$B$137:$BL$300,MATCH(B$393,'ei names mapping'!$A$137:$A$300,0),MATCH(G461,'ei names mapping'!$B$136:$BL$136,0))</f>
        <v>3.7070120457909154E-10</v>
      </c>
      <c r="D461" t="str">
        <f>INDEX('ei names mapping'!$B$104:$BL$133,MATCH(B$234,'ei names mapping'!$A$4:$A$33,0),MATCH(G461,'ei names mapping'!$B$3:$BL$3,0))</f>
        <v>kilogram</v>
      </c>
      <c r="E461" t="str">
        <f>INDEX('ei names mapping'!$B$305:$BL$335,MATCH(B$234,'ei names mapping'!$A$4:$A$33,0),MATCH(G461,'ei names mapping'!$B$3:$BL$3,0))</f>
        <v>air::urban air close to ground</v>
      </c>
      <c r="F461" t="s">
        <v>167</v>
      </c>
      <c r="G461" t="s">
        <v>566</v>
      </c>
    </row>
    <row r="462" spans="1:8" x14ac:dyDescent="0.2">
      <c r="A462" t="str">
        <f>INDEX('ei names mapping'!$B$4:$BL$33,MATCH(B390,'ei names mapping'!$A$4:$A$33,0),MATCH(G462,'ei names mapping'!$B$3:$BL$3,0))</f>
        <v>treatment of road wear emissions, passenger car</v>
      </c>
      <c r="B462" s="7">
        <f>INDEX('vehicles specifications'!$B$3:$CW$166,MATCH(B393,'vehicles specifications'!$A$3:$A$166,0),MATCH(G462,'vehicles specifications'!$B$2:$CW$2,0))*INDEX('ei names mapping'!$B$137:$BL$300,MATCH(B393,'ei names mapping'!$A$137:$A$300,0),MATCH(G462,'ei names mapping'!$B$136:$BL$136,0))</f>
        <v>-8.5441191684619126E-6</v>
      </c>
      <c r="C462" t="str">
        <f>INDEX('ei names mapping'!$B$38:$BL$67,MATCH(B390,'ei names mapping'!$A$4:$A$33,0),MATCH(G462,'ei names mapping'!$B$3:$BL$3,0))</f>
        <v>RER</v>
      </c>
      <c r="D462" t="str">
        <f>INDEX('ei names mapping'!$B$104:$BL$133,MATCH(B390,'ei names mapping'!$A$4:$A$33,0),MATCH(G462,'ei names mapping'!$B$3:$BL$3,0))</f>
        <v>kilogram</v>
      </c>
      <c r="F462" t="s">
        <v>89</v>
      </c>
      <c r="G462" t="s">
        <v>29</v>
      </c>
      <c r="H462" t="str">
        <f>INDEX('ei names mapping'!$B$71:$BL$100,MATCH(B390,'ei names mapping'!$A$4:$A$33,0),MATCH(G462,'ei names mapping'!$B$3:$BL$3,0))</f>
        <v>road wear emissions, passenger car</v>
      </c>
    </row>
    <row r="463" spans="1:8" x14ac:dyDescent="0.2">
      <c r="A463" t="str">
        <f>INDEX('ei names mapping'!$B$4:$BL$33,MATCH(B390,'ei names mapping'!$A$4:$A$33,0),MATCH(G463,'ei names mapping'!$B$3:$BL$3,0))</f>
        <v>treatment of tyre wear emissions, passenger car</v>
      </c>
      <c r="B463" s="7">
        <f>INDEX('vehicles specifications'!$B$3:$CW$166,MATCH(B393,'vehicles specifications'!$A$3:$A$166,0),MATCH(G463,'vehicles specifications'!$B$2:$CW$2,0))*INDEX('ei names mapping'!$B$137:$BL$300,MATCH(B393,'ei names mapping'!$A$137:$A$300,0),MATCH(G463,'ei names mapping'!$B$136:$BL$136,0))</f>
        <v>-5.6691348947099748E-6</v>
      </c>
      <c r="C463" t="str">
        <f>INDEX('ei names mapping'!$B$38:$BL$67,MATCH(B390,'ei names mapping'!$A$4:$A$33,0),MATCH(G463,'ei names mapping'!$B$3:$BL$3,0))</f>
        <v>RER</v>
      </c>
      <c r="D463" t="str">
        <f>INDEX('ei names mapping'!$B$104:$BL$133,MATCH(B390,'ei names mapping'!$A$4:$A$33,0),MATCH(G463,'ei names mapping'!$B$3:$BL$3,0))</f>
        <v>kilogram</v>
      </c>
      <c r="F463" t="s">
        <v>89</v>
      </c>
      <c r="G463" t="s">
        <v>30</v>
      </c>
      <c r="H463" t="str">
        <f>INDEX('ei names mapping'!$B$71:$BL$100,MATCH(B390,'ei names mapping'!$A$4:$A$33,0),MATCH(G463,'ei names mapping'!$B$3:$BL$3,0))</f>
        <v>tyre wear emissions, passenger car</v>
      </c>
    </row>
    <row r="464" spans="1:8" x14ac:dyDescent="0.2">
      <c r="A464" t="str">
        <f>INDEX('ei names mapping'!$B$4:$BL$33,MATCH(B390,'ei names mapping'!$A$4:$A$33,0),MATCH(G464,'ei names mapping'!$B$3:$BL$3,0))</f>
        <v>treatment of brake wear emissions, passenger car</v>
      </c>
      <c r="B464" s="7">
        <f>INDEX('vehicles specifications'!$B$3:$CW$166,MATCH(B393,'vehicles specifications'!$A$3:$A$166,0),MATCH(G464,'vehicles specifications'!$B$2:$CW$2,0))*INDEX('ei names mapping'!$B$137:$BL$300,MATCH(B393,'ei names mapping'!$A$137:$A$300,0),MATCH(G464,'ei names mapping'!$B$136:$BL$136,0))</f>
        <v>-3.1464693215033047E-6</v>
      </c>
      <c r="C464" t="str">
        <f>INDEX('ei names mapping'!$B$38:$BL$67,MATCH(B390,'ei names mapping'!$A$4:$A$33,0),MATCH(G464,'ei names mapping'!$B$3:$BL$3,0))</f>
        <v>RER</v>
      </c>
      <c r="D464" t="str">
        <f>INDEX('ei names mapping'!$B$104:$BL$133,MATCH(B390,'ei names mapping'!$A$4:$A$33,0),MATCH(G464,'ei names mapping'!$B$3:$BL$3,0))</f>
        <v>kilogram</v>
      </c>
      <c r="F464" t="s">
        <v>89</v>
      </c>
      <c r="G464" t="s">
        <v>31</v>
      </c>
      <c r="H464" t="str">
        <f>INDEX('ei names mapping'!$B$71:$BL$100,MATCH(B390,'ei names mapping'!$A$4:$A$33,0),MATCH(G464,'ei names mapping'!$B$3:$BL$3,0))</f>
        <v>brake wear emissions, passenger car</v>
      </c>
    </row>
    <row r="465" spans="1:2" x14ac:dyDescent="0.2">
      <c r="B465" s="6"/>
    </row>
    <row r="466" spans="1:2" ht="16" x14ac:dyDescent="0.2">
      <c r="A466" s="10" t="s">
        <v>71</v>
      </c>
      <c r="B466" s="8" t="str">
        <f>"transport, "&amp;B468&amp;", "&amp;B470</f>
        <v>transport, Motorbike, gasoline, 11-35kW, EURO-5, 2030</v>
      </c>
    </row>
    <row r="467" spans="1:2" x14ac:dyDescent="0.2">
      <c r="A467" t="s">
        <v>72</v>
      </c>
      <c r="B467" t="s">
        <v>37</v>
      </c>
    </row>
    <row r="468" spans="1:2" x14ac:dyDescent="0.2">
      <c r="A468" t="s">
        <v>86</v>
      </c>
      <c r="B468" t="s">
        <v>622</v>
      </c>
    </row>
    <row r="469" spans="1:2" x14ac:dyDescent="0.2">
      <c r="A469" t="s">
        <v>87</v>
      </c>
    </row>
    <row r="470" spans="1:2" x14ac:dyDescent="0.2">
      <c r="A470" t="s">
        <v>88</v>
      </c>
      <c r="B470">
        <v>2030</v>
      </c>
    </row>
    <row r="471" spans="1:2" x14ac:dyDescent="0.2">
      <c r="A471" t="s">
        <v>126</v>
      </c>
      <c r="B471" t="str">
        <f>B468&amp;" - "&amp;B470&amp;" - "&amp;B467</f>
        <v>Motorbike, gasoline, 11-35kW, EURO-5 - 2030 - CH</v>
      </c>
    </row>
    <row r="472" spans="1:2" x14ac:dyDescent="0.2">
      <c r="A472" t="s">
        <v>73</v>
      </c>
      <c r="B472" t="str">
        <f>"transport, "&amp;B468</f>
        <v>transport, Motorbike, gasoline, 11-35kW, EURO-5</v>
      </c>
    </row>
    <row r="473" spans="1:2" x14ac:dyDescent="0.2">
      <c r="A473" t="s">
        <v>74</v>
      </c>
      <c r="B473" t="s">
        <v>75</v>
      </c>
    </row>
    <row r="474" spans="1:2" x14ac:dyDescent="0.2">
      <c r="A474" t="s">
        <v>76</v>
      </c>
      <c r="B474" t="s">
        <v>166</v>
      </c>
    </row>
    <row r="475" spans="1:2" x14ac:dyDescent="0.2">
      <c r="A475" t="s">
        <v>78</v>
      </c>
      <c r="B475" t="s">
        <v>1143</v>
      </c>
    </row>
    <row r="476" spans="1:2" x14ac:dyDescent="0.2">
      <c r="A476" t="s">
        <v>127</v>
      </c>
      <c r="B476">
        <f>INDEX('vehicles specifications'!$B$3:$CW$166,MATCH(B471,'vehicles specifications'!$A$3:$A$166,0),MATCH("Lifetime [km]",'vehicles specifications'!$B$2:$CW$2,0))</f>
        <v>38500</v>
      </c>
    </row>
    <row r="477" spans="1:2" x14ac:dyDescent="0.2">
      <c r="A477" t="s">
        <v>128</v>
      </c>
      <c r="B477">
        <f>INDEX('vehicles specifications'!$B$3:$CW$166,MATCH(B471,'vehicles specifications'!$A$3:$A$166,0),MATCH("Passengers [unit]",'vehicles specifications'!$B$2:$CW$2,0))</f>
        <v>1.1000000000000001</v>
      </c>
    </row>
    <row r="478" spans="1:2" x14ac:dyDescent="0.2">
      <c r="A478" t="s">
        <v>129</v>
      </c>
      <c r="B478">
        <f>INDEX('vehicles specifications'!$B$3:$CW$166,MATCH(B471,'vehicles specifications'!$A$3:$A$166,0),MATCH("Servicing [unit]",'vehicles specifications'!$B$2:$CW$2,0))</f>
        <v>1.54</v>
      </c>
    </row>
    <row r="479" spans="1:2" x14ac:dyDescent="0.2">
      <c r="A479" t="s">
        <v>130</v>
      </c>
      <c r="B479">
        <f>INDEX('vehicles specifications'!$B$3:$CW$166,MATCH(B471,'vehicles specifications'!$A$3:$A$166,0),MATCH("Energy battery replacement [unit]",'vehicles specifications'!$B$2:$CW$2,0))</f>
        <v>0</v>
      </c>
    </row>
    <row r="480" spans="1:2" x14ac:dyDescent="0.2">
      <c r="A480" t="s">
        <v>131</v>
      </c>
      <c r="B480">
        <f>INDEX('vehicles specifications'!$B$3:$CW$166,MATCH(B471,'vehicles specifications'!$A$3:$A$166,0),MATCH("Annual kilometers [km]",'vehicles specifications'!$B$2:$CW$2,0))</f>
        <v>2405</v>
      </c>
    </row>
    <row r="481" spans="1:8" x14ac:dyDescent="0.2">
      <c r="A481" t="s">
        <v>132</v>
      </c>
      <c r="B481" s="2">
        <f>INDEX('vehicles specifications'!$B$3:$CW$166,MATCH(B471,'vehicles specifications'!$A$3:$A$166,0),MATCH("Curb mass [kg]",'vehicles specifications'!$B$2:$CW$2,0))</f>
        <v>153.50749999999999</v>
      </c>
    </row>
    <row r="482" spans="1:8" x14ac:dyDescent="0.2">
      <c r="A482" t="s">
        <v>133</v>
      </c>
      <c r="B482">
        <f>INDEX('vehicles specifications'!$B$3:$CW$166,MATCH(B471,'vehicles specifications'!$A$3:$A$166,0),MATCH("Power [kW]",'vehicles specifications'!$B$2:$CW$2,0))</f>
        <v>20</v>
      </c>
    </row>
    <row r="483" spans="1:8" x14ac:dyDescent="0.2">
      <c r="A483" t="s">
        <v>134</v>
      </c>
      <c r="B483" t="str">
        <f>INDEX('vehicles specifications'!$B$3:$CW$166,MATCH(B471,'vehicles specifications'!$A$3:$A$166,0),MATCH("Energy battery mass [kg]",'vehicles specifications'!$B$2:$CW$2,0))</f>
        <v/>
      </c>
    </row>
    <row r="484" spans="1:8" x14ac:dyDescent="0.2">
      <c r="A484" t="s">
        <v>135</v>
      </c>
      <c r="B484">
        <f>INDEX('vehicles specifications'!$B$3:$CW$166,MATCH(B471,'vehicles specifications'!$A$3:$A$166,0),MATCH("Electric energy available [kWh]",'vehicles specifications'!$B$2:$CW$2,0))</f>
        <v>0</v>
      </c>
    </row>
    <row r="485" spans="1:8" x14ac:dyDescent="0.2">
      <c r="A485" t="s">
        <v>138</v>
      </c>
      <c r="B485" s="2">
        <f>INDEX('vehicles specifications'!$B$3:$CW$166,MATCH(B471,'vehicles specifications'!$A$3:$A$166,0),MATCH("Oxydation energy stored [kWh]",'vehicles specifications'!$B$2:$CW$2,0))</f>
        <v>133.125</v>
      </c>
    </row>
    <row r="486" spans="1:8" x14ac:dyDescent="0.2">
      <c r="A486" t="s">
        <v>139</v>
      </c>
      <c r="B486">
        <f>INDEX('vehicles specifications'!$B$3:$CW$166,MATCH(B471,'vehicles specifications'!$A$3:$A$166,0),MATCH("Fuel mass [kg]",'vehicles specifications'!$B$2:$CW$2,0))</f>
        <v>11.25</v>
      </c>
    </row>
    <row r="487" spans="1:8" x14ac:dyDescent="0.2">
      <c r="A487" t="s">
        <v>136</v>
      </c>
      <c r="B487" s="2">
        <f>INDEX('vehicles specifications'!$B$3:$CW$166,MATCH(B471,'vehicles specifications'!$A$3:$A$166,0),MATCH("Range [km]",'vehicles specifications'!$B$2:$CW$2,0))</f>
        <v>331.84689248697174</v>
      </c>
    </row>
    <row r="488" spans="1:8" x14ac:dyDescent="0.2">
      <c r="A488" t="s">
        <v>137</v>
      </c>
      <c r="B488" t="str">
        <f>INDEX('vehicles specifications'!$B$3:$CW$166,MATCH(B471,'vehicles specifications'!$A$3:$A$166,0),MATCH("Emission standard",'vehicles specifications'!$B$2:$CW$2,0))</f>
        <v>EURO-5</v>
      </c>
    </row>
    <row r="489" spans="1:8" x14ac:dyDescent="0.2">
      <c r="A489" t="s">
        <v>1174</v>
      </c>
      <c r="B489" s="6">
        <f>INDEX('vehicles specifications'!$B$3:$CW$166,MATCH(B471,'vehicles specifications'!$A$3:$A$166,0),MATCH("Lightweighting rate [%]",'vehicles specifications'!$B$2:$CW$2,0))</f>
        <v>0.03</v>
      </c>
    </row>
    <row r="490" spans="1:8" x14ac:dyDescent="0.2">
      <c r="A490" t="s">
        <v>83</v>
      </c>
      <c r="B490"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20 kW. Lifetime: 38500 km. Annual kilometers: 2405 km. Number of passengers: 1.1. Curb mass: 153.5 kg. Lightweighting of glider: 3%. Emission standard: EURO-5. Service visits throughout lifetime: 1.5. Range: 332 km. Fuel tank capacity: 133.1 kWh. Fuel mass: 11.3 kg. Documentation: Life-cycle inventories for on-road vehicles, Sacchi R. (PSI), Bauer C. (PSI), 2021. Sacchi R., Bauer C. Life cycle inventories for on-road vehicles. Paul Scherrer Institut, 2021.</v>
      </c>
    </row>
    <row r="491" spans="1:8" ht="16" x14ac:dyDescent="0.2">
      <c r="A491" s="10" t="s">
        <v>79</v>
      </c>
    </row>
    <row r="492" spans="1:8" x14ac:dyDescent="0.2">
      <c r="A492" t="s">
        <v>80</v>
      </c>
      <c r="B492" t="s">
        <v>81</v>
      </c>
      <c r="C492" t="s">
        <v>72</v>
      </c>
      <c r="D492" t="s">
        <v>76</v>
      </c>
      <c r="E492" t="s">
        <v>82</v>
      </c>
      <c r="F492" t="s">
        <v>74</v>
      </c>
      <c r="G492" t="s">
        <v>83</v>
      </c>
      <c r="H492" t="s">
        <v>73</v>
      </c>
    </row>
    <row r="493" spans="1:8" x14ac:dyDescent="0.2">
      <c r="A493" t="str">
        <f>B466</f>
        <v>transport, Motorbike, gasoline, 11-35kW, EURO-5, 2030</v>
      </c>
      <c r="B493">
        <v>1</v>
      </c>
      <c r="C493" t="str">
        <f>B467</f>
        <v>CH</v>
      </c>
      <c r="D493" t="s">
        <v>166</v>
      </c>
      <c r="F493" t="s">
        <v>84</v>
      </c>
      <c r="G493" t="s">
        <v>85</v>
      </c>
      <c r="H493" t="str">
        <f>B472</f>
        <v>transport, Motorbike, gasoline, 11-35kW, EURO-5</v>
      </c>
    </row>
    <row r="494" spans="1:8" x14ac:dyDescent="0.2">
      <c r="A494" t="str">
        <f>RIGHT(A493,LEN(A493)-11)</f>
        <v>Motorbike, gasoline, 11-35kW, EURO-5, 2030</v>
      </c>
      <c r="B494" s="7">
        <f>1/B476</f>
        <v>2.5974025974025975E-5</v>
      </c>
      <c r="C494" t="str">
        <f>B467</f>
        <v>CH</v>
      </c>
      <c r="D494" t="s">
        <v>76</v>
      </c>
      <c r="F494" t="s">
        <v>89</v>
      </c>
      <c r="H494" t="str">
        <f>RIGHT(H493,LEN(H493)-11)</f>
        <v>Motorbike, gasoline, 11-35kW, EURO-5</v>
      </c>
    </row>
    <row r="495" spans="1:8" x14ac:dyDescent="0.2">
      <c r="A495" t="str">
        <f>INDEX('ei names mapping'!$B$4:$R$33,MATCH(B468,'ei names mapping'!$A$4:$A$33,0),MATCH(G495,'ei names mapping'!$B$3:$R$3,0))</f>
        <v>road construction</v>
      </c>
      <c r="B495" s="7">
        <f>INDEX('vehicles specifications'!$B$3:$CW$166,MATCH(B471,'vehicles specifications'!$A$3:$A$166,0),MATCH(G495,'vehicles specifications'!$B$2:$CW$2,0))*INDEX('ei names mapping'!$B$137:$BL$300,MATCH(B471,'ei names mapping'!$A$137:$A$300,0),MATCH(G495,'ei names mapping'!$B$136:$BL$136,0))</f>
        <v>1.299580275E-4</v>
      </c>
      <c r="C495" t="str">
        <f>INDEX('ei names mapping'!$B$38:$R$67,MATCH(B468,'ei names mapping'!$A$4:$A$33,0),MATCH(G495,'ei names mapping'!$B$3:$R$3,0))</f>
        <v>CH</v>
      </c>
      <c r="D495" t="str">
        <f>INDEX('ei names mapping'!$B$104:$BL$133,MATCH(B468,'ei names mapping'!$A$4:$A$33,0),MATCH(G495,'ei names mapping'!$B$3:$BL$3,0))</f>
        <v>meter-year</v>
      </c>
      <c r="F495" t="s">
        <v>89</v>
      </c>
      <c r="G495" t="s">
        <v>105</v>
      </c>
      <c r="H495" t="str">
        <f>INDEX('ei names mapping'!$B$71:$BL$100,MATCH(B468,'ei names mapping'!$A$4:$A$33,0),MATCH(G495,'ei names mapping'!$B$3:$BL$3,0))</f>
        <v>road</v>
      </c>
    </row>
    <row r="496" spans="1:8" x14ac:dyDescent="0.2">
      <c r="A496" t="str">
        <f>INDEX('ei names mapping'!$B$4:$R$33,MATCH(B468,'ei names mapping'!$A$4:$A$33,0),MATCH(G496,'ei names mapping'!$B$3:$R$3,0))</f>
        <v>road maintenance</v>
      </c>
      <c r="B496" s="7">
        <f>INDEX('vehicles specifications'!$B$3:$CW$166,MATCH(B471,'vehicles specifications'!$A$3:$A$166,0),MATCH(G496,'vehicles specifications'!$B$2:$CW$2,0))*INDEX('ei names mapping'!$B$137:$BL$300,MATCH(B471,'ei names mapping'!$A$137:$A$300,0),MATCH(G496,'ei names mapping'!$B$136:$BL$136,0))</f>
        <v>1.2899999999999999E-3</v>
      </c>
      <c r="C496" t="str">
        <f>INDEX('ei names mapping'!$B$38:$R$67,MATCH(B468,'ei names mapping'!$A$4:$A$33,0),MATCH(G496,'ei names mapping'!$B$3:$R$3,0))</f>
        <v>CH</v>
      </c>
      <c r="D496" t="str">
        <f>INDEX('ei names mapping'!$B$104:$BL$133,MATCH(B468,'ei names mapping'!$A$4:$A$33,0),MATCH(G496,'ei names mapping'!$B$3:$BL$3,0))</f>
        <v>meter-year</v>
      </c>
      <c r="F496" t="s">
        <v>89</v>
      </c>
      <c r="G496" t="s">
        <v>112</v>
      </c>
      <c r="H496" t="str">
        <f>INDEX('ei names mapping'!$B$71:$BL$100,MATCH(B468,'ei names mapping'!$A$4:$A$33,0),MATCH(G496,'ei names mapping'!$B$3:$BL$3,0))</f>
        <v>road maintenance</v>
      </c>
    </row>
    <row r="497" spans="1:8" x14ac:dyDescent="0.2">
      <c r="A497" t="str">
        <f>INDEX('ei names mapping'!$B$4:$R$33,MATCH(B468,'ei names mapping'!$A$4:$A$33,0),MATCH(G497,'ei names mapping'!$B$3:$R$3,0))</f>
        <v>maintenance, motor scooter</v>
      </c>
      <c r="B497" s="7">
        <f>INDEX('vehicles specifications'!$B$3:$CW$166,MATCH(B471,'vehicles specifications'!$A$3:$A$166,0),MATCH(G497,'vehicles specifications'!$B$2:$CW$2,0))*INDEX('ei names mapping'!$B$137:$BL$300,MATCH(B471,'ei names mapping'!$A$137:$A$300,0),MATCH(G497,'ei names mapping'!$B$136:$BL$136,0))</f>
        <v>4.0000000000000003E-5</v>
      </c>
      <c r="C497" t="str">
        <f>INDEX('ei names mapping'!$B$38:$BL$67,MATCH(B468,'ei names mapping'!$A$4:$A$33,0),MATCH(G497,'ei names mapping'!$B$3:$BL$3,0))</f>
        <v>CH</v>
      </c>
      <c r="D497" t="str">
        <f>INDEX('ei names mapping'!$B$104:$BL$133,MATCH(B468,'ei names mapping'!$A$4:$A$33,0),MATCH(G497,'ei names mapping'!$B$3:$BL$3,0))</f>
        <v>unit</v>
      </c>
      <c r="F497" t="s">
        <v>89</v>
      </c>
      <c r="G497" t="s">
        <v>118</v>
      </c>
      <c r="H497" t="str">
        <f>INDEX('ei names mapping'!$B$71:$BL$100,MATCH(B468,'ei names mapping'!$A$4:$A$33,0),MATCH(G497,'ei names mapping'!$B$3:$BL$3,0))</f>
        <v>maintenance, motor scooter</v>
      </c>
    </row>
    <row r="498" spans="1:8" x14ac:dyDescent="0.2">
      <c r="A498" t="str">
        <f>INDEX('ei names mapping'!$B$4:$R$33,MATCH(B468,'ei names mapping'!$A$4:$A$33,0),MATCH(G498,'ei names mapping'!$B$3:$R$3,0))</f>
        <v>fuel supply for gasoline vehicles</v>
      </c>
      <c r="B498" s="7">
        <f>INDEX('vehicles specifications'!$B$3:$CW$166,MATCH(B471,'vehicles specifications'!$A$3:$A$166,0),MATCH(G498,'vehicles specifications'!$B$2:$CW$2,0))*INDEX('ei names mapping'!$B$137:$BL$300,MATCH(B471,'ei names mapping'!$A$137:$A$300,0),MATCH(G498,'ei names mapping'!$B$136:$BL$136,0))</f>
        <v>3.3901176279484593E-2</v>
      </c>
      <c r="C498" t="str">
        <f>INDEX('ei names mapping'!$B$38:$BL$67,MATCH(B468,'ei names mapping'!$A$4:$A$33,0),MATCH(G498,'ei names mapping'!$B$3:$BL$3,0))</f>
        <v>CH</v>
      </c>
      <c r="D498" t="str">
        <f>INDEX('ei names mapping'!$B$104:$BL$133,MATCH(B468,'ei names mapping'!$A$4:$A$33,0),MATCH(G498,'ei names mapping'!$B$3:$BL$3,0))</f>
        <v>kilogram</v>
      </c>
      <c r="F498" t="s">
        <v>89</v>
      </c>
      <c r="G498" t="s">
        <v>27</v>
      </c>
      <c r="H498" t="str">
        <f>INDEX('ei names mapping'!$B$71:$BL$100,MATCH(B468,'ei names mapping'!$A$4:$A$33,0),MATCH(G498,'ei names mapping'!$B$3:$BL$3,0))</f>
        <v>gasoline blend</v>
      </c>
    </row>
    <row r="499" spans="1:8" x14ac:dyDescent="0.2">
      <c r="A499" t="str">
        <f>INDEX('ei names mapping'!$B$4:$BL$33,MATCH(B468,'ei names mapping'!$A$4:$A$33,0),MATCH(G499,'ei names mapping'!$B$3:$BL$3,0))</f>
        <v>Carbon dioxide, fossil</v>
      </c>
      <c r="B499" s="7">
        <f>INDEX('vehicles specifications'!$B$3:$CW$166,MATCH(B471,'vehicles specifications'!$A$3:$A$166,0),MATCH(G499,'vehicles specifications'!$B$2:$CW$2,0))*INDEX('ei names mapping'!$B$137:$BL$300,MATCH(B471,'ei names mapping'!$A$137:$A$300,0),MATCH(G499,'ei names mapping'!$B$136:$BL$136,0))</f>
        <v>0.10517229719537065</v>
      </c>
      <c r="D499" t="str">
        <f>INDEX('ei names mapping'!$B$104:$BL$133,MATCH(B468,'ei names mapping'!$A$4:$A$33,0),MATCH(G499,'ei names mapping'!$B$3:$BL$3,0))</f>
        <v>kilogram</v>
      </c>
      <c r="E499" t="str">
        <f>INDEX('ei names mapping'!$B$305:$BL$335,MATCH(B468,'ei names mapping'!$A$4:$A$33,0),MATCH(G499,'ei names mapping'!$B$3:$BL$3,0))</f>
        <v>air::urban air close to ground</v>
      </c>
      <c r="F499" t="s">
        <v>167</v>
      </c>
      <c r="G499" t="s">
        <v>66</v>
      </c>
    </row>
    <row r="500" spans="1:8" x14ac:dyDescent="0.2">
      <c r="A500" t="str">
        <f>INDEX('ei names mapping'!$B$4:$BL$33,MATCH(B468,'ei names mapping'!$A$4:$A$33,0),MATCH(G500,'ei names mapping'!$B$3:$BL$3,0))</f>
        <v>Carbon dioxide, from soil or biomass stock</v>
      </c>
      <c r="B500" s="11">
        <f>INDEX('vehicles specifications'!$B$3:$CW$166,MATCH(B471,'vehicles specifications'!$A$3:$A$166,0),MATCH(G500,'vehicles specifications'!$B$2:$CW$2,0))*INDEX('ei names mapping'!$B$137:$BL$300,MATCH(B471,'ei names mapping'!$A$137:$A$300,0),MATCH(G500,'ei names mapping'!$B$136:$BL$136,0))</f>
        <v>1.2773963222109796E-3</v>
      </c>
      <c r="D500" t="str">
        <f>INDEX('ei names mapping'!$B$104:$BL$133,MATCH(B468,'ei names mapping'!$A$4:$A$33,0),MATCH(G500,'ei names mapping'!$B$3:$BL$3,0))</f>
        <v>kilogram</v>
      </c>
      <c r="E500" t="str">
        <f>INDEX('ei names mapping'!$B$305:$BL$335,MATCH(B468,'ei names mapping'!$A$4:$A$33,0),MATCH(G500,'ei names mapping'!$B$3:$BL$3,0))</f>
        <v>air::urban air close to ground</v>
      </c>
      <c r="F500" t="s">
        <v>167</v>
      </c>
      <c r="G500" t="s">
        <v>843</v>
      </c>
    </row>
    <row r="501" spans="1:8" x14ac:dyDescent="0.2">
      <c r="A501" t="str">
        <f>INDEX('ei names mapping'!$B$4:$BL$33,MATCH(B468,'ei names mapping'!$A$4:$A$33,0),MATCH(G501,'ei names mapping'!$B$3:$BL$3,0))</f>
        <v>Sulfur dioxide</v>
      </c>
      <c r="B501" s="7">
        <f>INDEX('vehicles specifications'!$B$3:$CW$166,MATCH(B471,'vehicles specifications'!$A$3:$A$166,0),MATCH(G501,'vehicles specifications'!$B$2:$CW$2,0))*INDEX('ei names mapping'!$B$137:$BL$300,MATCH(B471,'ei names mapping'!$A$137:$A$300,0),MATCH(G501,'ei names mapping'!$B$136:$BL$136,0))</f>
        <v>5.4241882047175348E-7</v>
      </c>
      <c r="D501" t="str">
        <f>INDEX('ei names mapping'!$B$104:$BL$133,MATCH(B468,'ei names mapping'!$A$4:$A$33,0),MATCH(G501,'ei names mapping'!$B$3:$BL$3,0))</f>
        <v>kilogram</v>
      </c>
      <c r="E501" t="str">
        <f>INDEX('ei names mapping'!$B$305:$BL$335,MATCH(B468,'ei names mapping'!$A$4:$A$33,0),MATCH(G501,'ei names mapping'!$B$3:$BL$3,0))</f>
        <v>air::urban air close to ground</v>
      </c>
      <c r="F501" t="s">
        <v>167</v>
      </c>
      <c r="G501" t="s">
        <v>67</v>
      </c>
    </row>
    <row r="502" spans="1:8" x14ac:dyDescent="0.2">
      <c r="A502" t="str">
        <f>INDEX('ei names mapping'!$B$4:$BL$33,MATCH(B468,'ei names mapping'!$A$4:$A$33,0),MATCH(G502,'ei names mapping'!$B$3:$BL$3,0))</f>
        <v>Benzene</v>
      </c>
      <c r="B502" s="7">
        <f>INDEX('vehicles specifications'!$B$3:$CW$166,MATCH(B471,'vehicles specifications'!$A$3:$A$166,0),MATCH(G502,'vehicles specifications'!$B$2:$CW$2,0))*INDEX('ei names mapping'!$B$137:$BL$300,MATCH(B471,'ei names mapping'!$A$137:$A$300,0),MATCH(G502,'ei names mapping'!$B$136:$BL$136,0))</f>
        <v>1.1009653197477418E-6</v>
      </c>
      <c r="D502" t="str">
        <f>INDEX('ei names mapping'!$B$104:$BL$133,MATCH(B468,'ei names mapping'!$A$4:$A$33,0),MATCH(G502,'ei names mapping'!$B$3:$BL$3,0))</f>
        <v>kilogram</v>
      </c>
      <c r="E502" t="str">
        <f>INDEX('ei names mapping'!$B$305:$BL$335,MATCH(B468,'ei names mapping'!$A$4:$A$33,0),MATCH(G502,'ei names mapping'!$B$3:$BL$3,0))</f>
        <v>air::urban air close to ground</v>
      </c>
      <c r="F502" t="s">
        <v>167</v>
      </c>
      <c r="G502" t="s">
        <v>55</v>
      </c>
    </row>
    <row r="503" spans="1:8" x14ac:dyDescent="0.2">
      <c r="A503" t="str">
        <f>INDEX('ei names mapping'!$B$4:$BL$33,MATCH(B468,'ei names mapping'!$A$4:$A$33,0),MATCH(G503,'ei names mapping'!$B$3:$BL$3,0))</f>
        <v>Methane, fossil</v>
      </c>
      <c r="B503" s="7">
        <f>INDEX('vehicles specifications'!$B$3:$CW$166,MATCH(B471,'vehicles specifications'!$A$3:$A$166,0),MATCH(G503,'vehicles specifications'!$B$2:$CW$2,0))*INDEX('ei names mapping'!$B$137:$BL$300,MATCH(B471,'ei names mapping'!$A$137:$A$300,0),MATCH(G503,'ei names mapping'!$B$136:$BL$136,0))</f>
        <v>2.7146550836469235E-5</v>
      </c>
      <c r="D503" t="str">
        <f>INDEX('ei names mapping'!$B$104:$BL$133,MATCH(B468,'ei names mapping'!$A$4:$A$33,0),MATCH(G503,'ei names mapping'!$B$3:$BL$3,0))</f>
        <v>kilogram</v>
      </c>
      <c r="E503" t="str">
        <f>INDEX('ei names mapping'!$B$305:$BL$335,MATCH(B468,'ei names mapping'!$A$4:$A$33,0),MATCH(G503,'ei names mapping'!$B$3:$BL$3,0))</f>
        <v>air::urban air close to ground</v>
      </c>
      <c r="F503" t="s">
        <v>167</v>
      </c>
      <c r="G503" t="s">
        <v>56</v>
      </c>
    </row>
    <row r="504" spans="1:8" x14ac:dyDescent="0.2">
      <c r="A504" t="str">
        <f>INDEX('ei names mapping'!$B$4:$BL$33,MATCH(B468,'ei names mapping'!$A$4:$A$33,0),MATCH(G504,'ei names mapping'!$B$3:$BL$3,0))</f>
        <v>Carbon monoxide, fossil</v>
      </c>
      <c r="B504" s="7">
        <f>INDEX('vehicles specifications'!$B$3:$CW$166,MATCH(B471,'vehicles specifications'!$A$3:$A$166,0),MATCH(G504,'vehicles specifications'!$B$2:$CW$2,0))*INDEX('ei names mapping'!$B$137:$BL$300,MATCH(B471,'ei names mapping'!$A$137:$A$300,0),MATCH(G504,'ei names mapping'!$B$136:$BL$136,0))</f>
        <v>1.2052510494031101E-4</v>
      </c>
      <c r="D504" t="str">
        <f>INDEX('ei names mapping'!$B$104:$BL$133,MATCH(B468,'ei names mapping'!$A$4:$A$33,0),MATCH(G504,'ei names mapping'!$B$3:$BL$3,0))</f>
        <v>kilogram</v>
      </c>
      <c r="E504" t="str">
        <f>INDEX('ei names mapping'!$B$305:$BL$335,MATCH(B468,'ei names mapping'!$A$4:$A$33,0),MATCH(G504,'ei names mapping'!$B$3:$BL$3,0))</f>
        <v>air::urban air close to ground</v>
      </c>
      <c r="F504" t="s">
        <v>167</v>
      </c>
      <c r="G504" t="s">
        <v>57</v>
      </c>
    </row>
    <row r="505" spans="1:8" x14ac:dyDescent="0.2">
      <c r="A505" t="str">
        <f>INDEX('ei names mapping'!$B$4:$BL$33,MATCH(B468,'ei names mapping'!$A$4:$A$33,0),MATCH(G505,'ei names mapping'!$B$3:$BL$3,0))</f>
        <v>Dinitrogen monoxide</v>
      </c>
      <c r="B505" s="7">
        <f>INDEX('vehicles specifications'!$B$3:$CW$166,MATCH(B471,'vehicles specifications'!$A$3:$A$166,0),MATCH(G505,'vehicles specifications'!$B$2:$CW$2,0))*INDEX('ei names mapping'!$B$137:$BL$300,MATCH(B471,'ei names mapping'!$A$137:$A$300,0),MATCH(G505,'ei names mapping'!$B$136:$BL$136,0))</f>
        <v>8.1643761914193182E-7</v>
      </c>
      <c r="D505" t="str">
        <f>INDEX('ei names mapping'!$B$104:$BL$133,MATCH(B468,'ei names mapping'!$A$4:$A$33,0),MATCH(G505,'ei names mapping'!$B$3:$BL$3,0))</f>
        <v>kilogram</v>
      </c>
      <c r="E505" t="str">
        <f>INDEX('ei names mapping'!$B$305:$BL$335,MATCH(B468,'ei names mapping'!$A$4:$A$33,0),MATCH(G505,'ei names mapping'!$B$3:$BL$3,0))</f>
        <v>air::urban air close to ground</v>
      </c>
      <c r="F505" t="s">
        <v>167</v>
      </c>
      <c r="G505" t="s">
        <v>58</v>
      </c>
    </row>
    <row r="506" spans="1:8" x14ac:dyDescent="0.2">
      <c r="A506" t="str">
        <f>INDEX('ei names mapping'!$B$4:$BL$33,MATCH(B468,'ei names mapping'!$A$4:$A$33,0),MATCH(G506,'ei names mapping'!$B$3:$BL$3,0))</f>
        <v>Ammonia</v>
      </c>
      <c r="B506" s="7">
        <f>INDEX('vehicles specifications'!$B$3:$CW$166,MATCH(B471,'vehicles specifications'!$A$3:$A$166,0),MATCH(G506,'vehicles specifications'!$B$2:$CW$2,0))*INDEX('ei names mapping'!$B$137:$BL$300,MATCH(B471,'ei names mapping'!$A$137:$A$300,0),MATCH(G506,'ei names mapping'!$B$136:$BL$136,0))</f>
        <v>8.1643761914193182E-7</v>
      </c>
      <c r="D506" t="str">
        <f>INDEX('ei names mapping'!$B$104:$BL$133,MATCH(B468,'ei names mapping'!$A$4:$A$33,0),MATCH(G506,'ei names mapping'!$B$3:$BL$3,0))</f>
        <v>kilogram</v>
      </c>
      <c r="E506" t="str">
        <f>INDEX('ei names mapping'!$B$305:$BL$335,MATCH(B468,'ei names mapping'!$A$4:$A$33,0),MATCH(G506,'ei names mapping'!$B$3:$BL$3,0))</f>
        <v>air::urban air close to ground</v>
      </c>
      <c r="F506" t="s">
        <v>167</v>
      </c>
      <c r="G506" t="s">
        <v>59</v>
      </c>
    </row>
    <row r="507" spans="1:8" x14ac:dyDescent="0.2">
      <c r="A507" t="str">
        <f>INDEX('ei names mapping'!$B$4:$BL$33,MATCH(B468,'ei names mapping'!$A$4:$A$33,0),MATCH(G507,'ei names mapping'!$B$3:$BL$3,0))</f>
        <v>Nitrogen oxides</v>
      </c>
      <c r="B507" s="7">
        <f>INDEX('vehicles specifications'!$B$3:$CW$166,MATCH(B471,'vehicles specifications'!$A$3:$A$166,0),MATCH(G507,'vehicles specifications'!$B$2:$CW$2,0))*INDEX('ei names mapping'!$B$137:$BL$300,MATCH(B471,'ei names mapping'!$A$137:$A$300,0),MATCH(G507,'ei names mapping'!$B$136:$BL$136,0))</f>
        <v>8.8991198197302526E-6</v>
      </c>
      <c r="D507" t="str">
        <f>INDEX('ei names mapping'!$B$104:$BL$133,MATCH(B468,'ei names mapping'!$A$4:$A$33,0),MATCH(G507,'ei names mapping'!$B$3:$BL$3,0))</f>
        <v>kilogram</v>
      </c>
      <c r="E507" t="str">
        <f>INDEX('ei names mapping'!$B$305:$BL$335,MATCH(B468,'ei names mapping'!$A$4:$A$33,0),MATCH(G507,'ei names mapping'!$B$3:$BL$3,0))</f>
        <v>air::urban air close to ground</v>
      </c>
      <c r="F507" t="s">
        <v>167</v>
      </c>
      <c r="G507" t="s">
        <v>60</v>
      </c>
    </row>
    <row r="508" spans="1:8" x14ac:dyDescent="0.2">
      <c r="A508" t="str">
        <f>INDEX('ei names mapping'!$B$4:$BL$33,MATCH(B468,'ei names mapping'!$A$4:$A$33,0),MATCH(G508,'ei names mapping'!$B$3:$BL$3,0))</f>
        <v>Particulates, &lt; 2.5 um</v>
      </c>
      <c r="B508" s="7">
        <f>INDEX('vehicles specifications'!$B$3:$CW$166,MATCH($B$471,'vehicles specifications'!$A$3:$A$166,0),MATCH(G508,'vehicles specifications'!$B$2:$CW$2,0))*INDEX('ei names mapping'!$B$137:$BL$300,MATCH($B$471,'ei names mapping'!$A$137:$A$300,0),MATCH(G508,'ei names mapping'!$B$136:$BL$136,0))</f>
        <v>2.0410940478548298E-6</v>
      </c>
      <c r="D508" t="str">
        <f>INDEX('ei names mapping'!$B$104:$BL$133,MATCH(B468,'ei names mapping'!$A$4:$A$33,0),MATCH(G508,'ei names mapping'!$B$3:$BL$3,0))</f>
        <v>kilogram</v>
      </c>
      <c r="E508" t="str">
        <f>INDEX('ei names mapping'!$B$305:$BL$335,MATCH(B468,'ei names mapping'!$A$4:$A$33,0),MATCH(G508,'ei names mapping'!$B$3:$BL$3,0))</f>
        <v>air::urban air close to ground</v>
      </c>
      <c r="F508" t="s">
        <v>167</v>
      </c>
      <c r="G508" t="s">
        <v>62</v>
      </c>
    </row>
    <row r="509" spans="1:8" x14ac:dyDescent="0.2">
      <c r="A509" t="str">
        <f>INDEX('ei names mapping'!$B$4:$BL$33,MATCH(B$234,'ei names mapping'!$A$4:$A$33,0),MATCH(G509,'ei names mapping'!$B$3:$BL$3,0))</f>
        <v>NMVOC, non-methane volatile organic compounds, unspecified origin</v>
      </c>
      <c r="B509" s="7">
        <f>INDEX('vehicles specifications'!$B$3:$CW$166,MATCH($B$471,'vehicles specifications'!$A$3:$A$166,0),MATCH(G509,'vehicles specifications'!$B$2:$CW$2,0))*INDEX('ei names mapping'!$B$137:$BL$300,MATCH($B$471,'ei names mapping'!$A$137:$A$300,0),MATCH(G509,'ei names mapping'!$B$136:$BL$136,0))</f>
        <v>8.8783727389283155E-6</v>
      </c>
      <c r="D509" t="str">
        <f>INDEX('ei names mapping'!$B$104:$BL$133,MATCH(B$234,'ei names mapping'!$A$4:$A$33,0),MATCH(G509,'ei names mapping'!$B$3:$BL$3,0))</f>
        <v>kilogram</v>
      </c>
      <c r="E509" t="str">
        <f>INDEX('ei names mapping'!$B$305:$BL$335,MATCH(B$234,'ei names mapping'!$A$4:$A$33,0),MATCH(G509,'ei names mapping'!$B$3:$BL$3,0))</f>
        <v>air::urban air close to ground</v>
      </c>
      <c r="F509" t="s">
        <v>167</v>
      </c>
      <c r="G509" t="s">
        <v>593</v>
      </c>
    </row>
    <row r="510" spans="1:8" x14ac:dyDescent="0.2">
      <c r="A510" t="str">
        <f>INDEX('ei names mapping'!$B$4:$BL$33,MATCH(B$234,'ei names mapping'!$A$4:$A$33,0),MATCH(G510,'ei names mapping'!$B$3:$BL$3,0))</f>
        <v>Ethane</v>
      </c>
      <c r="B510" s="7">
        <f>INDEX('vehicles specifications'!$B$3:$CW$166,MATCH($B$471,'vehicles specifications'!$A$3:$A$166,0),MATCH(G510,'vehicles specifications'!$B$2:$CW$2,0))*INDEX('ei names mapping'!$B$137:$BL$300,MATCH($B$471,'ei names mapping'!$A$137:$A$300,0),MATCH(G510,'ei names mapping'!$B$136:$BL$136,0))</f>
        <v>6.2603910338597077E-7</v>
      </c>
      <c r="D510" t="str">
        <f>INDEX('ei names mapping'!$B$104:$BL$133,MATCH(B$234,'ei names mapping'!$A$4:$A$33,0),MATCH(G510,'ei names mapping'!$B$3:$BL$3,0))</f>
        <v>kilogram</v>
      </c>
      <c r="E510" t="str">
        <f>INDEX('ei names mapping'!$B$305:$BL$335,MATCH(B$234,'ei names mapping'!$A$4:$A$33,0),MATCH(G510,'ei names mapping'!$B$3:$BL$3,0))</f>
        <v>air::urban air close to ground</v>
      </c>
      <c r="F510" t="s">
        <v>167</v>
      </c>
      <c r="G510" t="s">
        <v>541</v>
      </c>
    </row>
    <row r="511" spans="1:8" x14ac:dyDescent="0.2">
      <c r="A511" t="str">
        <f>INDEX('ei names mapping'!$B$4:$BL$33,MATCH(B$234,'ei names mapping'!$A$4:$A$33,0),MATCH(G511,'ei names mapping'!$B$3:$BL$3,0))</f>
        <v>Propane</v>
      </c>
      <c r="B511" s="7">
        <f>INDEX('vehicles specifications'!$B$3:$CW$166,MATCH($B$471,'vehicles specifications'!$A$3:$A$166,0),MATCH(G511,'vehicles specifications'!$B$2:$CW$2,0))*INDEX('ei names mapping'!$B$137:$BL$300,MATCH($B$471,'ei names mapping'!$A$137:$A$300,0),MATCH(G511,'ei names mapping'!$B$136:$BL$136,0))</f>
        <v>1.2756282670874015E-7</v>
      </c>
      <c r="D511" t="str">
        <f>INDEX('ei names mapping'!$B$104:$BL$133,MATCH(B$234,'ei names mapping'!$A$4:$A$33,0),MATCH(G511,'ei names mapping'!$B$3:$BL$3,0))</f>
        <v>kilogram</v>
      </c>
      <c r="E511" t="str">
        <f>INDEX('ei names mapping'!$B$305:$BL$335,MATCH(B$234,'ei names mapping'!$A$4:$A$33,0),MATCH(G511,'ei names mapping'!$B$3:$BL$3,0))</f>
        <v>air::urban air close to ground</v>
      </c>
      <c r="F511" t="s">
        <v>167</v>
      </c>
      <c r="G511" t="s">
        <v>542</v>
      </c>
    </row>
    <row r="512" spans="1:8" x14ac:dyDescent="0.2">
      <c r="A512" t="str">
        <f>INDEX('ei names mapping'!$B$4:$BL$33,MATCH(B$234,'ei names mapping'!$A$4:$A$33,0),MATCH(G512,'ei names mapping'!$B$3:$BL$3,0))</f>
        <v>Butane</v>
      </c>
      <c r="B512" s="7">
        <f>INDEX('vehicles specifications'!$B$3:$CW$166,MATCH($B$471,'vehicles specifications'!$A$3:$A$166,0),MATCH(G512,'vehicles specifications'!$B$2:$CW$2,0))*INDEX('ei names mapping'!$B$137:$BL$300,MATCH($B$471,'ei names mapping'!$A$137:$A$300,0),MATCH(G512,'ei names mapping'!$B$136:$BL$136,0))</f>
        <v>1.0283526337750743E-6</v>
      </c>
      <c r="D512" t="str">
        <f>INDEX('ei names mapping'!$B$104:$BL$133,MATCH(B$234,'ei names mapping'!$A$4:$A$33,0),MATCH(G512,'ei names mapping'!$B$3:$BL$3,0))</f>
        <v>kilogram</v>
      </c>
      <c r="E512" t="str">
        <f>INDEX('ei names mapping'!$B$305:$BL$335,MATCH(B$234,'ei names mapping'!$A$4:$A$33,0),MATCH(G512,'ei names mapping'!$B$3:$BL$3,0))</f>
        <v>air::urban air close to ground</v>
      </c>
      <c r="F512" t="s">
        <v>167</v>
      </c>
      <c r="G512" t="s">
        <v>543</v>
      </c>
    </row>
    <row r="513" spans="1:7" x14ac:dyDescent="0.2">
      <c r="A513" t="str">
        <f>INDEX('ei names mapping'!$B$4:$BL$33,MATCH(B$234,'ei names mapping'!$A$4:$A$33,0),MATCH(G513,'ei names mapping'!$B$3:$BL$3,0))</f>
        <v>Pentane</v>
      </c>
      <c r="B513" s="7">
        <f>INDEX('vehicles specifications'!$B$3:$CW$166,MATCH($B$471,'vehicles specifications'!$A$3:$A$166,0),MATCH(G513,'vehicles specifications'!$B$2:$CW$2,0))*INDEX('ei names mapping'!$B$137:$BL$300,MATCH($B$471,'ei names mapping'!$A$137:$A$300,0),MATCH(G513,'ei names mapping'!$B$136:$BL$136,0))</f>
        <v>4.2193858065198663E-7</v>
      </c>
      <c r="D513" t="str">
        <f>INDEX('ei names mapping'!$B$104:$BL$133,MATCH(B$234,'ei names mapping'!$A$4:$A$33,0),MATCH(G513,'ei names mapping'!$B$3:$BL$3,0))</f>
        <v>kilogram</v>
      </c>
      <c r="E513" t="str">
        <f>INDEX('ei names mapping'!$B$305:$BL$335,MATCH(B$234,'ei names mapping'!$A$4:$A$33,0),MATCH(G513,'ei names mapping'!$B$3:$BL$3,0))</f>
        <v>air::urban air close to ground</v>
      </c>
      <c r="F513" t="s">
        <v>167</v>
      </c>
      <c r="G513" t="s">
        <v>544</v>
      </c>
    </row>
    <row r="514" spans="1:7" x14ac:dyDescent="0.2">
      <c r="A514" t="str">
        <f>INDEX('ei names mapping'!$B$4:$BL$33,MATCH(B$234,'ei names mapping'!$A$4:$A$33,0),MATCH(G514,'ei names mapping'!$B$3:$BL$3,0))</f>
        <v>Hexane</v>
      </c>
      <c r="B514" s="7">
        <f>INDEX('vehicles specifications'!$B$3:$CW$166,MATCH($B$471,'vehicles specifications'!$A$3:$A$166,0),MATCH(G514,'vehicles specifications'!$B$2:$CW$2,0))*INDEX('ei names mapping'!$B$137:$BL$300,MATCH($B$471,'ei names mapping'!$A$137:$A$300,0),MATCH(G514,'ei names mapping'!$B$136:$BL$136,0))</f>
        <v>3.1596330923241792E-7</v>
      </c>
      <c r="D514" t="str">
        <f>INDEX('ei names mapping'!$B$104:$BL$133,MATCH(B$234,'ei names mapping'!$A$4:$A$33,0),MATCH(G514,'ei names mapping'!$B$3:$BL$3,0))</f>
        <v>kilogram</v>
      </c>
      <c r="E514" t="str">
        <f>INDEX('ei names mapping'!$B$305:$BL$335,MATCH(B$234,'ei names mapping'!$A$4:$A$33,0),MATCH(G514,'ei names mapping'!$B$3:$BL$3,0))</f>
        <v>air::urban air close to ground</v>
      </c>
      <c r="F514" t="s">
        <v>167</v>
      </c>
      <c r="G514" t="s">
        <v>545</v>
      </c>
    </row>
    <row r="515" spans="1:7" x14ac:dyDescent="0.2">
      <c r="A515" t="str">
        <f>INDEX('ei names mapping'!$B$4:$BL$33,MATCH(B$234,'ei names mapping'!$A$4:$A$33,0),MATCH(G515,'ei names mapping'!$B$3:$BL$3,0))</f>
        <v>Cyclohexane</v>
      </c>
      <c r="B515" s="7">
        <f>INDEX('vehicles specifications'!$B$3:$CW$166,MATCH($B$471,'vehicles specifications'!$A$3:$A$166,0),MATCH(G515,'vehicles specifications'!$B$2:$CW$2,0))*INDEX('ei names mapping'!$B$137:$BL$300,MATCH($B$471,'ei names mapping'!$A$137:$A$300,0),MATCH(G515,'ei names mapping'!$B$136:$BL$136,0))</f>
        <v>2.2372557299686732E-7</v>
      </c>
      <c r="D515" t="str">
        <f>INDEX('ei names mapping'!$B$104:$BL$133,MATCH(B$234,'ei names mapping'!$A$4:$A$33,0),MATCH(G515,'ei names mapping'!$B$3:$BL$3,0))</f>
        <v>kilogram</v>
      </c>
      <c r="E515" t="str">
        <f>INDEX('ei names mapping'!$B$305:$BL$335,MATCH(B$234,'ei names mapping'!$A$4:$A$33,0),MATCH(G515,'ei names mapping'!$B$3:$BL$3,0))</f>
        <v>air::urban air close to ground</v>
      </c>
      <c r="F515" t="s">
        <v>167</v>
      </c>
      <c r="G515" t="s">
        <v>546</v>
      </c>
    </row>
    <row r="516" spans="1:7" x14ac:dyDescent="0.2">
      <c r="A516" t="str">
        <f>INDEX('ei names mapping'!$B$4:$BL$33,MATCH(B$234,'ei names mapping'!$A$4:$A$33,0),MATCH(G516,'ei names mapping'!$B$3:$BL$3,0))</f>
        <v>Heptane</v>
      </c>
      <c r="B516" s="7">
        <f>INDEX('vehicles specifications'!$B$3:$CW$166,MATCH($B$471,'vehicles specifications'!$A$3:$A$166,0),MATCH(G516,'vehicles specifications'!$B$2:$CW$2,0))*INDEX('ei names mapping'!$B$137:$BL$300,MATCH($B$471,'ei names mapping'!$A$137:$A$300,0),MATCH(G516,'ei names mapping'!$B$136:$BL$136,0))</f>
        <v>1.4522537194533496E-7</v>
      </c>
      <c r="D516" t="str">
        <f>INDEX('ei names mapping'!$B$104:$BL$133,MATCH(B$234,'ei names mapping'!$A$4:$A$33,0),MATCH(G516,'ei names mapping'!$B$3:$BL$3,0))</f>
        <v>kilogram</v>
      </c>
      <c r="E516" t="str">
        <f>INDEX('ei names mapping'!$B$305:$BL$335,MATCH(B$234,'ei names mapping'!$A$4:$A$33,0),MATCH(G516,'ei names mapping'!$B$3:$BL$3,0))</f>
        <v>air::urban air close to ground</v>
      </c>
      <c r="F516" t="s">
        <v>167</v>
      </c>
      <c r="G516" t="s">
        <v>547</v>
      </c>
    </row>
    <row r="517" spans="1:7" x14ac:dyDescent="0.2">
      <c r="A517" t="str">
        <f>INDEX('ei names mapping'!$B$4:$BL$33,MATCH(B$234,'ei names mapping'!$A$4:$A$33,0),MATCH(G517,'ei names mapping'!$B$3:$BL$3,0))</f>
        <v>Ethene</v>
      </c>
      <c r="B517" s="7">
        <f>INDEX('vehicles specifications'!$B$3:$CW$166,MATCH($B$471,'vehicles specifications'!$A$3:$A$166,0),MATCH(G517,'vehicles specifications'!$B$2:$CW$2,0))*INDEX('ei names mapping'!$B$137:$BL$300,MATCH($B$471,'ei names mapping'!$A$137:$A$300,0),MATCH(G517,'ei names mapping'!$B$136:$BL$136,0))</f>
        <v>1.4326286691904661E-6</v>
      </c>
      <c r="D517" t="str">
        <f>INDEX('ei names mapping'!$B$104:$BL$133,MATCH(B$234,'ei names mapping'!$A$4:$A$33,0),MATCH(G517,'ei names mapping'!$B$3:$BL$3,0))</f>
        <v>kilogram</v>
      </c>
      <c r="E517" t="str">
        <f>INDEX('ei names mapping'!$B$305:$BL$335,MATCH(B$234,'ei names mapping'!$A$4:$A$33,0),MATCH(G517,'ei names mapping'!$B$3:$BL$3,0))</f>
        <v>air::urban air close to ground</v>
      </c>
      <c r="F517" t="s">
        <v>167</v>
      </c>
      <c r="G517" t="s">
        <v>548</v>
      </c>
    </row>
    <row r="518" spans="1:7" x14ac:dyDescent="0.2">
      <c r="A518" t="str">
        <f>INDEX('ei names mapping'!$B$4:$BL$33,MATCH(B$234,'ei names mapping'!$A$4:$A$33,0),MATCH(G518,'ei names mapping'!$B$3:$BL$3,0))</f>
        <v>Propene</v>
      </c>
      <c r="B518" s="7">
        <f>INDEX('vehicles specifications'!$B$3:$CW$166,MATCH($B$471,'vehicles specifications'!$A$3:$A$166,0),MATCH(G518,'vehicles specifications'!$B$2:$CW$2,0))*INDEX('ei names mapping'!$B$137:$BL$300,MATCH($B$471,'ei names mapping'!$A$137:$A$300,0),MATCH(G518,'ei names mapping'!$B$136:$BL$136,0))</f>
        <v>7.4967692004213441E-7</v>
      </c>
      <c r="D518" t="str">
        <f>INDEX('ei names mapping'!$B$104:$BL$133,MATCH(B$234,'ei names mapping'!$A$4:$A$33,0),MATCH(G518,'ei names mapping'!$B$3:$BL$3,0))</f>
        <v>kilogram</v>
      </c>
      <c r="E518" t="str">
        <f>INDEX('ei names mapping'!$B$305:$BL$335,MATCH(B$234,'ei names mapping'!$A$4:$A$33,0),MATCH(G518,'ei names mapping'!$B$3:$BL$3,0))</f>
        <v>air::urban air close to ground</v>
      </c>
      <c r="F518" t="s">
        <v>167</v>
      </c>
      <c r="G518" t="s">
        <v>549</v>
      </c>
    </row>
    <row r="519" spans="1:7" x14ac:dyDescent="0.2">
      <c r="A519" t="str">
        <f>INDEX('ei names mapping'!$B$4:$BL$33,MATCH(B$234,'ei names mapping'!$A$4:$A$33,0),MATCH(G519,'ei names mapping'!$B$3:$BL$3,0))</f>
        <v>1-Pentene</v>
      </c>
      <c r="B519" s="7">
        <f>INDEX('vehicles specifications'!$B$3:$CW$166,MATCH($B$471,'vehicles specifications'!$A$3:$A$166,0),MATCH(G519,'vehicles specifications'!$B$2:$CW$2,0))*INDEX('ei names mapping'!$B$137:$BL$300,MATCH($B$471,'ei names mapping'!$A$137:$A$300,0),MATCH(G519,'ei names mapping'!$B$136:$BL$136,0))</f>
        <v>2.1587555289171415E-8</v>
      </c>
      <c r="D519" t="str">
        <f>INDEX('ei names mapping'!$B$104:$BL$133,MATCH(B$234,'ei names mapping'!$A$4:$A$33,0),MATCH(G519,'ei names mapping'!$B$3:$BL$3,0))</f>
        <v>kilogram</v>
      </c>
      <c r="E519" t="str">
        <f>INDEX('ei names mapping'!$B$305:$BL$335,MATCH(B$234,'ei names mapping'!$A$4:$A$33,0),MATCH(G519,'ei names mapping'!$B$3:$BL$3,0))</f>
        <v>air::urban air close to ground</v>
      </c>
      <c r="F519" t="s">
        <v>167</v>
      </c>
      <c r="G519" t="s">
        <v>550</v>
      </c>
    </row>
    <row r="520" spans="1:7" x14ac:dyDescent="0.2">
      <c r="A520" t="str">
        <f>INDEX('ei names mapping'!$B$4:$BL$33,MATCH(B$234,'ei names mapping'!$A$4:$A$33,0),MATCH(G520,'ei names mapping'!$B$3:$BL$3,0))</f>
        <v>Toluene</v>
      </c>
      <c r="B520" s="7">
        <f>INDEX('vehicles specifications'!$B$3:$CW$166,MATCH($B$471,'vehicles specifications'!$A$3:$A$166,0),MATCH(G520,'vehicles specifications'!$B$2:$CW$2,0))*INDEX('ei names mapping'!$B$137:$BL$300,MATCH($B$471,'ei names mapping'!$A$137:$A$300,0),MATCH(G520,'ei names mapping'!$B$136:$BL$136,0))</f>
        <v>2.154830518864564E-6</v>
      </c>
      <c r="D520" t="str">
        <f>INDEX('ei names mapping'!$B$104:$BL$133,MATCH(B$234,'ei names mapping'!$A$4:$A$33,0),MATCH(G520,'ei names mapping'!$B$3:$BL$3,0))</f>
        <v>kilogram</v>
      </c>
      <c r="E520" t="str">
        <f>INDEX('ei names mapping'!$B$305:$BL$335,MATCH(B$234,'ei names mapping'!$A$4:$A$33,0),MATCH(G520,'ei names mapping'!$B$3:$BL$3,0))</f>
        <v>air::urban air close to ground</v>
      </c>
      <c r="F520" t="s">
        <v>167</v>
      </c>
      <c r="G520" t="s">
        <v>551</v>
      </c>
    </row>
    <row r="521" spans="1:7" x14ac:dyDescent="0.2">
      <c r="A521" t="str">
        <f>INDEX('ei names mapping'!$B$4:$BL$33,MATCH(B$234,'ei names mapping'!$A$4:$A$33,0),MATCH(G521,'ei names mapping'!$B$3:$BL$3,0))</f>
        <v>m-Xylene</v>
      </c>
      <c r="B521" s="7">
        <f>INDEX('vehicles specifications'!$B$3:$CW$166,MATCH($B$471,'vehicles specifications'!$A$3:$A$166,0),MATCH(G521,'vehicles specifications'!$B$2:$CW$2,0))*INDEX('ei names mapping'!$B$137:$BL$300,MATCH($B$471,'ei names mapping'!$A$137:$A$300,0),MATCH(G521,'ei names mapping'!$B$136:$BL$136,0))</f>
        <v>1.0656402292745523E-6</v>
      </c>
      <c r="D521" t="str">
        <f>INDEX('ei names mapping'!$B$104:$BL$133,MATCH(B$234,'ei names mapping'!$A$4:$A$33,0),MATCH(G521,'ei names mapping'!$B$3:$BL$3,0))</f>
        <v>kilogram</v>
      </c>
      <c r="E521" t="str">
        <f>INDEX('ei names mapping'!$B$305:$BL$335,MATCH(B$234,'ei names mapping'!$A$4:$A$33,0),MATCH(G521,'ei names mapping'!$B$3:$BL$3,0))</f>
        <v>air::urban air close to ground</v>
      </c>
      <c r="F521" t="s">
        <v>167</v>
      </c>
      <c r="G521" t="s">
        <v>552</v>
      </c>
    </row>
    <row r="522" spans="1:7" x14ac:dyDescent="0.2">
      <c r="A522" t="str">
        <f>INDEX('ei names mapping'!$B$4:$BL$33,MATCH(B$234,'ei names mapping'!$A$4:$A$33,0),MATCH(G522,'ei names mapping'!$B$3:$BL$3,0))</f>
        <v>o-Xylene</v>
      </c>
      <c r="B522" s="7">
        <f>INDEX('vehicles specifications'!$B$3:$CW$166,MATCH($B$471,'vehicles specifications'!$A$3:$A$166,0),MATCH(G522,'vehicles specifications'!$B$2:$CW$2,0))*INDEX('ei names mapping'!$B$137:$BL$300,MATCH($B$471,'ei names mapping'!$A$137:$A$300,0),MATCH(G522,'ei names mapping'!$B$136:$BL$136,0))</f>
        <v>4.4352613594115801E-7</v>
      </c>
      <c r="D522" t="str">
        <f>INDEX('ei names mapping'!$B$104:$BL$133,MATCH(B$234,'ei names mapping'!$A$4:$A$33,0),MATCH(G522,'ei names mapping'!$B$3:$BL$3,0))</f>
        <v>kilogram</v>
      </c>
      <c r="E522" t="str">
        <f>INDEX('ei names mapping'!$B$305:$BL$335,MATCH(B$234,'ei names mapping'!$A$4:$A$33,0),MATCH(G522,'ei names mapping'!$B$3:$BL$3,0))</f>
        <v>air::urban air close to ground</v>
      </c>
      <c r="F522" t="s">
        <v>167</v>
      </c>
      <c r="G522" t="s">
        <v>553</v>
      </c>
    </row>
    <row r="523" spans="1:7" x14ac:dyDescent="0.2">
      <c r="A523" t="str">
        <f>INDEX('ei names mapping'!$B$4:$BL$33,MATCH(B$234,'ei names mapping'!$A$4:$A$33,0),MATCH(G523,'ei names mapping'!$B$3:$BL$3,0))</f>
        <v>Formaldehyde</v>
      </c>
      <c r="B523" s="7">
        <f>INDEX('vehicles specifications'!$B$3:$CW$166,MATCH($B$471,'vehicles specifications'!$A$3:$A$166,0),MATCH(G523,'vehicles specifications'!$B$2:$CW$2,0))*INDEX('ei names mapping'!$B$137:$BL$300,MATCH($B$471,'ei names mapping'!$A$137:$A$300,0),MATCH(G523,'ei names mapping'!$B$136:$BL$136,0))</f>
        <v>3.3362585446901273E-7</v>
      </c>
      <c r="D523" t="str">
        <f>INDEX('ei names mapping'!$B$104:$BL$133,MATCH(B$234,'ei names mapping'!$A$4:$A$33,0),MATCH(G523,'ei names mapping'!$B$3:$BL$3,0))</f>
        <v>kilogram</v>
      </c>
      <c r="E523" t="str">
        <f>INDEX('ei names mapping'!$B$305:$BL$335,MATCH(B$234,'ei names mapping'!$A$4:$A$33,0),MATCH(G523,'ei names mapping'!$B$3:$BL$3,0))</f>
        <v>air::urban air close to ground</v>
      </c>
      <c r="F523" t="s">
        <v>167</v>
      </c>
      <c r="G523" t="s">
        <v>554</v>
      </c>
    </row>
    <row r="524" spans="1:7" x14ac:dyDescent="0.2">
      <c r="A524" t="str">
        <f>INDEX('ei names mapping'!$B$4:$BL$33,MATCH(B$234,'ei names mapping'!$A$4:$A$33,0),MATCH(G524,'ei names mapping'!$B$3:$BL$3,0))</f>
        <v>Acetaldehyde</v>
      </c>
      <c r="B524" s="7">
        <f>INDEX('vehicles specifications'!$B$3:$CW$166,MATCH($B$471,'vehicles specifications'!$A$3:$A$166,0),MATCH(G524,'vehicles specifications'!$B$2:$CW$2,0))*INDEX('ei names mapping'!$B$137:$BL$300,MATCH($B$471,'ei names mapping'!$A$137:$A$300,0),MATCH(G524,'ei names mapping'!$B$136:$BL$136,0))</f>
        <v>1.4718787697162324E-7</v>
      </c>
      <c r="D524" t="str">
        <f>INDEX('ei names mapping'!$B$104:$BL$133,MATCH(B$234,'ei names mapping'!$A$4:$A$33,0),MATCH(G524,'ei names mapping'!$B$3:$BL$3,0))</f>
        <v>kilogram</v>
      </c>
      <c r="E524" t="str">
        <f>INDEX('ei names mapping'!$B$305:$BL$335,MATCH(B$234,'ei names mapping'!$A$4:$A$33,0),MATCH(G524,'ei names mapping'!$B$3:$BL$3,0))</f>
        <v>air::urban air close to ground</v>
      </c>
      <c r="F524" t="s">
        <v>167</v>
      </c>
      <c r="G524" t="s">
        <v>555</v>
      </c>
    </row>
    <row r="525" spans="1:7" x14ac:dyDescent="0.2">
      <c r="A525" t="str">
        <f>INDEX('ei names mapping'!$B$4:$BL$33,MATCH(B$234,'ei names mapping'!$A$4:$A$33,0),MATCH(G525,'ei names mapping'!$B$3:$BL$3,0))</f>
        <v>Benzaldehyde</v>
      </c>
      <c r="B525" s="7">
        <f>INDEX('vehicles specifications'!$B$3:$CW$166,MATCH($B$471,'vehicles specifications'!$A$3:$A$166,0),MATCH(G525,'vehicles specifications'!$B$2:$CW$2,0))*INDEX('ei names mapping'!$B$137:$BL$300,MATCH($B$471,'ei names mapping'!$A$137:$A$300,0),MATCH(G525,'ei names mapping'!$B$136:$BL$136,0))</f>
        <v>4.317511057834283E-8</v>
      </c>
      <c r="D525" t="str">
        <f>INDEX('ei names mapping'!$B$104:$BL$133,MATCH(B$234,'ei names mapping'!$A$4:$A$33,0),MATCH(G525,'ei names mapping'!$B$3:$BL$3,0))</f>
        <v>kilogram</v>
      </c>
      <c r="E525" t="str">
        <f>INDEX('ei names mapping'!$B$305:$BL$335,MATCH(B$234,'ei names mapping'!$A$4:$A$33,0),MATCH(G525,'ei names mapping'!$B$3:$BL$3,0))</f>
        <v>air::urban air close to ground</v>
      </c>
      <c r="F525" t="s">
        <v>167</v>
      </c>
      <c r="G525" t="s">
        <v>556</v>
      </c>
    </row>
    <row r="526" spans="1:7" x14ac:dyDescent="0.2">
      <c r="A526" t="str">
        <f>INDEX('ei names mapping'!$B$4:$BL$33,MATCH(B$234,'ei names mapping'!$A$4:$A$33,0),MATCH(G526,'ei names mapping'!$B$3:$BL$3,0))</f>
        <v>Acetone</v>
      </c>
      <c r="B526" s="7">
        <f>INDEX('vehicles specifications'!$B$3:$CW$166,MATCH($B$471,'vehicles specifications'!$A$3:$A$166,0),MATCH(G526,'vehicles specifications'!$B$2:$CW$2,0))*INDEX('ei names mapping'!$B$137:$BL$300,MATCH($B$471,'ei names mapping'!$A$137:$A$300,0),MATCH(G526,'ei names mapping'!$B$136:$BL$136,0))</f>
        <v>1.1971280660358694E-7</v>
      </c>
      <c r="D526" t="str">
        <f>INDEX('ei names mapping'!$B$104:$BL$133,MATCH(B$234,'ei names mapping'!$A$4:$A$33,0),MATCH(G526,'ei names mapping'!$B$3:$BL$3,0))</f>
        <v>kilogram</v>
      </c>
      <c r="E526" t="str">
        <f>INDEX('ei names mapping'!$B$305:$BL$335,MATCH(B$234,'ei names mapping'!$A$4:$A$33,0),MATCH(G526,'ei names mapping'!$B$3:$BL$3,0))</f>
        <v>air::urban air close to ground</v>
      </c>
      <c r="F526" t="s">
        <v>167</v>
      </c>
      <c r="G526" t="s">
        <v>557</v>
      </c>
    </row>
    <row r="527" spans="1:7" x14ac:dyDescent="0.2">
      <c r="A527" t="str">
        <f>INDEX('ei names mapping'!$B$4:$BL$33,MATCH(B$234,'ei names mapping'!$A$4:$A$33,0),MATCH(G527,'ei names mapping'!$B$3:$BL$3,0))</f>
        <v>Methyl ethyl ketone</v>
      </c>
      <c r="B527" s="7">
        <f>INDEX('vehicles specifications'!$B$3:$CW$166,MATCH($B$471,'vehicles specifications'!$A$3:$A$166,0),MATCH(G527,'vehicles specifications'!$B$2:$CW$2,0))*INDEX('ei names mapping'!$B$137:$BL$300,MATCH($B$471,'ei names mapping'!$A$137:$A$300,0),MATCH(G527,'ei names mapping'!$B$136:$BL$136,0))</f>
        <v>0</v>
      </c>
      <c r="D527" t="str">
        <f>INDEX('ei names mapping'!$B$104:$BL$133,MATCH(B$234,'ei names mapping'!$A$4:$A$33,0),MATCH(G527,'ei names mapping'!$B$3:$BL$3,0))</f>
        <v>kilogram</v>
      </c>
      <c r="E527" t="str">
        <f>INDEX('ei names mapping'!$B$305:$BL$335,MATCH(B$234,'ei names mapping'!$A$4:$A$33,0),MATCH(G527,'ei names mapping'!$B$3:$BL$3,0))</f>
        <v>air::urban air close to ground</v>
      </c>
      <c r="F527" t="s">
        <v>167</v>
      </c>
      <c r="G527" t="s">
        <v>560</v>
      </c>
    </row>
    <row r="528" spans="1:7" x14ac:dyDescent="0.2">
      <c r="A528" t="str">
        <f>INDEX('ei names mapping'!$B$4:$BL$33,MATCH(B$234,'ei names mapping'!$A$4:$A$33,0),MATCH(G528,'ei names mapping'!$B$3:$BL$3,0))</f>
        <v>Acrolein</v>
      </c>
      <c r="B528" s="7">
        <f>INDEX('vehicles specifications'!$B$3:$CW$166,MATCH($B$471,'vehicles specifications'!$A$3:$A$166,0),MATCH(G528,'vehicles specifications'!$B$2:$CW$2,0))*INDEX('ei names mapping'!$B$137:$BL$300,MATCH($B$471,'ei names mapping'!$A$137:$A$300,0),MATCH(G528,'ei names mapping'!$B$136:$BL$136,0))</f>
        <v>3.7287595499477888E-8</v>
      </c>
      <c r="D528" t="str">
        <f>INDEX('ei names mapping'!$B$104:$BL$133,MATCH(B$234,'ei names mapping'!$A$4:$A$33,0),MATCH(G528,'ei names mapping'!$B$3:$BL$3,0))</f>
        <v>kilogram</v>
      </c>
      <c r="E528" t="str">
        <f>INDEX('ei names mapping'!$B$305:$BL$335,MATCH(B$234,'ei names mapping'!$A$4:$A$33,0),MATCH(G528,'ei names mapping'!$B$3:$BL$3,0))</f>
        <v>air::urban air close to ground</v>
      </c>
      <c r="F528" t="s">
        <v>167</v>
      </c>
      <c r="G528" t="s">
        <v>558</v>
      </c>
    </row>
    <row r="529" spans="1:8" x14ac:dyDescent="0.2">
      <c r="A529" t="str">
        <f>INDEX('ei names mapping'!$B$4:$BL$33,MATCH(B$234,'ei names mapping'!$A$4:$A$33,0),MATCH(G529,'ei names mapping'!$B$3:$BL$3,0))</f>
        <v>Styrene</v>
      </c>
      <c r="B529" s="7">
        <f>INDEX('vehicles specifications'!$B$3:$CW$166,MATCH($B$471,'vehicles specifications'!$A$3:$A$166,0),MATCH(G529,'vehicles specifications'!$B$2:$CW$2,0))*INDEX('ei names mapping'!$B$137:$BL$300,MATCH($B$471,'ei names mapping'!$A$137:$A$300,0),MATCH(G529,'ei names mapping'!$B$136:$BL$136,0))</f>
        <v>1.9821300765511932E-7</v>
      </c>
      <c r="D529" t="str">
        <f>INDEX('ei names mapping'!$B$104:$BL$133,MATCH(B$234,'ei names mapping'!$A$4:$A$33,0),MATCH(G529,'ei names mapping'!$B$3:$BL$3,0))</f>
        <v>kilogram</v>
      </c>
      <c r="E529" t="str">
        <f>INDEX('ei names mapping'!$B$305:$BL$335,MATCH(B$234,'ei names mapping'!$A$4:$A$33,0),MATCH(G529,'ei names mapping'!$B$3:$BL$3,0))</f>
        <v>air::urban air close to ground</v>
      </c>
      <c r="F529" t="s">
        <v>167</v>
      </c>
      <c r="G529" t="s">
        <v>559</v>
      </c>
    </row>
    <row r="530" spans="1:8" x14ac:dyDescent="0.2">
      <c r="A530" t="str">
        <f>INDEX('ei names mapping'!$B$4:$BL$33,MATCH(B$234,'ei names mapping'!$A$4:$A$33,0),MATCH(G530,'ei names mapping'!$B$3:$BL$3,0))</f>
        <v>PAH, polycyclic aromatic hydrocarbons</v>
      </c>
      <c r="B530" s="7">
        <f>INDEX('vehicles specifications'!$B$3:$CW$166,MATCH($B$471,'vehicles specifications'!$A$3:$A$166,0),MATCH(G530,'vehicles specifications'!$B$2:$CW$2,0))*INDEX('ei names mapping'!$B$137:$BL$300,MATCH($B$471,'ei names mapping'!$A$137:$A$300,0),MATCH(G530,'ei names mapping'!$B$136:$BL$136,0))</f>
        <v>1.1825368426073017E-9</v>
      </c>
      <c r="D530" t="str">
        <f>INDEX('ei names mapping'!$B$104:$BL$133,MATCH(B$234,'ei names mapping'!$A$4:$A$33,0),MATCH(G530,'ei names mapping'!$B$3:$BL$3,0))</f>
        <v>kilogram</v>
      </c>
      <c r="E530" t="str">
        <f>INDEX('ei names mapping'!$B$305:$BL$335,MATCH(B$234,'ei names mapping'!$A$4:$A$33,0),MATCH(G530,'ei names mapping'!$B$3:$BL$3,0))</f>
        <v>air::urban air close to ground</v>
      </c>
      <c r="F530" t="s">
        <v>167</v>
      </c>
      <c r="G530" t="s">
        <v>561</v>
      </c>
    </row>
    <row r="531" spans="1:8" x14ac:dyDescent="0.2">
      <c r="A531" t="str">
        <f>INDEX('ei names mapping'!$B$4:$BL$33,MATCH(B$234,'ei names mapping'!$A$4:$A$33,0),MATCH(G531,'ei names mapping'!$B$3:$BL$3,0))</f>
        <v>Arsenic</v>
      </c>
      <c r="B531" s="7">
        <f>INDEX('vehicles specifications'!$B$3:$CW$166,MATCH($B$471,'vehicles specifications'!$A$3:$A$166,0),MATCH(G531,'vehicles specifications'!$B$2:$CW$2,0))*INDEX('ei names mapping'!$B$137:$BL$300,MATCH($B$471,'ei names mapping'!$A$137:$A$300,0),MATCH(G531,'ei names mapping'!$B$136:$BL$136,0))</f>
        <v>1.0194283125925015E-11</v>
      </c>
      <c r="D531" t="str">
        <f>INDEX('ei names mapping'!$B$104:$BL$133,MATCH(B$234,'ei names mapping'!$A$4:$A$33,0),MATCH(G531,'ei names mapping'!$B$3:$BL$3,0))</f>
        <v>kilogram</v>
      </c>
      <c r="E531" t="str">
        <f>INDEX('ei names mapping'!$B$305:$BL$335,MATCH(B$234,'ei names mapping'!$A$4:$A$33,0),MATCH(G531,'ei names mapping'!$B$3:$BL$3,0))</f>
        <v>air::urban air close to ground</v>
      </c>
      <c r="F531" t="s">
        <v>167</v>
      </c>
      <c r="G531" t="s">
        <v>562</v>
      </c>
    </row>
    <row r="532" spans="1:8" x14ac:dyDescent="0.2">
      <c r="A532" t="str">
        <f>INDEX('ei names mapping'!$B$4:$BL$33,MATCH(B$234,'ei names mapping'!$A$4:$A$33,0),MATCH(G532,'ei names mapping'!$B$3:$BL$3,0))</f>
        <v>Selenium</v>
      </c>
      <c r="B532" s="7">
        <f>INDEX('vehicles specifications'!$B$3:$CW$166,MATCH($B$471,'vehicles specifications'!$A$3:$A$166,0),MATCH(G532,'vehicles specifications'!$B$2:$CW$2,0))*INDEX('ei names mapping'!$B$137:$BL$300,MATCH($B$471,'ei names mapping'!$A$137:$A$300,0),MATCH(G532,'ei names mapping'!$B$136:$BL$136,0))</f>
        <v>6.7961887506166765E-12</v>
      </c>
      <c r="D532" t="str">
        <f>INDEX('ei names mapping'!$B$104:$BL$133,MATCH(B$234,'ei names mapping'!$A$4:$A$33,0),MATCH(G532,'ei names mapping'!$B$3:$BL$3,0))</f>
        <v>kilogram</v>
      </c>
      <c r="E532" t="str">
        <f>INDEX('ei names mapping'!$B$305:$BL$335,MATCH(B$234,'ei names mapping'!$A$4:$A$33,0),MATCH(G532,'ei names mapping'!$B$3:$BL$3,0))</f>
        <v>air::urban air close to ground</v>
      </c>
      <c r="F532" t="s">
        <v>167</v>
      </c>
      <c r="G532" t="s">
        <v>563</v>
      </c>
    </row>
    <row r="533" spans="1:8" x14ac:dyDescent="0.2">
      <c r="A533" t="str">
        <f>INDEX('ei names mapping'!$B$4:$BL$33,MATCH(B$234,'ei names mapping'!$A$4:$A$33,0),MATCH(G533,'ei names mapping'!$B$3:$BL$3,0))</f>
        <v>Zinc</v>
      </c>
      <c r="B533" s="7">
        <f>INDEX('vehicles specifications'!$B$3:$CW$166,MATCH($B$471,'vehicles specifications'!$A$3:$A$166,0),MATCH(G533,'vehicles specifications'!$B$2:$CW$2,0))*INDEX('ei names mapping'!$B$137:$BL$300,MATCH($B$471,'ei names mapping'!$A$137:$A$300,0),MATCH(G533,'ei names mapping'!$B$136:$BL$136,0))</f>
        <v>7.3398838506660105E-8</v>
      </c>
      <c r="D533" t="str">
        <f>INDEX('ei names mapping'!$B$104:$BL$133,MATCH(B$234,'ei names mapping'!$A$4:$A$33,0),MATCH(G533,'ei names mapping'!$B$3:$BL$3,0))</f>
        <v>kilogram</v>
      </c>
      <c r="E533" t="str">
        <f>INDEX('ei names mapping'!$B$305:$BL$335,MATCH(B$234,'ei names mapping'!$A$4:$A$33,0),MATCH(G533,'ei names mapping'!$B$3:$BL$3,0))</f>
        <v>air::urban air close to ground</v>
      </c>
      <c r="F533" t="s">
        <v>167</v>
      </c>
      <c r="G533" t="s">
        <v>564</v>
      </c>
    </row>
    <row r="534" spans="1:8" x14ac:dyDescent="0.2">
      <c r="A534" t="str">
        <f>INDEX('ei names mapping'!$B$4:$BL$33,MATCH(B$234,'ei names mapping'!$A$4:$A$33,0),MATCH(G534,'ei names mapping'!$B$3:$BL$3,0))</f>
        <v>Copper</v>
      </c>
      <c r="B534" s="7">
        <f>INDEX('vehicles specifications'!$B$3:$CW$166,MATCH($B$471,'vehicles specifications'!$A$3:$A$166,0),MATCH(G534,'vehicles specifications'!$B$2:$CW$2,0))*INDEX('ei names mapping'!$B$137:$BL$300,MATCH($B$471,'ei names mapping'!$A$137:$A$300,0),MATCH(G534,'ei names mapping'!$B$136:$BL$136,0))</f>
        <v>1.4271996376295018E-9</v>
      </c>
      <c r="D534" t="str">
        <f>INDEX('ei names mapping'!$B$104:$BL$133,MATCH(B$234,'ei names mapping'!$A$4:$A$33,0),MATCH(G534,'ei names mapping'!$B$3:$BL$3,0))</f>
        <v>kilogram</v>
      </c>
      <c r="E534" t="str">
        <f>INDEX('ei names mapping'!$B$305:$BL$335,MATCH(B$234,'ei names mapping'!$A$4:$A$33,0),MATCH(G534,'ei names mapping'!$B$3:$BL$3,0))</f>
        <v>air::urban air close to ground</v>
      </c>
      <c r="F534" t="s">
        <v>167</v>
      </c>
      <c r="G534" t="s">
        <v>522</v>
      </c>
    </row>
    <row r="535" spans="1:8" x14ac:dyDescent="0.2">
      <c r="A535" t="str">
        <f>INDEX('ei names mapping'!$B$4:$BL$33,MATCH(B$234,'ei names mapping'!$A$4:$A$33,0),MATCH(G535,'ei names mapping'!$B$3:$BL$3,0))</f>
        <v>Nickel</v>
      </c>
      <c r="B535" s="7">
        <f>INDEX('vehicles specifications'!$B$3:$CW$166,MATCH($B$471,'vehicles specifications'!$A$3:$A$166,0),MATCH(G535,'vehicles specifications'!$B$2:$CW$2,0))*INDEX('ei names mapping'!$B$137:$BL$300,MATCH($B$471,'ei names mapping'!$A$137:$A$300,0),MATCH(G535,'ei names mapping'!$B$136:$BL$136,0))</f>
        <v>4.4175226879008398E-10</v>
      </c>
      <c r="D535" t="str">
        <f>INDEX('ei names mapping'!$B$104:$BL$133,MATCH(B$234,'ei names mapping'!$A$4:$A$33,0),MATCH(G535,'ei names mapping'!$B$3:$BL$3,0))</f>
        <v>kilogram</v>
      </c>
      <c r="E535" t="str">
        <f>INDEX('ei names mapping'!$B$305:$BL$335,MATCH(B$234,'ei names mapping'!$A$4:$A$33,0),MATCH(G535,'ei names mapping'!$B$3:$BL$3,0))</f>
        <v>air::urban air close to ground</v>
      </c>
      <c r="F535" t="s">
        <v>167</v>
      </c>
      <c r="G535" t="s">
        <v>524</v>
      </c>
    </row>
    <row r="536" spans="1:8" x14ac:dyDescent="0.2">
      <c r="A536" t="str">
        <f>INDEX('ei names mapping'!$B$4:$BL$33,MATCH(B$234,'ei names mapping'!$A$4:$A$33,0),MATCH(G536,'ei names mapping'!$B$3:$BL$3,0))</f>
        <v>Chromium</v>
      </c>
      <c r="B536" s="7">
        <f>INDEX('vehicles specifications'!$B$3:$CW$166,MATCH($B$471,'vehicles specifications'!$A$3:$A$166,0),MATCH(G536,'vehicles specifications'!$B$2:$CW$2,0))*INDEX('ei names mapping'!$B$137:$BL$300,MATCH($B$471,'ei names mapping'!$A$137:$A$300,0),MATCH(G536,'ei names mapping'!$B$136:$BL$136,0))</f>
        <v>5.4369510004933417E-10</v>
      </c>
      <c r="D536" t="str">
        <f>INDEX('ei names mapping'!$B$104:$BL$133,MATCH(B$234,'ei names mapping'!$A$4:$A$33,0),MATCH(G536,'ei names mapping'!$B$3:$BL$3,0))</f>
        <v>kilogram</v>
      </c>
      <c r="E536" t="str">
        <f>INDEX('ei names mapping'!$B$305:$BL$335,MATCH(B$234,'ei names mapping'!$A$4:$A$33,0),MATCH(G536,'ei names mapping'!$B$3:$BL$3,0))</f>
        <v>air::urban air close to ground</v>
      </c>
      <c r="F536" t="s">
        <v>167</v>
      </c>
      <c r="G536" t="s">
        <v>523</v>
      </c>
    </row>
    <row r="537" spans="1:8" x14ac:dyDescent="0.2">
      <c r="A537" t="str">
        <f>INDEX('ei names mapping'!$B$4:$BL$33,MATCH(B$234,'ei names mapping'!$A$4:$A$33,0),MATCH(G537,'ei names mapping'!$B$3:$BL$3,0))</f>
        <v>Chromium VI</v>
      </c>
      <c r="B537" s="7">
        <f>INDEX('vehicles specifications'!$B$3:$CW$166,MATCH($B$471,'vehicles specifications'!$A$3:$A$166,0),MATCH(G537,'vehicles specifications'!$B$2:$CW$2,0))*INDEX('ei names mapping'!$B$137:$BL$300,MATCH($B$471,'ei names mapping'!$A$137:$A$300,0),MATCH(G537,'ei names mapping'!$B$136:$BL$136,0))</f>
        <v>1.0873902000986681E-12</v>
      </c>
      <c r="D537" t="str">
        <f>INDEX('ei names mapping'!$B$104:$BL$133,MATCH(B$234,'ei names mapping'!$A$4:$A$33,0),MATCH(G537,'ei names mapping'!$B$3:$BL$3,0))</f>
        <v>kilogram</v>
      </c>
      <c r="E537" t="str">
        <f>INDEX('ei names mapping'!$B$305:$BL$335,MATCH(B$234,'ei names mapping'!$A$4:$A$33,0),MATCH(G537,'ei names mapping'!$B$3:$BL$3,0))</f>
        <v>air::urban air close to ground</v>
      </c>
      <c r="F537" t="s">
        <v>167</v>
      </c>
      <c r="G537" t="s">
        <v>567</v>
      </c>
    </row>
    <row r="538" spans="1:8" x14ac:dyDescent="0.2">
      <c r="A538" t="str">
        <f>INDEX('ei names mapping'!$B$4:$BL$33,MATCH(B$234,'ei names mapping'!$A$4:$A$33,0),MATCH(G538,'ei names mapping'!$B$3:$BL$3,0))</f>
        <v>Mercury</v>
      </c>
      <c r="B538" s="7">
        <f>INDEX('vehicles specifications'!$B$3:$CW$166,MATCH($B$471,'vehicles specifications'!$A$3:$A$166,0),MATCH(G538,'vehicles specifications'!$B$2:$CW$2,0))*INDEX('ei names mapping'!$B$137:$BL$300,MATCH($B$471,'ei names mapping'!$A$137:$A$300,0),MATCH(G538,'ei names mapping'!$B$136:$BL$136,0))</f>
        <v>2.9563421065182544E-10</v>
      </c>
      <c r="D538" t="str">
        <f>INDEX('ei names mapping'!$B$104:$BL$133,MATCH(B$234,'ei names mapping'!$A$4:$A$33,0),MATCH(G538,'ei names mapping'!$B$3:$BL$3,0))</f>
        <v>kilogram</v>
      </c>
      <c r="E538" t="str">
        <f>INDEX('ei names mapping'!$B$305:$BL$335,MATCH(B$234,'ei names mapping'!$A$4:$A$33,0),MATCH(G538,'ei names mapping'!$B$3:$BL$3,0))</f>
        <v>air::urban air close to ground</v>
      </c>
      <c r="F538" t="s">
        <v>167</v>
      </c>
      <c r="G538" t="s">
        <v>565</v>
      </c>
    </row>
    <row r="539" spans="1:8" x14ac:dyDescent="0.2">
      <c r="A539" t="str">
        <f>INDEX('ei names mapping'!$B$4:$BL$33,MATCH(B$234,'ei names mapping'!$A$4:$A$33,0),MATCH(G539,'ei names mapping'!$B$3:$BL$3,0))</f>
        <v>Cadmium</v>
      </c>
      <c r="B539" s="7">
        <f>INDEX('vehicles specifications'!$B$3:$CW$166,MATCH($B$471,'vehicles specifications'!$A$3:$A$166,0),MATCH(G539,'vehicles specifications'!$B$2:$CW$2,0))*INDEX('ei names mapping'!$B$137:$BL$300,MATCH($B$471,'ei names mapping'!$A$137:$A$300,0),MATCH(G539,'ei names mapping'!$B$136:$BL$136,0))</f>
        <v>3.6699419253330059E-10</v>
      </c>
      <c r="D539" t="str">
        <f>INDEX('ei names mapping'!$B$104:$BL$133,MATCH(B$234,'ei names mapping'!$A$4:$A$33,0),MATCH(G539,'ei names mapping'!$B$3:$BL$3,0))</f>
        <v>kilogram</v>
      </c>
      <c r="E539" t="str">
        <f>INDEX('ei names mapping'!$B$305:$BL$335,MATCH(B$234,'ei names mapping'!$A$4:$A$33,0),MATCH(G539,'ei names mapping'!$B$3:$BL$3,0))</f>
        <v>air::urban air close to ground</v>
      </c>
      <c r="F539" t="s">
        <v>167</v>
      </c>
      <c r="G539" t="s">
        <v>566</v>
      </c>
    </row>
    <row r="540" spans="1:8" x14ac:dyDescent="0.2">
      <c r="A540" t="str">
        <f>INDEX('ei names mapping'!$B$4:$BL$33,MATCH(B468,'ei names mapping'!$A$4:$A$33,0),MATCH(G540,'ei names mapping'!$B$3:$BL$3,0))</f>
        <v>treatment of road wear emissions, passenger car</v>
      </c>
      <c r="B540" s="7">
        <f>INDEX('vehicles specifications'!$B$3:$CW$166,MATCH(B471,'vehicles specifications'!$A$3:$A$166,0),MATCH(G540,'vehicles specifications'!$B$2:$CW$2,0))*INDEX('ei names mapping'!$B$137:$BL$300,MATCH(B471,'ei names mapping'!$A$137:$A$300,0),MATCH(G540,'ei names mapping'!$B$136:$BL$136,0))</f>
        <v>-8.4764495586081521E-6</v>
      </c>
      <c r="C540" t="str">
        <f>INDEX('ei names mapping'!$B$38:$BL$67,MATCH(B468,'ei names mapping'!$A$4:$A$33,0),MATCH(G540,'ei names mapping'!$B$3:$BL$3,0))</f>
        <v>RER</v>
      </c>
      <c r="D540" t="str">
        <f>INDEX('ei names mapping'!$B$104:$BL$133,MATCH(B468,'ei names mapping'!$A$4:$A$33,0),MATCH(G540,'ei names mapping'!$B$3:$BL$3,0))</f>
        <v>kilogram</v>
      </c>
      <c r="F540" t="s">
        <v>89</v>
      </c>
      <c r="G540" t="s">
        <v>29</v>
      </c>
      <c r="H540" t="str">
        <f>INDEX('ei names mapping'!$B$71:$BL$100,MATCH(B468,'ei names mapping'!$A$4:$A$33,0),MATCH(G540,'ei names mapping'!$B$3:$BL$3,0))</f>
        <v>road wear emissions, passenger car</v>
      </c>
    </row>
    <row r="541" spans="1:8" x14ac:dyDescent="0.2">
      <c r="A541" t="str">
        <f>INDEX('ei names mapping'!$B$4:$BL$33,MATCH(B468,'ei names mapping'!$A$4:$A$33,0),MATCH(G541,'ei names mapping'!$B$3:$BL$3,0))</f>
        <v>treatment of tyre wear emissions, passenger car</v>
      </c>
      <c r="B541" s="7">
        <f>INDEX('vehicles specifications'!$B$3:$CW$166,MATCH(B471,'vehicles specifications'!$A$3:$A$166,0),MATCH(G541,'vehicles specifications'!$B$2:$CW$2,0))*INDEX('ei names mapping'!$B$137:$BL$300,MATCH(B471,'ei names mapping'!$A$137:$A$300,0),MATCH(G541,'ei names mapping'!$B$136:$BL$136,0))</f>
        <v>-5.6394371773457311E-6</v>
      </c>
      <c r="C541" t="str">
        <f>INDEX('ei names mapping'!$B$38:$BL$67,MATCH(B468,'ei names mapping'!$A$4:$A$33,0),MATCH(G541,'ei names mapping'!$B$3:$BL$3,0))</f>
        <v>RER</v>
      </c>
      <c r="D541" t="str">
        <f>INDEX('ei names mapping'!$B$104:$BL$133,MATCH(B468,'ei names mapping'!$A$4:$A$33,0),MATCH(G541,'ei names mapping'!$B$3:$BL$3,0))</f>
        <v>kilogram</v>
      </c>
      <c r="F541" t="s">
        <v>89</v>
      </c>
      <c r="G541" t="s">
        <v>30</v>
      </c>
      <c r="H541" t="str">
        <f>INDEX('ei names mapping'!$B$71:$BL$100,MATCH(B468,'ei names mapping'!$A$4:$A$33,0),MATCH(G541,'ei names mapping'!$B$3:$BL$3,0))</f>
        <v>tyre wear emissions, passenger car</v>
      </c>
    </row>
    <row r="542" spans="1:8" x14ac:dyDescent="0.2">
      <c r="A542" t="str">
        <f>INDEX('ei names mapping'!$B$4:$BL$33,MATCH(B468,'ei names mapping'!$A$4:$A$33,0),MATCH(G542,'ei names mapping'!$B$3:$BL$3,0))</f>
        <v>treatment of brake wear emissions, passenger car</v>
      </c>
      <c r="B542" s="7">
        <f>INDEX('vehicles specifications'!$B$3:$CW$166,MATCH(B471,'vehicles specifications'!$A$3:$A$166,0),MATCH(G542,'vehicles specifications'!$B$2:$CW$2,0))*INDEX('ei names mapping'!$B$137:$BL$300,MATCH(B471,'ei names mapping'!$A$137:$A$300,0),MATCH(G542,'ei names mapping'!$B$136:$BL$136,0))</f>
        <v>-3.126228097375502E-6</v>
      </c>
      <c r="C542" t="str">
        <f>INDEX('ei names mapping'!$B$38:$BL$67,MATCH(B468,'ei names mapping'!$A$4:$A$33,0),MATCH(G542,'ei names mapping'!$B$3:$BL$3,0))</f>
        <v>RER</v>
      </c>
      <c r="D542" t="str">
        <f>INDEX('ei names mapping'!$B$104:$BL$133,MATCH(B468,'ei names mapping'!$A$4:$A$33,0),MATCH(G542,'ei names mapping'!$B$3:$BL$3,0))</f>
        <v>kilogram</v>
      </c>
      <c r="F542" t="s">
        <v>89</v>
      </c>
      <c r="G542" t="s">
        <v>31</v>
      </c>
      <c r="H542" t="str">
        <f>INDEX('ei names mapping'!$B$71:$BL$100,MATCH(B468,'ei names mapping'!$A$4:$A$33,0),MATCH(G542,'ei names mapping'!$B$3:$BL$3,0))</f>
        <v>brake wear emissions, passenger car</v>
      </c>
    </row>
    <row r="544" spans="1:8" ht="16" x14ac:dyDescent="0.2">
      <c r="A544" s="10" t="s">
        <v>71</v>
      </c>
      <c r="B544" s="8" t="str">
        <f>"transport, "&amp;B546&amp;", "&amp;B548</f>
        <v>transport, Motorbike, gasoline, 11-35kW, EURO-5, 2040</v>
      </c>
    </row>
    <row r="545" spans="1:2" x14ac:dyDescent="0.2">
      <c r="A545" t="s">
        <v>72</v>
      </c>
      <c r="B545" t="s">
        <v>37</v>
      </c>
    </row>
    <row r="546" spans="1:2" x14ac:dyDescent="0.2">
      <c r="A546" t="s">
        <v>86</v>
      </c>
      <c r="B546" t="s">
        <v>622</v>
      </c>
    </row>
    <row r="547" spans="1:2" x14ac:dyDescent="0.2">
      <c r="A547" t="s">
        <v>87</v>
      </c>
    </row>
    <row r="548" spans="1:2" x14ac:dyDescent="0.2">
      <c r="A548" t="s">
        <v>88</v>
      </c>
      <c r="B548">
        <v>2040</v>
      </c>
    </row>
    <row r="549" spans="1:2" x14ac:dyDescent="0.2">
      <c r="A549" t="s">
        <v>126</v>
      </c>
      <c r="B549" t="str">
        <f>B546&amp;" - "&amp;B548&amp;" - "&amp;B545</f>
        <v>Motorbike, gasoline, 11-35kW, EURO-5 - 2040 - CH</v>
      </c>
    </row>
    <row r="550" spans="1:2" x14ac:dyDescent="0.2">
      <c r="A550" t="s">
        <v>73</v>
      </c>
      <c r="B550" t="str">
        <f>"transport, "&amp;B546</f>
        <v>transport, Motorbike, gasoline, 11-35kW, EURO-5</v>
      </c>
    </row>
    <row r="551" spans="1:2" x14ac:dyDescent="0.2">
      <c r="A551" t="s">
        <v>74</v>
      </c>
      <c r="B551" t="s">
        <v>75</v>
      </c>
    </row>
    <row r="552" spans="1:2" x14ac:dyDescent="0.2">
      <c r="A552" t="s">
        <v>76</v>
      </c>
      <c r="B552" t="s">
        <v>166</v>
      </c>
    </row>
    <row r="553" spans="1:2" x14ac:dyDescent="0.2">
      <c r="A553" t="s">
        <v>78</v>
      </c>
      <c r="B553" t="s">
        <v>1143</v>
      </c>
    </row>
    <row r="554" spans="1:2" x14ac:dyDescent="0.2">
      <c r="A554" t="s">
        <v>127</v>
      </c>
      <c r="B554">
        <f>INDEX('vehicles specifications'!$B$3:$CW$166,MATCH(B549,'vehicles specifications'!$A$3:$A$166,0),MATCH("Lifetime [km]",'vehicles specifications'!$B$2:$CW$2,0))</f>
        <v>38500</v>
      </c>
    </row>
    <row r="555" spans="1:2" x14ac:dyDescent="0.2">
      <c r="A555" t="s">
        <v>128</v>
      </c>
      <c r="B555">
        <f>INDEX('vehicles specifications'!$B$3:$CW$166,MATCH(B549,'vehicles specifications'!$A$3:$A$166,0),MATCH("Passengers [unit]",'vehicles specifications'!$B$2:$CW$2,0))</f>
        <v>1.1000000000000001</v>
      </c>
    </row>
    <row r="556" spans="1:2" x14ac:dyDescent="0.2">
      <c r="A556" t="s">
        <v>129</v>
      </c>
      <c r="B556">
        <f>INDEX('vehicles specifications'!$B$3:$CW$166,MATCH(B549,'vehicles specifications'!$A$3:$A$166,0),MATCH("Servicing [unit]",'vehicles specifications'!$B$2:$CW$2,0))</f>
        <v>1.54</v>
      </c>
    </row>
    <row r="557" spans="1:2" x14ac:dyDescent="0.2">
      <c r="A557" t="s">
        <v>130</v>
      </c>
      <c r="B557">
        <f>INDEX('vehicles specifications'!$B$3:$CW$166,MATCH(B549,'vehicles specifications'!$A$3:$A$166,0),MATCH("Energy battery replacement [unit]",'vehicles specifications'!$B$2:$CW$2,0))</f>
        <v>0</v>
      </c>
    </row>
    <row r="558" spans="1:2" x14ac:dyDescent="0.2">
      <c r="A558" t="s">
        <v>131</v>
      </c>
      <c r="B558">
        <f>INDEX('vehicles specifications'!$B$3:$CW$166,MATCH(B549,'vehicles specifications'!$A$3:$A$166,0),MATCH("Annual kilometers [km]",'vehicles specifications'!$B$2:$CW$2,0))</f>
        <v>2405</v>
      </c>
    </row>
    <row r="559" spans="1:2" x14ac:dyDescent="0.2">
      <c r="A559" t="s">
        <v>132</v>
      </c>
      <c r="B559" s="2">
        <f>INDEX('vehicles specifications'!$B$3:$CW$166,MATCH(B549,'vehicles specifications'!$A$3:$A$166,0),MATCH("Curb mass [kg]",'vehicles specifications'!$B$2:$CW$2,0))</f>
        <v>151.88749999999999</v>
      </c>
    </row>
    <row r="560" spans="1:2" x14ac:dyDescent="0.2">
      <c r="A560" t="s">
        <v>133</v>
      </c>
      <c r="B560">
        <f>INDEX('vehicles specifications'!$B$3:$CW$166,MATCH(B549,'vehicles specifications'!$A$3:$A$166,0),MATCH("Power [kW]",'vehicles specifications'!$B$2:$CW$2,0))</f>
        <v>20</v>
      </c>
    </row>
    <row r="561" spans="1:8" x14ac:dyDescent="0.2">
      <c r="A561" t="s">
        <v>134</v>
      </c>
      <c r="B561" t="str">
        <f>INDEX('vehicles specifications'!$B$3:$CW$166,MATCH(B549,'vehicles specifications'!$A$3:$A$166,0),MATCH("Energy battery mass [kg]",'vehicles specifications'!$B$2:$CW$2,0))</f>
        <v/>
      </c>
    </row>
    <row r="562" spans="1:8" x14ac:dyDescent="0.2">
      <c r="A562" t="s">
        <v>135</v>
      </c>
      <c r="B562">
        <f>INDEX('vehicles specifications'!$B$3:$CW$166,MATCH(B549,'vehicles specifications'!$A$3:$A$166,0),MATCH("Electric energy available [kWh]",'vehicles specifications'!$B$2:$CW$2,0))</f>
        <v>0</v>
      </c>
    </row>
    <row r="563" spans="1:8" x14ac:dyDescent="0.2">
      <c r="A563" t="s">
        <v>138</v>
      </c>
      <c r="B563" s="2">
        <f>INDEX('vehicles specifications'!$B$3:$CW$166,MATCH(B549,'vehicles specifications'!$A$3:$A$166,0),MATCH("Oxydation energy stored [kWh]",'vehicles specifications'!$B$2:$CW$2,0))</f>
        <v>133.125</v>
      </c>
    </row>
    <row r="564" spans="1:8" x14ac:dyDescent="0.2">
      <c r="A564" t="s">
        <v>139</v>
      </c>
      <c r="B564">
        <f>INDEX('vehicles specifications'!$B$3:$CW$166,MATCH(B549,'vehicles specifications'!$A$3:$A$166,0),MATCH("Fuel mass [kg]",'vehicles specifications'!$B$2:$CW$2,0))</f>
        <v>11.25</v>
      </c>
    </row>
    <row r="565" spans="1:8" x14ac:dyDescent="0.2">
      <c r="A565" t="s">
        <v>136</v>
      </c>
      <c r="B565" s="2">
        <f>INDEX('vehicles specifications'!$B$3:$CW$166,MATCH(B549,'vehicles specifications'!$A$3:$A$166,0),MATCH("Range [km]",'vehicles specifications'!$B$2:$CW$2,0))</f>
        <v>335.19888129997145</v>
      </c>
    </row>
    <row r="566" spans="1:8" x14ac:dyDescent="0.2">
      <c r="A566" t="s">
        <v>137</v>
      </c>
      <c r="B566" t="str">
        <f>INDEX('vehicles specifications'!$B$3:$CW$166,MATCH(B549,'vehicles specifications'!$A$3:$A$166,0),MATCH("Emission standard",'vehicles specifications'!$B$2:$CW$2,0))</f>
        <v>EURO-5</v>
      </c>
    </row>
    <row r="567" spans="1:8" x14ac:dyDescent="0.2">
      <c r="A567" t="s">
        <v>1174</v>
      </c>
      <c r="B567" s="6">
        <f>INDEX('vehicles specifications'!$B$3:$CW$166,MATCH(B549,'vehicles specifications'!$A$3:$A$166,0),MATCH("Lightweighting rate [%]",'vehicles specifications'!$B$2:$CW$2,0))</f>
        <v>0.05</v>
      </c>
    </row>
    <row r="568" spans="1:8" x14ac:dyDescent="0.2">
      <c r="A568" t="s">
        <v>83</v>
      </c>
      <c r="B568"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20 kW. Lifetime: 38500 km. Annual kilometers: 2405 km. Number of passengers: 1.1. Curb mass: 151.9 kg. Lightweighting of glider: 5%. Emission standard: EURO-5. Service visits throughout lifetime: 1.5. Range: 335 km. Fuel tank capacity: 133.1 kWh. Fuel mass: 11.3 kg. Documentation: Life-cycle inventories for on-road vehicles, Sacchi R. (PSI), Bauer C. (PSI), 2021. Sacchi R., Bauer C. Life cycle inventories for on-road vehicles. Paul Scherrer Institut, 2021.</v>
      </c>
    </row>
    <row r="569" spans="1:8" ht="16" x14ac:dyDescent="0.2">
      <c r="A569" s="10" t="s">
        <v>79</v>
      </c>
    </row>
    <row r="570" spans="1:8" x14ac:dyDescent="0.2">
      <c r="A570" t="s">
        <v>80</v>
      </c>
      <c r="B570" t="s">
        <v>81</v>
      </c>
      <c r="C570" t="s">
        <v>72</v>
      </c>
      <c r="D570" t="s">
        <v>76</v>
      </c>
      <c r="E570" t="s">
        <v>82</v>
      </c>
      <c r="F570" t="s">
        <v>74</v>
      </c>
      <c r="G570" t="s">
        <v>83</v>
      </c>
      <c r="H570" t="s">
        <v>73</v>
      </c>
    </row>
    <row r="571" spans="1:8" x14ac:dyDescent="0.2">
      <c r="A571" t="str">
        <f>B544</f>
        <v>transport, Motorbike, gasoline, 11-35kW, EURO-5, 2040</v>
      </c>
      <c r="B571">
        <v>1</v>
      </c>
      <c r="C571" t="str">
        <f>B545</f>
        <v>CH</v>
      </c>
      <c r="D571" t="s">
        <v>166</v>
      </c>
      <c r="F571" t="s">
        <v>84</v>
      </c>
      <c r="G571" t="s">
        <v>85</v>
      </c>
      <c r="H571" t="str">
        <f>B550</f>
        <v>transport, Motorbike, gasoline, 11-35kW, EURO-5</v>
      </c>
    </row>
    <row r="572" spans="1:8" x14ac:dyDescent="0.2">
      <c r="A572" t="str">
        <f>RIGHT(A571,LEN(A571)-11)</f>
        <v>Motorbike, gasoline, 11-35kW, EURO-5, 2040</v>
      </c>
      <c r="B572" s="7">
        <f>1/B554</f>
        <v>2.5974025974025975E-5</v>
      </c>
      <c r="C572" t="str">
        <f>B545</f>
        <v>CH</v>
      </c>
      <c r="D572" t="s">
        <v>76</v>
      </c>
      <c r="F572" t="s">
        <v>89</v>
      </c>
      <c r="H572" t="str">
        <f>RIGHT(H571,LEN(H571)-11)</f>
        <v>Motorbike, gasoline, 11-35kW, EURO-5</v>
      </c>
    </row>
    <row r="573" spans="1:8" x14ac:dyDescent="0.2">
      <c r="A573" t="str">
        <f>INDEX('ei names mapping'!$B$4:$R$33,MATCH(B546,'ei names mapping'!$A$4:$A$33,0),MATCH(G573,'ei names mapping'!$B$3:$R$3,0))</f>
        <v>road construction</v>
      </c>
      <c r="B573" s="7">
        <f>INDEX('vehicles specifications'!$B$3:$CW$166,MATCH(B549,'vehicles specifications'!$A$3:$A$166,0),MATCH(G573,'vehicles specifications'!$B$2:$CW$2,0))*INDEX('ei names mapping'!$B$137:$BL$300,MATCH(B549,'ei names mapping'!$A$137:$A$300,0),MATCH(G573,'ei names mapping'!$B$136:$BL$136,0))</f>
        <v>1.290880875E-4</v>
      </c>
      <c r="C573" t="str">
        <f>INDEX('ei names mapping'!$B$38:$R$67,MATCH(B546,'ei names mapping'!$A$4:$A$33,0),MATCH(G573,'ei names mapping'!$B$3:$R$3,0))</f>
        <v>CH</v>
      </c>
      <c r="D573" t="str">
        <f>INDEX('ei names mapping'!$B$104:$BL$133,MATCH(B546,'ei names mapping'!$A$4:$A$33,0),MATCH(G573,'ei names mapping'!$B$3:$BL$3,0))</f>
        <v>meter-year</v>
      </c>
      <c r="F573" t="s">
        <v>89</v>
      </c>
      <c r="G573" t="s">
        <v>105</v>
      </c>
      <c r="H573" t="str">
        <f>INDEX('ei names mapping'!$B$71:$BL$100,MATCH(B546,'ei names mapping'!$A$4:$A$33,0),MATCH(G573,'ei names mapping'!$B$3:$BL$3,0))</f>
        <v>road</v>
      </c>
    </row>
    <row r="574" spans="1:8" x14ac:dyDescent="0.2">
      <c r="A574" t="str">
        <f>INDEX('ei names mapping'!$B$4:$R$33,MATCH(B546,'ei names mapping'!$A$4:$A$33,0),MATCH(G574,'ei names mapping'!$B$3:$R$3,0))</f>
        <v>road maintenance</v>
      </c>
      <c r="B574" s="7">
        <f>INDEX('vehicles specifications'!$B$3:$CW$166,MATCH(B549,'vehicles specifications'!$A$3:$A$166,0),MATCH(G574,'vehicles specifications'!$B$2:$CW$2,0))*INDEX('ei names mapping'!$B$137:$BL$300,MATCH(B549,'ei names mapping'!$A$137:$A$300,0),MATCH(G574,'ei names mapping'!$B$136:$BL$136,0))</f>
        <v>1.2899999999999999E-3</v>
      </c>
      <c r="C574" t="str">
        <f>INDEX('ei names mapping'!$B$38:$R$67,MATCH(B546,'ei names mapping'!$A$4:$A$33,0),MATCH(G574,'ei names mapping'!$B$3:$R$3,0))</f>
        <v>CH</v>
      </c>
      <c r="D574" t="str">
        <f>INDEX('ei names mapping'!$B$104:$BL$133,MATCH(B546,'ei names mapping'!$A$4:$A$33,0),MATCH(G574,'ei names mapping'!$B$3:$BL$3,0))</f>
        <v>meter-year</v>
      </c>
      <c r="F574" t="s">
        <v>89</v>
      </c>
      <c r="G574" t="s">
        <v>112</v>
      </c>
      <c r="H574" t="str">
        <f>INDEX('ei names mapping'!$B$71:$BL$100,MATCH(B546,'ei names mapping'!$A$4:$A$33,0),MATCH(G574,'ei names mapping'!$B$3:$BL$3,0))</f>
        <v>road maintenance</v>
      </c>
    </row>
    <row r="575" spans="1:8" x14ac:dyDescent="0.2">
      <c r="A575" t="str">
        <f>INDEX('ei names mapping'!$B$4:$R$33,MATCH(B546,'ei names mapping'!$A$4:$A$33,0),MATCH(G575,'ei names mapping'!$B$3:$R$3,0))</f>
        <v>maintenance, motor scooter</v>
      </c>
      <c r="B575" s="7">
        <f>INDEX('vehicles specifications'!$B$3:$CW$166,MATCH(B549,'vehicles specifications'!$A$3:$A$166,0),MATCH(G575,'vehicles specifications'!$B$2:$CW$2,0))*INDEX('ei names mapping'!$B$137:$BL$300,MATCH(B549,'ei names mapping'!$A$137:$A$300,0),MATCH(G575,'ei names mapping'!$B$136:$BL$136,0))</f>
        <v>4.0000000000000003E-5</v>
      </c>
      <c r="C575" t="str">
        <f>INDEX('ei names mapping'!$B$38:$BL$67,MATCH(B546,'ei names mapping'!$A$4:$A$33,0),MATCH(G575,'ei names mapping'!$B$3:$BL$3,0))</f>
        <v>CH</v>
      </c>
      <c r="D575" t="str">
        <f>INDEX('ei names mapping'!$B$104:$BL$133,MATCH(B546,'ei names mapping'!$A$4:$A$33,0),MATCH(G575,'ei names mapping'!$B$3:$BL$3,0))</f>
        <v>unit</v>
      </c>
      <c r="F575" t="s">
        <v>89</v>
      </c>
      <c r="G575" t="s">
        <v>118</v>
      </c>
      <c r="H575" t="str">
        <f>INDEX('ei names mapping'!$B$71:$BL$100,MATCH(B546,'ei names mapping'!$A$4:$A$33,0),MATCH(G575,'ei names mapping'!$B$3:$BL$3,0))</f>
        <v>maintenance, motor scooter</v>
      </c>
    </row>
    <row r="576" spans="1:8" x14ac:dyDescent="0.2">
      <c r="A576" t="str">
        <f>INDEX('ei names mapping'!$B$4:$R$33,MATCH(B546,'ei names mapping'!$A$4:$A$33,0),MATCH(G576,'ei names mapping'!$B$3:$R$3,0))</f>
        <v>fuel supply for gasoline vehicles</v>
      </c>
      <c r="B576" s="7">
        <f>INDEX('vehicles specifications'!$B$3:$CW$166,MATCH(B549,'vehicles specifications'!$A$3:$A$166,0),MATCH(G576,'vehicles specifications'!$B$2:$CW$2,0))*INDEX('ei names mapping'!$B$137:$BL$300,MATCH(B549,'ei names mapping'!$A$137:$A$300,0),MATCH(G576,'ei names mapping'!$B$136:$BL$136,0))</f>
        <v>3.3562164516689745E-2</v>
      </c>
      <c r="C576" t="str">
        <f>INDEX('ei names mapping'!$B$38:$BL$67,MATCH(B546,'ei names mapping'!$A$4:$A$33,0),MATCH(G576,'ei names mapping'!$B$3:$BL$3,0))</f>
        <v>CH</v>
      </c>
      <c r="D576" t="str">
        <f>INDEX('ei names mapping'!$B$104:$BL$133,MATCH(B546,'ei names mapping'!$A$4:$A$33,0),MATCH(G576,'ei names mapping'!$B$3:$BL$3,0))</f>
        <v>kilogram</v>
      </c>
      <c r="F576" t="s">
        <v>89</v>
      </c>
      <c r="G576" t="s">
        <v>27</v>
      </c>
      <c r="H576" t="str">
        <f>INDEX('ei names mapping'!$B$71:$BL$100,MATCH(B546,'ei names mapping'!$A$4:$A$33,0),MATCH(G576,'ei names mapping'!$B$3:$BL$3,0))</f>
        <v>gasoline blend</v>
      </c>
    </row>
    <row r="577" spans="1:7" x14ac:dyDescent="0.2">
      <c r="A577" t="str">
        <f>INDEX('ei names mapping'!$B$4:$BL$33,MATCH(B546,'ei names mapping'!$A$4:$A$33,0),MATCH(G577,'ei names mapping'!$B$3:$BL$3,0))</f>
        <v>Carbon dioxide, fossil</v>
      </c>
      <c r="B577" s="7">
        <f>INDEX('vehicles specifications'!$B$3:$CW$166,MATCH(B549,'vehicles specifications'!$A$3:$A$166,0),MATCH(G577,'vehicles specifications'!$B$2:$CW$2,0))*INDEX('ei names mapping'!$B$137:$BL$300,MATCH(B549,'ei names mapping'!$A$137:$A$300,0),MATCH(G577,'ei names mapping'!$B$136:$BL$136,0))</f>
        <v>0.10412057422341693</v>
      </c>
      <c r="D577" t="str">
        <f>INDEX('ei names mapping'!$B$104:$BL$133,MATCH(B546,'ei names mapping'!$A$4:$A$33,0),MATCH(G577,'ei names mapping'!$B$3:$BL$3,0))</f>
        <v>kilogram</v>
      </c>
      <c r="E577" t="str">
        <f>INDEX('ei names mapping'!$B$305:$BL$335,MATCH(B546,'ei names mapping'!$A$4:$A$33,0),MATCH(G577,'ei names mapping'!$B$3:$BL$3,0))</f>
        <v>air::urban air close to ground</v>
      </c>
      <c r="F577" t="s">
        <v>167</v>
      </c>
      <c r="G577" t="s">
        <v>66</v>
      </c>
    </row>
    <row r="578" spans="1:7" x14ac:dyDescent="0.2">
      <c r="A578" t="str">
        <f>INDEX('ei names mapping'!$B$4:$BL$33,MATCH(B546,'ei names mapping'!$A$4:$A$33,0),MATCH(G578,'ei names mapping'!$B$3:$BL$3,0))</f>
        <v>Carbon dioxide, from soil or biomass stock</v>
      </c>
      <c r="B578" s="11">
        <f>INDEX('vehicles specifications'!$B$3:$CW$166,MATCH(B549,'vehicles specifications'!$A$3:$A$166,0),MATCH(G578,'vehicles specifications'!$B$2:$CW$2,0))*INDEX('ei names mapping'!$B$137:$BL$300,MATCH(B549,'ei names mapping'!$A$137:$A$300,0),MATCH(G578,'ei names mapping'!$B$136:$BL$136,0))</f>
        <v>1.2646223589888696E-3</v>
      </c>
      <c r="D578" t="str">
        <f>INDEX('ei names mapping'!$B$104:$BL$133,MATCH(B546,'ei names mapping'!$A$4:$A$33,0),MATCH(G578,'ei names mapping'!$B$3:$BL$3,0))</f>
        <v>kilogram</v>
      </c>
      <c r="E578" t="str">
        <f>INDEX('ei names mapping'!$B$305:$BL$335,MATCH(B546,'ei names mapping'!$A$4:$A$33,0),MATCH(G578,'ei names mapping'!$B$3:$BL$3,0))</f>
        <v>air::urban air close to ground</v>
      </c>
      <c r="F578" t="s">
        <v>167</v>
      </c>
      <c r="G578" t="s">
        <v>843</v>
      </c>
    </row>
    <row r="579" spans="1:7" x14ac:dyDescent="0.2">
      <c r="A579" t="str">
        <f>INDEX('ei names mapping'!$B$4:$BL$33,MATCH(B546,'ei names mapping'!$A$4:$A$33,0),MATCH(G579,'ei names mapping'!$B$3:$BL$3,0))</f>
        <v>Sulfur dioxide</v>
      </c>
      <c r="B579" s="7">
        <f>INDEX('vehicles specifications'!$B$3:$CW$166,MATCH(B549,'vehicles specifications'!$A$3:$A$166,0),MATCH(G579,'vehicles specifications'!$B$2:$CW$2,0))*INDEX('ei names mapping'!$B$137:$BL$300,MATCH(B549,'ei names mapping'!$A$137:$A$300,0),MATCH(G579,'ei names mapping'!$B$136:$BL$136,0))</f>
        <v>5.3699463226703594E-7</v>
      </c>
      <c r="D579" t="str">
        <f>INDEX('ei names mapping'!$B$104:$BL$133,MATCH(B546,'ei names mapping'!$A$4:$A$33,0),MATCH(G579,'ei names mapping'!$B$3:$BL$3,0))</f>
        <v>kilogram</v>
      </c>
      <c r="E579" t="str">
        <f>INDEX('ei names mapping'!$B$305:$BL$335,MATCH(B546,'ei names mapping'!$A$4:$A$33,0),MATCH(G579,'ei names mapping'!$B$3:$BL$3,0))</f>
        <v>air::urban air close to ground</v>
      </c>
      <c r="F579" t="s">
        <v>167</v>
      </c>
      <c r="G579" t="s">
        <v>67</v>
      </c>
    </row>
    <row r="580" spans="1:7" x14ac:dyDescent="0.2">
      <c r="A580" t="str">
        <f>INDEX('ei names mapping'!$B$4:$BL$33,MATCH(B546,'ei names mapping'!$A$4:$A$33,0),MATCH(G580,'ei names mapping'!$B$3:$BL$3,0))</f>
        <v>Benzene</v>
      </c>
      <c r="B580" s="7">
        <f>INDEX('vehicles specifications'!$B$3:$CW$166,MATCH(B549,'vehicles specifications'!$A$3:$A$166,0),MATCH(G580,'vehicles specifications'!$B$2:$CW$2,0))*INDEX('ei names mapping'!$B$137:$BL$300,MATCH(B549,'ei names mapping'!$A$137:$A$300,0),MATCH(G580,'ei names mapping'!$B$136:$BL$136,0))</f>
        <v>1.0899556665502644E-6</v>
      </c>
      <c r="D580" t="str">
        <f>INDEX('ei names mapping'!$B$104:$BL$133,MATCH(B546,'ei names mapping'!$A$4:$A$33,0),MATCH(G580,'ei names mapping'!$B$3:$BL$3,0))</f>
        <v>kilogram</v>
      </c>
      <c r="E580" t="str">
        <f>INDEX('ei names mapping'!$B$305:$BL$335,MATCH(B546,'ei names mapping'!$A$4:$A$33,0),MATCH(G580,'ei names mapping'!$B$3:$BL$3,0))</f>
        <v>air::urban air close to ground</v>
      </c>
      <c r="F580" t="s">
        <v>167</v>
      </c>
      <c r="G580" t="s">
        <v>55</v>
      </c>
    </row>
    <row r="581" spans="1:7" x14ac:dyDescent="0.2">
      <c r="A581" t="str">
        <f>INDEX('ei names mapping'!$B$4:$BL$33,MATCH(B546,'ei names mapping'!$A$4:$A$33,0),MATCH(G581,'ei names mapping'!$B$3:$BL$3,0))</f>
        <v>Methane, fossil</v>
      </c>
      <c r="B581" s="7">
        <f>INDEX('vehicles specifications'!$B$3:$CW$166,MATCH(B549,'vehicles specifications'!$A$3:$A$166,0),MATCH(G581,'vehicles specifications'!$B$2:$CW$2,0))*INDEX('ei names mapping'!$B$137:$BL$300,MATCH(B549,'ei names mapping'!$A$137:$A$300,0),MATCH(G581,'ei names mapping'!$B$136:$BL$136,0))</f>
        <v>2.6875085328104543E-5</v>
      </c>
      <c r="D581" t="str">
        <f>INDEX('ei names mapping'!$B$104:$BL$133,MATCH(B546,'ei names mapping'!$A$4:$A$33,0),MATCH(G581,'ei names mapping'!$B$3:$BL$3,0))</f>
        <v>kilogram</v>
      </c>
      <c r="E581" t="str">
        <f>INDEX('ei names mapping'!$B$305:$BL$335,MATCH(B546,'ei names mapping'!$A$4:$A$33,0),MATCH(G581,'ei names mapping'!$B$3:$BL$3,0))</f>
        <v>air::urban air close to ground</v>
      </c>
      <c r="F581" t="s">
        <v>167</v>
      </c>
      <c r="G581" t="s">
        <v>56</v>
      </c>
    </row>
    <row r="582" spans="1:7" x14ac:dyDescent="0.2">
      <c r="A582" t="str">
        <f>INDEX('ei names mapping'!$B$4:$BL$33,MATCH(B546,'ei names mapping'!$A$4:$A$33,0),MATCH(G582,'ei names mapping'!$B$3:$BL$3,0))</f>
        <v>Carbon monoxide, fossil</v>
      </c>
      <c r="B582" s="7">
        <f>INDEX('vehicles specifications'!$B$3:$CW$166,MATCH(B549,'vehicles specifications'!$A$3:$A$166,0),MATCH(G582,'vehicles specifications'!$B$2:$CW$2,0))*INDEX('ei names mapping'!$B$137:$BL$300,MATCH(B549,'ei names mapping'!$A$137:$A$300,0),MATCH(G582,'ei names mapping'!$B$136:$BL$136,0))</f>
        <v>1.1931985389090789E-4</v>
      </c>
      <c r="D582" t="str">
        <f>INDEX('ei names mapping'!$B$104:$BL$133,MATCH(B546,'ei names mapping'!$A$4:$A$33,0),MATCH(G582,'ei names mapping'!$B$3:$BL$3,0))</f>
        <v>kilogram</v>
      </c>
      <c r="E582" t="str">
        <f>INDEX('ei names mapping'!$B$305:$BL$335,MATCH(B546,'ei names mapping'!$A$4:$A$33,0),MATCH(G582,'ei names mapping'!$B$3:$BL$3,0))</f>
        <v>air::urban air close to ground</v>
      </c>
      <c r="F582" t="s">
        <v>167</v>
      </c>
      <c r="G582" t="s">
        <v>57</v>
      </c>
    </row>
    <row r="583" spans="1:7" x14ac:dyDescent="0.2">
      <c r="A583" t="str">
        <f>INDEX('ei names mapping'!$B$4:$BL$33,MATCH(B546,'ei names mapping'!$A$4:$A$33,0),MATCH(G583,'ei names mapping'!$B$3:$BL$3,0))</f>
        <v>Dinitrogen monoxide</v>
      </c>
      <c r="B583" s="7">
        <f>INDEX('vehicles specifications'!$B$3:$CW$166,MATCH(B549,'vehicles specifications'!$A$3:$A$166,0),MATCH(G583,'vehicles specifications'!$B$2:$CW$2,0))*INDEX('ei names mapping'!$B$137:$BL$300,MATCH(B549,'ei names mapping'!$A$137:$A$300,0),MATCH(G583,'ei names mapping'!$B$136:$BL$136,0))</f>
        <v>8.0827324295051251E-7</v>
      </c>
      <c r="D583" t="str">
        <f>INDEX('ei names mapping'!$B$104:$BL$133,MATCH(B546,'ei names mapping'!$A$4:$A$33,0),MATCH(G583,'ei names mapping'!$B$3:$BL$3,0))</f>
        <v>kilogram</v>
      </c>
      <c r="E583" t="str">
        <f>INDEX('ei names mapping'!$B$305:$BL$335,MATCH(B546,'ei names mapping'!$A$4:$A$33,0),MATCH(G583,'ei names mapping'!$B$3:$BL$3,0))</f>
        <v>air::urban air close to ground</v>
      </c>
      <c r="F583" t="s">
        <v>167</v>
      </c>
      <c r="G583" t="s">
        <v>58</v>
      </c>
    </row>
    <row r="584" spans="1:7" x14ac:dyDescent="0.2">
      <c r="A584" t="str">
        <f>INDEX('ei names mapping'!$B$4:$BL$33,MATCH(B546,'ei names mapping'!$A$4:$A$33,0),MATCH(G584,'ei names mapping'!$B$3:$BL$3,0))</f>
        <v>Ammonia</v>
      </c>
      <c r="B584" s="7">
        <f>INDEX('vehicles specifications'!$B$3:$CW$166,MATCH(B549,'vehicles specifications'!$A$3:$A$166,0),MATCH(G584,'vehicles specifications'!$B$2:$CW$2,0))*INDEX('ei names mapping'!$B$137:$BL$300,MATCH(B549,'ei names mapping'!$A$137:$A$300,0),MATCH(G584,'ei names mapping'!$B$136:$BL$136,0))</f>
        <v>8.0827324295051251E-7</v>
      </c>
      <c r="D584" t="str">
        <f>INDEX('ei names mapping'!$B$104:$BL$133,MATCH(B546,'ei names mapping'!$A$4:$A$33,0),MATCH(G584,'ei names mapping'!$B$3:$BL$3,0))</f>
        <v>kilogram</v>
      </c>
      <c r="E584" t="str">
        <f>INDEX('ei names mapping'!$B$305:$BL$335,MATCH(B546,'ei names mapping'!$A$4:$A$33,0),MATCH(G584,'ei names mapping'!$B$3:$BL$3,0))</f>
        <v>air::urban air close to ground</v>
      </c>
      <c r="F584" t="s">
        <v>167</v>
      </c>
      <c r="G584" t="s">
        <v>59</v>
      </c>
    </row>
    <row r="585" spans="1:7" x14ac:dyDescent="0.2">
      <c r="A585" t="str">
        <f>INDEX('ei names mapping'!$B$4:$BL$33,MATCH(B546,'ei names mapping'!$A$4:$A$33,0),MATCH(G585,'ei names mapping'!$B$3:$BL$3,0))</f>
        <v>Nitrogen oxides</v>
      </c>
      <c r="B585" s="7">
        <f>INDEX('vehicles specifications'!$B$3:$CW$166,MATCH(B549,'vehicles specifications'!$A$3:$A$166,0),MATCH(G585,'vehicles specifications'!$B$2:$CW$2,0))*INDEX('ei names mapping'!$B$137:$BL$300,MATCH(B549,'ei names mapping'!$A$137:$A$300,0),MATCH(G585,'ei names mapping'!$B$136:$BL$136,0))</f>
        <v>8.8101286215329498E-6</v>
      </c>
      <c r="D585" t="str">
        <f>INDEX('ei names mapping'!$B$104:$BL$133,MATCH(B546,'ei names mapping'!$A$4:$A$33,0),MATCH(G585,'ei names mapping'!$B$3:$BL$3,0))</f>
        <v>kilogram</v>
      </c>
      <c r="E585" t="str">
        <f>INDEX('ei names mapping'!$B$305:$BL$335,MATCH(B546,'ei names mapping'!$A$4:$A$33,0),MATCH(G585,'ei names mapping'!$B$3:$BL$3,0))</f>
        <v>air::urban air close to ground</v>
      </c>
      <c r="F585" t="s">
        <v>167</v>
      </c>
      <c r="G585" t="s">
        <v>60</v>
      </c>
    </row>
    <row r="586" spans="1:7" x14ac:dyDescent="0.2">
      <c r="A586" t="str">
        <f>INDEX('ei names mapping'!$B$4:$BL$33,MATCH(B546,'ei names mapping'!$A$4:$A$33,0),MATCH(G586,'ei names mapping'!$B$3:$BL$3,0))</f>
        <v>Particulates, &lt; 2.5 um</v>
      </c>
      <c r="B586" s="7">
        <f>INDEX('vehicles specifications'!$B$3:$CW$166,MATCH(B$549,'vehicles specifications'!$A$3:$A$166,0),MATCH(G586,'vehicles specifications'!$B$2:$CW$2,0))*INDEX('ei names mapping'!$B$137:$BL$300,MATCH(B$549,'ei names mapping'!$A$137:$A$300,0),MATCH(G586,'ei names mapping'!$B$136:$BL$136,0))</f>
        <v>2.0206831073762815E-6</v>
      </c>
      <c r="D586" t="str">
        <f>INDEX('ei names mapping'!$B$104:$BL$133,MATCH(B546,'ei names mapping'!$A$4:$A$33,0),MATCH(G586,'ei names mapping'!$B$3:$BL$3,0))</f>
        <v>kilogram</v>
      </c>
      <c r="E586" t="str">
        <f>INDEX('ei names mapping'!$B$305:$BL$335,MATCH(B546,'ei names mapping'!$A$4:$A$33,0),MATCH(G586,'ei names mapping'!$B$3:$BL$3,0))</f>
        <v>air::urban air close to ground</v>
      </c>
      <c r="F586" t="s">
        <v>167</v>
      </c>
      <c r="G586" t="s">
        <v>62</v>
      </c>
    </row>
    <row r="587" spans="1:7" x14ac:dyDescent="0.2">
      <c r="A587" t="str">
        <f>INDEX('ei names mapping'!$B$4:$BL$33,MATCH(B$234,'ei names mapping'!$A$4:$A$33,0),MATCH(G587,'ei names mapping'!$B$3:$BL$3,0))</f>
        <v>NMVOC, non-methane volatile organic compounds, unspecified origin</v>
      </c>
      <c r="B587" s="7">
        <f>INDEX('vehicles specifications'!$B$3:$CW$166,MATCH(B$549,'vehicles specifications'!$A$3:$A$166,0),MATCH(G587,'vehicles specifications'!$B$2:$CW$2,0))*INDEX('ei names mapping'!$B$137:$BL$300,MATCH(B$549,'ei names mapping'!$A$137:$A$300,0),MATCH(G587,'ei names mapping'!$B$136:$BL$136,0))</f>
        <v>8.7895890115390312E-6</v>
      </c>
      <c r="D587" t="str">
        <f>INDEX('ei names mapping'!$B$104:$BL$133,MATCH(B$234,'ei names mapping'!$A$4:$A$33,0),MATCH(G587,'ei names mapping'!$B$3:$BL$3,0))</f>
        <v>kilogram</v>
      </c>
      <c r="E587" t="str">
        <f>INDEX('ei names mapping'!$B$305:$BL$335,MATCH(B$234,'ei names mapping'!$A$4:$A$33,0),MATCH(G587,'ei names mapping'!$B$3:$BL$3,0))</f>
        <v>air::urban air close to ground</v>
      </c>
      <c r="F587" t="s">
        <v>167</v>
      </c>
      <c r="G587" t="s">
        <v>593</v>
      </c>
    </row>
    <row r="588" spans="1:7" x14ac:dyDescent="0.2">
      <c r="A588" t="str">
        <f>INDEX('ei names mapping'!$B$4:$BL$33,MATCH(B$234,'ei names mapping'!$A$4:$A$33,0),MATCH(G588,'ei names mapping'!$B$3:$BL$3,0))</f>
        <v>Ethane</v>
      </c>
      <c r="B588" s="7">
        <f>INDEX('vehicles specifications'!$B$3:$CW$166,MATCH(B$549,'vehicles specifications'!$A$3:$A$166,0),MATCH(G588,'vehicles specifications'!$B$2:$CW$2,0))*INDEX('ei names mapping'!$B$137:$BL$300,MATCH(B$549,'ei names mapping'!$A$137:$A$300,0),MATCH(G588,'ei names mapping'!$B$136:$BL$136,0))</f>
        <v>6.1977871235211111E-7</v>
      </c>
      <c r="D588" t="str">
        <f>INDEX('ei names mapping'!$B$104:$BL$133,MATCH(B$234,'ei names mapping'!$A$4:$A$33,0),MATCH(G588,'ei names mapping'!$B$3:$BL$3,0))</f>
        <v>kilogram</v>
      </c>
      <c r="E588" t="str">
        <f>INDEX('ei names mapping'!$B$305:$BL$335,MATCH(B$234,'ei names mapping'!$A$4:$A$33,0),MATCH(G588,'ei names mapping'!$B$3:$BL$3,0))</f>
        <v>air::urban air close to ground</v>
      </c>
      <c r="F588" t="s">
        <v>167</v>
      </c>
      <c r="G588" t="s">
        <v>541</v>
      </c>
    </row>
    <row r="589" spans="1:7" x14ac:dyDescent="0.2">
      <c r="A589" t="str">
        <f>INDEX('ei names mapping'!$B$4:$BL$33,MATCH(B$234,'ei names mapping'!$A$4:$A$33,0),MATCH(G589,'ei names mapping'!$B$3:$BL$3,0))</f>
        <v>Propane</v>
      </c>
      <c r="B589" s="7">
        <f>INDEX('vehicles specifications'!$B$3:$CW$166,MATCH(B$549,'vehicles specifications'!$A$3:$A$166,0),MATCH(G589,'vehicles specifications'!$B$2:$CW$2,0))*INDEX('ei names mapping'!$B$137:$BL$300,MATCH(B$549,'ei names mapping'!$A$137:$A$300,0),MATCH(G589,'ei names mapping'!$B$136:$BL$136,0))</f>
        <v>1.2628719844165272E-7</v>
      </c>
      <c r="D589" t="str">
        <f>INDEX('ei names mapping'!$B$104:$BL$133,MATCH(B$234,'ei names mapping'!$A$4:$A$33,0),MATCH(G589,'ei names mapping'!$B$3:$BL$3,0))</f>
        <v>kilogram</v>
      </c>
      <c r="E589" t="str">
        <f>INDEX('ei names mapping'!$B$305:$BL$335,MATCH(B$234,'ei names mapping'!$A$4:$A$33,0),MATCH(G589,'ei names mapping'!$B$3:$BL$3,0))</f>
        <v>air::urban air close to ground</v>
      </c>
      <c r="F589" t="s">
        <v>167</v>
      </c>
      <c r="G589" t="s">
        <v>542</v>
      </c>
    </row>
    <row r="590" spans="1:7" x14ac:dyDescent="0.2">
      <c r="A590" t="str">
        <f>INDEX('ei names mapping'!$B$4:$BL$33,MATCH(B$234,'ei names mapping'!$A$4:$A$33,0),MATCH(G590,'ei names mapping'!$B$3:$BL$3,0))</f>
        <v>Butane</v>
      </c>
      <c r="B590" s="7">
        <f>INDEX('vehicles specifications'!$B$3:$CW$166,MATCH(B$549,'vehicles specifications'!$A$3:$A$166,0),MATCH(G590,'vehicles specifications'!$B$2:$CW$2,0))*INDEX('ei names mapping'!$B$137:$BL$300,MATCH(B$549,'ei names mapping'!$A$137:$A$300,0),MATCH(G590,'ei names mapping'!$B$136:$BL$136,0))</f>
        <v>1.0180691074373236E-6</v>
      </c>
      <c r="D590" t="str">
        <f>INDEX('ei names mapping'!$B$104:$BL$133,MATCH(B$234,'ei names mapping'!$A$4:$A$33,0),MATCH(G590,'ei names mapping'!$B$3:$BL$3,0))</f>
        <v>kilogram</v>
      </c>
      <c r="E590" t="str">
        <f>INDEX('ei names mapping'!$B$305:$BL$335,MATCH(B$234,'ei names mapping'!$A$4:$A$33,0),MATCH(G590,'ei names mapping'!$B$3:$BL$3,0))</f>
        <v>air::urban air close to ground</v>
      </c>
      <c r="F590" t="s">
        <v>167</v>
      </c>
      <c r="G590" t="s">
        <v>543</v>
      </c>
    </row>
    <row r="591" spans="1:7" x14ac:dyDescent="0.2">
      <c r="A591" t="str">
        <f>INDEX('ei names mapping'!$B$4:$BL$33,MATCH(B$234,'ei names mapping'!$A$4:$A$33,0),MATCH(G591,'ei names mapping'!$B$3:$BL$3,0))</f>
        <v>Pentane</v>
      </c>
      <c r="B591" s="7">
        <f>INDEX('vehicles specifications'!$B$3:$CW$166,MATCH(B$549,'vehicles specifications'!$A$3:$A$166,0),MATCH(G591,'vehicles specifications'!$B$2:$CW$2,0))*INDEX('ei names mapping'!$B$137:$BL$300,MATCH(B$549,'ei names mapping'!$A$137:$A$300,0),MATCH(G591,'ei names mapping'!$B$136:$BL$136,0))</f>
        <v>4.1771919484546673E-7</v>
      </c>
      <c r="D591" t="str">
        <f>INDEX('ei names mapping'!$B$104:$BL$133,MATCH(B$234,'ei names mapping'!$A$4:$A$33,0),MATCH(G591,'ei names mapping'!$B$3:$BL$3,0))</f>
        <v>kilogram</v>
      </c>
      <c r="E591" t="str">
        <f>INDEX('ei names mapping'!$B$305:$BL$335,MATCH(B$234,'ei names mapping'!$A$4:$A$33,0),MATCH(G591,'ei names mapping'!$B$3:$BL$3,0))</f>
        <v>air::urban air close to ground</v>
      </c>
      <c r="F591" t="s">
        <v>167</v>
      </c>
      <c r="G591" t="s">
        <v>544</v>
      </c>
    </row>
    <row r="592" spans="1:7" x14ac:dyDescent="0.2">
      <c r="A592" t="str">
        <f>INDEX('ei names mapping'!$B$4:$BL$33,MATCH(B$234,'ei names mapping'!$A$4:$A$33,0),MATCH(G592,'ei names mapping'!$B$3:$BL$3,0))</f>
        <v>Hexane</v>
      </c>
      <c r="B592" s="7">
        <f>INDEX('vehicles specifications'!$B$3:$CW$166,MATCH(B$549,'vehicles specifications'!$A$3:$A$166,0),MATCH(G592,'vehicles specifications'!$B$2:$CW$2,0))*INDEX('ei names mapping'!$B$137:$BL$300,MATCH(B$549,'ei names mapping'!$A$137:$A$300,0),MATCH(G592,'ei names mapping'!$B$136:$BL$136,0))</f>
        <v>3.1280367614009373E-7</v>
      </c>
      <c r="D592" t="str">
        <f>INDEX('ei names mapping'!$B$104:$BL$133,MATCH(B$234,'ei names mapping'!$A$4:$A$33,0),MATCH(G592,'ei names mapping'!$B$3:$BL$3,0))</f>
        <v>kilogram</v>
      </c>
      <c r="E592" t="str">
        <f>INDEX('ei names mapping'!$B$305:$BL$335,MATCH(B$234,'ei names mapping'!$A$4:$A$33,0),MATCH(G592,'ei names mapping'!$B$3:$BL$3,0))</f>
        <v>air::urban air close to ground</v>
      </c>
      <c r="F592" t="s">
        <v>167</v>
      </c>
      <c r="G592" t="s">
        <v>545</v>
      </c>
    </row>
    <row r="593" spans="1:7" x14ac:dyDescent="0.2">
      <c r="A593" t="str">
        <f>INDEX('ei names mapping'!$B$4:$BL$33,MATCH(B$234,'ei names mapping'!$A$4:$A$33,0),MATCH(G593,'ei names mapping'!$B$3:$BL$3,0))</f>
        <v>Cyclohexane</v>
      </c>
      <c r="B593" s="7">
        <f>INDEX('vehicles specifications'!$B$3:$CW$166,MATCH(B$549,'vehicles specifications'!$A$3:$A$166,0),MATCH(G593,'vehicles specifications'!$B$2:$CW$2,0))*INDEX('ei names mapping'!$B$137:$BL$300,MATCH(B$549,'ei names mapping'!$A$137:$A$300,0),MATCH(G593,'ei names mapping'!$B$136:$BL$136,0))</f>
        <v>2.2148831726689864E-7</v>
      </c>
      <c r="D593" t="str">
        <f>INDEX('ei names mapping'!$B$104:$BL$133,MATCH(B$234,'ei names mapping'!$A$4:$A$33,0),MATCH(G593,'ei names mapping'!$B$3:$BL$3,0))</f>
        <v>kilogram</v>
      </c>
      <c r="E593" t="str">
        <f>INDEX('ei names mapping'!$B$305:$BL$335,MATCH(B$234,'ei names mapping'!$A$4:$A$33,0),MATCH(G593,'ei names mapping'!$B$3:$BL$3,0))</f>
        <v>air::urban air close to ground</v>
      </c>
      <c r="F593" t="s">
        <v>167</v>
      </c>
      <c r="G593" t="s">
        <v>546</v>
      </c>
    </row>
    <row r="594" spans="1:7" x14ac:dyDescent="0.2">
      <c r="A594" t="str">
        <f>INDEX('ei names mapping'!$B$4:$BL$33,MATCH(B$234,'ei names mapping'!$A$4:$A$33,0),MATCH(G594,'ei names mapping'!$B$3:$BL$3,0))</f>
        <v>Heptane</v>
      </c>
      <c r="B594" s="7">
        <f>INDEX('vehicles specifications'!$B$3:$CW$166,MATCH(B$549,'vehicles specifications'!$A$3:$A$166,0),MATCH(G594,'vehicles specifications'!$B$2:$CW$2,0))*INDEX('ei names mapping'!$B$137:$BL$300,MATCH(B$549,'ei names mapping'!$A$137:$A$300,0),MATCH(G594,'ei names mapping'!$B$136:$BL$136,0))</f>
        <v>1.4377311822588159E-7</v>
      </c>
      <c r="D594" t="str">
        <f>INDEX('ei names mapping'!$B$104:$BL$133,MATCH(B$234,'ei names mapping'!$A$4:$A$33,0),MATCH(G594,'ei names mapping'!$B$3:$BL$3,0))</f>
        <v>kilogram</v>
      </c>
      <c r="E594" t="str">
        <f>INDEX('ei names mapping'!$B$305:$BL$335,MATCH(B$234,'ei names mapping'!$A$4:$A$33,0),MATCH(G594,'ei names mapping'!$B$3:$BL$3,0))</f>
        <v>air::urban air close to ground</v>
      </c>
      <c r="F594" t="s">
        <v>167</v>
      </c>
      <c r="G594" t="s">
        <v>547</v>
      </c>
    </row>
    <row r="595" spans="1:7" x14ac:dyDescent="0.2">
      <c r="A595" t="str">
        <f>INDEX('ei names mapping'!$B$4:$BL$33,MATCH(B$234,'ei names mapping'!$A$4:$A$33,0),MATCH(G595,'ei names mapping'!$B$3:$BL$3,0))</f>
        <v>Ethene</v>
      </c>
      <c r="B595" s="7">
        <f>INDEX('vehicles specifications'!$B$3:$CW$166,MATCH(B$549,'vehicles specifications'!$A$3:$A$166,0),MATCH(G595,'vehicles specifications'!$B$2:$CW$2,0))*INDEX('ei names mapping'!$B$137:$BL$300,MATCH(B$549,'ei names mapping'!$A$137:$A$300,0),MATCH(G595,'ei names mapping'!$B$136:$BL$136,0))</f>
        <v>1.4183023824985615E-6</v>
      </c>
      <c r="D595" t="str">
        <f>INDEX('ei names mapping'!$B$104:$BL$133,MATCH(B$234,'ei names mapping'!$A$4:$A$33,0),MATCH(G595,'ei names mapping'!$B$3:$BL$3,0))</f>
        <v>kilogram</v>
      </c>
      <c r="E595" t="str">
        <f>INDEX('ei names mapping'!$B$305:$BL$335,MATCH(B$234,'ei names mapping'!$A$4:$A$33,0),MATCH(G595,'ei names mapping'!$B$3:$BL$3,0))</f>
        <v>air::urban air close to ground</v>
      </c>
      <c r="F595" t="s">
        <v>167</v>
      </c>
      <c r="G595" t="s">
        <v>548</v>
      </c>
    </row>
    <row r="596" spans="1:7" x14ac:dyDescent="0.2">
      <c r="A596" t="str">
        <f>INDEX('ei names mapping'!$B$4:$BL$33,MATCH(B$234,'ei names mapping'!$A$4:$A$33,0),MATCH(G596,'ei names mapping'!$B$3:$BL$3,0))</f>
        <v>Propene</v>
      </c>
      <c r="B596" s="7">
        <f>INDEX('vehicles specifications'!$B$3:$CW$166,MATCH(B$549,'vehicles specifications'!$A$3:$A$166,0),MATCH(G596,'vehicles specifications'!$B$2:$CW$2,0))*INDEX('ei names mapping'!$B$137:$BL$300,MATCH(B$549,'ei names mapping'!$A$137:$A$300,0),MATCH(G596,'ei names mapping'!$B$136:$BL$136,0))</f>
        <v>7.4218015084171301E-7</v>
      </c>
      <c r="D596" t="str">
        <f>INDEX('ei names mapping'!$B$104:$BL$133,MATCH(B$234,'ei names mapping'!$A$4:$A$33,0),MATCH(G596,'ei names mapping'!$B$3:$BL$3,0))</f>
        <v>kilogram</v>
      </c>
      <c r="E596" t="str">
        <f>INDEX('ei names mapping'!$B$305:$BL$335,MATCH(B$234,'ei names mapping'!$A$4:$A$33,0),MATCH(G596,'ei names mapping'!$B$3:$BL$3,0))</f>
        <v>air::urban air close to ground</v>
      </c>
      <c r="F596" t="s">
        <v>167</v>
      </c>
      <c r="G596" t="s">
        <v>549</v>
      </c>
    </row>
    <row r="597" spans="1:7" x14ac:dyDescent="0.2">
      <c r="A597" t="str">
        <f>INDEX('ei names mapping'!$B$4:$BL$33,MATCH(B$234,'ei names mapping'!$A$4:$A$33,0),MATCH(G597,'ei names mapping'!$B$3:$BL$3,0))</f>
        <v>1-Pentene</v>
      </c>
      <c r="B597" s="7">
        <f>INDEX('vehicles specifications'!$B$3:$CW$166,MATCH(B$549,'vehicles specifications'!$A$3:$A$166,0),MATCH(G597,'vehicles specifications'!$B$2:$CW$2,0))*INDEX('ei names mapping'!$B$137:$BL$300,MATCH(B$549,'ei names mapping'!$A$137:$A$300,0),MATCH(G597,'ei names mapping'!$B$136:$BL$136,0))</f>
        <v>2.1371679736279698E-8</v>
      </c>
      <c r="D597" t="str">
        <f>INDEX('ei names mapping'!$B$104:$BL$133,MATCH(B$234,'ei names mapping'!$A$4:$A$33,0),MATCH(G597,'ei names mapping'!$B$3:$BL$3,0))</f>
        <v>kilogram</v>
      </c>
      <c r="E597" t="str">
        <f>INDEX('ei names mapping'!$B$305:$BL$335,MATCH(B$234,'ei names mapping'!$A$4:$A$33,0),MATCH(G597,'ei names mapping'!$B$3:$BL$3,0))</f>
        <v>air::urban air close to ground</v>
      </c>
      <c r="F597" t="s">
        <v>167</v>
      </c>
      <c r="G597" t="s">
        <v>550</v>
      </c>
    </row>
    <row r="598" spans="1:7" x14ac:dyDescent="0.2">
      <c r="A598" t="str">
        <f>INDEX('ei names mapping'!$B$4:$BL$33,MATCH(B$234,'ei names mapping'!$A$4:$A$33,0),MATCH(G598,'ei names mapping'!$B$3:$BL$3,0))</f>
        <v>Toluene</v>
      </c>
      <c r="B598" s="7">
        <f>INDEX('vehicles specifications'!$B$3:$CW$166,MATCH(B$549,'vehicles specifications'!$A$3:$A$166,0),MATCH(G598,'vehicles specifications'!$B$2:$CW$2,0))*INDEX('ei names mapping'!$B$137:$BL$300,MATCH(B$549,'ei names mapping'!$A$137:$A$300,0),MATCH(G598,'ei names mapping'!$B$136:$BL$136,0))</f>
        <v>2.1332822136759185E-6</v>
      </c>
      <c r="D598" t="str">
        <f>INDEX('ei names mapping'!$B$104:$BL$133,MATCH(B$234,'ei names mapping'!$A$4:$A$33,0),MATCH(G598,'ei names mapping'!$B$3:$BL$3,0))</f>
        <v>kilogram</v>
      </c>
      <c r="E598" t="str">
        <f>INDEX('ei names mapping'!$B$305:$BL$335,MATCH(B$234,'ei names mapping'!$A$4:$A$33,0),MATCH(G598,'ei names mapping'!$B$3:$BL$3,0))</f>
        <v>air::urban air close to ground</v>
      </c>
      <c r="F598" t="s">
        <v>167</v>
      </c>
      <c r="G598" t="s">
        <v>551</v>
      </c>
    </row>
    <row r="599" spans="1:7" x14ac:dyDescent="0.2">
      <c r="A599" t="str">
        <f>INDEX('ei names mapping'!$B$4:$BL$33,MATCH(B$234,'ei names mapping'!$A$4:$A$33,0),MATCH(G599,'ei names mapping'!$B$3:$BL$3,0))</f>
        <v>m-Xylene</v>
      </c>
      <c r="B599" s="7">
        <f>INDEX('vehicles specifications'!$B$3:$CW$166,MATCH(B$549,'vehicles specifications'!$A$3:$A$166,0),MATCH(G599,'vehicles specifications'!$B$2:$CW$2,0))*INDEX('ei names mapping'!$B$137:$BL$300,MATCH(B$549,'ei names mapping'!$A$137:$A$300,0),MATCH(G599,'ei names mapping'!$B$136:$BL$136,0))</f>
        <v>1.0549838269818067E-6</v>
      </c>
      <c r="D599" t="str">
        <f>INDEX('ei names mapping'!$B$104:$BL$133,MATCH(B$234,'ei names mapping'!$A$4:$A$33,0),MATCH(G599,'ei names mapping'!$B$3:$BL$3,0))</f>
        <v>kilogram</v>
      </c>
      <c r="E599" t="str">
        <f>INDEX('ei names mapping'!$B$305:$BL$335,MATCH(B$234,'ei names mapping'!$A$4:$A$33,0),MATCH(G599,'ei names mapping'!$B$3:$BL$3,0))</f>
        <v>air::urban air close to ground</v>
      </c>
      <c r="F599" t="s">
        <v>167</v>
      </c>
      <c r="G599" t="s">
        <v>552</v>
      </c>
    </row>
    <row r="600" spans="1:7" x14ac:dyDescent="0.2">
      <c r="A600" t="str">
        <f>INDEX('ei names mapping'!$B$4:$BL$33,MATCH(B$234,'ei names mapping'!$A$4:$A$33,0),MATCH(G600,'ei names mapping'!$B$3:$BL$3,0))</f>
        <v>o-Xylene</v>
      </c>
      <c r="B600" s="7">
        <f>INDEX('vehicles specifications'!$B$3:$CW$166,MATCH(B$549,'vehicles specifications'!$A$3:$A$166,0),MATCH(G600,'vehicles specifications'!$B$2:$CW$2,0))*INDEX('ei names mapping'!$B$137:$BL$300,MATCH(B$549,'ei names mapping'!$A$137:$A$300,0),MATCH(G600,'ei names mapping'!$B$136:$BL$136,0))</f>
        <v>4.390908745817464E-7</v>
      </c>
      <c r="D600" t="str">
        <f>INDEX('ei names mapping'!$B$104:$BL$133,MATCH(B$234,'ei names mapping'!$A$4:$A$33,0),MATCH(G600,'ei names mapping'!$B$3:$BL$3,0))</f>
        <v>kilogram</v>
      </c>
      <c r="E600" t="str">
        <f>INDEX('ei names mapping'!$B$305:$BL$335,MATCH(B$234,'ei names mapping'!$A$4:$A$33,0),MATCH(G600,'ei names mapping'!$B$3:$BL$3,0))</f>
        <v>air::urban air close to ground</v>
      </c>
      <c r="F600" t="s">
        <v>167</v>
      </c>
      <c r="G600" t="s">
        <v>553</v>
      </c>
    </row>
    <row r="601" spans="1:7" x14ac:dyDescent="0.2">
      <c r="A601" t="str">
        <f>INDEX('ei names mapping'!$B$4:$BL$33,MATCH(B$234,'ei names mapping'!$A$4:$A$33,0),MATCH(G601,'ei names mapping'!$B$3:$BL$3,0))</f>
        <v>Formaldehyde</v>
      </c>
      <c r="B601" s="7">
        <f>INDEX('vehicles specifications'!$B$3:$CW$166,MATCH(B$549,'vehicles specifications'!$A$3:$A$166,0),MATCH(G601,'vehicles specifications'!$B$2:$CW$2,0))*INDEX('ei names mapping'!$B$137:$BL$300,MATCH(B$549,'ei names mapping'!$A$137:$A$300,0),MATCH(G601,'ei names mapping'!$B$136:$BL$136,0))</f>
        <v>3.3028959592432257E-7</v>
      </c>
      <c r="D601" t="str">
        <f>INDEX('ei names mapping'!$B$104:$BL$133,MATCH(B$234,'ei names mapping'!$A$4:$A$33,0),MATCH(G601,'ei names mapping'!$B$3:$BL$3,0))</f>
        <v>kilogram</v>
      </c>
      <c r="E601" t="str">
        <f>INDEX('ei names mapping'!$B$305:$BL$335,MATCH(B$234,'ei names mapping'!$A$4:$A$33,0),MATCH(G601,'ei names mapping'!$B$3:$BL$3,0))</f>
        <v>air::urban air close to ground</v>
      </c>
      <c r="F601" t="s">
        <v>167</v>
      </c>
      <c r="G601" t="s">
        <v>554</v>
      </c>
    </row>
    <row r="602" spans="1:7" x14ac:dyDescent="0.2">
      <c r="A602" t="str">
        <f>INDEX('ei names mapping'!$B$4:$BL$33,MATCH(B$234,'ei names mapping'!$A$4:$A$33,0),MATCH(G602,'ei names mapping'!$B$3:$BL$3,0))</f>
        <v>Acetaldehyde</v>
      </c>
      <c r="B602" s="7">
        <f>INDEX('vehicles specifications'!$B$3:$CW$166,MATCH(B$549,'vehicles specifications'!$A$3:$A$166,0),MATCH(G602,'vehicles specifications'!$B$2:$CW$2,0))*INDEX('ei names mapping'!$B$137:$BL$300,MATCH(B$549,'ei names mapping'!$A$137:$A$300,0),MATCH(G602,'ei names mapping'!$B$136:$BL$136,0))</f>
        <v>1.45715998201907E-7</v>
      </c>
      <c r="D602" t="str">
        <f>INDEX('ei names mapping'!$B$104:$BL$133,MATCH(B$234,'ei names mapping'!$A$4:$A$33,0),MATCH(G602,'ei names mapping'!$B$3:$BL$3,0))</f>
        <v>kilogram</v>
      </c>
      <c r="E602" t="str">
        <f>INDEX('ei names mapping'!$B$305:$BL$335,MATCH(B$234,'ei names mapping'!$A$4:$A$33,0),MATCH(G602,'ei names mapping'!$B$3:$BL$3,0))</f>
        <v>air::urban air close to ground</v>
      </c>
      <c r="F602" t="s">
        <v>167</v>
      </c>
      <c r="G602" t="s">
        <v>555</v>
      </c>
    </row>
    <row r="603" spans="1:7" x14ac:dyDescent="0.2">
      <c r="A603" t="str">
        <f>INDEX('ei names mapping'!$B$4:$BL$33,MATCH(B$234,'ei names mapping'!$A$4:$A$33,0),MATCH(G603,'ei names mapping'!$B$3:$BL$3,0))</f>
        <v>Benzaldehyde</v>
      </c>
      <c r="B603" s="7">
        <f>INDEX('vehicles specifications'!$B$3:$CW$166,MATCH(B$549,'vehicles specifications'!$A$3:$A$166,0),MATCH(G603,'vehicles specifications'!$B$2:$CW$2,0))*INDEX('ei names mapping'!$B$137:$BL$300,MATCH(B$549,'ei names mapping'!$A$137:$A$300,0),MATCH(G603,'ei names mapping'!$B$136:$BL$136,0))</f>
        <v>4.2743359472559396E-8</v>
      </c>
      <c r="D603" t="str">
        <f>INDEX('ei names mapping'!$B$104:$BL$133,MATCH(B$234,'ei names mapping'!$A$4:$A$33,0),MATCH(G603,'ei names mapping'!$B$3:$BL$3,0))</f>
        <v>kilogram</v>
      </c>
      <c r="E603" t="str">
        <f>INDEX('ei names mapping'!$B$305:$BL$335,MATCH(B$234,'ei names mapping'!$A$4:$A$33,0),MATCH(G603,'ei names mapping'!$B$3:$BL$3,0))</f>
        <v>air::urban air close to ground</v>
      </c>
      <c r="F603" t="s">
        <v>167</v>
      </c>
      <c r="G603" t="s">
        <v>556</v>
      </c>
    </row>
    <row r="604" spans="1:7" x14ac:dyDescent="0.2">
      <c r="A604" t="str">
        <f>INDEX('ei names mapping'!$B$4:$BL$33,MATCH(B$234,'ei names mapping'!$A$4:$A$33,0),MATCH(G604,'ei names mapping'!$B$3:$BL$3,0))</f>
        <v>Acetone</v>
      </c>
      <c r="B604" s="7">
        <f>INDEX('vehicles specifications'!$B$3:$CW$166,MATCH(B$549,'vehicles specifications'!$A$3:$A$166,0),MATCH(G604,'vehicles specifications'!$B$2:$CW$2,0))*INDEX('ei names mapping'!$B$137:$BL$300,MATCH(B$549,'ei names mapping'!$A$137:$A$300,0),MATCH(G604,'ei names mapping'!$B$136:$BL$136,0))</f>
        <v>1.1851567853755105E-7</v>
      </c>
      <c r="D604" t="str">
        <f>INDEX('ei names mapping'!$B$104:$BL$133,MATCH(B$234,'ei names mapping'!$A$4:$A$33,0),MATCH(G604,'ei names mapping'!$B$3:$BL$3,0))</f>
        <v>kilogram</v>
      </c>
      <c r="E604" t="str">
        <f>INDEX('ei names mapping'!$B$305:$BL$335,MATCH(B$234,'ei names mapping'!$A$4:$A$33,0),MATCH(G604,'ei names mapping'!$B$3:$BL$3,0))</f>
        <v>air::urban air close to ground</v>
      </c>
      <c r="F604" t="s">
        <v>167</v>
      </c>
      <c r="G604" t="s">
        <v>557</v>
      </c>
    </row>
    <row r="605" spans="1:7" x14ac:dyDescent="0.2">
      <c r="A605" t="str">
        <f>INDEX('ei names mapping'!$B$4:$BL$33,MATCH(B$234,'ei names mapping'!$A$4:$A$33,0),MATCH(G605,'ei names mapping'!$B$3:$BL$3,0))</f>
        <v>Methyl ethyl ketone</v>
      </c>
      <c r="B605" s="7">
        <f>INDEX('vehicles specifications'!$B$3:$CW$166,MATCH(B$549,'vehicles specifications'!$A$3:$A$166,0),MATCH(G605,'vehicles specifications'!$B$2:$CW$2,0))*INDEX('ei names mapping'!$B$137:$BL$300,MATCH(B$549,'ei names mapping'!$A$137:$A$300,0),MATCH(G605,'ei names mapping'!$B$136:$BL$136,0))</f>
        <v>0</v>
      </c>
      <c r="D605" t="str">
        <f>INDEX('ei names mapping'!$B$104:$BL$133,MATCH(B$234,'ei names mapping'!$A$4:$A$33,0),MATCH(G605,'ei names mapping'!$B$3:$BL$3,0))</f>
        <v>kilogram</v>
      </c>
      <c r="E605" t="str">
        <f>INDEX('ei names mapping'!$B$305:$BL$335,MATCH(B$234,'ei names mapping'!$A$4:$A$33,0),MATCH(G605,'ei names mapping'!$B$3:$BL$3,0))</f>
        <v>air::urban air close to ground</v>
      </c>
      <c r="F605" t="s">
        <v>167</v>
      </c>
      <c r="G605" t="s">
        <v>560</v>
      </c>
    </row>
    <row r="606" spans="1:7" x14ac:dyDescent="0.2">
      <c r="A606" t="str">
        <f>INDEX('ei names mapping'!$B$4:$BL$33,MATCH(B$234,'ei names mapping'!$A$4:$A$33,0),MATCH(G606,'ei names mapping'!$B$3:$BL$3,0))</f>
        <v>Acrolein</v>
      </c>
      <c r="B606" s="7">
        <f>INDEX('vehicles specifications'!$B$3:$CW$166,MATCH(B$549,'vehicles specifications'!$A$3:$A$166,0),MATCH(G606,'vehicles specifications'!$B$2:$CW$2,0))*INDEX('ei names mapping'!$B$137:$BL$300,MATCH(B$549,'ei names mapping'!$A$137:$A$300,0),MATCH(G606,'ei names mapping'!$B$136:$BL$136,0))</f>
        <v>3.6914719544483105E-8</v>
      </c>
      <c r="D606" t="str">
        <f>INDEX('ei names mapping'!$B$104:$BL$133,MATCH(B$234,'ei names mapping'!$A$4:$A$33,0),MATCH(G606,'ei names mapping'!$B$3:$BL$3,0))</f>
        <v>kilogram</v>
      </c>
      <c r="E606" t="str">
        <f>INDEX('ei names mapping'!$B$305:$BL$335,MATCH(B$234,'ei names mapping'!$A$4:$A$33,0),MATCH(G606,'ei names mapping'!$B$3:$BL$3,0))</f>
        <v>air::urban air close to ground</v>
      </c>
      <c r="F606" t="s">
        <v>167</v>
      </c>
      <c r="G606" t="s">
        <v>558</v>
      </c>
    </row>
    <row r="607" spans="1:7" x14ac:dyDescent="0.2">
      <c r="A607" t="str">
        <f>INDEX('ei names mapping'!$B$4:$BL$33,MATCH(B$234,'ei names mapping'!$A$4:$A$33,0),MATCH(G607,'ei names mapping'!$B$3:$BL$3,0))</f>
        <v>Styrene</v>
      </c>
      <c r="B607" s="7">
        <f>INDEX('vehicles specifications'!$B$3:$CW$166,MATCH(B$549,'vehicles specifications'!$A$3:$A$166,0),MATCH(G607,'vehicles specifications'!$B$2:$CW$2,0))*INDEX('ei names mapping'!$B$137:$BL$300,MATCH(B$549,'ei names mapping'!$A$137:$A$300,0),MATCH(G607,'ei names mapping'!$B$136:$BL$136,0))</f>
        <v>1.9623087757856811E-7</v>
      </c>
      <c r="D607" t="str">
        <f>INDEX('ei names mapping'!$B$104:$BL$133,MATCH(B$234,'ei names mapping'!$A$4:$A$33,0),MATCH(G607,'ei names mapping'!$B$3:$BL$3,0))</f>
        <v>kilogram</v>
      </c>
      <c r="E607" t="str">
        <f>INDEX('ei names mapping'!$B$305:$BL$335,MATCH(B$234,'ei names mapping'!$A$4:$A$33,0),MATCH(G607,'ei names mapping'!$B$3:$BL$3,0))</f>
        <v>air::urban air close to ground</v>
      </c>
      <c r="F607" t="s">
        <v>167</v>
      </c>
      <c r="G607" t="s">
        <v>559</v>
      </c>
    </row>
    <row r="608" spans="1:7" x14ac:dyDescent="0.2">
      <c r="A608" t="str">
        <f>INDEX('ei names mapping'!$B$4:$BL$33,MATCH(B$234,'ei names mapping'!$A$4:$A$33,0),MATCH(G608,'ei names mapping'!$B$3:$BL$3,0))</f>
        <v>PAH, polycyclic aromatic hydrocarbons</v>
      </c>
      <c r="B608" s="7">
        <f>INDEX('vehicles specifications'!$B$3:$CW$166,MATCH(B$549,'vehicles specifications'!$A$3:$A$166,0),MATCH(G608,'vehicles specifications'!$B$2:$CW$2,0))*INDEX('ei names mapping'!$B$137:$BL$300,MATCH(B$549,'ei names mapping'!$A$137:$A$300,0),MATCH(G608,'ei names mapping'!$B$136:$BL$136,0))</f>
        <v>1.1707114741812285E-9</v>
      </c>
      <c r="D608" t="str">
        <f>INDEX('ei names mapping'!$B$104:$BL$133,MATCH(B$234,'ei names mapping'!$A$4:$A$33,0),MATCH(G608,'ei names mapping'!$B$3:$BL$3,0))</f>
        <v>kilogram</v>
      </c>
      <c r="E608" t="str">
        <f>INDEX('ei names mapping'!$B$305:$BL$335,MATCH(B$234,'ei names mapping'!$A$4:$A$33,0),MATCH(G608,'ei names mapping'!$B$3:$BL$3,0))</f>
        <v>air::urban air close to ground</v>
      </c>
      <c r="F608" t="s">
        <v>167</v>
      </c>
      <c r="G608" t="s">
        <v>561</v>
      </c>
    </row>
    <row r="609" spans="1:8" x14ac:dyDescent="0.2">
      <c r="A609" t="str">
        <f>INDEX('ei names mapping'!$B$4:$BL$33,MATCH(B$234,'ei names mapping'!$A$4:$A$33,0),MATCH(G609,'ei names mapping'!$B$3:$BL$3,0))</f>
        <v>Arsenic</v>
      </c>
      <c r="B609" s="7">
        <f>INDEX('vehicles specifications'!$B$3:$CW$166,MATCH(B$549,'vehicles specifications'!$A$3:$A$166,0),MATCH(G609,'vehicles specifications'!$B$2:$CW$2,0))*INDEX('ei names mapping'!$B$137:$BL$300,MATCH(B$549,'ei names mapping'!$A$137:$A$300,0),MATCH(G609,'ei names mapping'!$B$136:$BL$136,0))</f>
        <v>1.0092340294665764E-11</v>
      </c>
      <c r="D609" t="str">
        <f>INDEX('ei names mapping'!$B$104:$BL$133,MATCH(B$234,'ei names mapping'!$A$4:$A$33,0),MATCH(G609,'ei names mapping'!$B$3:$BL$3,0))</f>
        <v>kilogram</v>
      </c>
      <c r="E609" t="str">
        <f>INDEX('ei names mapping'!$B$305:$BL$335,MATCH(B$234,'ei names mapping'!$A$4:$A$33,0),MATCH(G609,'ei names mapping'!$B$3:$BL$3,0))</f>
        <v>air::urban air close to ground</v>
      </c>
      <c r="F609" t="s">
        <v>167</v>
      </c>
      <c r="G609" t="s">
        <v>562</v>
      </c>
    </row>
    <row r="610" spans="1:8" x14ac:dyDescent="0.2">
      <c r="A610" t="str">
        <f>INDEX('ei names mapping'!$B$4:$BL$33,MATCH(B$234,'ei names mapping'!$A$4:$A$33,0),MATCH(G610,'ei names mapping'!$B$3:$BL$3,0))</f>
        <v>Selenium</v>
      </c>
      <c r="B610" s="7">
        <f>INDEX('vehicles specifications'!$B$3:$CW$166,MATCH(B$549,'vehicles specifications'!$A$3:$A$166,0),MATCH(G610,'vehicles specifications'!$B$2:$CW$2,0))*INDEX('ei names mapping'!$B$137:$BL$300,MATCH(B$549,'ei names mapping'!$A$137:$A$300,0),MATCH(G610,'ei names mapping'!$B$136:$BL$136,0))</f>
        <v>6.7282268631105095E-12</v>
      </c>
      <c r="D610" t="str">
        <f>INDEX('ei names mapping'!$B$104:$BL$133,MATCH(B$234,'ei names mapping'!$A$4:$A$33,0),MATCH(G610,'ei names mapping'!$B$3:$BL$3,0))</f>
        <v>kilogram</v>
      </c>
      <c r="E610" t="str">
        <f>INDEX('ei names mapping'!$B$305:$BL$335,MATCH(B$234,'ei names mapping'!$A$4:$A$33,0),MATCH(G610,'ei names mapping'!$B$3:$BL$3,0))</f>
        <v>air::urban air close to ground</v>
      </c>
      <c r="F610" t="s">
        <v>167</v>
      </c>
      <c r="G610" t="s">
        <v>563</v>
      </c>
    </row>
    <row r="611" spans="1:8" x14ac:dyDescent="0.2">
      <c r="A611" t="str">
        <f>INDEX('ei names mapping'!$B$4:$BL$33,MATCH(B$234,'ei names mapping'!$A$4:$A$33,0),MATCH(G611,'ei names mapping'!$B$3:$BL$3,0))</f>
        <v>Zinc</v>
      </c>
      <c r="B611" s="7">
        <f>INDEX('vehicles specifications'!$B$3:$CW$166,MATCH(B$549,'vehicles specifications'!$A$3:$A$166,0),MATCH(G611,'vehicles specifications'!$B$2:$CW$2,0))*INDEX('ei names mapping'!$B$137:$BL$300,MATCH(B$549,'ei names mapping'!$A$137:$A$300,0),MATCH(G611,'ei names mapping'!$B$136:$BL$136,0))</f>
        <v>7.2664850121593506E-8</v>
      </c>
      <c r="D611" t="str">
        <f>INDEX('ei names mapping'!$B$104:$BL$133,MATCH(B$234,'ei names mapping'!$A$4:$A$33,0),MATCH(G611,'ei names mapping'!$B$3:$BL$3,0))</f>
        <v>kilogram</v>
      </c>
      <c r="E611" t="str">
        <f>INDEX('ei names mapping'!$B$305:$BL$335,MATCH(B$234,'ei names mapping'!$A$4:$A$33,0),MATCH(G611,'ei names mapping'!$B$3:$BL$3,0))</f>
        <v>air::urban air close to ground</v>
      </c>
      <c r="F611" t="s">
        <v>167</v>
      </c>
      <c r="G611" t="s">
        <v>564</v>
      </c>
    </row>
    <row r="612" spans="1:8" x14ac:dyDescent="0.2">
      <c r="A612" t="str">
        <f>INDEX('ei names mapping'!$B$4:$BL$33,MATCH(B$234,'ei names mapping'!$A$4:$A$33,0),MATCH(G612,'ei names mapping'!$B$3:$BL$3,0))</f>
        <v>Copper</v>
      </c>
      <c r="B612" s="7">
        <f>INDEX('vehicles specifications'!$B$3:$CW$166,MATCH(B$549,'vehicles specifications'!$A$3:$A$166,0),MATCH(G612,'vehicles specifications'!$B$2:$CW$2,0))*INDEX('ei names mapping'!$B$137:$BL$300,MATCH(B$549,'ei names mapping'!$A$137:$A$300,0),MATCH(G612,'ei names mapping'!$B$136:$BL$136,0))</f>
        <v>1.4129276412532068E-9</v>
      </c>
      <c r="D612" t="str">
        <f>INDEX('ei names mapping'!$B$104:$BL$133,MATCH(B$234,'ei names mapping'!$A$4:$A$33,0),MATCH(G612,'ei names mapping'!$B$3:$BL$3,0))</f>
        <v>kilogram</v>
      </c>
      <c r="E612" t="str">
        <f>INDEX('ei names mapping'!$B$305:$BL$335,MATCH(B$234,'ei names mapping'!$A$4:$A$33,0),MATCH(G612,'ei names mapping'!$B$3:$BL$3,0))</f>
        <v>air::urban air close to ground</v>
      </c>
      <c r="F612" t="s">
        <v>167</v>
      </c>
      <c r="G612" t="s">
        <v>522</v>
      </c>
    </row>
    <row r="613" spans="1:8" x14ac:dyDescent="0.2">
      <c r="A613" t="str">
        <f>INDEX('ei names mapping'!$B$4:$BL$33,MATCH(B$234,'ei names mapping'!$A$4:$A$33,0),MATCH(G613,'ei names mapping'!$B$3:$BL$3,0))</f>
        <v>Nickel</v>
      </c>
      <c r="B613" s="7">
        <f>INDEX('vehicles specifications'!$B$3:$CW$166,MATCH(B$549,'vehicles specifications'!$A$3:$A$166,0),MATCH(G613,'vehicles specifications'!$B$2:$CW$2,0))*INDEX('ei names mapping'!$B$137:$BL$300,MATCH(B$549,'ei names mapping'!$A$137:$A$300,0),MATCH(G613,'ei names mapping'!$B$136:$BL$136,0))</f>
        <v>4.3733474610218308E-10</v>
      </c>
      <c r="D613" t="str">
        <f>INDEX('ei names mapping'!$B$104:$BL$133,MATCH(B$234,'ei names mapping'!$A$4:$A$33,0),MATCH(G613,'ei names mapping'!$B$3:$BL$3,0))</f>
        <v>kilogram</v>
      </c>
      <c r="E613" t="str">
        <f>INDEX('ei names mapping'!$B$305:$BL$335,MATCH(B$234,'ei names mapping'!$A$4:$A$33,0),MATCH(G613,'ei names mapping'!$B$3:$BL$3,0))</f>
        <v>air::urban air close to ground</v>
      </c>
      <c r="F613" t="s">
        <v>167</v>
      </c>
      <c r="G613" t="s">
        <v>524</v>
      </c>
    </row>
    <row r="614" spans="1:8" x14ac:dyDescent="0.2">
      <c r="A614" t="str">
        <f>INDEX('ei names mapping'!$B$4:$BL$33,MATCH(B$234,'ei names mapping'!$A$4:$A$33,0),MATCH(G614,'ei names mapping'!$B$3:$BL$3,0))</f>
        <v>Chromium</v>
      </c>
      <c r="B614" s="7">
        <f>INDEX('vehicles specifications'!$B$3:$CW$166,MATCH(B$549,'vehicles specifications'!$A$3:$A$166,0),MATCH(G614,'vehicles specifications'!$B$2:$CW$2,0))*INDEX('ei names mapping'!$B$137:$BL$300,MATCH(B$549,'ei names mapping'!$A$137:$A$300,0),MATCH(G614,'ei names mapping'!$B$136:$BL$136,0))</f>
        <v>5.3825814904884082E-10</v>
      </c>
      <c r="D614" t="str">
        <f>INDEX('ei names mapping'!$B$104:$BL$133,MATCH(B$234,'ei names mapping'!$A$4:$A$33,0),MATCH(G614,'ei names mapping'!$B$3:$BL$3,0))</f>
        <v>kilogram</v>
      </c>
      <c r="E614" t="str">
        <f>INDEX('ei names mapping'!$B$305:$BL$335,MATCH(B$234,'ei names mapping'!$A$4:$A$33,0),MATCH(G614,'ei names mapping'!$B$3:$BL$3,0))</f>
        <v>air::urban air close to ground</v>
      </c>
      <c r="F614" t="s">
        <v>167</v>
      </c>
      <c r="G614" t="s">
        <v>523</v>
      </c>
    </row>
    <row r="615" spans="1:8" x14ac:dyDescent="0.2">
      <c r="A615" t="str">
        <f>INDEX('ei names mapping'!$B$4:$BL$33,MATCH(B$234,'ei names mapping'!$A$4:$A$33,0),MATCH(G615,'ei names mapping'!$B$3:$BL$3,0))</f>
        <v>Chromium VI</v>
      </c>
      <c r="B615" s="7">
        <f>INDEX('vehicles specifications'!$B$3:$CW$166,MATCH(B$549,'vehicles specifications'!$A$3:$A$166,0),MATCH(G615,'vehicles specifications'!$B$2:$CW$2,0))*INDEX('ei names mapping'!$B$137:$BL$300,MATCH(B$549,'ei names mapping'!$A$137:$A$300,0),MATCH(G615,'ei names mapping'!$B$136:$BL$136,0))</f>
        <v>1.0765162980976813E-12</v>
      </c>
      <c r="D615" t="str">
        <f>INDEX('ei names mapping'!$B$104:$BL$133,MATCH(B$234,'ei names mapping'!$A$4:$A$33,0),MATCH(G615,'ei names mapping'!$B$3:$BL$3,0))</f>
        <v>kilogram</v>
      </c>
      <c r="E615" t="str">
        <f>INDEX('ei names mapping'!$B$305:$BL$335,MATCH(B$234,'ei names mapping'!$A$4:$A$33,0),MATCH(G615,'ei names mapping'!$B$3:$BL$3,0))</f>
        <v>air::urban air close to ground</v>
      </c>
      <c r="F615" t="s">
        <v>167</v>
      </c>
      <c r="G615" t="s">
        <v>567</v>
      </c>
    </row>
    <row r="616" spans="1:8" x14ac:dyDescent="0.2">
      <c r="A616" t="str">
        <f>INDEX('ei names mapping'!$B$4:$BL$33,MATCH(B$234,'ei names mapping'!$A$4:$A$33,0),MATCH(G616,'ei names mapping'!$B$3:$BL$3,0))</f>
        <v>Mercury</v>
      </c>
      <c r="B616" s="7">
        <f>INDEX('vehicles specifications'!$B$3:$CW$166,MATCH(B$549,'vehicles specifications'!$A$3:$A$166,0),MATCH(G616,'vehicles specifications'!$B$2:$CW$2,0))*INDEX('ei names mapping'!$B$137:$BL$300,MATCH(B$549,'ei names mapping'!$A$137:$A$300,0),MATCH(G616,'ei names mapping'!$B$136:$BL$136,0))</f>
        <v>2.9267786854530714E-10</v>
      </c>
      <c r="D616" t="str">
        <f>INDEX('ei names mapping'!$B$104:$BL$133,MATCH(B$234,'ei names mapping'!$A$4:$A$33,0),MATCH(G616,'ei names mapping'!$B$3:$BL$3,0))</f>
        <v>kilogram</v>
      </c>
      <c r="E616" t="str">
        <f>INDEX('ei names mapping'!$B$305:$BL$335,MATCH(B$234,'ei names mapping'!$A$4:$A$33,0),MATCH(G616,'ei names mapping'!$B$3:$BL$3,0))</f>
        <v>air::urban air close to ground</v>
      </c>
      <c r="F616" t="s">
        <v>167</v>
      </c>
      <c r="G616" t="s">
        <v>565</v>
      </c>
    </row>
    <row r="617" spans="1:8" x14ac:dyDescent="0.2">
      <c r="A617" t="str">
        <f>INDEX('ei names mapping'!$B$4:$BL$33,MATCH(B$234,'ei names mapping'!$A$4:$A$33,0),MATCH(G617,'ei names mapping'!$B$3:$BL$3,0))</f>
        <v>Cadmium</v>
      </c>
      <c r="B617" s="7">
        <f>INDEX('vehicles specifications'!$B$3:$CW$166,MATCH(B$549,'vehicles specifications'!$A$3:$A$166,0),MATCH(G617,'vehicles specifications'!$B$2:$CW$2,0))*INDEX('ei names mapping'!$B$137:$BL$300,MATCH(B$549,'ei names mapping'!$A$137:$A$300,0),MATCH(G617,'ei names mapping'!$B$136:$BL$136,0))</f>
        <v>3.6332425060796757E-10</v>
      </c>
      <c r="D617" t="str">
        <f>INDEX('ei names mapping'!$B$104:$BL$133,MATCH(B$234,'ei names mapping'!$A$4:$A$33,0),MATCH(G617,'ei names mapping'!$B$3:$BL$3,0))</f>
        <v>kilogram</v>
      </c>
      <c r="E617" t="str">
        <f>INDEX('ei names mapping'!$B$305:$BL$335,MATCH(B$234,'ei names mapping'!$A$4:$A$33,0),MATCH(G617,'ei names mapping'!$B$3:$BL$3,0))</f>
        <v>air::urban air close to ground</v>
      </c>
      <c r="F617" t="s">
        <v>167</v>
      </c>
      <c r="G617" t="s">
        <v>566</v>
      </c>
    </row>
    <row r="618" spans="1:8" x14ac:dyDescent="0.2">
      <c r="A618" t="str">
        <f>INDEX('ei names mapping'!$B$4:$BL$33,MATCH(B546,'ei names mapping'!$A$4:$A$33,0),MATCH(G618,'ei names mapping'!$B$3:$BL$3,0))</f>
        <v>treatment of road wear emissions, passenger car</v>
      </c>
      <c r="B618" s="7">
        <f>INDEX('vehicles specifications'!$B$3:$CW$166,MATCH(B549,'vehicles specifications'!$A$3:$A$166,0),MATCH(G618,'vehicles specifications'!$B$2:$CW$2,0))*INDEX('ei names mapping'!$B$137:$BL$300,MATCH(B549,'ei names mapping'!$A$137:$A$300,0),MATCH(G618,'ei names mapping'!$B$136:$BL$136,0))</f>
        <v>-8.4312663761640712E-6</v>
      </c>
      <c r="C618" t="str">
        <f>INDEX('ei names mapping'!$B$38:$BL$67,MATCH(B546,'ei names mapping'!$A$4:$A$33,0),MATCH(G618,'ei names mapping'!$B$3:$BL$3,0))</f>
        <v>RER</v>
      </c>
      <c r="D618" t="str">
        <f>INDEX('ei names mapping'!$B$104:$BL$133,MATCH(B546,'ei names mapping'!$A$4:$A$33,0),MATCH(G618,'ei names mapping'!$B$3:$BL$3,0))</f>
        <v>kilogram</v>
      </c>
      <c r="F618" t="s">
        <v>89</v>
      </c>
      <c r="G618" t="s">
        <v>29</v>
      </c>
      <c r="H618" t="str">
        <f>INDEX('ei names mapping'!$B$71:$BL$100,MATCH(B546,'ei names mapping'!$A$4:$A$33,0),MATCH(G618,'ei names mapping'!$B$3:$BL$3,0))</f>
        <v>road wear emissions, passenger car</v>
      </c>
    </row>
    <row r="619" spans="1:8" x14ac:dyDescent="0.2">
      <c r="A619" t="str">
        <f>INDEX('ei names mapping'!$B$4:$BL$33,MATCH(B546,'ei names mapping'!$A$4:$A$33,0),MATCH(G619,'ei names mapping'!$B$3:$BL$3,0))</f>
        <v>treatment of tyre wear emissions, passenger car</v>
      </c>
      <c r="B619" s="7">
        <f>INDEX('vehicles specifications'!$B$3:$CW$166,MATCH(B549,'vehicles specifications'!$A$3:$A$166,0),MATCH(G619,'vehicles specifications'!$B$2:$CW$2,0))*INDEX('ei names mapping'!$B$137:$BL$300,MATCH(B549,'ei names mapping'!$A$137:$A$300,0),MATCH(G619,'ei names mapping'!$B$136:$BL$136,0))</f>
        <v>-5.6195192270635636E-6</v>
      </c>
      <c r="C619" t="str">
        <f>INDEX('ei names mapping'!$B$38:$BL$67,MATCH(B546,'ei names mapping'!$A$4:$A$33,0),MATCH(G619,'ei names mapping'!$B$3:$BL$3,0))</f>
        <v>RER</v>
      </c>
      <c r="D619" t="str">
        <f>INDEX('ei names mapping'!$B$104:$BL$133,MATCH(B546,'ei names mapping'!$A$4:$A$33,0),MATCH(G619,'ei names mapping'!$B$3:$BL$3,0))</f>
        <v>kilogram</v>
      </c>
      <c r="F619" t="s">
        <v>89</v>
      </c>
      <c r="G619" t="s">
        <v>30</v>
      </c>
      <c r="H619" t="str">
        <f>INDEX('ei names mapping'!$B$71:$BL$100,MATCH(B546,'ei names mapping'!$A$4:$A$33,0),MATCH(G619,'ei names mapping'!$B$3:$BL$3,0))</f>
        <v>tyre wear emissions, passenger car</v>
      </c>
    </row>
    <row r="620" spans="1:8" x14ac:dyDescent="0.2">
      <c r="A620" t="str">
        <f>INDEX('ei names mapping'!$B$4:$BL$33,MATCH(B546,'ei names mapping'!$A$4:$A$33,0),MATCH(G620,'ei names mapping'!$B$3:$BL$3,0))</f>
        <v>treatment of brake wear emissions, passenger car</v>
      </c>
      <c r="B620" s="7">
        <f>INDEX('vehicles specifications'!$B$3:$CW$166,MATCH(B549,'vehicles specifications'!$A$3:$A$166,0),MATCH(G620,'vehicles specifications'!$B$2:$CW$2,0))*INDEX('ei names mapping'!$B$137:$BL$300,MATCH(B549,'ei names mapping'!$A$137:$A$300,0),MATCH(G620,'ei names mapping'!$B$136:$BL$136,0))</f>
        <v>-3.1126777752103363E-6</v>
      </c>
      <c r="C620" t="str">
        <f>INDEX('ei names mapping'!$B$38:$BL$67,MATCH(B546,'ei names mapping'!$A$4:$A$33,0),MATCH(G620,'ei names mapping'!$B$3:$BL$3,0))</f>
        <v>RER</v>
      </c>
      <c r="D620" t="str">
        <f>INDEX('ei names mapping'!$B$104:$BL$133,MATCH(B546,'ei names mapping'!$A$4:$A$33,0),MATCH(G620,'ei names mapping'!$B$3:$BL$3,0))</f>
        <v>kilogram</v>
      </c>
      <c r="F620" t="s">
        <v>89</v>
      </c>
      <c r="G620" t="s">
        <v>31</v>
      </c>
      <c r="H620" t="str">
        <f>INDEX('ei names mapping'!$B$71:$BL$100,MATCH(B546,'ei names mapping'!$A$4:$A$33,0),MATCH(G620,'ei names mapping'!$B$3:$BL$3,0))</f>
        <v>brake wear emissions, passenger car</v>
      </c>
    </row>
    <row r="622" spans="1:8" ht="16" x14ac:dyDescent="0.2">
      <c r="A622" s="10" t="s">
        <v>71</v>
      </c>
      <c r="B622" s="8" t="str">
        <f>"transport, "&amp;B624&amp;", "&amp;B626</f>
        <v>transport, Motorbike, gasoline, 11-35kW, EURO-5, 2050</v>
      </c>
    </row>
    <row r="623" spans="1:8" x14ac:dyDescent="0.2">
      <c r="A623" t="s">
        <v>72</v>
      </c>
      <c r="B623" t="s">
        <v>37</v>
      </c>
    </row>
    <row r="624" spans="1:8" x14ac:dyDescent="0.2">
      <c r="A624" t="s">
        <v>86</v>
      </c>
      <c r="B624" t="s">
        <v>622</v>
      </c>
    </row>
    <row r="625" spans="1:2" x14ac:dyDescent="0.2">
      <c r="A625" t="s">
        <v>87</v>
      </c>
    </row>
    <row r="626" spans="1:2" x14ac:dyDescent="0.2">
      <c r="A626" t="s">
        <v>88</v>
      </c>
      <c r="B626">
        <v>2050</v>
      </c>
    </row>
    <row r="627" spans="1:2" x14ac:dyDescent="0.2">
      <c r="A627" t="s">
        <v>126</v>
      </c>
      <c r="B627" t="str">
        <f>B624&amp;" - "&amp;B626&amp;" - "&amp;B623</f>
        <v>Motorbike, gasoline, 11-35kW, EURO-5 - 2050 - CH</v>
      </c>
    </row>
    <row r="628" spans="1:2" x14ac:dyDescent="0.2">
      <c r="A628" t="s">
        <v>73</v>
      </c>
      <c r="B628" t="str">
        <f>"transport, "&amp;B624</f>
        <v>transport, Motorbike, gasoline, 11-35kW, EURO-5</v>
      </c>
    </row>
    <row r="629" spans="1:2" x14ac:dyDescent="0.2">
      <c r="A629" t="s">
        <v>74</v>
      </c>
      <c r="B629" t="s">
        <v>75</v>
      </c>
    </row>
    <row r="630" spans="1:2" x14ac:dyDescent="0.2">
      <c r="A630" t="s">
        <v>76</v>
      </c>
      <c r="B630" t="s">
        <v>166</v>
      </c>
    </row>
    <row r="631" spans="1:2" x14ac:dyDescent="0.2">
      <c r="A631" t="s">
        <v>78</v>
      </c>
      <c r="B631" t="s">
        <v>1143</v>
      </c>
    </row>
    <row r="632" spans="1:2" x14ac:dyDescent="0.2">
      <c r="A632" t="s">
        <v>127</v>
      </c>
      <c r="B632">
        <f>INDEX('vehicles specifications'!$B$3:$CW$166,MATCH(B627,'vehicles specifications'!$A$3:$A$166,0),MATCH("Lifetime [km]",'vehicles specifications'!$B$2:$CW$2,0))</f>
        <v>38500</v>
      </c>
    </row>
    <row r="633" spans="1:2" x14ac:dyDescent="0.2">
      <c r="A633" t="s">
        <v>128</v>
      </c>
      <c r="B633">
        <f>INDEX('vehicles specifications'!$B$3:$CW$166,MATCH(B627,'vehicles specifications'!$A$3:$A$166,0),MATCH("Passengers [unit]",'vehicles specifications'!$B$2:$CW$2,0))</f>
        <v>1.1000000000000001</v>
      </c>
    </row>
    <row r="634" spans="1:2" x14ac:dyDescent="0.2">
      <c r="A634" t="s">
        <v>129</v>
      </c>
      <c r="B634">
        <f>INDEX('vehicles specifications'!$B$3:$CW$166,MATCH(B627,'vehicles specifications'!$A$3:$A$166,0),MATCH("Servicing [unit]",'vehicles specifications'!$B$2:$CW$2,0))</f>
        <v>1.54</v>
      </c>
    </row>
    <row r="635" spans="1:2" x14ac:dyDescent="0.2">
      <c r="A635" t="s">
        <v>130</v>
      </c>
      <c r="B635">
        <f>INDEX('vehicles specifications'!$B$3:$CW$166,MATCH(B627,'vehicles specifications'!$A$3:$A$166,0),MATCH("Energy battery replacement [unit]",'vehicles specifications'!$B$2:$CW$2,0))</f>
        <v>0</v>
      </c>
    </row>
    <row r="636" spans="1:2" x14ac:dyDescent="0.2">
      <c r="A636" t="s">
        <v>131</v>
      </c>
      <c r="B636">
        <f>INDEX('vehicles specifications'!$B$3:$CW$166,MATCH(B627,'vehicles specifications'!$A$3:$A$166,0),MATCH("Annual kilometers [km]",'vehicles specifications'!$B$2:$CW$2,0))</f>
        <v>2405</v>
      </c>
    </row>
    <row r="637" spans="1:2" x14ac:dyDescent="0.2">
      <c r="A637" t="s">
        <v>132</v>
      </c>
      <c r="B637" s="2">
        <f>INDEX('vehicles specifications'!$B$3:$CW$166,MATCH(B627,'vehicles specifications'!$A$3:$A$166,0),MATCH("Curb mass [kg]",'vehicles specifications'!$B$2:$CW$2,0))</f>
        <v>150.26749999999998</v>
      </c>
    </row>
    <row r="638" spans="1:2" x14ac:dyDescent="0.2">
      <c r="A638" t="s">
        <v>133</v>
      </c>
      <c r="B638">
        <f>INDEX('vehicles specifications'!$B$3:$CW$166,MATCH(B627,'vehicles specifications'!$A$3:$A$166,0),MATCH("Power [kW]",'vehicles specifications'!$B$2:$CW$2,0))</f>
        <v>20</v>
      </c>
    </row>
    <row r="639" spans="1:2" x14ac:dyDescent="0.2">
      <c r="A639" t="s">
        <v>134</v>
      </c>
      <c r="B639" t="str">
        <f>INDEX('vehicles specifications'!$B$3:$CW$166,MATCH(B627,'vehicles specifications'!$A$3:$A$166,0),MATCH("Energy battery mass [kg]",'vehicles specifications'!$B$2:$CW$2,0))</f>
        <v/>
      </c>
    </row>
    <row r="640" spans="1:2" x14ac:dyDescent="0.2">
      <c r="A640" t="s">
        <v>135</v>
      </c>
      <c r="B640">
        <f>INDEX('vehicles specifications'!$B$3:$CW$166,MATCH(B627,'vehicles specifications'!$A$3:$A$166,0),MATCH("Electric energy available [kWh]",'vehicles specifications'!$B$2:$CW$2,0))</f>
        <v>0</v>
      </c>
    </row>
    <row r="641" spans="1:8" x14ac:dyDescent="0.2">
      <c r="A641" t="s">
        <v>138</v>
      </c>
      <c r="B641" s="2">
        <f>INDEX('vehicles specifications'!$B$3:$CW$166,MATCH(B627,'vehicles specifications'!$A$3:$A$166,0),MATCH("Oxydation energy stored [kWh]",'vehicles specifications'!$B$2:$CW$2,0))</f>
        <v>133.125</v>
      </c>
    </row>
    <row r="642" spans="1:8" x14ac:dyDescent="0.2">
      <c r="A642" t="s">
        <v>139</v>
      </c>
      <c r="B642">
        <f>INDEX('vehicles specifications'!$B$3:$CW$166,MATCH(B627,'vehicles specifications'!$A$3:$A$166,0),MATCH("Fuel mass [kg]",'vehicles specifications'!$B$2:$CW$2,0))</f>
        <v>11.25</v>
      </c>
    </row>
    <row r="643" spans="1:8" x14ac:dyDescent="0.2">
      <c r="A643" t="s">
        <v>136</v>
      </c>
      <c r="B643" s="2">
        <f>INDEX('vehicles specifications'!$B$3:$CW$166,MATCH(B627,'vehicles specifications'!$A$3:$A$166,0),MATCH("Range [km]",'vehicles specifications'!$B$2:$CW$2,0))</f>
        <v>338.58472858582974</v>
      </c>
    </row>
    <row r="644" spans="1:8" x14ac:dyDescent="0.2">
      <c r="A644" t="s">
        <v>137</v>
      </c>
      <c r="B644" t="str">
        <f>INDEX('vehicles specifications'!$B$3:$CW$166,MATCH(B627,'vehicles specifications'!$A$3:$A$166,0),MATCH("Emission standard",'vehicles specifications'!$B$2:$CW$2,0))</f>
        <v>EURO-5</v>
      </c>
    </row>
    <row r="645" spans="1:8" x14ac:dyDescent="0.2">
      <c r="A645" t="s">
        <v>1174</v>
      </c>
      <c r="B645" s="6">
        <f>INDEX('vehicles specifications'!$B$3:$CW$166,MATCH(B627,'vehicles specifications'!$A$3:$A$166,0),MATCH("Lightweighting rate [%]",'vehicles specifications'!$B$2:$CW$2,0))</f>
        <v>7.0000000000000007E-2</v>
      </c>
    </row>
    <row r="646" spans="1:8" x14ac:dyDescent="0.2">
      <c r="A646" t="s">
        <v>83</v>
      </c>
      <c r="B646"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20 kW. Lifetime: 38500 km. Annual kilometers: 2405 km. Number of passengers: 1.1. Curb mass: 150.3 kg. Lightweighting of glider: 7%. Emission standard: EURO-5. Service visits throughout lifetime: 1.5. Range: 339 km. Fuel tank capacity: 133.1 kWh. Fuel mass: 11.3 kg. Documentation: Life-cycle inventories for on-road vehicles, Sacchi R. (PSI), Bauer C. (PSI), 2021. Sacchi R., Bauer C. Life cycle inventories for on-road vehicles. Paul Scherrer Institut, 2021.</v>
      </c>
    </row>
    <row r="647" spans="1:8" ht="16" x14ac:dyDescent="0.2">
      <c r="A647" s="10" t="s">
        <v>79</v>
      </c>
    </row>
    <row r="648" spans="1:8" x14ac:dyDescent="0.2">
      <c r="A648" t="s">
        <v>80</v>
      </c>
      <c r="B648" t="s">
        <v>81</v>
      </c>
      <c r="C648" t="s">
        <v>72</v>
      </c>
      <c r="D648" t="s">
        <v>76</v>
      </c>
      <c r="E648" t="s">
        <v>82</v>
      </c>
      <c r="F648" t="s">
        <v>74</v>
      </c>
      <c r="G648" t="s">
        <v>83</v>
      </c>
      <c r="H648" t="s">
        <v>73</v>
      </c>
    </row>
    <row r="649" spans="1:8" x14ac:dyDescent="0.2">
      <c r="A649" t="str">
        <f>B622</f>
        <v>transport, Motorbike, gasoline, 11-35kW, EURO-5, 2050</v>
      </c>
      <c r="B649">
        <v>1</v>
      </c>
      <c r="C649" t="str">
        <f>B623</f>
        <v>CH</v>
      </c>
      <c r="D649" t="s">
        <v>166</v>
      </c>
      <c r="F649" t="s">
        <v>84</v>
      </c>
      <c r="G649" t="s">
        <v>85</v>
      </c>
      <c r="H649" t="str">
        <f>B628</f>
        <v>transport, Motorbike, gasoline, 11-35kW, EURO-5</v>
      </c>
    </row>
    <row r="650" spans="1:8" x14ac:dyDescent="0.2">
      <c r="A650" t="str">
        <f>RIGHT(A649,LEN(A649)-11)</f>
        <v>Motorbike, gasoline, 11-35kW, EURO-5, 2050</v>
      </c>
      <c r="B650" s="7">
        <f>1/B632</f>
        <v>2.5974025974025975E-5</v>
      </c>
      <c r="C650" t="str">
        <f>B623</f>
        <v>CH</v>
      </c>
      <c r="D650" t="s">
        <v>76</v>
      </c>
      <c r="F650" t="s">
        <v>89</v>
      </c>
      <c r="H650" t="str">
        <f>RIGHT(H649,LEN(H649)-11)</f>
        <v>Motorbike, gasoline, 11-35kW, EURO-5</v>
      </c>
    </row>
    <row r="651" spans="1:8" x14ac:dyDescent="0.2">
      <c r="A651" t="str">
        <f>INDEX('ei names mapping'!$B$4:$R$33,MATCH(B624,'ei names mapping'!$A$4:$A$33,0),MATCH(G651,'ei names mapping'!$B$3:$R$3,0))</f>
        <v>road construction</v>
      </c>
      <c r="B651" s="7">
        <f>INDEX('vehicles specifications'!$B$3:$CW$166,MATCH(B627,'vehicles specifications'!$A$3:$A$166,0),MATCH(G651,'vehicles specifications'!$B$2:$CW$2,0))*INDEX('ei names mapping'!$B$137:$BL$300,MATCH(B627,'ei names mapping'!$A$137:$A$300,0),MATCH(G651,'ei names mapping'!$B$136:$BL$136,0))</f>
        <v>1.2821814749999999E-4</v>
      </c>
      <c r="C651" t="str">
        <f>INDEX('ei names mapping'!$B$38:$R$67,MATCH(B624,'ei names mapping'!$A$4:$A$33,0),MATCH(G651,'ei names mapping'!$B$3:$R$3,0))</f>
        <v>CH</v>
      </c>
      <c r="D651" t="str">
        <f>INDEX('ei names mapping'!$B$104:$BL$133,MATCH(B624,'ei names mapping'!$A$4:$A$33,0),MATCH(G651,'ei names mapping'!$B$3:$BL$3,0))</f>
        <v>meter-year</v>
      </c>
      <c r="F651" t="s">
        <v>89</v>
      </c>
      <c r="G651" t="s">
        <v>105</v>
      </c>
      <c r="H651" t="str">
        <f>INDEX('ei names mapping'!$B$71:$BL$100,MATCH(B624,'ei names mapping'!$A$4:$A$33,0),MATCH(G651,'ei names mapping'!$B$3:$BL$3,0))</f>
        <v>road</v>
      </c>
    </row>
    <row r="652" spans="1:8" x14ac:dyDescent="0.2">
      <c r="A652" t="str">
        <f>INDEX('ei names mapping'!$B$4:$R$33,MATCH(B624,'ei names mapping'!$A$4:$A$33,0),MATCH(G652,'ei names mapping'!$B$3:$R$3,0))</f>
        <v>road maintenance</v>
      </c>
      <c r="B652" s="7">
        <f>INDEX('vehicles specifications'!$B$3:$CW$166,MATCH(B627,'vehicles specifications'!$A$3:$A$166,0),MATCH(G652,'vehicles specifications'!$B$2:$CW$2,0))*INDEX('ei names mapping'!$B$137:$BL$300,MATCH(B627,'ei names mapping'!$A$137:$A$300,0),MATCH(G652,'ei names mapping'!$B$136:$BL$136,0))</f>
        <v>1.2899999999999999E-3</v>
      </c>
      <c r="C652" t="str">
        <f>INDEX('ei names mapping'!$B$38:$R$67,MATCH(B624,'ei names mapping'!$A$4:$A$33,0),MATCH(G652,'ei names mapping'!$B$3:$R$3,0))</f>
        <v>CH</v>
      </c>
      <c r="D652" t="str">
        <f>INDEX('ei names mapping'!$B$104:$BL$133,MATCH(B624,'ei names mapping'!$A$4:$A$33,0),MATCH(G652,'ei names mapping'!$B$3:$BL$3,0))</f>
        <v>meter-year</v>
      </c>
      <c r="F652" t="s">
        <v>89</v>
      </c>
      <c r="G652" t="s">
        <v>112</v>
      </c>
      <c r="H652" t="str">
        <f>INDEX('ei names mapping'!$B$71:$BL$100,MATCH(B624,'ei names mapping'!$A$4:$A$33,0),MATCH(G652,'ei names mapping'!$B$3:$BL$3,0))</f>
        <v>road maintenance</v>
      </c>
    </row>
    <row r="653" spans="1:8" x14ac:dyDescent="0.2">
      <c r="A653" t="str">
        <f>INDEX('ei names mapping'!$B$4:$R$33,MATCH(B624,'ei names mapping'!$A$4:$A$33,0),MATCH(G653,'ei names mapping'!$B$3:$R$3,0))</f>
        <v>maintenance, motor scooter</v>
      </c>
      <c r="B653" s="7">
        <f>INDEX('vehicles specifications'!$B$3:$CW$166,MATCH(B627,'vehicles specifications'!$A$3:$A$166,0),MATCH(G653,'vehicles specifications'!$B$2:$CW$2,0))*INDEX('ei names mapping'!$B$137:$BL$300,MATCH(B627,'ei names mapping'!$A$137:$A$300,0),MATCH(G653,'ei names mapping'!$B$136:$BL$136,0))</f>
        <v>4.0000000000000003E-5</v>
      </c>
      <c r="C653" t="str">
        <f>INDEX('ei names mapping'!$B$38:$BL$67,MATCH(B624,'ei names mapping'!$A$4:$A$33,0),MATCH(G653,'ei names mapping'!$B$3:$BL$3,0))</f>
        <v>CH</v>
      </c>
      <c r="D653" t="str">
        <f>INDEX('ei names mapping'!$B$104:$BL$133,MATCH(B624,'ei names mapping'!$A$4:$A$33,0),MATCH(G653,'ei names mapping'!$B$3:$BL$3,0))</f>
        <v>unit</v>
      </c>
      <c r="F653" t="s">
        <v>89</v>
      </c>
      <c r="G653" t="s">
        <v>118</v>
      </c>
      <c r="H653" t="str">
        <f>INDEX('ei names mapping'!$B$71:$BL$100,MATCH(B624,'ei names mapping'!$A$4:$A$33,0),MATCH(G653,'ei names mapping'!$B$3:$BL$3,0))</f>
        <v>maintenance, motor scooter</v>
      </c>
    </row>
    <row r="654" spans="1:8" x14ac:dyDescent="0.2">
      <c r="A654" t="str">
        <f>INDEX('ei names mapping'!$B$4:$R$33,MATCH(B624,'ei names mapping'!$A$4:$A$33,0),MATCH(G654,'ei names mapping'!$B$3:$R$3,0))</f>
        <v>fuel supply for gasoline vehicles</v>
      </c>
      <c r="B654" s="7">
        <f>INDEX('vehicles specifications'!$B$3:$CW$166,MATCH(B627,'vehicles specifications'!$A$3:$A$166,0),MATCH(G654,'vehicles specifications'!$B$2:$CW$2,0))*INDEX('ei names mapping'!$B$137:$BL$300,MATCH(B627,'ei names mapping'!$A$137:$A$300,0),MATCH(G654,'ei names mapping'!$B$136:$BL$136,0))</f>
        <v>3.3226542871522852E-2</v>
      </c>
      <c r="C654" t="str">
        <f>INDEX('ei names mapping'!$B$38:$BL$67,MATCH(B624,'ei names mapping'!$A$4:$A$33,0),MATCH(G654,'ei names mapping'!$B$3:$BL$3,0))</f>
        <v>CH</v>
      </c>
      <c r="D654" t="str">
        <f>INDEX('ei names mapping'!$B$104:$BL$133,MATCH(B624,'ei names mapping'!$A$4:$A$33,0),MATCH(G654,'ei names mapping'!$B$3:$BL$3,0))</f>
        <v>kilogram</v>
      </c>
      <c r="F654" t="s">
        <v>89</v>
      </c>
      <c r="G654" t="s">
        <v>27</v>
      </c>
      <c r="H654" t="str">
        <f>INDEX('ei names mapping'!$B$71:$BL$100,MATCH(B624,'ei names mapping'!$A$4:$A$33,0),MATCH(G654,'ei names mapping'!$B$3:$BL$3,0))</f>
        <v>gasoline blend</v>
      </c>
    </row>
    <row r="655" spans="1:8" x14ac:dyDescent="0.2">
      <c r="A655" t="str">
        <f>INDEX('ei names mapping'!$B$4:$BL$33,MATCH(B624,'ei names mapping'!$A$4:$A$33,0),MATCH(G655,'ei names mapping'!$B$3:$BL$3,0))</f>
        <v>Carbon dioxide, fossil</v>
      </c>
      <c r="B655" s="7">
        <f>INDEX('vehicles specifications'!$B$3:$CW$166,MATCH(B627,'vehicles specifications'!$A$3:$A$166,0),MATCH(G655,'vehicles specifications'!$B$2:$CW$2,0))*INDEX('ei names mapping'!$B$137:$BL$300,MATCH(B627,'ei names mapping'!$A$137:$A$300,0),MATCH(G655,'ei names mapping'!$B$136:$BL$136,0))</f>
        <v>0.10307936848118278</v>
      </c>
      <c r="D655" t="str">
        <f>INDEX('ei names mapping'!$B$104:$BL$133,MATCH(B624,'ei names mapping'!$A$4:$A$33,0),MATCH(G655,'ei names mapping'!$B$3:$BL$3,0))</f>
        <v>kilogram</v>
      </c>
      <c r="E655" t="str">
        <f>INDEX('ei names mapping'!$B$305:$BL$335,MATCH(B624,'ei names mapping'!$A$4:$A$33,0),MATCH(G655,'ei names mapping'!$B$3:$BL$3,0))</f>
        <v>air::urban air close to ground</v>
      </c>
      <c r="F655" t="s">
        <v>167</v>
      </c>
      <c r="G655" t="s">
        <v>66</v>
      </c>
    </row>
    <row r="656" spans="1:8" x14ac:dyDescent="0.2">
      <c r="A656" t="str">
        <f>INDEX('ei names mapping'!$B$4:$BL$33,MATCH(B624,'ei names mapping'!$A$4:$A$33,0),MATCH(G656,'ei names mapping'!$B$3:$BL$3,0))</f>
        <v>Carbon dioxide, from soil or biomass stock</v>
      </c>
      <c r="B656" s="11">
        <f>INDEX('vehicles specifications'!$B$3:$CW$166,MATCH(B627,'vehicles specifications'!$A$3:$A$166,0),MATCH(G656,'vehicles specifications'!$B$2:$CW$2,0))*INDEX('ei names mapping'!$B$137:$BL$300,MATCH(B627,'ei names mapping'!$A$137:$A$300,0),MATCH(G656,'ei names mapping'!$B$136:$BL$136,0))</f>
        <v>1.2519761353989812E-3</v>
      </c>
      <c r="D656" t="str">
        <f>INDEX('ei names mapping'!$B$104:$BL$133,MATCH(B624,'ei names mapping'!$A$4:$A$33,0),MATCH(G656,'ei names mapping'!$B$3:$BL$3,0))</f>
        <v>kilogram</v>
      </c>
      <c r="E656" t="str">
        <f>INDEX('ei names mapping'!$B$305:$BL$335,MATCH(B624,'ei names mapping'!$A$4:$A$33,0),MATCH(G656,'ei names mapping'!$B$3:$BL$3,0))</f>
        <v>air::urban air close to ground</v>
      </c>
      <c r="F656" t="s">
        <v>167</v>
      </c>
      <c r="G656" t="s">
        <v>843</v>
      </c>
    </row>
    <row r="657" spans="1:7" x14ac:dyDescent="0.2">
      <c r="A657" t="str">
        <f>INDEX('ei names mapping'!$B$4:$BL$33,MATCH(B624,'ei names mapping'!$A$4:$A$33,0),MATCH(G657,'ei names mapping'!$B$3:$BL$3,0))</f>
        <v>Sulfur dioxide</v>
      </c>
      <c r="B657" s="7">
        <f>INDEX('vehicles specifications'!$B$3:$CW$166,MATCH(B627,'vehicles specifications'!$A$3:$A$166,0),MATCH(G657,'vehicles specifications'!$B$2:$CW$2,0))*INDEX('ei names mapping'!$B$137:$BL$300,MATCH(B627,'ei names mapping'!$A$137:$A$300,0),MATCH(G657,'ei names mapping'!$B$136:$BL$136,0))</f>
        <v>5.316246859443656E-7</v>
      </c>
      <c r="D657" t="str">
        <f>INDEX('ei names mapping'!$B$104:$BL$133,MATCH(B624,'ei names mapping'!$A$4:$A$33,0),MATCH(G657,'ei names mapping'!$B$3:$BL$3,0))</f>
        <v>kilogram</v>
      </c>
      <c r="E657" t="str">
        <f>INDEX('ei names mapping'!$B$305:$BL$335,MATCH(B624,'ei names mapping'!$A$4:$A$33,0),MATCH(G657,'ei names mapping'!$B$3:$BL$3,0))</f>
        <v>air::urban air close to ground</v>
      </c>
      <c r="F657" t="s">
        <v>167</v>
      </c>
      <c r="G657" t="s">
        <v>67</v>
      </c>
    </row>
    <row r="658" spans="1:7" x14ac:dyDescent="0.2">
      <c r="A658" t="str">
        <f>INDEX('ei names mapping'!$B$4:$BL$33,MATCH(B624,'ei names mapping'!$A$4:$A$33,0),MATCH(G658,'ei names mapping'!$B$3:$BL$3,0))</f>
        <v>Benzene</v>
      </c>
      <c r="B658" s="7">
        <f>INDEX('vehicles specifications'!$B$3:$CW$166,MATCH(B627,'vehicles specifications'!$A$3:$A$166,0),MATCH(G658,'vehicles specifications'!$B$2:$CW$2,0))*INDEX('ei names mapping'!$B$137:$BL$300,MATCH(B627,'ei names mapping'!$A$137:$A$300,0),MATCH(G658,'ei names mapping'!$B$136:$BL$136,0))</f>
        <v>1.0790561098847618E-6</v>
      </c>
      <c r="D658" t="str">
        <f>INDEX('ei names mapping'!$B$104:$BL$133,MATCH(B624,'ei names mapping'!$A$4:$A$33,0),MATCH(G658,'ei names mapping'!$B$3:$BL$3,0))</f>
        <v>kilogram</v>
      </c>
      <c r="E658" t="str">
        <f>INDEX('ei names mapping'!$B$305:$BL$335,MATCH(B624,'ei names mapping'!$A$4:$A$33,0),MATCH(G658,'ei names mapping'!$B$3:$BL$3,0))</f>
        <v>air::urban air close to ground</v>
      </c>
      <c r="F658" t="s">
        <v>167</v>
      </c>
      <c r="G658" t="s">
        <v>55</v>
      </c>
    </row>
    <row r="659" spans="1:7" x14ac:dyDescent="0.2">
      <c r="A659" t="str">
        <f>INDEX('ei names mapping'!$B$4:$BL$33,MATCH(B624,'ei names mapping'!$A$4:$A$33,0),MATCH(G659,'ei names mapping'!$B$3:$BL$3,0))</f>
        <v>Methane, fossil</v>
      </c>
      <c r="B659" s="7">
        <f>INDEX('vehicles specifications'!$B$3:$CW$166,MATCH(B627,'vehicles specifications'!$A$3:$A$166,0),MATCH(G659,'vehicles specifications'!$B$2:$CW$2,0))*INDEX('ei names mapping'!$B$137:$BL$300,MATCH(B627,'ei names mapping'!$A$137:$A$300,0),MATCH(G659,'ei names mapping'!$B$136:$BL$136,0))</f>
        <v>2.6606334474823498E-5</v>
      </c>
      <c r="D659" t="str">
        <f>INDEX('ei names mapping'!$B$104:$BL$133,MATCH(B624,'ei names mapping'!$A$4:$A$33,0),MATCH(G659,'ei names mapping'!$B$3:$BL$3,0))</f>
        <v>kilogram</v>
      </c>
      <c r="E659" t="str">
        <f>INDEX('ei names mapping'!$B$305:$BL$335,MATCH(B624,'ei names mapping'!$A$4:$A$33,0),MATCH(G659,'ei names mapping'!$B$3:$BL$3,0))</f>
        <v>air::urban air close to ground</v>
      </c>
      <c r="F659" t="s">
        <v>167</v>
      </c>
      <c r="G659" t="s">
        <v>56</v>
      </c>
    </row>
    <row r="660" spans="1:7" x14ac:dyDescent="0.2">
      <c r="A660" t="str">
        <f>INDEX('ei names mapping'!$B$4:$BL$33,MATCH(B624,'ei names mapping'!$A$4:$A$33,0),MATCH(G660,'ei names mapping'!$B$3:$BL$3,0))</f>
        <v>Carbon monoxide, fossil</v>
      </c>
      <c r="B660" s="7">
        <f>INDEX('vehicles specifications'!$B$3:$CW$166,MATCH(B627,'vehicles specifications'!$A$3:$A$166,0),MATCH(G660,'vehicles specifications'!$B$2:$CW$2,0))*INDEX('ei names mapping'!$B$137:$BL$300,MATCH(B627,'ei names mapping'!$A$137:$A$300,0),MATCH(G660,'ei names mapping'!$B$136:$BL$136,0))</f>
        <v>1.1812665535199882E-4</v>
      </c>
      <c r="D660" t="str">
        <f>INDEX('ei names mapping'!$B$104:$BL$133,MATCH(B624,'ei names mapping'!$A$4:$A$33,0),MATCH(G660,'ei names mapping'!$B$3:$BL$3,0))</f>
        <v>kilogram</v>
      </c>
      <c r="E660" t="str">
        <f>INDEX('ei names mapping'!$B$305:$BL$335,MATCH(B624,'ei names mapping'!$A$4:$A$33,0),MATCH(G660,'ei names mapping'!$B$3:$BL$3,0))</f>
        <v>air::urban air close to ground</v>
      </c>
      <c r="F660" t="s">
        <v>167</v>
      </c>
      <c r="G660" t="s">
        <v>57</v>
      </c>
    </row>
    <row r="661" spans="1:7" x14ac:dyDescent="0.2">
      <c r="A661" t="str">
        <f>INDEX('ei names mapping'!$B$4:$BL$33,MATCH(B624,'ei names mapping'!$A$4:$A$33,0),MATCH(G661,'ei names mapping'!$B$3:$BL$3,0))</f>
        <v>Dinitrogen monoxide</v>
      </c>
      <c r="B661" s="7">
        <f>INDEX('vehicles specifications'!$B$3:$CW$166,MATCH(B627,'vehicles specifications'!$A$3:$A$166,0),MATCH(G661,'vehicles specifications'!$B$2:$CW$2,0))*INDEX('ei names mapping'!$B$137:$BL$300,MATCH(B627,'ei names mapping'!$A$137:$A$300,0),MATCH(G661,'ei names mapping'!$B$136:$BL$136,0))</f>
        <v>8.0019051052100739E-7</v>
      </c>
      <c r="D661" t="str">
        <f>INDEX('ei names mapping'!$B$104:$BL$133,MATCH(B624,'ei names mapping'!$A$4:$A$33,0),MATCH(G661,'ei names mapping'!$B$3:$BL$3,0))</f>
        <v>kilogram</v>
      </c>
      <c r="E661" t="str">
        <f>INDEX('ei names mapping'!$B$305:$BL$335,MATCH(B624,'ei names mapping'!$A$4:$A$33,0),MATCH(G661,'ei names mapping'!$B$3:$BL$3,0))</f>
        <v>air::urban air close to ground</v>
      </c>
      <c r="F661" t="s">
        <v>167</v>
      </c>
      <c r="G661" t="s">
        <v>58</v>
      </c>
    </row>
    <row r="662" spans="1:7" x14ac:dyDescent="0.2">
      <c r="A662" t="str">
        <f>INDEX('ei names mapping'!$B$4:$BL$33,MATCH(B624,'ei names mapping'!$A$4:$A$33,0),MATCH(G662,'ei names mapping'!$B$3:$BL$3,0))</f>
        <v>Ammonia</v>
      </c>
      <c r="B662" s="7">
        <f>INDEX('vehicles specifications'!$B$3:$CW$166,MATCH(B627,'vehicles specifications'!$A$3:$A$166,0),MATCH(G662,'vehicles specifications'!$B$2:$CW$2,0))*INDEX('ei names mapping'!$B$137:$BL$300,MATCH(B627,'ei names mapping'!$A$137:$A$300,0),MATCH(G662,'ei names mapping'!$B$136:$BL$136,0))</f>
        <v>8.0019051052100739E-7</v>
      </c>
      <c r="D662" t="str">
        <f>INDEX('ei names mapping'!$B$104:$BL$133,MATCH(B624,'ei names mapping'!$A$4:$A$33,0),MATCH(G662,'ei names mapping'!$B$3:$BL$3,0))</f>
        <v>kilogram</v>
      </c>
      <c r="E662" t="str">
        <f>INDEX('ei names mapping'!$B$305:$BL$335,MATCH(B624,'ei names mapping'!$A$4:$A$33,0),MATCH(G662,'ei names mapping'!$B$3:$BL$3,0))</f>
        <v>air::urban air close to ground</v>
      </c>
      <c r="F662" t="s">
        <v>167</v>
      </c>
      <c r="G662" t="s">
        <v>59</v>
      </c>
    </row>
    <row r="663" spans="1:7" x14ac:dyDescent="0.2">
      <c r="A663" t="str">
        <f>INDEX('ei names mapping'!$B$4:$BL$33,MATCH(B624,'ei names mapping'!$A$4:$A$33,0),MATCH(G663,'ei names mapping'!$B$3:$BL$3,0))</f>
        <v>Nitrogen oxides</v>
      </c>
      <c r="B663" s="7">
        <f>INDEX('vehicles specifications'!$B$3:$CW$166,MATCH(B627,'vehicles specifications'!$A$3:$A$166,0),MATCH(G663,'vehicles specifications'!$B$2:$CW$2,0))*INDEX('ei names mapping'!$B$137:$BL$300,MATCH(B627,'ei names mapping'!$A$137:$A$300,0),MATCH(G663,'ei names mapping'!$B$136:$BL$136,0))</f>
        <v>8.7220273353176207E-6</v>
      </c>
      <c r="D663" t="str">
        <f>INDEX('ei names mapping'!$B$104:$BL$133,MATCH(B624,'ei names mapping'!$A$4:$A$33,0),MATCH(G663,'ei names mapping'!$B$3:$BL$3,0))</f>
        <v>kilogram</v>
      </c>
      <c r="E663" t="str">
        <f>INDEX('ei names mapping'!$B$305:$BL$335,MATCH(B624,'ei names mapping'!$A$4:$A$33,0),MATCH(G663,'ei names mapping'!$B$3:$BL$3,0))</f>
        <v>air::urban air close to ground</v>
      </c>
      <c r="F663" t="s">
        <v>167</v>
      </c>
      <c r="G663" t="s">
        <v>60</v>
      </c>
    </row>
    <row r="664" spans="1:7" x14ac:dyDescent="0.2">
      <c r="A664" t="str">
        <f>INDEX('ei names mapping'!$B$4:$BL$33,MATCH(B624,'ei names mapping'!$A$4:$A$33,0),MATCH(G664,'ei names mapping'!$B$3:$BL$3,0))</f>
        <v>Particulates, &lt; 2.5 um</v>
      </c>
      <c r="B664" s="7">
        <f>INDEX('vehicles specifications'!$B$3:$CW$166,MATCH(B$627,'vehicles specifications'!$A$3:$A$166,0),MATCH(G664,'vehicles specifications'!$B$2:$CW$2,0))*INDEX('ei names mapping'!$B$137:$BL$300,MATCH(B$627,'ei names mapping'!$A$137:$A$300,0),MATCH(G664,'ei names mapping'!$B$136:$BL$136,0))</f>
        <v>2.0004762763025187E-6</v>
      </c>
      <c r="D664" t="str">
        <f>INDEX('ei names mapping'!$B$104:$BL$133,MATCH(B624,'ei names mapping'!$A$4:$A$33,0),MATCH(G664,'ei names mapping'!$B$3:$BL$3,0))</f>
        <v>kilogram</v>
      </c>
      <c r="E664" t="str">
        <f>INDEX('ei names mapping'!$B$305:$BL$335,MATCH(B624,'ei names mapping'!$A$4:$A$33,0),MATCH(G664,'ei names mapping'!$B$3:$BL$3,0))</f>
        <v>air::urban air close to ground</v>
      </c>
      <c r="F664" t="s">
        <v>167</v>
      </c>
      <c r="G664" t="s">
        <v>62</v>
      </c>
    </row>
    <row r="665" spans="1:7" x14ac:dyDescent="0.2">
      <c r="A665" t="str">
        <f>INDEX('ei names mapping'!$B$4:$BL$33,MATCH(B$234,'ei names mapping'!$A$4:$A$33,0),MATCH(G665,'ei names mapping'!$B$3:$BL$3,0))</f>
        <v>NMVOC, non-methane volatile organic compounds, unspecified origin</v>
      </c>
      <c r="B665" s="7">
        <f>INDEX('vehicles specifications'!$B$3:$CW$166,MATCH(B$627,'vehicles specifications'!$A$3:$A$166,0),MATCH(G665,'vehicles specifications'!$B$2:$CW$2,0))*INDEX('ei names mapping'!$B$137:$BL$300,MATCH(B$627,'ei names mapping'!$A$137:$A$300,0),MATCH(G665,'ei names mapping'!$B$136:$BL$136,0))</f>
        <v>8.7016931214236427E-6</v>
      </c>
      <c r="D665" t="str">
        <f>INDEX('ei names mapping'!$B$104:$BL$133,MATCH(B$234,'ei names mapping'!$A$4:$A$33,0),MATCH(G665,'ei names mapping'!$B$3:$BL$3,0))</f>
        <v>kilogram</v>
      </c>
      <c r="E665" t="str">
        <f>INDEX('ei names mapping'!$B$305:$BL$335,MATCH(B$234,'ei names mapping'!$A$4:$A$33,0),MATCH(G665,'ei names mapping'!$B$3:$BL$3,0))</f>
        <v>air::urban air close to ground</v>
      </c>
      <c r="F665" t="s">
        <v>167</v>
      </c>
      <c r="G665" t="s">
        <v>593</v>
      </c>
    </row>
    <row r="666" spans="1:7" x14ac:dyDescent="0.2">
      <c r="A666" t="str">
        <f>INDEX('ei names mapping'!$B$4:$BL$33,MATCH(B$234,'ei names mapping'!$A$4:$A$33,0),MATCH(G666,'ei names mapping'!$B$3:$BL$3,0))</f>
        <v>Ethane</v>
      </c>
      <c r="B666" s="7">
        <f>INDEX('vehicles specifications'!$B$3:$CW$166,MATCH(B$627,'vehicles specifications'!$A$3:$A$166,0),MATCH(G666,'vehicles specifications'!$B$2:$CW$2,0))*INDEX('ei names mapping'!$B$137:$BL$300,MATCH(B$627,'ei names mapping'!$A$137:$A$300,0),MATCH(G666,'ei names mapping'!$B$136:$BL$136,0))</f>
        <v>6.1358092522859004E-7</v>
      </c>
      <c r="D666" t="str">
        <f>INDEX('ei names mapping'!$B$104:$BL$133,MATCH(B$234,'ei names mapping'!$A$4:$A$33,0),MATCH(G666,'ei names mapping'!$B$3:$BL$3,0))</f>
        <v>kilogram</v>
      </c>
      <c r="E666" t="str">
        <f>INDEX('ei names mapping'!$B$305:$BL$335,MATCH(B$234,'ei names mapping'!$A$4:$A$33,0),MATCH(G666,'ei names mapping'!$B$3:$BL$3,0))</f>
        <v>air::urban air close to ground</v>
      </c>
      <c r="F666" t="s">
        <v>167</v>
      </c>
      <c r="G666" t="s">
        <v>541</v>
      </c>
    </row>
    <row r="667" spans="1:7" x14ac:dyDescent="0.2">
      <c r="A667" t="str">
        <f>INDEX('ei names mapping'!$B$4:$BL$33,MATCH(B$234,'ei names mapping'!$A$4:$A$33,0),MATCH(G667,'ei names mapping'!$B$3:$BL$3,0))</f>
        <v>Propane</v>
      </c>
      <c r="B667" s="7">
        <f>INDEX('vehicles specifications'!$B$3:$CW$166,MATCH(B$627,'vehicles specifications'!$A$3:$A$166,0),MATCH(G667,'vehicles specifications'!$B$2:$CW$2,0))*INDEX('ei names mapping'!$B$137:$BL$300,MATCH(B$627,'ei names mapping'!$A$137:$A$300,0),MATCH(G667,'ei names mapping'!$B$136:$BL$136,0))</f>
        <v>1.2502432645723621E-7</v>
      </c>
      <c r="D667" t="str">
        <f>INDEX('ei names mapping'!$B$104:$BL$133,MATCH(B$234,'ei names mapping'!$A$4:$A$33,0),MATCH(G667,'ei names mapping'!$B$3:$BL$3,0))</f>
        <v>kilogram</v>
      </c>
      <c r="E667" t="str">
        <f>INDEX('ei names mapping'!$B$305:$BL$335,MATCH(B$234,'ei names mapping'!$A$4:$A$33,0),MATCH(G667,'ei names mapping'!$B$3:$BL$3,0))</f>
        <v>air::urban air close to ground</v>
      </c>
      <c r="F667" t="s">
        <v>167</v>
      </c>
      <c r="G667" t="s">
        <v>542</v>
      </c>
    </row>
    <row r="668" spans="1:7" x14ac:dyDescent="0.2">
      <c r="A668" t="str">
        <f>INDEX('ei names mapping'!$B$4:$BL$33,MATCH(B$234,'ei names mapping'!$A$4:$A$33,0),MATCH(G668,'ei names mapping'!$B$3:$BL$3,0))</f>
        <v>Butane</v>
      </c>
      <c r="B668" s="7">
        <f>INDEX('vehicles specifications'!$B$3:$CW$166,MATCH(B$627,'vehicles specifications'!$A$3:$A$166,0),MATCH(G668,'vehicles specifications'!$B$2:$CW$2,0))*INDEX('ei names mapping'!$B$137:$BL$300,MATCH(B$627,'ei names mapping'!$A$137:$A$300,0),MATCH(G668,'ei names mapping'!$B$136:$BL$136,0))</f>
        <v>1.0078884163629505E-6</v>
      </c>
      <c r="D668" t="str">
        <f>INDEX('ei names mapping'!$B$104:$BL$133,MATCH(B$234,'ei names mapping'!$A$4:$A$33,0),MATCH(G668,'ei names mapping'!$B$3:$BL$3,0))</f>
        <v>kilogram</v>
      </c>
      <c r="E668" t="str">
        <f>INDEX('ei names mapping'!$B$305:$BL$335,MATCH(B$234,'ei names mapping'!$A$4:$A$33,0),MATCH(G668,'ei names mapping'!$B$3:$BL$3,0))</f>
        <v>air::urban air close to ground</v>
      </c>
      <c r="F668" t="s">
        <v>167</v>
      </c>
      <c r="G668" t="s">
        <v>543</v>
      </c>
    </row>
    <row r="669" spans="1:7" x14ac:dyDescent="0.2">
      <c r="A669" t="str">
        <f>INDEX('ei names mapping'!$B$4:$BL$33,MATCH(B$234,'ei names mapping'!$A$4:$A$33,0),MATCH(G669,'ei names mapping'!$B$3:$BL$3,0))</f>
        <v>Pentane</v>
      </c>
      <c r="B669" s="7">
        <f>INDEX('vehicles specifications'!$B$3:$CW$166,MATCH(B$627,'vehicles specifications'!$A$3:$A$166,0),MATCH(G669,'vehicles specifications'!$B$2:$CW$2,0))*INDEX('ei names mapping'!$B$137:$BL$300,MATCH(B$627,'ei names mapping'!$A$137:$A$300,0),MATCH(G669,'ei names mapping'!$B$136:$BL$136,0))</f>
        <v>4.1354200289701212E-7</v>
      </c>
      <c r="D669" t="str">
        <f>INDEX('ei names mapping'!$B$104:$BL$133,MATCH(B$234,'ei names mapping'!$A$4:$A$33,0),MATCH(G669,'ei names mapping'!$B$3:$BL$3,0))</f>
        <v>kilogram</v>
      </c>
      <c r="E669" t="str">
        <f>INDEX('ei names mapping'!$B$305:$BL$335,MATCH(B$234,'ei names mapping'!$A$4:$A$33,0),MATCH(G669,'ei names mapping'!$B$3:$BL$3,0))</f>
        <v>air::urban air close to ground</v>
      </c>
      <c r="F669" t="s">
        <v>167</v>
      </c>
      <c r="G669" t="s">
        <v>544</v>
      </c>
    </row>
    <row r="670" spans="1:7" x14ac:dyDescent="0.2">
      <c r="A670" t="str">
        <f>INDEX('ei names mapping'!$B$4:$BL$33,MATCH(B$234,'ei names mapping'!$A$4:$A$33,0),MATCH(G670,'ei names mapping'!$B$3:$BL$3,0))</f>
        <v>Hexane</v>
      </c>
      <c r="B670" s="7">
        <f>INDEX('vehicles specifications'!$B$3:$CW$166,MATCH(B$627,'vehicles specifications'!$A$3:$A$166,0),MATCH(G670,'vehicles specifications'!$B$2:$CW$2,0))*INDEX('ei names mapping'!$B$137:$BL$300,MATCH(B$627,'ei names mapping'!$A$137:$A$300,0),MATCH(G670,'ei names mapping'!$B$136:$BL$136,0))</f>
        <v>3.0967563937869277E-7</v>
      </c>
      <c r="D670" t="str">
        <f>INDEX('ei names mapping'!$B$104:$BL$133,MATCH(B$234,'ei names mapping'!$A$4:$A$33,0),MATCH(G670,'ei names mapping'!$B$3:$BL$3,0))</f>
        <v>kilogram</v>
      </c>
      <c r="E670" t="str">
        <f>INDEX('ei names mapping'!$B$305:$BL$335,MATCH(B$234,'ei names mapping'!$A$4:$A$33,0),MATCH(G670,'ei names mapping'!$B$3:$BL$3,0))</f>
        <v>air::urban air close to ground</v>
      </c>
      <c r="F670" t="s">
        <v>167</v>
      </c>
      <c r="G670" t="s">
        <v>545</v>
      </c>
    </row>
    <row r="671" spans="1:7" x14ac:dyDescent="0.2">
      <c r="A671" t="str">
        <f>INDEX('ei names mapping'!$B$4:$BL$33,MATCH(B$234,'ei names mapping'!$A$4:$A$33,0),MATCH(G671,'ei names mapping'!$B$3:$BL$3,0))</f>
        <v>Cyclohexane</v>
      </c>
      <c r="B671" s="7">
        <f>INDEX('vehicles specifications'!$B$3:$CW$166,MATCH(B$627,'vehicles specifications'!$A$3:$A$166,0),MATCH(G671,'vehicles specifications'!$B$2:$CW$2,0))*INDEX('ei names mapping'!$B$137:$BL$300,MATCH(B$627,'ei names mapping'!$A$137:$A$300,0),MATCH(G671,'ei names mapping'!$B$136:$BL$136,0))</f>
        <v>2.1927343409422966E-7</v>
      </c>
      <c r="D671" t="str">
        <f>INDEX('ei names mapping'!$B$104:$BL$133,MATCH(B$234,'ei names mapping'!$A$4:$A$33,0),MATCH(G671,'ei names mapping'!$B$3:$BL$3,0))</f>
        <v>kilogram</v>
      </c>
      <c r="E671" t="str">
        <f>INDEX('ei names mapping'!$B$305:$BL$335,MATCH(B$234,'ei names mapping'!$A$4:$A$33,0),MATCH(G671,'ei names mapping'!$B$3:$BL$3,0))</f>
        <v>air::urban air close to ground</v>
      </c>
      <c r="F671" t="s">
        <v>167</v>
      </c>
      <c r="G671" t="s">
        <v>546</v>
      </c>
    </row>
    <row r="672" spans="1:7" x14ac:dyDescent="0.2">
      <c r="A672" t="str">
        <f>INDEX('ei names mapping'!$B$4:$BL$33,MATCH(B$234,'ei names mapping'!$A$4:$A$33,0),MATCH(G672,'ei names mapping'!$B$3:$BL$3,0))</f>
        <v>Heptane</v>
      </c>
      <c r="B672" s="7">
        <f>INDEX('vehicles specifications'!$B$3:$CW$166,MATCH(B$627,'vehicles specifications'!$A$3:$A$166,0),MATCH(G672,'vehicles specifications'!$B$2:$CW$2,0))*INDEX('ei names mapping'!$B$137:$BL$300,MATCH(B$627,'ei names mapping'!$A$137:$A$300,0),MATCH(G672,'ei names mapping'!$B$136:$BL$136,0))</f>
        <v>1.4233538704362279E-7</v>
      </c>
      <c r="D672" t="str">
        <f>INDEX('ei names mapping'!$B$104:$BL$133,MATCH(B$234,'ei names mapping'!$A$4:$A$33,0),MATCH(G672,'ei names mapping'!$B$3:$BL$3,0))</f>
        <v>kilogram</v>
      </c>
      <c r="E672" t="str">
        <f>INDEX('ei names mapping'!$B$305:$BL$335,MATCH(B$234,'ei names mapping'!$A$4:$A$33,0),MATCH(G672,'ei names mapping'!$B$3:$BL$3,0))</f>
        <v>air::urban air close to ground</v>
      </c>
      <c r="F672" t="s">
        <v>167</v>
      </c>
      <c r="G672" t="s">
        <v>547</v>
      </c>
    </row>
    <row r="673" spans="1:7" x14ac:dyDescent="0.2">
      <c r="A673" t="str">
        <f>INDEX('ei names mapping'!$B$4:$BL$33,MATCH(B$234,'ei names mapping'!$A$4:$A$33,0),MATCH(G673,'ei names mapping'!$B$3:$BL$3,0))</f>
        <v>Ethene</v>
      </c>
      <c r="B673" s="7">
        <f>INDEX('vehicles specifications'!$B$3:$CW$166,MATCH(B$627,'vehicles specifications'!$A$3:$A$166,0),MATCH(G673,'vehicles specifications'!$B$2:$CW$2,0))*INDEX('ei names mapping'!$B$137:$BL$300,MATCH(B$627,'ei names mapping'!$A$137:$A$300,0),MATCH(G673,'ei names mapping'!$B$136:$BL$136,0))</f>
        <v>1.404119358673576E-6</v>
      </c>
      <c r="D673" t="str">
        <f>INDEX('ei names mapping'!$B$104:$BL$133,MATCH(B$234,'ei names mapping'!$A$4:$A$33,0),MATCH(G673,'ei names mapping'!$B$3:$BL$3,0))</f>
        <v>kilogram</v>
      </c>
      <c r="E673" t="str">
        <f>INDEX('ei names mapping'!$B$305:$BL$335,MATCH(B$234,'ei names mapping'!$A$4:$A$33,0),MATCH(G673,'ei names mapping'!$B$3:$BL$3,0))</f>
        <v>air::urban air close to ground</v>
      </c>
      <c r="F673" t="s">
        <v>167</v>
      </c>
      <c r="G673" t="s">
        <v>548</v>
      </c>
    </row>
    <row r="674" spans="1:7" x14ac:dyDescent="0.2">
      <c r="A674" t="str">
        <f>INDEX('ei names mapping'!$B$4:$BL$33,MATCH(B$234,'ei names mapping'!$A$4:$A$33,0),MATCH(G674,'ei names mapping'!$B$3:$BL$3,0))</f>
        <v>Propene</v>
      </c>
      <c r="B674" s="7">
        <f>INDEX('vehicles specifications'!$B$3:$CW$166,MATCH(B$627,'vehicles specifications'!$A$3:$A$166,0),MATCH(G674,'vehicles specifications'!$B$2:$CW$2,0))*INDEX('ei names mapping'!$B$137:$BL$300,MATCH(B$627,'ei names mapping'!$A$137:$A$300,0),MATCH(G674,'ei names mapping'!$B$136:$BL$136,0))</f>
        <v>7.3475834933329586E-7</v>
      </c>
      <c r="D674" t="str">
        <f>INDEX('ei names mapping'!$B$104:$BL$133,MATCH(B$234,'ei names mapping'!$A$4:$A$33,0),MATCH(G674,'ei names mapping'!$B$3:$BL$3,0))</f>
        <v>kilogram</v>
      </c>
      <c r="E674" t="str">
        <f>INDEX('ei names mapping'!$B$305:$BL$335,MATCH(B$234,'ei names mapping'!$A$4:$A$33,0),MATCH(G674,'ei names mapping'!$B$3:$BL$3,0))</f>
        <v>air::urban air close to ground</v>
      </c>
      <c r="F674" t="s">
        <v>167</v>
      </c>
      <c r="G674" t="s">
        <v>549</v>
      </c>
    </row>
    <row r="675" spans="1:7" x14ac:dyDescent="0.2">
      <c r="A675" t="str">
        <f>INDEX('ei names mapping'!$B$4:$BL$33,MATCH(B$234,'ei names mapping'!$A$4:$A$33,0),MATCH(G675,'ei names mapping'!$B$3:$BL$3,0))</f>
        <v>1-Pentene</v>
      </c>
      <c r="B675" s="7">
        <f>INDEX('vehicles specifications'!$B$3:$CW$166,MATCH(B$627,'vehicles specifications'!$A$3:$A$166,0),MATCH(G675,'vehicles specifications'!$B$2:$CW$2,0))*INDEX('ei names mapping'!$B$137:$BL$300,MATCH(B$627,'ei names mapping'!$A$137:$A$300,0),MATCH(G675,'ei names mapping'!$B$136:$BL$136,0))</f>
        <v>2.1157962938916902E-8</v>
      </c>
      <c r="D675" t="str">
        <f>INDEX('ei names mapping'!$B$104:$BL$133,MATCH(B$234,'ei names mapping'!$A$4:$A$33,0),MATCH(G675,'ei names mapping'!$B$3:$BL$3,0))</f>
        <v>kilogram</v>
      </c>
      <c r="E675" t="str">
        <f>INDEX('ei names mapping'!$B$305:$BL$335,MATCH(B$234,'ei names mapping'!$A$4:$A$33,0),MATCH(G675,'ei names mapping'!$B$3:$BL$3,0))</f>
        <v>air::urban air close to ground</v>
      </c>
      <c r="F675" t="s">
        <v>167</v>
      </c>
      <c r="G675" t="s">
        <v>550</v>
      </c>
    </row>
    <row r="676" spans="1:7" x14ac:dyDescent="0.2">
      <c r="A676" t="str">
        <f>INDEX('ei names mapping'!$B$4:$BL$33,MATCH(B$234,'ei names mapping'!$A$4:$A$33,0),MATCH(G676,'ei names mapping'!$B$3:$BL$3,0))</f>
        <v>Toluene</v>
      </c>
      <c r="B676" s="7">
        <f>INDEX('vehicles specifications'!$B$3:$CW$166,MATCH(B$627,'vehicles specifications'!$A$3:$A$166,0),MATCH(G676,'vehicles specifications'!$B$2:$CW$2,0))*INDEX('ei names mapping'!$B$137:$BL$300,MATCH(B$627,'ei names mapping'!$A$137:$A$300,0),MATCH(G676,'ei names mapping'!$B$136:$BL$136,0))</f>
        <v>2.1119493915391591E-6</v>
      </c>
      <c r="D676" t="str">
        <f>INDEX('ei names mapping'!$B$104:$BL$133,MATCH(B$234,'ei names mapping'!$A$4:$A$33,0),MATCH(G676,'ei names mapping'!$B$3:$BL$3,0))</f>
        <v>kilogram</v>
      </c>
      <c r="E676" t="str">
        <f>INDEX('ei names mapping'!$B$305:$BL$335,MATCH(B$234,'ei names mapping'!$A$4:$A$33,0),MATCH(G676,'ei names mapping'!$B$3:$BL$3,0))</f>
        <v>air::urban air close to ground</v>
      </c>
      <c r="F676" t="s">
        <v>167</v>
      </c>
      <c r="G676" t="s">
        <v>551</v>
      </c>
    </row>
    <row r="677" spans="1:7" x14ac:dyDescent="0.2">
      <c r="A677" t="str">
        <f>INDEX('ei names mapping'!$B$4:$BL$33,MATCH(B$234,'ei names mapping'!$A$4:$A$33,0),MATCH(G677,'ei names mapping'!$B$3:$BL$3,0))</f>
        <v>m-Xylene</v>
      </c>
      <c r="B677" s="7">
        <f>INDEX('vehicles specifications'!$B$3:$CW$166,MATCH(B$627,'vehicles specifications'!$A$3:$A$166,0),MATCH(G677,'vehicles specifications'!$B$2:$CW$2,0))*INDEX('ei names mapping'!$B$137:$BL$300,MATCH(B$627,'ei names mapping'!$A$137:$A$300,0),MATCH(G677,'ei names mapping'!$B$136:$BL$136,0))</f>
        <v>1.0444339887119887E-6</v>
      </c>
      <c r="D677" t="str">
        <f>INDEX('ei names mapping'!$B$104:$BL$133,MATCH(B$234,'ei names mapping'!$A$4:$A$33,0),MATCH(G677,'ei names mapping'!$B$3:$BL$3,0))</f>
        <v>kilogram</v>
      </c>
      <c r="E677" t="str">
        <f>INDEX('ei names mapping'!$B$305:$BL$335,MATCH(B$234,'ei names mapping'!$A$4:$A$33,0),MATCH(G677,'ei names mapping'!$B$3:$BL$3,0))</f>
        <v>air::urban air close to ground</v>
      </c>
      <c r="F677" t="s">
        <v>167</v>
      </c>
      <c r="G677" t="s">
        <v>552</v>
      </c>
    </row>
    <row r="678" spans="1:7" x14ac:dyDescent="0.2">
      <c r="A678" t="str">
        <f>INDEX('ei names mapping'!$B$4:$BL$33,MATCH(B$234,'ei names mapping'!$A$4:$A$33,0),MATCH(G678,'ei names mapping'!$B$3:$BL$3,0))</f>
        <v>o-Xylene</v>
      </c>
      <c r="B678" s="7">
        <f>INDEX('vehicles specifications'!$B$3:$CW$166,MATCH(B$627,'vehicles specifications'!$A$3:$A$166,0),MATCH(G678,'vehicles specifications'!$B$2:$CW$2,0))*INDEX('ei names mapping'!$B$137:$BL$300,MATCH(B$627,'ei names mapping'!$A$137:$A$300,0),MATCH(G678,'ei names mapping'!$B$136:$BL$136,0))</f>
        <v>4.3469996583592895E-7</v>
      </c>
      <c r="D678" t="str">
        <f>INDEX('ei names mapping'!$B$104:$BL$133,MATCH(B$234,'ei names mapping'!$A$4:$A$33,0),MATCH(G678,'ei names mapping'!$B$3:$BL$3,0))</f>
        <v>kilogram</v>
      </c>
      <c r="E678" t="str">
        <f>INDEX('ei names mapping'!$B$305:$BL$335,MATCH(B$234,'ei names mapping'!$A$4:$A$33,0),MATCH(G678,'ei names mapping'!$B$3:$BL$3,0))</f>
        <v>air::urban air close to ground</v>
      </c>
      <c r="F678" t="s">
        <v>167</v>
      </c>
      <c r="G678" t="s">
        <v>553</v>
      </c>
    </row>
    <row r="679" spans="1:7" x14ac:dyDescent="0.2">
      <c r="A679" t="str">
        <f>INDEX('ei names mapping'!$B$4:$BL$33,MATCH(B$234,'ei names mapping'!$A$4:$A$33,0),MATCH(G679,'ei names mapping'!$B$3:$BL$3,0))</f>
        <v>Formaldehyde</v>
      </c>
      <c r="B679" s="7">
        <f>INDEX('vehicles specifications'!$B$3:$CW$166,MATCH(B$627,'vehicles specifications'!$A$3:$A$166,0),MATCH(G679,'vehicles specifications'!$B$2:$CW$2,0))*INDEX('ei names mapping'!$B$137:$BL$300,MATCH(B$627,'ei names mapping'!$A$137:$A$300,0),MATCH(G679,'ei names mapping'!$B$136:$BL$136,0))</f>
        <v>3.2698669996507936E-7</v>
      </c>
      <c r="D679" t="str">
        <f>INDEX('ei names mapping'!$B$104:$BL$133,MATCH(B$234,'ei names mapping'!$A$4:$A$33,0),MATCH(G679,'ei names mapping'!$B$3:$BL$3,0))</f>
        <v>kilogram</v>
      </c>
      <c r="E679" t="str">
        <f>INDEX('ei names mapping'!$B$305:$BL$335,MATCH(B$234,'ei names mapping'!$A$4:$A$33,0),MATCH(G679,'ei names mapping'!$B$3:$BL$3,0))</f>
        <v>air::urban air close to ground</v>
      </c>
      <c r="F679" t="s">
        <v>167</v>
      </c>
      <c r="G679" t="s">
        <v>554</v>
      </c>
    </row>
    <row r="680" spans="1:7" x14ac:dyDescent="0.2">
      <c r="A680" t="str">
        <f>INDEX('ei names mapping'!$B$4:$BL$33,MATCH(B$234,'ei names mapping'!$A$4:$A$33,0),MATCH(G680,'ei names mapping'!$B$3:$BL$3,0))</f>
        <v>Acetaldehyde</v>
      </c>
      <c r="B680" s="7">
        <f>INDEX('vehicles specifications'!$B$3:$CW$166,MATCH(B$627,'vehicles specifications'!$A$3:$A$166,0),MATCH(G680,'vehicles specifications'!$B$2:$CW$2,0))*INDEX('ei names mapping'!$B$137:$BL$300,MATCH(B$627,'ei names mapping'!$A$137:$A$300,0),MATCH(G680,'ei names mapping'!$B$136:$BL$136,0))</f>
        <v>1.4425883821988794E-7</v>
      </c>
      <c r="D680" t="str">
        <f>INDEX('ei names mapping'!$B$104:$BL$133,MATCH(B$234,'ei names mapping'!$A$4:$A$33,0),MATCH(G680,'ei names mapping'!$B$3:$BL$3,0))</f>
        <v>kilogram</v>
      </c>
      <c r="E680" t="str">
        <f>INDEX('ei names mapping'!$B$305:$BL$335,MATCH(B$234,'ei names mapping'!$A$4:$A$33,0),MATCH(G680,'ei names mapping'!$B$3:$BL$3,0))</f>
        <v>air::urban air close to ground</v>
      </c>
      <c r="F680" t="s">
        <v>167</v>
      </c>
      <c r="G680" t="s">
        <v>555</v>
      </c>
    </row>
    <row r="681" spans="1:7" x14ac:dyDescent="0.2">
      <c r="A681" t="str">
        <f>INDEX('ei names mapping'!$B$4:$BL$33,MATCH(B$234,'ei names mapping'!$A$4:$A$33,0),MATCH(G681,'ei names mapping'!$B$3:$BL$3,0))</f>
        <v>Benzaldehyde</v>
      </c>
      <c r="B681" s="7">
        <f>INDEX('vehicles specifications'!$B$3:$CW$166,MATCH(B$627,'vehicles specifications'!$A$3:$A$166,0),MATCH(G681,'vehicles specifications'!$B$2:$CW$2,0))*INDEX('ei names mapping'!$B$137:$BL$300,MATCH(B$627,'ei names mapping'!$A$137:$A$300,0),MATCH(G681,'ei names mapping'!$B$136:$BL$136,0))</f>
        <v>4.2315925877833804E-8</v>
      </c>
      <c r="D681" t="str">
        <f>INDEX('ei names mapping'!$B$104:$BL$133,MATCH(B$234,'ei names mapping'!$A$4:$A$33,0),MATCH(G681,'ei names mapping'!$B$3:$BL$3,0))</f>
        <v>kilogram</v>
      </c>
      <c r="E681" t="str">
        <f>INDEX('ei names mapping'!$B$305:$BL$335,MATCH(B$234,'ei names mapping'!$A$4:$A$33,0),MATCH(G681,'ei names mapping'!$B$3:$BL$3,0))</f>
        <v>air::urban air close to ground</v>
      </c>
      <c r="F681" t="s">
        <v>167</v>
      </c>
      <c r="G681" t="s">
        <v>556</v>
      </c>
    </row>
    <row r="682" spans="1:7" x14ac:dyDescent="0.2">
      <c r="A682" t="str">
        <f>INDEX('ei names mapping'!$B$4:$BL$33,MATCH(B$234,'ei names mapping'!$A$4:$A$33,0),MATCH(G682,'ei names mapping'!$B$3:$BL$3,0))</f>
        <v>Acetone</v>
      </c>
      <c r="B682" s="7">
        <f>INDEX('vehicles specifications'!$B$3:$CW$166,MATCH(B$627,'vehicles specifications'!$A$3:$A$166,0),MATCH(G682,'vehicles specifications'!$B$2:$CW$2,0))*INDEX('ei names mapping'!$B$137:$BL$300,MATCH(B$627,'ei names mapping'!$A$137:$A$300,0),MATCH(G682,'ei names mapping'!$B$136:$BL$136,0))</f>
        <v>1.1733052175217554E-7</v>
      </c>
      <c r="D682" t="str">
        <f>INDEX('ei names mapping'!$B$104:$BL$133,MATCH(B$234,'ei names mapping'!$A$4:$A$33,0),MATCH(G682,'ei names mapping'!$B$3:$BL$3,0))</f>
        <v>kilogram</v>
      </c>
      <c r="E682" t="str">
        <f>INDEX('ei names mapping'!$B$305:$BL$335,MATCH(B$234,'ei names mapping'!$A$4:$A$33,0),MATCH(G682,'ei names mapping'!$B$3:$BL$3,0))</f>
        <v>air::urban air close to ground</v>
      </c>
      <c r="F682" t="s">
        <v>167</v>
      </c>
      <c r="G682" t="s">
        <v>557</v>
      </c>
    </row>
    <row r="683" spans="1:7" x14ac:dyDescent="0.2">
      <c r="A683" t="str">
        <f>INDEX('ei names mapping'!$B$4:$BL$33,MATCH(B$234,'ei names mapping'!$A$4:$A$33,0),MATCH(G683,'ei names mapping'!$B$3:$BL$3,0))</f>
        <v>Methyl ethyl ketone</v>
      </c>
      <c r="B683" s="7">
        <f>INDEX('vehicles specifications'!$B$3:$CW$166,MATCH(B$627,'vehicles specifications'!$A$3:$A$166,0),MATCH(G683,'vehicles specifications'!$B$2:$CW$2,0))*INDEX('ei names mapping'!$B$137:$BL$300,MATCH(B$627,'ei names mapping'!$A$137:$A$300,0),MATCH(G683,'ei names mapping'!$B$136:$BL$136,0))</f>
        <v>0</v>
      </c>
      <c r="D683" t="str">
        <f>INDEX('ei names mapping'!$B$104:$BL$133,MATCH(B$234,'ei names mapping'!$A$4:$A$33,0),MATCH(G683,'ei names mapping'!$B$3:$BL$3,0))</f>
        <v>kilogram</v>
      </c>
      <c r="E683" t="str">
        <f>INDEX('ei names mapping'!$B$305:$BL$335,MATCH(B$234,'ei names mapping'!$A$4:$A$33,0),MATCH(G683,'ei names mapping'!$B$3:$BL$3,0))</f>
        <v>air::urban air close to ground</v>
      </c>
      <c r="F683" t="s">
        <v>167</v>
      </c>
      <c r="G683" t="s">
        <v>560</v>
      </c>
    </row>
    <row r="684" spans="1:7" x14ac:dyDescent="0.2">
      <c r="A684" t="str">
        <f>INDEX('ei names mapping'!$B$4:$BL$33,MATCH(B$234,'ei names mapping'!$A$4:$A$33,0),MATCH(G684,'ei names mapping'!$B$3:$BL$3,0))</f>
        <v>Acrolein</v>
      </c>
      <c r="B684" s="7">
        <f>INDEX('vehicles specifications'!$B$3:$CW$166,MATCH(B$627,'vehicles specifications'!$A$3:$A$166,0),MATCH(G684,'vehicles specifications'!$B$2:$CW$2,0))*INDEX('ei names mapping'!$B$137:$BL$300,MATCH(B$627,'ei names mapping'!$A$137:$A$300,0),MATCH(G684,'ei names mapping'!$B$136:$BL$136,0))</f>
        <v>3.654557234903828E-8</v>
      </c>
      <c r="D684" t="str">
        <f>INDEX('ei names mapping'!$B$104:$BL$133,MATCH(B$234,'ei names mapping'!$A$4:$A$33,0),MATCH(G684,'ei names mapping'!$B$3:$BL$3,0))</f>
        <v>kilogram</v>
      </c>
      <c r="E684" t="str">
        <f>INDEX('ei names mapping'!$B$305:$BL$335,MATCH(B$234,'ei names mapping'!$A$4:$A$33,0),MATCH(G684,'ei names mapping'!$B$3:$BL$3,0))</f>
        <v>air::urban air close to ground</v>
      </c>
      <c r="F684" t="s">
        <v>167</v>
      </c>
      <c r="G684" t="s">
        <v>558</v>
      </c>
    </row>
    <row r="685" spans="1:7" x14ac:dyDescent="0.2">
      <c r="A685" t="str">
        <f>INDEX('ei names mapping'!$B$4:$BL$33,MATCH(B$234,'ei names mapping'!$A$4:$A$33,0),MATCH(G685,'ei names mapping'!$B$3:$BL$3,0))</f>
        <v>Styrene</v>
      </c>
      <c r="B685" s="7">
        <f>INDEX('vehicles specifications'!$B$3:$CW$166,MATCH(B$627,'vehicles specifications'!$A$3:$A$166,0),MATCH(G685,'vehicles specifications'!$B$2:$CW$2,0))*INDEX('ei names mapping'!$B$137:$BL$300,MATCH(B$627,'ei names mapping'!$A$137:$A$300,0),MATCH(G685,'ei names mapping'!$B$136:$BL$136,0))</f>
        <v>1.9426856880278244E-7</v>
      </c>
      <c r="D685" t="str">
        <f>INDEX('ei names mapping'!$B$104:$BL$133,MATCH(B$234,'ei names mapping'!$A$4:$A$33,0),MATCH(G685,'ei names mapping'!$B$3:$BL$3,0))</f>
        <v>kilogram</v>
      </c>
      <c r="E685" t="str">
        <f>INDEX('ei names mapping'!$B$305:$BL$335,MATCH(B$234,'ei names mapping'!$A$4:$A$33,0),MATCH(G685,'ei names mapping'!$B$3:$BL$3,0))</f>
        <v>air::urban air close to ground</v>
      </c>
      <c r="F685" t="s">
        <v>167</v>
      </c>
      <c r="G685" t="s">
        <v>559</v>
      </c>
    </row>
    <row r="686" spans="1:7" x14ac:dyDescent="0.2">
      <c r="A686" t="str">
        <f>INDEX('ei names mapping'!$B$4:$BL$33,MATCH(B$234,'ei names mapping'!$A$4:$A$33,0),MATCH(G686,'ei names mapping'!$B$3:$BL$3,0))</f>
        <v>PAH, polycyclic aromatic hydrocarbons</v>
      </c>
      <c r="B686" s="7">
        <f>INDEX('vehicles specifications'!$B$3:$CW$166,MATCH(B$627,'vehicles specifications'!$A$3:$A$166,0),MATCH(G686,'vehicles specifications'!$B$2:$CW$2,0))*INDEX('ei names mapping'!$B$137:$BL$300,MATCH(B$627,'ei names mapping'!$A$137:$A$300,0),MATCH(G686,'ei names mapping'!$B$136:$BL$136,0))</f>
        <v>1.1590043594394164E-9</v>
      </c>
      <c r="D686" t="str">
        <f>INDEX('ei names mapping'!$B$104:$BL$133,MATCH(B$234,'ei names mapping'!$A$4:$A$33,0),MATCH(G686,'ei names mapping'!$B$3:$BL$3,0))</f>
        <v>kilogram</v>
      </c>
      <c r="E686" t="str">
        <f>INDEX('ei names mapping'!$B$305:$BL$335,MATCH(B$234,'ei names mapping'!$A$4:$A$33,0),MATCH(G686,'ei names mapping'!$B$3:$BL$3,0))</f>
        <v>air::urban air close to ground</v>
      </c>
      <c r="F686" t="s">
        <v>167</v>
      </c>
      <c r="G686" t="s">
        <v>561</v>
      </c>
    </row>
    <row r="687" spans="1:7" x14ac:dyDescent="0.2">
      <c r="A687" t="str">
        <f>INDEX('ei names mapping'!$B$4:$BL$33,MATCH(B$234,'ei names mapping'!$A$4:$A$33,0),MATCH(G687,'ei names mapping'!$B$3:$BL$3,0))</f>
        <v>Arsenic</v>
      </c>
      <c r="B687" s="7">
        <f>INDEX('vehicles specifications'!$B$3:$CW$166,MATCH(B$627,'vehicles specifications'!$A$3:$A$166,0),MATCH(G687,'vehicles specifications'!$B$2:$CW$2,0))*INDEX('ei names mapping'!$B$137:$BL$300,MATCH(B$627,'ei names mapping'!$A$137:$A$300,0),MATCH(G687,'ei names mapping'!$B$136:$BL$136,0))</f>
        <v>9.9914168917191075E-12</v>
      </c>
      <c r="D687" t="str">
        <f>INDEX('ei names mapping'!$B$104:$BL$133,MATCH(B$234,'ei names mapping'!$A$4:$A$33,0),MATCH(G687,'ei names mapping'!$B$3:$BL$3,0))</f>
        <v>kilogram</v>
      </c>
      <c r="E687" t="str">
        <f>INDEX('ei names mapping'!$B$305:$BL$335,MATCH(B$234,'ei names mapping'!$A$4:$A$33,0),MATCH(G687,'ei names mapping'!$B$3:$BL$3,0))</f>
        <v>air::urban air close to ground</v>
      </c>
      <c r="F687" t="s">
        <v>167</v>
      </c>
      <c r="G687" t="s">
        <v>562</v>
      </c>
    </row>
    <row r="688" spans="1:7" x14ac:dyDescent="0.2">
      <c r="A688" t="str">
        <f>INDEX('ei names mapping'!$B$4:$BL$33,MATCH(B$234,'ei names mapping'!$A$4:$A$33,0),MATCH(G688,'ei names mapping'!$B$3:$BL$3,0))</f>
        <v>Selenium</v>
      </c>
      <c r="B688" s="7">
        <f>INDEX('vehicles specifications'!$B$3:$CW$166,MATCH(B$627,'vehicles specifications'!$A$3:$A$166,0),MATCH(G688,'vehicles specifications'!$B$2:$CW$2,0))*INDEX('ei names mapping'!$B$137:$BL$300,MATCH(B$627,'ei names mapping'!$A$137:$A$300,0),MATCH(G688,'ei names mapping'!$B$136:$BL$136,0))</f>
        <v>6.6609445944794042E-12</v>
      </c>
      <c r="D688" t="str">
        <f>INDEX('ei names mapping'!$B$104:$BL$133,MATCH(B$234,'ei names mapping'!$A$4:$A$33,0),MATCH(G688,'ei names mapping'!$B$3:$BL$3,0))</f>
        <v>kilogram</v>
      </c>
      <c r="E688" t="str">
        <f>INDEX('ei names mapping'!$B$305:$BL$335,MATCH(B$234,'ei names mapping'!$A$4:$A$33,0),MATCH(G688,'ei names mapping'!$B$3:$BL$3,0))</f>
        <v>air::urban air close to ground</v>
      </c>
      <c r="F688" t="s">
        <v>167</v>
      </c>
      <c r="G688" t="s">
        <v>563</v>
      </c>
    </row>
    <row r="689" spans="1:8" x14ac:dyDescent="0.2">
      <c r="A689" t="str">
        <f>INDEX('ei names mapping'!$B$4:$BL$33,MATCH(B$234,'ei names mapping'!$A$4:$A$33,0),MATCH(G689,'ei names mapping'!$B$3:$BL$3,0))</f>
        <v>Zinc</v>
      </c>
      <c r="B689" s="7">
        <f>INDEX('vehicles specifications'!$B$3:$CW$166,MATCH(B$627,'vehicles specifications'!$A$3:$A$166,0),MATCH(G689,'vehicles specifications'!$B$2:$CW$2,0))*INDEX('ei names mapping'!$B$137:$BL$300,MATCH(B$627,'ei names mapping'!$A$137:$A$300,0),MATCH(G689,'ei names mapping'!$B$136:$BL$136,0))</f>
        <v>7.1938201620377578E-8</v>
      </c>
      <c r="D689" t="str">
        <f>INDEX('ei names mapping'!$B$104:$BL$133,MATCH(B$234,'ei names mapping'!$A$4:$A$33,0),MATCH(G689,'ei names mapping'!$B$3:$BL$3,0))</f>
        <v>kilogram</v>
      </c>
      <c r="E689" t="str">
        <f>INDEX('ei names mapping'!$B$305:$BL$335,MATCH(B$234,'ei names mapping'!$A$4:$A$33,0),MATCH(G689,'ei names mapping'!$B$3:$BL$3,0))</f>
        <v>air::urban air close to ground</v>
      </c>
      <c r="F689" t="s">
        <v>167</v>
      </c>
      <c r="G689" t="s">
        <v>564</v>
      </c>
    </row>
    <row r="690" spans="1:8" x14ac:dyDescent="0.2">
      <c r="A690" t="str">
        <f>INDEX('ei names mapping'!$B$4:$BL$33,MATCH(B$234,'ei names mapping'!$A$4:$A$33,0),MATCH(G690,'ei names mapping'!$B$3:$BL$3,0))</f>
        <v>Copper</v>
      </c>
      <c r="B690" s="7">
        <f>INDEX('vehicles specifications'!$B$3:$CW$166,MATCH(B$627,'vehicles specifications'!$A$3:$A$166,0),MATCH(G690,'vehicles specifications'!$B$2:$CW$2,0))*INDEX('ei names mapping'!$B$137:$BL$300,MATCH(B$627,'ei names mapping'!$A$137:$A$300,0),MATCH(G690,'ei names mapping'!$B$136:$BL$136,0))</f>
        <v>1.3987983648406747E-9</v>
      </c>
      <c r="D690" t="str">
        <f>INDEX('ei names mapping'!$B$104:$BL$133,MATCH(B$234,'ei names mapping'!$A$4:$A$33,0),MATCH(G690,'ei names mapping'!$B$3:$BL$3,0))</f>
        <v>kilogram</v>
      </c>
      <c r="E690" t="str">
        <f>INDEX('ei names mapping'!$B$305:$BL$335,MATCH(B$234,'ei names mapping'!$A$4:$A$33,0),MATCH(G690,'ei names mapping'!$B$3:$BL$3,0))</f>
        <v>air::urban air close to ground</v>
      </c>
      <c r="F690" t="s">
        <v>167</v>
      </c>
      <c r="G690" t="s">
        <v>522</v>
      </c>
    </row>
    <row r="691" spans="1:8" x14ac:dyDescent="0.2">
      <c r="A691" t="str">
        <f>INDEX('ei names mapping'!$B$4:$BL$33,MATCH(B$234,'ei names mapping'!$A$4:$A$33,0),MATCH(G691,'ei names mapping'!$B$3:$BL$3,0))</f>
        <v>Nickel</v>
      </c>
      <c r="B691" s="7">
        <f>INDEX('vehicles specifications'!$B$3:$CW$166,MATCH(B$627,'vehicles specifications'!$A$3:$A$166,0),MATCH(G691,'vehicles specifications'!$B$2:$CW$2,0))*INDEX('ei names mapping'!$B$137:$BL$300,MATCH(B$627,'ei names mapping'!$A$137:$A$300,0),MATCH(G691,'ei names mapping'!$B$136:$BL$136,0))</f>
        <v>4.3296139864116131E-10</v>
      </c>
      <c r="D691" t="str">
        <f>INDEX('ei names mapping'!$B$104:$BL$133,MATCH(B$234,'ei names mapping'!$A$4:$A$33,0),MATCH(G691,'ei names mapping'!$B$3:$BL$3,0))</f>
        <v>kilogram</v>
      </c>
      <c r="E691" t="str">
        <f>INDEX('ei names mapping'!$B$305:$BL$335,MATCH(B$234,'ei names mapping'!$A$4:$A$33,0),MATCH(G691,'ei names mapping'!$B$3:$BL$3,0))</f>
        <v>air::urban air close to ground</v>
      </c>
      <c r="F691" t="s">
        <v>167</v>
      </c>
      <c r="G691" t="s">
        <v>524</v>
      </c>
    </row>
    <row r="692" spans="1:8" x14ac:dyDescent="0.2">
      <c r="A692" t="str">
        <f>INDEX('ei names mapping'!$B$4:$BL$33,MATCH(B$234,'ei names mapping'!$A$4:$A$33,0),MATCH(G692,'ei names mapping'!$B$3:$BL$3,0))</f>
        <v>Chromium</v>
      </c>
      <c r="B692" s="7">
        <f>INDEX('vehicles specifications'!$B$3:$CW$166,MATCH(B$627,'vehicles specifications'!$A$3:$A$166,0),MATCH(G692,'vehicles specifications'!$B$2:$CW$2,0))*INDEX('ei names mapping'!$B$137:$BL$300,MATCH(B$627,'ei names mapping'!$A$137:$A$300,0),MATCH(G692,'ei names mapping'!$B$136:$BL$136,0))</f>
        <v>5.328755675583524E-10</v>
      </c>
      <c r="D692" t="str">
        <f>INDEX('ei names mapping'!$B$104:$BL$133,MATCH(B$234,'ei names mapping'!$A$4:$A$33,0),MATCH(G692,'ei names mapping'!$B$3:$BL$3,0))</f>
        <v>kilogram</v>
      </c>
      <c r="E692" t="str">
        <f>INDEX('ei names mapping'!$B$305:$BL$335,MATCH(B$234,'ei names mapping'!$A$4:$A$33,0),MATCH(G692,'ei names mapping'!$B$3:$BL$3,0))</f>
        <v>air::urban air close to ground</v>
      </c>
      <c r="F692" t="s">
        <v>167</v>
      </c>
      <c r="G692" t="s">
        <v>523</v>
      </c>
    </row>
    <row r="693" spans="1:8" x14ac:dyDescent="0.2">
      <c r="A693" t="str">
        <f>INDEX('ei names mapping'!$B$4:$BL$33,MATCH(B$234,'ei names mapping'!$A$4:$A$33,0),MATCH(G693,'ei names mapping'!$B$3:$BL$3,0))</f>
        <v>Chromium VI</v>
      </c>
      <c r="B693" s="7">
        <f>INDEX('vehicles specifications'!$B$3:$CW$166,MATCH(B$627,'vehicles specifications'!$A$3:$A$166,0),MATCH(G693,'vehicles specifications'!$B$2:$CW$2,0))*INDEX('ei names mapping'!$B$137:$BL$300,MATCH(B$627,'ei names mapping'!$A$137:$A$300,0),MATCH(G693,'ei names mapping'!$B$136:$BL$136,0))</f>
        <v>1.0657511351167047E-12</v>
      </c>
      <c r="D693" t="str">
        <f>INDEX('ei names mapping'!$B$104:$BL$133,MATCH(B$234,'ei names mapping'!$A$4:$A$33,0),MATCH(G693,'ei names mapping'!$B$3:$BL$3,0))</f>
        <v>kilogram</v>
      </c>
      <c r="E693" t="str">
        <f>INDEX('ei names mapping'!$B$305:$BL$335,MATCH(B$234,'ei names mapping'!$A$4:$A$33,0),MATCH(G693,'ei names mapping'!$B$3:$BL$3,0))</f>
        <v>air::urban air close to ground</v>
      </c>
      <c r="F693" t="s">
        <v>167</v>
      </c>
      <c r="G693" t="s">
        <v>567</v>
      </c>
    </row>
    <row r="694" spans="1:8" x14ac:dyDescent="0.2">
      <c r="A694" t="str">
        <f>INDEX('ei names mapping'!$B$4:$BL$33,MATCH(B$234,'ei names mapping'!$A$4:$A$33,0),MATCH(G694,'ei names mapping'!$B$3:$BL$3,0))</f>
        <v>Mercury</v>
      </c>
      <c r="B694" s="7">
        <f>INDEX('vehicles specifications'!$B$3:$CW$166,MATCH(B$627,'vehicles specifications'!$A$3:$A$166,0),MATCH(G694,'vehicles specifications'!$B$2:$CW$2,0))*INDEX('ei names mapping'!$B$137:$BL$300,MATCH(B$627,'ei names mapping'!$A$137:$A$300,0),MATCH(G694,'ei names mapping'!$B$136:$BL$136,0))</f>
        <v>2.897510898598541E-10</v>
      </c>
      <c r="D694" t="str">
        <f>INDEX('ei names mapping'!$B$104:$BL$133,MATCH(B$234,'ei names mapping'!$A$4:$A$33,0),MATCH(G694,'ei names mapping'!$B$3:$BL$3,0))</f>
        <v>kilogram</v>
      </c>
      <c r="E694" t="str">
        <f>INDEX('ei names mapping'!$B$305:$BL$335,MATCH(B$234,'ei names mapping'!$A$4:$A$33,0),MATCH(G694,'ei names mapping'!$B$3:$BL$3,0))</f>
        <v>air::urban air close to ground</v>
      </c>
      <c r="F694" t="s">
        <v>167</v>
      </c>
      <c r="G694" t="s">
        <v>565</v>
      </c>
    </row>
    <row r="695" spans="1:8" x14ac:dyDescent="0.2">
      <c r="A695" t="str">
        <f>INDEX('ei names mapping'!$B$4:$BL$33,MATCH(B$234,'ei names mapping'!$A$4:$A$33,0),MATCH(G695,'ei names mapping'!$B$3:$BL$3,0))</f>
        <v>Cadmium</v>
      </c>
      <c r="B695" s="7">
        <f>INDEX('vehicles specifications'!$B$3:$CW$166,MATCH(B$627,'vehicles specifications'!$A$3:$A$166,0),MATCH(G695,'vehicles specifications'!$B$2:$CW$2,0))*INDEX('ei names mapping'!$B$137:$BL$300,MATCH(B$627,'ei names mapping'!$A$137:$A$300,0),MATCH(G695,'ei names mapping'!$B$136:$BL$136,0))</f>
        <v>3.5969100810188791E-10</v>
      </c>
      <c r="D695" t="str">
        <f>INDEX('ei names mapping'!$B$104:$BL$133,MATCH(B$234,'ei names mapping'!$A$4:$A$33,0),MATCH(G695,'ei names mapping'!$B$3:$BL$3,0))</f>
        <v>kilogram</v>
      </c>
      <c r="E695" t="str">
        <f>INDEX('ei names mapping'!$B$305:$BL$335,MATCH(B$234,'ei names mapping'!$A$4:$A$33,0),MATCH(G695,'ei names mapping'!$B$3:$BL$3,0))</f>
        <v>air::urban air close to ground</v>
      </c>
      <c r="F695" t="s">
        <v>167</v>
      </c>
      <c r="G695" t="s">
        <v>566</v>
      </c>
    </row>
    <row r="696" spans="1:8" x14ac:dyDescent="0.2">
      <c r="A696" t="str">
        <f>INDEX('ei names mapping'!$B$4:$BL$33,MATCH(B624,'ei names mapping'!$A$4:$A$33,0),MATCH(G696,'ei names mapping'!$B$3:$BL$3,0))</f>
        <v>treatment of road wear emissions, passenger car</v>
      </c>
      <c r="B696" s="7">
        <f>INDEX('vehicles specifications'!$B$3:$CW$166,MATCH(B627,'vehicles specifications'!$A$3:$A$166,0),MATCH(G696,'vehicles specifications'!$B$2:$CW$2,0))*INDEX('ei names mapping'!$B$137:$BL$300,MATCH(B627,'ei names mapping'!$A$137:$A$300,0),MATCH(G696,'ei names mapping'!$B$136:$BL$136,0))</f>
        <v>-8.3860265499696955E-6</v>
      </c>
      <c r="C696" t="str">
        <f>INDEX('ei names mapping'!$B$38:$BL$67,MATCH(B624,'ei names mapping'!$A$4:$A$33,0),MATCH(G696,'ei names mapping'!$B$3:$BL$3,0))</f>
        <v>RER</v>
      </c>
      <c r="D696" t="str">
        <f>INDEX('ei names mapping'!$B$104:$BL$133,MATCH(B624,'ei names mapping'!$A$4:$A$33,0),MATCH(G696,'ei names mapping'!$B$3:$BL$3,0))</f>
        <v>kilogram</v>
      </c>
      <c r="F696" t="s">
        <v>89</v>
      </c>
      <c r="G696" t="s">
        <v>29</v>
      </c>
      <c r="H696" t="str">
        <f>INDEX('ei names mapping'!$B$71:$BL$100,MATCH(B624,'ei names mapping'!$A$4:$A$33,0),MATCH(G696,'ei names mapping'!$B$3:$BL$3,0))</f>
        <v>road wear emissions, passenger car</v>
      </c>
    </row>
    <row r="697" spans="1:8" x14ac:dyDescent="0.2">
      <c r="A697" t="str">
        <f>INDEX('ei names mapping'!$B$4:$BL$33,MATCH(B624,'ei names mapping'!$A$4:$A$33,0),MATCH(G697,'ei names mapping'!$B$3:$BL$3,0))</f>
        <v>treatment of tyre wear emissions, passenger car</v>
      </c>
      <c r="B697" s="7">
        <f>INDEX('vehicles specifications'!$B$3:$CW$166,MATCH(B627,'vehicles specifications'!$A$3:$A$166,0),MATCH(G697,'vehicles specifications'!$B$2:$CW$2,0))*INDEX('ei names mapping'!$B$137:$BL$300,MATCH(B627,'ei names mapping'!$A$137:$A$300,0),MATCH(G697,'ei names mapping'!$B$136:$BL$136,0))</f>
        <v>-5.5995041163619232E-6</v>
      </c>
      <c r="C697" t="str">
        <f>INDEX('ei names mapping'!$B$38:$BL$67,MATCH(B624,'ei names mapping'!$A$4:$A$33,0),MATCH(G697,'ei names mapping'!$B$3:$BL$3,0))</f>
        <v>RER</v>
      </c>
      <c r="D697" t="str">
        <f>INDEX('ei names mapping'!$B$104:$BL$133,MATCH(B624,'ei names mapping'!$A$4:$A$33,0),MATCH(G697,'ei names mapping'!$B$3:$BL$3,0))</f>
        <v>kilogram</v>
      </c>
      <c r="F697" t="s">
        <v>89</v>
      </c>
      <c r="G697" t="s">
        <v>30</v>
      </c>
      <c r="H697" t="str">
        <f>INDEX('ei names mapping'!$B$71:$BL$100,MATCH(B624,'ei names mapping'!$A$4:$A$33,0),MATCH(G697,'ei names mapping'!$B$3:$BL$3,0))</f>
        <v>tyre wear emissions, passenger car</v>
      </c>
    </row>
    <row r="698" spans="1:8" x14ac:dyDescent="0.2">
      <c r="A698" t="str">
        <f>INDEX('ei names mapping'!$B$4:$BL$33,MATCH(B624,'ei names mapping'!$A$4:$A$33,0),MATCH(G698,'ei names mapping'!$B$3:$BL$3,0))</f>
        <v>treatment of brake wear emissions, passenger car</v>
      </c>
      <c r="B698" s="7">
        <f>INDEX('vehicles specifications'!$B$3:$CW$166,MATCH(B627,'vehicles specifications'!$A$3:$A$166,0),MATCH(G698,'vehicles specifications'!$B$2:$CW$2,0))*INDEX('ei names mapping'!$B$137:$BL$300,MATCH(B627,'ei names mapping'!$A$137:$A$300,0),MATCH(G698,'ei names mapping'!$B$136:$BL$136,0))</f>
        <v>-3.0990818813021925E-6</v>
      </c>
      <c r="C698" t="str">
        <f>INDEX('ei names mapping'!$B$38:$BL$67,MATCH(B624,'ei names mapping'!$A$4:$A$33,0),MATCH(G698,'ei names mapping'!$B$3:$BL$3,0))</f>
        <v>RER</v>
      </c>
      <c r="D698" t="str">
        <f>INDEX('ei names mapping'!$B$104:$BL$133,MATCH(B624,'ei names mapping'!$A$4:$A$33,0),MATCH(G698,'ei names mapping'!$B$3:$BL$3,0))</f>
        <v>kilogram</v>
      </c>
      <c r="F698" t="s">
        <v>89</v>
      </c>
      <c r="G698" t="s">
        <v>31</v>
      </c>
      <c r="H698" t="str">
        <f>INDEX('ei names mapping'!$B$71:$BL$100,MATCH(B624,'ei names mapping'!$A$4:$A$33,0),MATCH(G698,'ei names mapping'!$B$3:$BL$3,0))</f>
        <v>brake wear emissions, passenger car</v>
      </c>
    </row>
    <row r="702" spans="1:8" x14ac:dyDescent="0.2">
      <c r="B702" s="11"/>
    </row>
    <row r="703" spans="1:8" x14ac:dyDescent="0.2">
      <c r="B703" s="12"/>
    </row>
    <row r="704" spans="1:8" x14ac:dyDescent="0.2">
      <c r="B704" s="11"/>
    </row>
    <row r="706" spans="1:2" ht="16" x14ac:dyDescent="0.2">
      <c r="A706" s="10"/>
      <c r="B706" s="8"/>
    </row>
    <row r="729" spans="1:2" x14ac:dyDescent="0.2">
      <c r="B729" s="6"/>
    </row>
    <row r="731" spans="1:2" ht="16" x14ac:dyDescent="0.2">
      <c r="A731" s="10"/>
    </row>
    <row r="735" spans="1:2" x14ac:dyDescent="0.2">
      <c r="B735" s="11"/>
    </row>
    <row r="736" spans="1:2" x14ac:dyDescent="0.2">
      <c r="B736" s="12"/>
    </row>
    <row r="737" spans="1:2" x14ac:dyDescent="0.2">
      <c r="B737" s="11"/>
    </row>
    <row r="739" spans="1:2" ht="16" x14ac:dyDescent="0.2">
      <c r="A739" s="10"/>
      <c r="B739" s="8"/>
    </row>
    <row r="762" spans="1:2" x14ac:dyDescent="0.2">
      <c r="B762" s="6"/>
    </row>
    <row r="764" spans="1:2" ht="16" x14ac:dyDescent="0.2">
      <c r="A764" s="10"/>
    </row>
    <row r="768" spans="1:2" x14ac:dyDescent="0.2">
      <c r="B768" s="11"/>
    </row>
    <row r="769" spans="2:2" x14ac:dyDescent="0.2">
      <c r="B769" s="12"/>
    </row>
    <row r="770" spans="2:2" x14ac:dyDescent="0.2">
      <c r="B770" s="11"/>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770"/>
  <sheetViews>
    <sheetView topLeftCell="A641" workbookViewId="0">
      <selection activeCell="A656" sqref="A656:XFD65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Motorbike, gasoline, &gt;35kW, EURO-3, 2006</v>
      </c>
    </row>
    <row r="2" spans="1:2" x14ac:dyDescent="0.2">
      <c r="A2" t="s">
        <v>72</v>
      </c>
      <c r="B2" t="s">
        <v>37</v>
      </c>
    </row>
    <row r="3" spans="1:2" x14ac:dyDescent="0.2">
      <c r="A3" t="s">
        <v>86</v>
      </c>
      <c r="B3" t="s">
        <v>629</v>
      </c>
    </row>
    <row r="4" spans="1:2" x14ac:dyDescent="0.2">
      <c r="A4" t="s">
        <v>87</v>
      </c>
    </row>
    <row r="5" spans="1:2" x14ac:dyDescent="0.2">
      <c r="A5" t="s">
        <v>88</v>
      </c>
      <c r="B5">
        <v>2006</v>
      </c>
    </row>
    <row r="6" spans="1:2" x14ac:dyDescent="0.2">
      <c r="A6" t="s">
        <v>126</v>
      </c>
      <c r="B6" t="str">
        <f>B3&amp;" - "&amp;B5&amp;" - "&amp;B2</f>
        <v>Motorbike, gasoline, &gt;35kW, EURO-3 - 2006 - CH</v>
      </c>
    </row>
    <row r="7" spans="1:2" x14ac:dyDescent="0.2">
      <c r="A7" t="s">
        <v>73</v>
      </c>
      <c r="B7" t="str">
        <f>B3</f>
        <v>Motorbike, gasoline, &gt;35kW,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40500</v>
      </c>
    </row>
    <row r="12" spans="1:2" x14ac:dyDescent="0.2">
      <c r="A12" t="s">
        <v>128</v>
      </c>
      <c r="B12">
        <f>INDEX('vehicles specifications'!$B$3:$CW$166,MATCH(B6,'vehicles specifications'!$A$3:$A$166,0),MATCH("Passengers [unit]",'vehicles specifications'!$B$2:$CW$2,0))</f>
        <v>1.1000000000000001</v>
      </c>
    </row>
    <row r="13" spans="1:2" x14ac:dyDescent="0.2">
      <c r="A13" t="s">
        <v>129</v>
      </c>
      <c r="B13">
        <f>INDEX('vehicles specifications'!$B$3:$CW$166,MATCH(B6,'vehicles specifications'!$A$3:$A$166,0),MATCH("Servicing [unit]",'vehicles specifications'!$B$2:$CW$2,0))</f>
        <v>1.62</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2896</v>
      </c>
    </row>
    <row r="16" spans="1:2" x14ac:dyDescent="0.2">
      <c r="A16" t="s">
        <v>132</v>
      </c>
      <c r="B16" s="2">
        <f>INDEX('vehicles specifications'!$B$3:$CW$166,MATCH(B6,'vehicles specifications'!$A$3:$A$166,0),MATCH("Curb mass [kg]",'vehicles specifications'!$B$2:$CW$2,0))</f>
        <v>262.07499999999999</v>
      </c>
    </row>
    <row r="17" spans="1:8" x14ac:dyDescent="0.2">
      <c r="A17" t="s">
        <v>133</v>
      </c>
      <c r="B17">
        <f>INDEX('vehicles specifications'!$B$3:$CW$166,MATCH(B6,'vehicles specifications'!$A$3:$A$166,0),MATCH("Power [kW]",'vehicles specifications'!$B$2:$CW$2,0))</f>
        <v>91</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159.75</v>
      </c>
    </row>
    <row r="21" spans="1:8" x14ac:dyDescent="0.2">
      <c r="A21" t="s">
        <v>139</v>
      </c>
      <c r="B21">
        <f>INDEX('vehicles specifications'!$B$3:$CW$166,MATCH(B6,'vehicles specifications'!$A$3:$A$166,0),MATCH("Fuel mass [kg]",'vehicles specifications'!$B$2:$CW$2,0))</f>
        <v>13.5</v>
      </c>
    </row>
    <row r="22" spans="1:8" x14ac:dyDescent="0.2">
      <c r="A22" t="s">
        <v>136</v>
      </c>
      <c r="B22" s="2">
        <f>INDEX('vehicles specifications'!$B$3:$CW$166,MATCH(B6,'vehicles specifications'!$A$3:$A$166,0),MATCH("Range [km]",'vehicles specifications'!$B$2:$CW$2,0))</f>
        <v>291.42030699682999</v>
      </c>
    </row>
    <row r="23" spans="1:8" x14ac:dyDescent="0.2">
      <c r="A23" t="s">
        <v>137</v>
      </c>
      <c r="B23" t="str">
        <f>INDEX('vehicles specifications'!$B$3:$CW$166,MATCH(B6,'vehicles specifications'!$A$3:$A$166,0),MATCH("Emission standard",'vehicles specifications'!$B$2:$CW$2,0))</f>
        <v>EURO-3</v>
      </c>
    </row>
    <row r="24" spans="1:8"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Motorbike, gasoline, &gt;35kW, EURO-3, 2006</v>
      </c>
      <c r="B31">
        <v>1</v>
      </c>
      <c r="C31" t="str">
        <f>B2</f>
        <v>CH</v>
      </c>
      <c r="D31" t="str">
        <f>B9</f>
        <v>unit</v>
      </c>
      <c r="F31" t="s">
        <v>84</v>
      </c>
      <c r="G31" t="s">
        <v>85</v>
      </c>
      <c r="H31" t="str">
        <f>B3</f>
        <v>Motorbike, gasoline, &gt;35kW, EURO-3</v>
      </c>
    </row>
    <row r="32" spans="1:8" x14ac:dyDescent="0.2">
      <c r="A32" t="str">
        <f>INDEX('ei names mapping'!$B$4:$R$33,MATCH(B3,'ei names mapping'!$A$4:$A$33,0),MATCH(G32,'ei names mapping'!$B$3:$R$3,0))</f>
        <v>motor scooter production</v>
      </c>
      <c r="B32" s="6">
        <f>INDEX('vehicles specifications'!$B$3:$CW$166,MATCH(B6,'vehicles specifications'!$A$3:$A$166,0),MATCH(G32,'vehicles specifications'!$B$2:$CW$2,0))*INDEX('ei names mapping'!$B$137:$BL$300,MATCH(B6,'ei names mapping'!$A$137:$A$300,0),MATCH(G32,'ei names mapping'!$B$136:$BL$136,0))</f>
        <v>1.2333333333333334</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6">
        <f>INDEX('vehicles specifications'!$B$3:$CW$166,MATCH(B6,'vehicles specifications'!$A$3:$A$166,0),MATCH(G33,'vehicles specifications'!$B$2:$CW$2,0))*INDEX('ei names mapping'!$B$137:$BL$300,MATCH(B6,'ei names mapping'!$A$137:$A$300,0),MATCH(G33,'ei names mapping'!$B$136:$BL$136,0))</f>
        <v>1.4444444444444444</v>
      </c>
      <c r="C33" t="str">
        <f>INDEX('ei names mapping'!$B$38:$R$67,MATCH(B3,'ei names mapping'!$A$4:$A$33,0),MATCH(G33,'ei names mapping'!$B$3:$R$3,0))</f>
        <v>RER</v>
      </c>
      <c r="D33" t="str">
        <f>INDEX('ei names mapping'!$B$104:$R$133,MATCH(B3,'ei names mapping'!$A$104:$A$133,0),MATCH(G33,'ei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6">
        <f>INDEX('vehicles specifications'!$B$3:$CW$166,MATCH(B6,'vehicles specifications'!$A$3:$A$166,0),MATCH(G34,'vehicles specifications'!$B$2:$CW$2,0))*INDEX('ei names mapping'!$B$137:$BL$300,MATCH(B6,'ei names mapping'!$A$137:$A$300,0),MATCH(G34,'ei names mapping'!$B$136:$BL$136,0))</f>
        <v>2.0249999999999999</v>
      </c>
      <c r="C34" t="str">
        <f>INDEX('ei names mapping'!$B$38:$R$67,MATCH(B3,'ei names mapping'!$A$4:$A$33,0),MATCH(G34,'ei names mapping'!$B$3:$R$3,0))</f>
        <v>RER</v>
      </c>
      <c r="D34" t="str">
        <f>INDEX('ei names mapping'!$B$104:$R$133,MATCH(B3,'ei names mapping'!$A$104:$A$133,0),MATCH(G34,'ei names mapping'!$B$3:$R$3,0))</f>
        <v>kilogram</v>
      </c>
      <c r="F34" t="s">
        <v>89</v>
      </c>
      <c r="G34" t="s">
        <v>24</v>
      </c>
      <c r="H34" t="str">
        <f>INDEX('ei names mapping'!$B$71:$R$100,MATCH(B3,'ei names mapping'!$A$4:$A$33,0),MATCH(G34,'ei names mapping'!$B$3:$R$3,0))</f>
        <v>polyethylene, high density, granulate</v>
      </c>
    </row>
    <row r="35" spans="1:8" x14ac:dyDescent="0.2">
      <c r="A35" t="s">
        <v>282</v>
      </c>
      <c r="B35" s="6">
        <f>B34/0.994</f>
        <v>2.0372233400402413</v>
      </c>
      <c r="C35" t="s">
        <v>92</v>
      </c>
      <c r="D35" t="s">
        <v>77</v>
      </c>
      <c r="F35" t="s">
        <v>89</v>
      </c>
      <c r="G35" t="s">
        <v>647</v>
      </c>
      <c r="H35" t="s">
        <v>282</v>
      </c>
    </row>
    <row r="36" spans="1:8" x14ac:dyDescent="0.2">
      <c r="A36" s="13" t="s">
        <v>840</v>
      </c>
      <c r="B36" s="2">
        <f>(B16/1000)*B27</f>
        <v>262.07499999999999</v>
      </c>
      <c r="C36" t="s">
        <v>92</v>
      </c>
      <c r="D36" t="s">
        <v>233</v>
      </c>
      <c r="F36" t="s">
        <v>89</v>
      </c>
      <c r="H36" s="13" t="s">
        <v>841</v>
      </c>
    </row>
    <row r="37" spans="1:8" x14ac:dyDescent="0.2">
      <c r="A37" s="13" t="s">
        <v>441</v>
      </c>
      <c r="B37" s="2">
        <f>(B16/1000)*B26</f>
        <v>4166.9925000000003</v>
      </c>
      <c r="C37" t="s">
        <v>95</v>
      </c>
      <c r="D37" t="s">
        <v>233</v>
      </c>
      <c r="F37" t="s">
        <v>89</v>
      </c>
      <c r="H37" s="13" t="s">
        <v>441</v>
      </c>
    </row>
    <row r="38" spans="1:8" x14ac:dyDescent="0.2">
      <c r="B38" s="11"/>
    </row>
    <row r="39" spans="1:8" ht="16" x14ac:dyDescent="0.2">
      <c r="A39" s="10" t="s">
        <v>71</v>
      </c>
      <c r="B39" s="8" t="str">
        <f>B41&amp;", "&amp;B43</f>
        <v>Motorbike, gasoline, &gt;35kW, EURO-4, 2016</v>
      </c>
    </row>
    <row r="40" spans="1:8" x14ac:dyDescent="0.2">
      <c r="A40" t="s">
        <v>72</v>
      </c>
      <c r="B40" t="s">
        <v>37</v>
      </c>
    </row>
    <row r="41" spans="1:8" x14ac:dyDescent="0.2">
      <c r="A41" t="s">
        <v>86</v>
      </c>
      <c r="B41" t="s">
        <v>630</v>
      </c>
    </row>
    <row r="42" spans="1:8" x14ac:dyDescent="0.2">
      <c r="A42" t="s">
        <v>87</v>
      </c>
    </row>
    <row r="43" spans="1:8" x14ac:dyDescent="0.2">
      <c r="A43" t="s">
        <v>88</v>
      </c>
      <c r="B43">
        <v>2016</v>
      </c>
    </row>
    <row r="44" spans="1:8" x14ac:dyDescent="0.2">
      <c r="A44" t="s">
        <v>126</v>
      </c>
      <c r="B44" t="str">
        <f>B41&amp;" - "&amp;B43&amp;" - "&amp;B40</f>
        <v>Motorbike, gasoline, &gt;35kW, EURO-4 - 2016 - CH</v>
      </c>
    </row>
    <row r="45" spans="1:8" x14ac:dyDescent="0.2">
      <c r="A45" t="s">
        <v>73</v>
      </c>
      <c r="B45" t="str">
        <f>B41</f>
        <v>Motorbike, gasoline, &gt;35kW, EURO-4</v>
      </c>
    </row>
    <row r="46" spans="1:8" x14ac:dyDescent="0.2">
      <c r="A46" t="s">
        <v>74</v>
      </c>
      <c r="B46" t="s">
        <v>75</v>
      </c>
    </row>
    <row r="47" spans="1:8" x14ac:dyDescent="0.2">
      <c r="A47" t="s">
        <v>76</v>
      </c>
      <c r="B47" t="s">
        <v>76</v>
      </c>
    </row>
    <row r="48" spans="1:8" x14ac:dyDescent="0.2">
      <c r="A48" t="s">
        <v>78</v>
      </c>
      <c r="B48" t="s">
        <v>1143</v>
      </c>
    </row>
    <row r="49" spans="1:2" x14ac:dyDescent="0.2">
      <c r="A49" t="s">
        <v>127</v>
      </c>
      <c r="B49">
        <f>INDEX('vehicles specifications'!$B$3:$CW$166,MATCH(B44,'vehicles specifications'!$A$3:$A$166,0),MATCH("Lifetime [km]",'vehicles specifications'!$B$2:$CW$2,0))</f>
        <v>40500</v>
      </c>
    </row>
    <row r="50" spans="1:2" x14ac:dyDescent="0.2">
      <c r="A50" t="s">
        <v>128</v>
      </c>
      <c r="B50">
        <f>INDEX('vehicles specifications'!$B$3:$CW$166,MATCH(B44,'vehicles specifications'!$A$3:$A$166,0),MATCH("Passengers [unit]",'vehicles specifications'!$B$2:$CW$2,0))</f>
        <v>1.1000000000000001</v>
      </c>
    </row>
    <row r="51" spans="1:2" x14ac:dyDescent="0.2">
      <c r="A51" t="s">
        <v>129</v>
      </c>
      <c r="B51">
        <f>INDEX('vehicles specifications'!$B$3:$CW$166,MATCH(B44,'vehicles specifications'!$A$3:$A$166,0),MATCH("Servicing [unit]",'vehicles specifications'!$B$2:$CW$2,0))</f>
        <v>1.62</v>
      </c>
    </row>
    <row r="52" spans="1:2" x14ac:dyDescent="0.2">
      <c r="A52" t="s">
        <v>130</v>
      </c>
      <c r="B52">
        <f>INDEX('vehicles specifications'!$B$3:$CW$166,MATCH(B44,'vehicles specifications'!$A$3:$A$166,0),MATCH("Energy battery replacement [unit]",'vehicles specifications'!$B$2:$CW$2,0))</f>
        <v>0</v>
      </c>
    </row>
    <row r="53" spans="1:2" x14ac:dyDescent="0.2">
      <c r="A53" t="s">
        <v>131</v>
      </c>
      <c r="B53">
        <f>INDEX('vehicles specifications'!$B$3:$CW$166,MATCH(B44,'vehicles specifications'!$A$3:$A$166,0),MATCH("Annual kilometers [km]",'vehicles specifications'!$B$2:$CW$2,0))</f>
        <v>2896</v>
      </c>
    </row>
    <row r="54" spans="1:2" x14ac:dyDescent="0.2">
      <c r="A54" t="s">
        <v>132</v>
      </c>
      <c r="B54" s="2">
        <f>INDEX('vehicles specifications'!$B$3:$CW$166,MATCH(B44,'vehicles specifications'!$A$3:$A$166,0),MATCH("Curb mass [kg]",'vehicles specifications'!$B$2:$CW$2,0))</f>
        <v>258.745</v>
      </c>
    </row>
    <row r="55" spans="1:2" x14ac:dyDescent="0.2">
      <c r="A55" t="s">
        <v>133</v>
      </c>
      <c r="B55">
        <f>INDEX('vehicles specifications'!$B$3:$CW$166,MATCH(B44,'vehicles specifications'!$A$3:$A$166,0),MATCH("Power [kW]",'vehicles specifications'!$B$2:$CW$2,0))</f>
        <v>91</v>
      </c>
    </row>
    <row r="56" spans="1:2" x14ac:dyDescent="0.2">
      <c r="A56" t="s">
        <v>134</v>
      </c>
      <c r="B56" t="str">
        <f>INDEX('vehicles specifications'!$B$3:$CW$166,MATCH(B44,'vehicles specifications'!$A$3:$A$166,0),MATCH("Energy battery mass [kg]",'vehicles specifications'!$B$2:$CW$2,0))</f>
        <v/>
      </c>
    </row>
    <row r="57" spans="1:2" x14ac:dyDescent="0.2">
      <c r="A57" t="s">
        <v>135</v>
      </c>
      <c r="B57">
        <f>INDEX('vehicles specifications'!$B$3:$CW$166,MATCH(B44,'vehicles specifications'!$A$3:$A$166,0),MATCH("Electric energy available [kWh]",'vehicles specifications'!$B$2:$CW$2,0))</f>
        <v>0</v>
      </c>
    </row>
    <row r="58" spans="1:2" x14ac:dyDescent="0.2">
      <c r="A58" t="s">
        <v>138</v>
      </c>
      <c r="B58" s="2">
        <f>INDEX('vehicles specifications'!$B$3:$CW$166,MATCH(B44,'vehicles specifications'!$A$3:$A$166,0),MATCH("Oxydation energy stored [kWh]",'vehicles specifications'!$B$2:$CW$2,0))</f>
        <v>159.75</v>
      </c>
    </row>
    <row r="59" spans="1:2" x14ac:dyDescent="0.2">
      <c r="A59" t="s">
        <v>139</v>
      </c>
      <c r="B59">
        <f>INDEX('vehicles specifications'!$B$3:$CW$166,MATCH(B44,'vehicles specifications'!$A$3:$A$166,0),MATCH("Fuel mass [kg]",'vehicles specifications'!$B$2:$CW$2,0))</f>
        <v>13.5</v>
      </c>
    </row>
    <row r="60" spans="1:2" x14ac:dyDescent="0.2">
      <c r="A60" t="s">
        <v>136</v>
      </c>
      <c r="B60" s="2">
        <f>INDEX('vehicles specifications'!$B$3:$CW$166,MATCH(B44,'vehicles specifications'!$A$3:$A$166,0),MATCH("Range [km]",'vehicles specifications'!$B$2:$CW$2,0))</f>
        <v>294.33451006679832</v>
      </c>
    </row>
    <row r="61" spans="1:2" x14ac:dyDescent="0.2">
      <c r="A61" t="s">
        <v>137</v>
      </c>
      <c r="B61" t="str">
        <f>INDEX('vehicles specifications'!$B$3:$CW$166,MATCH(B44,'vehicles specifications'!$A$3:$A$166,0),MATCH("Emission standard",'vehicles specifications'!$B$2:$CW$2,0))</f>
        <v>EURO-4</v>
      </c>
    </row>
    <row r="62" spans="1:2" x14ac:dyDescent="0.2">
      <c r="A62" t="s">
        <v>1174</v>
      </c>
      <c r="B62" s="6">
        <f>INDEX('vehicles specifications'!$B$3:$CW$166,MATCH(B44,'vehicles specifications'!$A$3:$A$166,0),MATCH("Lightweighting rate [%]",'vehicles specifications'!$B$2:$CW$2,0))</f>
        <v>-0.02</v>
      </c>
    </row>
    <row r="63" spans="1:2" x14ac:dyDescent="0.2">
      <c r="A63" t="s">
        <v>485</v>
      </c>
      <c r="B63" s="6" t="s">
        <v>486</v>
      </c>
    </row>
    <row r="64" spans="1:2" x14ac:dyDescent="0.2">
      <c r="A64" t="s">
        <v>487</v>
      </c>
      <c r="B64" s="2">
        <v>15900</v>
      </c>
    </row>
    <row r="65" spans="1:8" x14ac:dyDescent="0.2">
      <c r="A65" t="s">
        <v>488</v>
      </c>
      <c r="B65" s="2">
        <v>1000</v>
      </c>
    </row>
    <row r="66" spans="1:8" x14ac:dyDescent="0.2">
      <c r="A66" t="s">
        <v>83</v>
      </c>
      <c r="B66"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tr">
        <f>B39</f>
        <v>Motorbike, gasoline, &gt;35kW, EURO-4, 2016</v>
      </c>
      <c r="B69">
        <v>1</v>
      </c>
      <c r="C69" t="str">
        <f>B40</f>
        <v>CH</v>
      </c>
      <c r="D69" t="str">
        <f>B47</f>
        <v>unit</v>
      </c>
      <c r="F69" t="s">
        <v>84</v>
      </c>
      <c r="G69" t="s">
        <v>85</v>
      </c>
      <c r="H69" t="str">
        <f>B41</f>
        <v>Motorbike, gasoline, &gt;35kW, EURO-4</v>
      </c>
    </row>
    <row r="70" spans="1:8" x14ac:dyDescent="0.2">
      <c r="A70" t="str">
        <f>INDEX('ei names mapping'!$B$4:$R$33,MATCH(B41,'ei names mapping'!$A$4:$A$33,0),MATCH(G70,'ei names mapping'!$B$3:$R$3,0))</f>
        <v>motor scooter production</v>
      </c>
      <c r="B70" s="6">
        <f>INDEX('vehicles specifications'!$B$3:$CW$166,MATCH(B44,'vehicles specifications'!$A$3:$A$166,0),MATCH(G70,'vehicles specifications'!$B$2:$CW$2,0))*INDEX('ei names mapping'!$B$137:$BL$300,MATCH(B44,'ei names mapping'!$A$137:$A$300,0),MATCH(G70,'ei names mapping'!$B$136:$BL$136,0))</f>
        <v>1.2333333333333334</v>
      </c>
      <c r="C70" t="str">
        <f>INDEX('ei names mapping'!$B$38:$R$67,MATCH(B41,'ei names mapping'!$A$4:$A$33,0),MATCH(G70,'ei names mapping'!$B$3:$R$3,0))</f>
        <v>RER</v>
      </c>
      <c r="D70" t="str">
        <f>INDEX('ei names mapping'!$B$104:$R$133,MATCH(B41,'ei names mapping'!$A$104:$A$133,0),MATCH(G70,'ei names mapping'!$B$3:$R$3,0))</f>
        <v>unit</v>
      </c>
      <c r="F70" t="s">
        <v>89</v>
      </c>
      <c r="G70" t="s">
        <v>15</v>
      </c>
      <c r="H70" t="str">
        <f>INDEX('ei names mapping'!$B$71:$R$100,MATCH(B41,'ei names mapping'!$A$4:$A$33,0),MATCH(G70,'ei names mapping'!$B$3:$R$3,0))</f>
        <v>motor scooter, 50 cubic cm engine</v>
      </c>
    </row>
    <row r="71" spans="1:8" x14ac:dyDescent="0.2">
      <c r="A71" t="str">
        <f>INDEX('ei names mapping'!$B$4:$R$33,MATCH(B41,'ei names mapping'!$A$4:$A$33,0),MATCH(G71,'ei names mapping'!$B$3:$R$3,0))</f>
        <v>motor scooter production</v>
      </c>
      <c r="B71" s="6">
        <f>INDEX('vehicles specifications'!$B$3:$CW$166,MATCH(B44,'vehicles specifications'!$A$3:$A$166,0),MATCH(G71,'vehicles specifications'!$B$2:$CW$2,0))*INDEX('ei names mapping'!$B$137:$BL$300,MATCH(B44,'ei names mapping'!$A$137:$A$300,0),MATCH(G71,'ei names mapping'!$B$136:$BL$136,0))</f>
        <v>1.4444444444444444</v>
      </c>
      <c r="C71" t="str">
        <f>INDEX('ei names mapping'!$B$38:$R$67,MATCH(B41,'ei names mapping'!$A$4:$A$33,0),MATCH(G71,'ei names mapping'!$B$3:$R$3,0))</f>
        <v>RER</v>
      </c>
      <c r="D71" t="str">
        <f>INDEX('ei names mapping'!$B$104:$R$133,MATCH(B41,'ei names mapping'!$A$104:$A$133,0),MATCH(G71,'ei names mapping'!$B$3:$R$3,0))</f>
        <v>unit</v>
      </c>
      <c r="F71" t="s">
        <v>89</v>
      </c>
      <c r="G71" t="s">
        <v>16</v>
      </c>
      <c r="H71" t="str">
        <f>INDEX('ei names mapping'!$B$71:$R$100,MATCH(B41,'ei names mapping'!$A$4:$A$33,0),MATCH(G71,'ei names mapping'!$B$3:$R$3,0))</f>
        <v>motor scooter, 50 cubic cm engine</v>
      </c>
    </row>
    <row r="72" spans="1:8" x14ac:dyDescent="0.2">
      <c r="A72" t="str">
        <f>INDEX('ei names mapping'!$B$4:$R$33,MATCH(B41,'ei names mapping'!$A$4:$A$33,0),MATCH(G72,'ei names mapping'!$B$3:$R$3,0))</f>
        <v>polyethylene production, high density, granulate</v>
      </c>
      <c r="B72" s="6">
        <f>INDEX('vehicles specifications'!$B$3:$CW$166,MATCH(B44,'vehicles specifications'!$A$3:$A$166,0),MATCH(G72,'vehicles specifications'!$B$2:$CW$2,0))*INDEX('ei names mapping'!$B$137:$BL$300,MATCH(B44,'ei names mapping'!$A$137:$A$300,0),MATCH(G72,'ei names mapping'!$B$136:$BL$136,0))</f>
        <v>2.0249999999999999</v>
      </c>
      <c r="C72" t="str">
        <f>INDEX('ei names mapping'!$B$38:$R$67,MATCH(B41,'ei names mapping'!$A$4:$A$33,0),MATCH(G72,'ei names mapping'!$B$3:$R$3,0))</f>
        <v>RER</v>
      </c>
      <c r="D72" t="str">
        <f>INDEX('ei names mapping'!$B$104:$R$133,MATCH(B41,'ei names mapping'!$A$104:$A$133,0),MATCH(G72,'ei names mapping'!$B$3:$R$3,0))</f>
        <v>kilogram</v>
      </c>
      <c r="F72" t="s">
        <v>89</v>
      </c>
      <c r="G72" t="s">
        <v>24</v>
      </c>
      <c r="H72" t="str">
        <f>INDEX('ei names mapping'!$B$71:$R$100,MATCH(B41,'ei names mapping'!$A$4:$A$33,0),MATCH(G72,'ei names mapping'!$B$3:$R$3,0))</f>
        <v>polyethylene, high density, granulate</v>
      </c>
    </row>
    <row r="73" spans="1:8" x14ac:dyDescent="0.2">
      <c r="A73" t="s">
        <v>282</v>
      </c>
      <c r="B73" s="6">
        <f>B72/0.994</f>
        <v>2.0372233400402413</v>
      </c>
      <c r="C73" t="s">
        <v>92</v>
      </c>
      <c r="D73" t="s">
        <v>77</v>
      </c>
      <c r="F73" t="s">
        <v>89</v>
      </c>
      <c r="G73" t="s">
        <v>647</v>
      </c>
      <c r="H73" t="s">
        <v>282</v>
      </c>
    </row>
    <row r="74" spans="1:8" x14ac:dyDescent="0.2">
      <c r="A74" s="13" t="s">
        <v>840</v>
      </c>
      <c r="B74" s="2">
        <f>(B54/1000)*B65</f>
        <v>258.745</v>
      </c>
      <c r="C74" t="s">
        <v>92</v>
      </c>
      <c r="D74" t="s">
        <v>233</v>
      </c>
      <c r="F74" t="s">
        <v>89</v>
      </c>
      <c r="H74" s="13" t="s">
        <v>841</v>
      </c>
    </row>
    <row r="75" spans="1:8" x14ac:dyDescent="0.2">
      <c r="A75" s="13" t="s">
        <v>441</v>
      </c>
      <c r="B75" s="2">
        <f>(B54/1000)*B64</f>
        <v>4114.0455000000002</v>
      </c>
      <c r="C75" t="s">
        <v>95</v>
      </c>
      <c r="D75" t="s">
        <v>233</v>
      </c>
      <c r="F75" t="s">
        <v>89</v>
      </c>
      <c r="H75" s="13" t="s">
        <v>441</v>
      </c>
    </row>
    <row r="77" spans="1:8" ht="16" x14ac:dyDescent="0.2">
      <c r="A77" s="10" t="s">
        <v>71</v>
      </c>
      <c r="B77" s="8" t="str">
        <f>B79&amp;", "&amp;B81</f>
        <v>Motorbike, gasoline, &gt;35kW, EURO-5, 2020</v>
      </c>
    </row>
    <row r="78" spans="1:8" x14ac:dyDescent="0.2">
      <c r="A78" t="s">
        <v>72</v>
      </c>
      <c r="B78" t="s">
        <v>37</v>
      </c>
    </row>
    <row r="79" spans="1:8" x14ac:dyDescent="0.2">
      <c r="A79" t="s">
        <v>86</v>
      </c>
      <c r="B79" t="s">
        <v>631</v>
      </c>
    </row>
    <row r="80" spans="1:8" x14ac:dyDescent="0.2">
      <c r="A80" t="s">
        <v>87</v>
      </c>
    </row>
    <row r="81" spans="1:2" x14ac:dyDescent="0.2">
      <c r="A81" t="s">
        <v>88</v>
      </c>
      <c r="B81">
        <v>2020</v>
      </c>
    </row>
    <row r="82" spans="1:2" x14ac:dyDescent="0.2">
      <c r="A82" t="s">
        <v>126</v>
      </c>
      <c r="B82" t="str">
        <f>B79&amp;" - "&amp;B81&amp;" - "&amp;B78</f>
        <v>Motorbike, gasoline, &gt;35kW, EURO-5 - 2020 - CH</v>
      </c>
    </row>
    <row r="83" spans="1:2" x14ac:dyDescent="0.2">
      <c r="A83" t="s">
        <v>73</v>
      </c>
      <c r="B83" t="str">
        <f>B79</f>
        <v>Motorbike, gasoline, &gt;35kW, EURO-5</v>
      </c>
    </row>
    <row r="84" spans="1:2" x14ac:dyDescent="0.2">
      <c r="A84" t="s">
        <v>74</v>
      </c>
      <c r="B84" t="s">
        <v>75</v>
      </c>
    </row>
    <row r="85" spans="1:2" x14ac:dyDescent="0.2">
      <c r="A85" t="s">
        <v>76</v>
      </c>
      <c r="B85" t="s">
        <v>76</v>
      </c>
    </row>
    <row r="86" spans="1:2" x14ac:dyDescent="0.2">
      <c r="A86" t="s">
        <v>78</v>
      </c>
      <c r="B86" t="s">
        <v>1143</v>
      </c>
    </row>
    <row r="87" spans="1:2" x14ac:dyDescent="0.2">
      <c r="A87" t="s">
        <v>127</v>
      </c>
      <c r="B87">
        <f>INDEX('vehicles specifications'!$B$3:$CW$166,MATCH(B82,'vehicles specifications'!$A$3:$A$166,0),MATCH("Lifetime [km]",'vehicles specifications'!$B$2:$CW$2,0))</f>
        <v>40500</v>
      </c>
    </row>
    <row r="88" spans="1:2" x14ac:dyDescent="0.2">
      <c r="A88" t="s">
        <v>128</v>
      </c>
      <c r="B88">
        <f>INDEX('vehicles specifications'!$B$3:$CW$166,MATCH(B82,'vehicles specifications'!$A$3:$A$166,0),MATCH("Passengers [unit]",'vehicles specifications'!$B$2:$CW$2,0))</f>
        <v>1.1000000000000001</v>
      </c>
    </row>
    <row r="89" spans="1:2" x14ac:dyDescent="0.2">
      <c r="A89" t="s">
        <v>129</v>
      </c>
      <c r="B89">
        <f>INDEX('vehicles specifications'!$B$3:$CW$166,MATCH(B82,'vehicles specifications'!$A$3:$A$166,0),MATCH("Servicing [unit]",'vehicles specifications'!$B$2:$CW$2,0))</f>
        <v>1.62</v>
      </c>
    </row>
    <row r="90" spans="1:2" x14ac:dyDescent="0.2">
      <c r="A90" t="s">
        <v>130</v>
      </c>
      <c r="B90">
        <f>INDEX('vehicles specifications'!$B$3:$CW$166,MATCH(B82,'vehicles specifications'!$A$3:$A$166,0),MATCH("Energy battery replacement [unit]",'vehicles specifications'!$B$2:$CW$2,0))</f>
        <v>0</v>
      </c>
    </row>
    <row r="91" spans="1:2" x14ac:dyDescent="0.2">
      <c r="A91" t="s">
        <v>131</v>
      </c>
      <c r="B91">
        <f>INDEX('vehicles specifications'!$B$3:$CW$166,MATCH(B82,'vehicles specifications'!$A$3:$A$166,0),MATCH("Annual kilometers [km]",'vehicles specifications'!$B$2:$CW$2,0))</f>
        <v>2896</v>
      </c>
    </row>
    <row r="92" spans="1:2" x14ac:dyDescent="0.2">
      <c r="A92" t="s">
        <v>132</v>
      </c>
      <c r="B92" s="2">
        <f>INDEX('vehicles specifications'!$B$3:$CW$166,MATCH(B82,'vehicles specifications'!$A$3:$A$166,0),MATCH("Curb mass [kg]",'vehicles specifications'!$B$2:$CW$2,0))</f>
        <v>256.52499999999998</v>
      </c>
    </row>
    <row r="93" spans="1:2" x14ac:dyDescent="0.2">
      <c r="A93" t="s">
        <v>133</v>
      </c>
      <c r="B93">
        <f>INDEX('vehicles specifications'!$B$3:$CW$166,MATCH(B82,'vehicles specifications'!$A$3:$A$166,0),MATCH("Power [kW]",'vehicles specifications'!$B$2:$CW$2,0))</f>
        <v>91</v>
      </c>
    </row>
    <row r="94" spans="1:2" x14ac:dyDescent="0.2">
      <c r="A94" t="s">
        <v>134</v>
      </c>
      <c r="B94" t="str">
        <f>INDEX('vehicles specifications'!$B$3:$CW$166,MATCH(B82,'vehicles specifications'!$A$3:$A$166,0),MATCH("Energy battery mass [kg]",'vehicles specifications'!$B$2:$CW$2,0))</f>
        <v/>
      </c>
    </row>
    <row r="95" spans="1:2" x14ac:dyDescent="0.2">
      <c r="A95" t="s">
        <v>135</v>
      </c>
      <c r="B95">
        <f>INDEX('vehicles specifications'!$B$3:$CW$166,MATCH(B82,'vehicles specifications'!$A$3:$A$166,0),MATCH("Electric energy available [kWh]",'vehicles specifications'!$B$2:$CW$2,0))</f>
        <v>0</v>
      </c>
    </row>
    <row r="96" spans="1:2" x14ac:dyDescent="0.2">
      <c r="A96" t="s">
        <v>138</v>
      </c>
      <c r="B96" s="2">
        <f>INDEX('vehicles specifications'!$B$3:$CW$166,MATCH(B82,'vehicles specifications'!$A$3:$A$166,0),MATCH("Oxydation energy stored [kWh]",'vehicles specifications'!$B$2:$CW$2,0))</f>
        <v>159.75</v>
      </c>
    </row>
    <row r="97" spans="1:8" x14ac:dyDescent="0.2">
      <c r="A97" t="s">
        <v>139</v>
      </c>
      <c r="B97">
        <f>INDEX('vehicles specifications'!$B$3:$CW$166,MATCH(B82,'vehicles specifications'!$A$3:$A$166,0),MATCH("Fuel mass [kg]",'vehicles specifications'!$B$2:$CW$2,0))</f>
        <v>13.5</v>
      </c>
    </row>
    <row r="98" spans="1:8" x14ac:dyDescent="0.2">
      <c r="A98" t="s">
        <v>136</v>
      </c>
      <c r="B98" s="2">
        <f>INDEX('vehicles specifications'!$B$3:$CW$166,MATCH(B82,'vehicles specifications'!$A$3:$A$166,0),MATCH("Range [km]",'vehicles specifications'!$B$2:$CW$2,0))</f>
        <v>297.30758592605895</v>
      </c>
    </row>
    <row r="99" spans="1:8" x14ac:dyDescent="0.2">
      <c r="A99" t="s">
        <v>137</v>
      </c>
      <c r="B99" t="str">
        <f>INDEX('vehicles specifications'!$B$3:$CW$166,MATCH(B82,'vehicles specifications'!$A$3:$A$166,0),MATCH("Emission standard",'vehicles specifications'!$B$2:$CW$2,0))</f>
        <v>EURO-5</v>
      </c>
    </row>
    <row r="100" spans="1:8" x14ac:dyDescent="0.2">
      <c r="A100" t="s">
        <v>1174</v>
      </c>
      <c r="B100" s="6">
        <f>INDEX('vehicles specifications'!$B$3:$CW$166,MATCH(B82,'vehicles specifications'!$A$3:$A$166,0),MATCH("Lightweighting rate [%]",'vehicles specifications'!$B$2:$CW$2,0))</f>
        <v>0</v>
      </c>
    </row>
    <row r="101" spans="1:8" x14ac:dyDescent="0.2">
      <c r="A101" t="s">
        <v>485</v>
      </c>
      <c r="B101" s="6" t="s">
        <v>486</v>
      </c>
    </row>
    <row r="102" spans="1:8" x14ac:dyDescent="0.2">
      <c r="A102" t="s">
        <v>487</v>
      </c>
      <c r="B102" s="2">
        <v>15900</v>
      </c>
    </row>
    <row r="103" spans="1:8" x14ac:dyDescent="0.2">
      <c r="A103" t="s">
        <v>488</v>
      </c>
      <c r="B103" s="2">
        <v>1000</v>
      </c>
    </row>
    <row r="104" spans="1:8" x14ac:dyDescent="0.2">
      <c r="A104" t="s">
        <v>83</v>
      </c>
      <c r="B104"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tr">
        <f>B77</f>
        <v>Motorbike, gasoline, &gt;35kW, EURO-5, 2020</v>
      </c>
      <c r="B107">
        <v>1</v>
      </c>
      <c r="C107" t="str">
        <f>B78</f>
        <v>CH</v>
      </c>
      <c r="D107" t="str">
        <f>B85</f>
        <v>unit</v>
      </c>
      <c r="F107" t="s">
        <v>84</v>
      </c>
      <c r="G107" t="s">
        <v>85</v>
      </c>
      <c r="H107" t="str">
        <f>B79</f>
        <v>Motorbike, gasoline, &gt;35kW, EURO-5</v>
      </c>
    </row>
    <row r="108" spans="1:8" x14ac:dyDescent="0.2">
      <c r="A108" t="str">
        <f>INDEX('ei names mapping'!$B$4:$R$33,MATCH(B79,'ei names mapping'!$A$4:$A$33,0),MATCH(G108,'ei names mapping'!$B$3:$R$3,0))</f>
        <v>motor scooter production</v>
      </c>
      <c r="B108" s="6">
        <f>INDEX('vehicles specifications'!$B$3:$CW$166,MATCH(B82,'vehicles specifications'!$A$3:$A$166,0),MATCH(G108,'vehicles specifications'!$B$2:$CW$2,0))*INDEX('ei names mapping'!$B$137:$BL$300,MATCH(B82,'ei names mapping'!$A$137:$A$300,0),MATCH(G108,'ei names mapping'!$B$136:$BL$136,0))</f>
        <v>1.2333333333333334</v>
      </c>
      <c r="C108" t="str">
        <f>INDEX('ei names mapping'!$B$38:$R$67,MATCH(B79,'ei names mapping'!$A$4:$A$33,0),MATCH(G108,'ei names mapping'!$B$3:$R$3,0))</f>
        <v>RER</v>
      </c>
      <c r="D108" t="str">
        <f>INDEX('ei names mapping'!$B$104:$R$133,MATCH(B79,'ei names mapping'!$A$104:$A$133,0),MATCH(G108,'ei names mapping'!$B$3:$R$3,0))</f>
        <v>unit</v>
      </c>
      <c r="F108" t="s">
        <v>89</v>
      </c>
      <c r="G108" t="s">
        <v>15</v>
      </c>
      <c r="H108" t="str">
        <f>INDEX('ei names mapping'!$B$71:$R$100,MATCH(B79,'ei names mapping'!$A$4:$A$33,0),MATCH(G108,'ei names mapping'!$B$3:$R$3,0))</f>
        <v>motor scooter, 50 cubic cm engine</v>
      </c>
    </row>
    <row r="109" spans="1:8" x14ac:dyDescent="0.2">
      <c r="A109" t="str">
        <f>INDEX('ei names mapping'!$B$4:$R$33,MATCH(B79,'ei names mapping'!$A$4:$A$33,0),MATCH(G109,'ei names mapping'!$B$3:$R$3,0))</f>
        <v>motor scooter production</v>
      </c>
      <c r="B109" s="6">
        <f>INDEX('vehicles specifications'!$B$3:$CW$166,MATCH(B82,'vehicles specifications'!$A$3:$A$166,0),MATCH(G109,'vehicles specifications'!$B$2:$CW$2,0))*INDEX('ei names mapping'!$B$137:$BL$300,MATCH(B82,'ei names mapping'!$A$137:$A$300,0),MATCH(G109,'ei names mapping'!$B$136:$BL$136,0))</f>
        <v>1.4444444444444444</v>
      </c>
      <c r="C109" t="str">
        <f>INDEX('ei names mapping'!$B$38:$R$67,MATCH(B79,'ei names mapping'!$A$4:$A$33,0),MATCH(G109,'ei names mapping'!$B$3:$R$3,0))</f>
        <v>RER</v>
      </c>
      <c r="D109" t="str">
        <f>INDEX('ei names mapping'!$B$104:$R$133,MATCH(B79,'ei names mapping'!$A$104:$A$133,0),MATCH(G109,'ei names mapping'!$B$3:$R$3,0))</f>
        <v>unit</v>
      </c>
      <c r="F109" t="s">
        <v>89</v>
      </c>
      <c r="G109" t="s">
        <v>16</v>
      </c>
      <c r="H109" t="str">
        <f>INDEX('ei names mapping'!$B$71:$R$100,MATCH(B79,'ei names mapping'!$A$4:$A$33,0),MATCH(G109,'ei names mapping'!$B$3:$R$3,0))</f>
        <v>motor scooter, 50 cubic cm engine</v>
      </c>
    </row>
    <row r="110" spans="1:8" x14ac:dyDescent="0.2">
      <c r="A110" t="str">
        <f>INDEX('ei names mapping'!$B$4:$R$33,MATCH(B79,'ei names mapping'!$A$4:$A$33,0),MATCH(G110,'ei names mapping'!$B$3:$R$3,0))</f>
        <v>polyethylene production, high density, granulate</v>
      </c>
      <c r="B110" s="6">
        <f>INDEX('vehicles specifications'!$B$3:$CW$166,MATCH(B82,'vehicles specifications'!$A$3:$A$166,0),MATCH(G110,'vehicles specifications'!$B$2:$CW$2,0))*INDEX('ei names mapping'!$B$137:$BL$300,MATCH(B82,'ei names mapping'!$A$137:$A$300,0),MATCH(G110,'ei names mapping'!$B$136:$BL$136,0))</f>
        <v>2.0249999999999999</v>
      </c>
      <c r="C110" t="str">
        <f>INDEX('ei names mapping'!$B$38:$R$67,MATCH(B79,'ei names mapping'!$A$4:$A$33,0),MATCH(G110,'ei names mapping'!$B$3:$R$3,0))</f>
        <v>RER</v>
      </c>
      <c r="D110" t="str">
        <f>INDEX('ei names mapping'!$B$104:$R$133,MATCH(B79,'ei names mapping'!$A$104:$A$133,0),MATCH(G110,'ei names mapping'!$B$3:$R$3,0))</f>
        <v>kilogram</v>
      </c>
      <c r="F110" t="s">
        <v>89</v>
      </c>
      <c r="G110" t="s">
        <v>24</v>
      </c>
      <c r="H110" t="str">
        <f>INDEX('ei names mapping'!$B$71:$R$100,MATCH(B79,'ei names mapping'!$A$4:$A$33,0),MATCH(G110,'ei names mapping'!$B$3:$R$3,0))</f>
        <v>polyethylene, high density, granulate</v>
      </c>
    </row>
    <row r="111" spans="1:8" x14ac:dyDescent="0.2">
      <c r="A111" t="s">
        <v>282</v>
      </c>
      <c r="B111" s="6">
        <f>B110/0.994</f>
        <v>2.0372233400402413</v>
      </c>
      <c r="C111" t="s">
        <v>92</v>
      </c>
      <c r="D111" t="s">
        <v>77</v>
      </c>
      <c r="F111" t="s">
        <v>89</v>
      </c>
      <c r="G111" t="s">
        <v>647</v>
      </c>
      <c r="H111" t="s">
        <v>282</v>
      </c>
    </row>
    <row r="112" spans="1:8" x14ac:dyDescent="0.2">
      <c r="A112" s="13" t="s">
        <v>840</v>
      </c>
      <c r="B112" s="2">
        <f>(B92/1000)*B103</f>
        <v>256.52499999999998</v>
      </c>
      <c r="C112" t="s">
        <v>92</v>
      </c>
      <c r="D112" t="s">
        <v>233</v>
      </c>
      <c r="F112" t="s">
        <v>89</v>
      </c>
      <c r="H112" s="13" t="s">
        <v>841</v>
      </c>
    </row>
    <row r="113" spans="1:8" x14ac:dyDescent="0.2">
      <c r="A113" s="13" t="s">
        <v>441</v>
      </c>
      <c r="B113" s="2">
        <f>(B92/1000)*B102</f>
        <v>4078.7474999999999</v>
      </c>
      <c r="C113" t="s">
        <v>95</v>
      </c>
      <c r="D113" t="s">
        <v>233</v>
      </c>
      <c r="F113" t="s">
        <v>89</v>
      </c>
      <c r="H113" s="13" t="s">
        <v>441</v>
      </c>
    </row>
    <row r="115" spans="1:8" ht="16" x14ac:dyDescent="0.2">
      <c r="A115" s="10" t="s">
        <v>71</v>
      </c>
      <c r="B115" s="8" t="str">
        <f>B117&amp;", "&amp;B119</f>
        <v>Motorbike, gasoline, &gt;35kW, EURO-5, 2030</v>
      </c>
    </row>
    <row r="116" spans="1:8" x14ac:dyDescent="0.2">
      <c r="A116" t="s">
        <v>72</v>
      </c>
      <c r="B116" t="s">
        <v>37</v>
      </c>
    </row>
    <row r="117" spans="1:8" x14ac:dyDescent="0.2">
      <c r="A117" t="s">
        <v>86</v>
      </c>
      <c r="B117" t="s">
        <v>631</v>
      </c>
    </row>
    <row r="118" spans="1:8" x14ac:dyDescent="0.2">
      <c r="A118" t="s">
        <v>87</v>
      </c>
    </row>
    <row r="119" spans="1:8" x14ac:dyDescent="0.2">
      <c r="A119" t="s">
        <v>88</v>
      </c>
      <c r="B119">
        <v>2030</v>
      </c>
    </row>
    <row r="120" spans="1:8" x14ac:dyDescent="0.2">
      <c r="A120" t="s">
        <v>126</v>
      </c>
      <c r="B120" t="str">
        <f>B117&amp;" - "&amp;B119&amp;" - "&amp;B116</f>
        <v>Motorbike, gasoline, &gt;35kW, EURO-5 - 2030 - CH</v>
      </c>
    </row>
    <row r="121" spans="1:8" x14ac:dyDescent="0.2">
      <c r="A121" t="s">
        <v>73</v>
      </c>
      <c r="B121" t="str">
        <f>B117</f>
        <v>Motorbike, gasoline, &gt;35kW, EURO-5</v>
      </c>
    </row>
    <row r="122" spans="1:8" x14ac:dyDescent="0.2">
      <c r="A122" t="s">
        <v>74</v>
      </c>
      <c r="B122" t="s">
        <v>75</v>
      </c>
    </row>
    <row r="123" spans="1:8" x14ac:dyDescent="0.2">
      <c r="A123" t="s">
        <v>76</v>
      </c>
      <c r="B123" t="s">
        <v>76</v>
      </c>
    </row>
    <row r="124" spans="1:8" x14ac:dyDescent="0.2">
      <c r="A124" t="s">
        <v>78</v>
      </c>
      <c r="B124" t="s">
        <v>1143</v>
      </c>
    </row>
    <row r="125" spans="1:8" x14ac:dyDescent="0.2">
      <c r="A125" t="s">
        <v>127</v>
      </c>
      <c r="B125">
        <f>INDEX('vehicles specifications'!$B$3:$CW$166,MATCH(B120,'vehicles specifications'!$A$3:$A$166,0),MATCH("Lifetime [km]",'vehicles specifications'!$B$2:$CW$2,0))</f>
        <v>40500</v>
      </c>
    </row>
    <row r="126" spans="1:8" x14ac:dyDescent="0.2">
      <c r="A126" t="s">
        <v>128</v>
      </c>
      <c r="B126">
        <f>INDEX('vehicles specifications'!$B$3:$CW$166,MATCH(B120,'vehicles specifications'!$A$3:$A$166,0),MATCH("Passengers [unit]",'vehicles specifications'!$B$2:$CW$2,0))</f>
        <v>1.1000000000000001</v>
      </c>
    </row>
    <row r="127" spans="1:8" x14ac:dyDescent="0.2">
      <c r="A127" t="s">
        <v>129</v>
      </c>
      <c r="B127">
        <f>INDEX('vehicles specifications'!$B$3:$CW$166,MATCH(B120,'vehicles specifications'!$A$3:$A$166,0),MATCH("Servicing [unit]",'vehicles specifications'!$B$2:$CW$2,0))</f>
        <v>1.62</v>
      </c>
    </row>
    <row r="128" spans="1:8" x14ac:dyDescent="0.2">
      <c r="A128" t="s">
        <v>130</v>
      </c>
      <c r="B128">
        <f>INDEX('vehicles specifications'!$B$3:$CW$166,MATCH(B120,'vehicles specifications'!$A$3:$A$166,0),MATCH("Energy battery replacement [unit]",'vehicles specifications'!$B$2:$CW$2,0))</f>
        <v>0</v>
      </c>
    </row>
    <row r="129" spans="1:8" x14ac:dyDescent="0.2">
      <c r="A129" t="s">
        <v>131</v>
      </c>
      <c r="B129">
        <f>INDEX('vehicles specifications'!$B$3:$CW$166,MATCH(B120,'vehicles specifications'!$A$3:$A$166,0),MATCH("Annual kilometers [km]",'vehicles specifications'!$B$2:$CW$2,0))</f>
        <v>2896</v>
      </c>
    </row>
    <row r="130" spans="1:8" x14ac:dyDescent="0.2">
      <c r="A130" t="s">
        <v>132</v>
      </c>
      <c r="B130" s="2">
        <f>INDEX('vehicles specifications'!$B$3:$CW$166,MATCH(B120,'vehicles specifications'!$A$3:$A$166,0),MATCH("Curb mass [kg]",'vehicles specifications'!$B$2:$CW$2,0))</f>
        <v>253.19500000000002</v>
      </c>
    </row>
    <row r="131" spans="1:8" x14ac:dyDescent="0.2">
      <c r="A131" t="s">
        <v>133</v>
      </c>
      <c r="B131">
        <f>INDEX('vehicles specifications'!$B$3:$CW$166,MATCH(B120,'vehicles specifications'!$A$3:$A$166,0),MATCH("Power [kW]",'vehicles specifications'!$B$2:$CW$2,0))</f>
        <v>91</v>
      </c>
    </row>
    <row r="132" spans="1:8" x14ac:dyDescent="0.2">
      <c r="A132" t="s">
        <v>134</v>
      </c>
      <c r="B132" t="str">
        <f>INDEX('vehicles specifications'!$B$3:$CW$166,MATCH(B120,'vehicles specifications'!$A$3:$A$166,0),MATCH("Energy battery mass [kg]",'vehicles specifications'!$B$2:$CW$2,0))</f>
        <v/>
      </c>
    </row>
    <row r="133" spans="1:8" x14ac:dyDescent="0.2">
      <c r="A133" t="s">
        <v>135</v>
      </c>
      <c r="B133">
        <f>INDEX('vehicles specifications'!$B$3:$CW$166,MATCH(B120,'vehicles specifications'!$A$3:$A$166,0),MATCH("Electric energy available [kWh]",'vehicles specifications'!$B$2:$CW$2,0))</f>
        <v>0</v>
      </c>
    </row>
    <row r="134" spans="1:8" x14ac:dyDescent="0.2">
      <c r="A134" t="s">
        <v>138</v>
      </c>
      <c r="B134" s="2">
        <f>INDEX('vehicles specifications'!$B$3:$CW$166,MATCH(B120,'vehicles specifications'!$A$3:$A$166,0),MATCH("Oxydation energy stored [kWh]",'vehicles specifications'!$B$2:$CW$2,0))</f>
        <v>159.75</v>
      </c>
    </row>
    <row r="135" spans="1:8" x14ac:dyDescent="0.2">
      <c r="A135" t="s">
        <v>139</v>
      </c>
      <c r="B135">
        <f>INDEX('vehicles specifications'!$B$3:$CW$166,MATCH(B120,'vehicles specifications'!$A$3:$A$166,0),MATCH("Fuel mass [kg]",'vehicles specifications'!$B$2:$CW$2,0))</f>
        <v>13.5</v>
      </c>
    </row>
    <row r="136" spans="1:8" x14ac:dyDescent="0.2">
      <c r="A136" t="s">
        <v>136</v>
      </c>
      <c r="B136" s="2">
        <f>INDEX('vehicles specifications'!$B$3:$CW$166,MATCH(B120,'vehicles specifications'!$A$3:$A$166,0),MATCH("Range [km]",'vehicles specifications'!$B$2:$CW$2,0))</f>
        <v>300.31069285460501</v>
      </c>
    </row>
    <row r="137" spans="1:8" x14ac:dyDescent="0.2">
      <c r="A137" t="s">
        <v>137</v>
      </c>
      <c r="B137" t="str">
        <f>INDEX('vehicles specifications'!$B$3:$CW$166,MATCH(B120,'vehicles specifications'!$A$3:$A$166,0),MATCH("Emission standard",'vehicles specifications'!$B$2:$CW$2,0))</f>
        <v>EURO-5</v>
      </c>
    </row>
    <row r="138" spans="1:8" x14ac:dyDescent="0.2">
      <c r="A138" t="s">
        <v>1174</v>
      </c>
      <c r="B138" s="6">
        <f>INDEX('vehicles specifications'!$B$3:$CW$166,MATCH(B120,'vehicles specifications'!$A$3:$A$166,0),MATCH("Lightweighting rate [%]",'vehicles specifications'!$B$2:$CW$2,0))</f>
        <v>0.03</v>
      </c>
    </row>
    <row r="139" spans="1:8" x14ac:dyDescent="0.2">
      <c r="A139" t="s">
        <v>485</v>
      </c>
      <c r="B139" s="6" t="s">
        <v>486</v>
      </c>
    </row>
    <row r="140" spans="1:8" x14ac:dyDescent="0.2">
      <c r="A140" t="s">
        <v>487</v>
      </c>
      <c r="B140" s="2">
        <v>15900</v>
      </c>
    </row>
    <row r="141" spans="1:8" x14ac:dyDescent="0.2">
      <c r="A141" t="s">
        <v>488</v>
      </c>
      <c r="B141" s="2">
        <v>1000</v>
      </c>
    </row>
    <row r="142" spans="1:8" x14ac:dyDescent="0.2">
      <c r="A142" t="s">
        <v>83</v>
      </c>
      <c r="B142"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91 kW. Lifetime: 40500 km. Annual kilometers: 2896 km. Number of passengers: 1.1. Curb mass: 253.2 kg. Lightweighting of glider: 3%. Emission standard: EURO-5. Service visits throughout lifetime: 1.6. Range: 300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6" x14ac:dyDescent="0.2">
      <c r="A143" s="10" t="s">
        <v>79</v>
      </c>
    </row>
    <row r="144" spans="1:8" x14ac:dyDescent="0.2">
      <c r="A144" t="s">
        <v>80</v>
      </c>
      <c r="B144" t="s">
        <v>81</v>
      </c>
      <c r="C144" t="s">
        <v>72</v>
      </c>
      <c r="D144" t="s">
        <v>76</v>
      </c>
      <c r="E144" t="s">
        <v>82</v>
      </c>
      <c r="F144" t="s">
        <v>74</v>
      </c>
      <c r="G144" t="s">
        <v>83</v>
      </c>
      <c r="H144" t="s">
        <v>73</v>
      </c>
    </row>
    <row r="145" spans="1:8" x14ac:dyDescent="0.2">
      <c r="A145" t="str">
        <f>B115</f>
        <v>Motorbike, gasoline, &gt;35kW, EURO-5, 2030</v>
      </c>
      <c r="B145">
        <v>1</v>
      </c>
      <c r="C145" t="str">
        <f>B116</f>
        <v>CH</v>
      </c>
      <c r="D145" t="str">
        <f>B123</f>
        <v>unit</v>
      </c>
      <c r="F145" t="s">
        <v>84</v>
      </c>
      <c r="G145" t="s">
        <v>85</v>
      </c>
      <c r="H145" t="str">
        <f>B117</f>
        <v>Motorbike, gasoline, &gt;35kW, EURO-5</v>
      </c>
    </row>
    <row r="146" spans="1:8" x14ac:dyDescent="0.2">
      <c r="A146" t="str">
        <f>INDEX('ei names mapping'!$B$4:$R$33,MATCH(B117,'ei names mapping'!$A$4:$A$33,0),MATCH(G146,'ei names mapping'!$B$3:$R$3,0))</f>
        <v>motor scooter production</v>
      </c>
      <c r="B146" s="11">
        <f>INDEX('vehicles specifications'!$B$3:$CW$166,MATCH(B120,'vehicles specifications'!$A$3:$A$166,0),MATCH(G146,'vehicles specifications'!$B$2:$CW$2,0))*INDEX('ei names mapping'!$B$137:$BL$300,MATCH(B120,'ei names mapping'!$A$137:$A$300,0),MATCH(G146,'ei names mapping'!$B$136:$BL$136,0))</f>
        <v>1.2333333333333334</v>
      </c>
      <c r="C146" t="str">
        <f>INDEX('ei names mapping'!$B$38:$R$67,MATCH(B117,'ei names mapping'!$A$4:$A$33,0),MATCH(G146,'ei names mapping'!$B$3:$R$3,0))</f>
        <v>RER</v>
      </c>
      <c r="D146" t="str">
        <f>INDEX('ei names mapping'!$B$104:$R$133,MATCH(B117,'ei names mapping'!$A$104:$A$133,0),MATCH(G146,'ei names mapping'!$B$3:$R$3,0))</f>
        <v>unit</v>
      </c>
      <c r="F146" t="s">
        <v>89</v>
      </c>
      <c r="G146" t="s">
        <v>15</v>
      </c>
      <c r="H146" t="str">
        <f>INDEX('ei names mapping'!$B$71:$R$100,MATCH(B117,'ei names mapping'!$A$4:$A$33,0),MATCH(G146,'ei names mapping'!$B$3:$R$3,0))</f>
        <v>motor scooter, 50 cubic cm engine</v>
      </c>
    </row>
    <row r="147" spans="1:8" x14ac:dyDescent="0.2">
      <c r="A147" t="str">
        <f>INDEX('ei names mapping'!$B$4:$R$33,MATCH(B117,'ei names mapping'!$A$4:$A$33,0),MATCH(G147,'ei names mapping'!$B$3:$R$3,0))</f>
        <v>motor scooter production</v>
      </c>
      <c r="B147" s="11">
        <f>INDEX('vehicles specifications'!$B$3:$CW$166,MATCH(B120,'vehicles specifications'!$A$3:$A$166,0),MATCH(G147,'vehicles specifications'!$B$2:$CW$2,0))*INDEX('ei names mapping'!$B$137:$BL$300,MATCH(B120,'ei names mapping'!$A$137:$A$300,0),MATCH(G147,'ei names mapping'!$B$136:$BL$136,0))</f>
        <v>1.4444444444444444</v>
      </c>
      <c r="C147" t="str">
        <f>INDEX('ei names mapping'!$B$38:$R$67,MATCH(B117,'ei names mapping'!$A$4:$A$33,0),MATCH(G147,'ei names mapping'!$B$3:$R$3,0))</f>
        <v>RER</v>
      </c>
      <c r="D147" t="str">
        <f>INDEX('ei names mapping'!$B$104:$R$133,MATCH(B117,'ei names mapping'!$A$104:$A$133,0),MATCH(G147,'ei names mapping'!$B$3:$R$3,0))</f>
        <v>unit</v>
      </c>
      <c r="F147" t="s">
        <v>89</v>
      </c>
      <c r="G147" t="s">
        <v>16</v>
      </c>
      <c r="H147" t="str">
        <f>INDEX('ei names mapping'!$B$71:$R$100,MATCH(B117,'ei names mapping'!$A$4:$A$33,0),MATCH(G147,'ei names mapping'!$B$3:$R$3,0))</f>
        <v>motor scooter, 50 cubic cm engine</v>
      </c>
    </row>
    <row r="148" spans="1:8" x14ac:dyDescent="0.2">
      <c r="A148" t="str">
        <f>INDEX('ei names mapping'!$B$4:$R$33,MATCH(B117,'ei names mapping'!$A$4:$A$33,0),MATCH(G148,'ei names mapping'!$B$3:$R$3,0))</f>
        <v>Glider lightweighting</v>
      </c>
      <c r="B148" s="11">
        <f>INDEX('vehicles specifications'!$B$3:$CW$166,MATCH(B120,'vehicles specifications'!$A$3:$A$166,0),MATCH(G148,'vehicles specifications'!$B$2:$CW$2,0))*INDEX('ei names mapping'!$B$137:$BL$300,MATCH(B120,'ei names mapping'!$A$137:$A$300,0),MATCH(G148,'ei names mapping'!$B$136:$BL$136,0))</f>
        <v>3.33</v>
      </c>
      <c r="C148" t="str">
        <f>INDEX('ei names mapping'!$B$38:$R$67,MATCH(B117,'ei names mapping'!$A$4:$A$33,0),MATCH(G148,'ei names mapping'!$B$3:$R$3,0))</f>
        <v>GLO</v>
      </c>
      <c r="D148" t="str">
        <f>INDEX('ei names mapping'!$B$104:$R$133,MATCH(B117,'ei names mapping'!$A$104:$A$133,0),MATCH(G148,'ei names mapping'!$B$3:$R$3,0))</f>
        <v>kilogram</v>
      </c>
      <c r="F148" t="s">
        <v>89</v>
      </c>
      <c r="G148" t="s">
        <v>14</v>
      </c>
      <c r="H148" t="str">
        <f>INDEX('ei names mapping'!$B$71:$R$100,MATCH(B117,'ei names mapping'!$A$4:$A$33,0),MATCH(G148,'ei names mapping'!$B$3:$R$3,0))</f>
        <v>Glider lightweighting</v>
      </c>
    </row>
    <row r="149" spans="1:8" x14ac:dyDescent="0.2">
      <c r="A149" t="str">
        <f>INDEX('ei names mapping'!$B$4:$R$33,MATCH(B117,'ei names mapping'!$A$4:$A$33,0),MATCH(G149,'ei names mapping'!$B$3:$R$3,0))</f>
        <v>polyethylene production, high density, granulate</v>
      </c>
      <c r="B149" s="11">
        <f>INDEX('vehicles specifications'!$B$3:$CW$166,MATCH(B120,'vehicles specifications'!$A$3:$A$166,0),MATCH(G149,'vehicles specifications'!$B$2:$CW$2,0))*INDEX('ei names mapping'!$B$137:$BL$300,MATCH(B120,'ei names mapping'!$A$137:$A$300,0),MATCH(G149,'ei names mapping'!$B$136:$BL$136,0))</f>
        <v>2.0249999999999999</v>
      </c>
      <c r="C149" t="str">
        <f>INDEX('ei names mapping'!$B$38:$R$67,MATCH(B117,'ei names mapping'!$A$4:$A$33,0),MATCH(G149,'ei names mapping'!$B$3:$R$3,0))</f>
        <v>RER</v>
      </c>
      <c r="D149" t="str">
        <f>INDEX('ei names mapping'!$B$104:$R$133,MATCH(B117,'ei names mapping'!$A$104:$A$133,0),MATCH(G149,'ei names mapping'!$B$3:$R$3,0))</f>
        <v>kilogram</v>
      </c>
      <c r="F149" t="s">
        <v>89</v>
      </c>
      <c r="G149" t="s">
        <v>24</v>
      </c>
      <c r="H149" t="str">
        <f>INDEX('ei names mapping'!$B$71:$R$100,MATCH(B117,'ei names mapping'!$A$4:$A$33,0),MATCH(G149,'ei names mapping'!$B$3:$R$3,0))</f>
        <v>polyethylene, high density, granulate</v>
      </c>
    </row>
    <row r="150" spans="1:8" x14ac:dyDescent="0.2">
      <c r="A150" t="s">
        <v>282</v>
      </c>
      <c r="B150" s="6">
        <f>B149/0.994</f>
        <v>2.0372233400402413</v>
      </c>
      <c r="C150" t="s">
        <v>92</v>
      </c>
      <c r="D150" t="s">
        <v>77</v>
      </c>
      <c r="F150" t="s">
        <v>89</v>
      </c>
      <c r="G150" t="s">
        <v>647</v>
      </c>
      <c r="H150" t="s">
        <v>282</v>
      </c>
    </row>
    <row r="151" spans="1:8" x14ac:dyDescent="0.2">
      <c r="A151" s="13" t="s">
        <v>840</v>
      </c>
      <c r="B151">
        <f>(B130/1000)*B141</f>
        <v>253.19499999999999</v>
      </c>
      <c r="C151" t="s">
        <v>92</v>
      </c>
      <c r="D151" t="s">
        <v>233</v>
      </c>
      <c r="F151" t="s">
        <v>89</v>
      </c>
      <c r="H151" s="13" t="s">
        <v>841</v>
      </c>
    </row>
    <row r="152" spans="1:8" x14ac:dyDescent="0.2">
      <c r="A152" s="13" t="s">
        <v>441</v>
      </c>
      <c r="B152" s="2">
        <f>(B130/1000)*B140</f>
        <v>4025.8004999999998</v>
      </c>
      <c r="C152" t="s">
        <v>95</v>
      </c>
      <c r="D152" t="s">
        <v>233</v>
      </c>
      <c r="F152" t="s">
        <v>89</v>
      </c>
      <c r="H152" s="13" t="s">
        <v>441</v>
      </c>
    </row>
    <row r="154" spans="1:8" ht="16" x14ac:dyDescent="0.2">
      <c r="A154" s="10" t="s">
        <v>71</v>
      </c>
      <c r="B154" s="8" t="str">
        <f>B156&amp;", "&amp;B158</f>
        <v>Motorbike, gasoline, &gt;35kW, EURO-5, 2040</v>
      </c>
    </row>
    <row r="155" spans="1:8" x14ac:dyDescent="0.2">
      <c r="A155" t="s">
        <v>72</v>
      </c>
      <c r="B155" t="s">
        <v>37</v>
      </c>
    </row>
    <row r="156" spans="1:8" x14ac:dyDescent="0.2">
      <c r="A156" t="s">
        <v>86</v>
      </c>
      <c r="B156" t="s">
        <v>631</v>
      </c>
    </row>
    <row r="157" spans="1:8" x14ac:dyDescent="0.2">
      <c r="A157" t="s">
        <v>87</v>
      </c>
    </row>
    <row r="158" spans="1:8" x14ac:dyDescent="0.2">
      <c r="A158" t="s">
        <v>88</v>
      </c>
      <c r="B158">
        <v>2040</v>
      </c>
    </row>
    <row r="159" spans="1:8" x14ac:dyDescent="0.2">
      <c r="A159" t="s">
        <v>126</v>
      </c>
      <c r="B159" t="str">
        <f>B156&amp;" - "&amp;B158&amp;" - "&amp;B155</f>
        <v>Motorbike, gasoline, &gt;35kW, EURO-5 - 2040 - CH</v>
      </c>
    </row>
    <row r="160" spans="1:8" x14ac:dyDescent="0.2">
      <c r="A160" t="s">
        <v>73</v>
      </c>
      <c r="B160" t="str">
        <f>B156</f>
        <v>Motorbike, gasoline, &gt;35kW, EURO-5</v>
      </c>
    </row>
    <row r="161" spans="1:2" x14ac:dyDescent="0.2">
      <c r="A161" t="s">
        <v>74</v>
      </c>
      <c r="B161" t="s">
        <v>75</v>
      </c>
    </row>
    <row r="162" spans="1:2" x14ac:dyDescent="0.2">
      <c r="A162" t="s">
        <v>76</v>
      </c>
      <c r="B162" t="s">
        <v>76</v>
      </c>
    </row>
    <row r="163" spans="1:2" x14ac:dyDescent="0.2">
      <c r="A163" t="s">
        <v>78</v>
      </c>
      <c r="B163" t="s">
        <v>1143</v>
      </c>
    </row>
    <row r="164" spans="1:2" x14ac:dyDescent="0.2">
      <c r="A164" t="s">
        <v>127</v>
      </c>
      <c r="B164">
        <f>INDEX('vehicles specifications'!$B$3:$CW$166,MATCH(B159,'vehicles specifications'!$A$3:$A$166,0),MATCH("Lifetime [km]",'vehicles specifications'!$B$2:$CW$2,0))</f>
        <v>40500</v>
      </c>
    </row>
    <row r="165" spans="1:2" x14ac:dyDescent="0.2">
      <c r="A165" t="s">
        <v>128</v>
      </c>
      <c r="B165">
        <f>INDEX('vehicles specifications'!$B$3:$CW$166,MATCH(B159,'vehicles specifications'!$A$3:$A$166,0),MATCH("Passengers [unit]",'vehicles specifications'!$B$2:$CW$2,0))</f>
        <v>1.1000000000000001</v>
      </c>
    </row>
    <row r="166" spans="1:2" x14ac:dyDescent="0.2">
      <c r="A166" t="s">
        <v>129</v>
      </c>
      <c r="B166">
        <f>INDEX('vehicles specifications'!$B$3:$CW$166,MATCH(B159,'vehicles specifications'!$A$3:$A$166,0),MATCH("Servicing [unit]",'vehicles specifications'!$B$2:$CW$2,0))</f>
        <v>1.62</v>
      </c>
    </row>
    <row r="167" spans="1:2" x14ac:dyDescent="0.2">
      <c r="A167" t="s">
        <v>130</v>
      </c>
      <c r="B167">
        <f>INDEX('vehicles specifications'!$B$3:$CW$166,MATCH(B159,'vehicles specifications'!$A$3:$A$166,0),MATCH("Energy battery replacement [unit]",'vehicles specifications'!$B$2:$CW$2,0))</f>
        <v>0</v>
      </c>
    </row>
    <row r="168" spans="1:2" x14ac:dyDescent="0.2">
      <c r="A168" t="s">
        <v>131</v>
      </c>
      <c r="B168">
        <f>INDEX('vehicles specifications'!$B$3:$CW$166,MATCH(B159,'vehicles specifications'!$A$3:$A$166,0),MATCH("Annual kilometers [km]",'vehicles specifications'!$B$2:$CW$2,0))</f>
        <v>2896</v>
      </c>
    </row>
    <row r="169" spans="1:2" x14ac:dyDescent="0.2">
      <c r="A169" t="s">
        <v>132</v>
      </c>
      <c r="B169" s="2">
        <f>INDEX('vehicles specifications'!$B$3:$CW$166,MATCH(B159,'vehicles specifications'!$A$3:$A$166,0),MATCH("Curb mass [kg]",'vehicles specifications'!$B$2:$CW$2,0))</f>
        <v>250.97499999999999</v>
      </c>
    </row>
    <row r="170" spans="1:2" x14ac:dyDescent="0.2">
      <c r="A170" t="s">
        <v>133</v>
      </c>
      <c r="B170">
        <f>INDEX('vehicles specifications'!$B$3:$CW$166,MATCH(B159,'vehicles specifications'!$A$3:$A$166,0),MATCH("Power [kW]",'vehicles specifications'!$B$2:$CW$2,0))</f>
        <v>91</v>
      </c>
    </row>
    <row r="171" spans="1:2" x14ac:dyDescent="0.2">
      <c r="A171" t="s">
        <v>134</v>
      </c>
      <c r="B171" t="str">
        <f>INDEX('vehicles specifications'!$B$3:$CW$166,MATCH(B159,'vehicles specifications'!$A$3:$A$166,0),MATCH("Energy battery mass [kg]",'vehicles specifications'!$B$2:$CW$2,0))</f>
        <v/>
      </c>
    </row>
    <row r="172" spans="1:2" x14ac:dyDescent="0.2">
      <c r="A172" t="s">
        <v>135</v>
      </c>
      <c r="B172">
        <f>INDEX('vehicles specifications'!$B$3:$CW$166,MATCH(B159,'vehicles specifications'!$A$3:$A$166,0),MATCH("Electric energy available [kWh]",'vehicles specifications'!$B$2:$CW$2,0))</f>
        <v>0</v>
      </c>
    </row>
    <row r="173" spans="1:2" x14ac:dyDescent="0.2">
      <c r="A173" t="s">
        <v>138</v>
      </c>
      <c r="B173" s="2">
        <f>INDEX('vehicles specifications'!$B$3:$CW$166,MATCH(B159,'vehicles specifications'!$A$3:$A$166,0),MATCH("Oxydation energy stored [kWh]",'vehicles specifications'!$B$2:$CW$2,0))</f>
        <v>159.75</v>
      </c>
    </row>
    <row r="174" spans="1:2" x14ac:dyDescent="0.2">
      <c r="A174" t="s">
        <v>139</v>
      </c>
      <c r="B174">
        <f>INDEX('vehicles specifications'!$B$3:$CW$166,MATCH(B159,'vehicles specifications'!$A$3:$A$166,0),MATCH("Fuel mass [kg]",'vehicles specifications'!$B$2:$CW$2,0))</f>
        <v>13.5</v>
      </c>
    </row>
    <row r="175" spans="1:2" x14ac:dyDescent="0.2">
      <c r="A175" t="s">
        <v>136</v>
      </c>
      <c r="B175" s="2">
        <f>INDEX('vehicles specifications'!$B$3:$CW$166,MATCH(B159,'vehicles specifications'!$A$3:$A$166,0),MATCH("Range [km]",'vehicles specifications'!$B$2:$CW$2,0))</f>
        <v>303.34413419657068</v>
      </c>
    </row>
    <row r="176" spans="1:2" x14ac:dyDescent="0.2">
      <c r="A176" t="s">
        <v>137</v>
      </c>
      <c r="B176" t="str">
        <f>INDEX('vehicles specifications'!$B$3:$CW$166,MATCH(B159,'vehicles specifications'!$A$3:$A$166,0),MATCH("Emission standard",'vehicles specifications'!$B$2:$CW$2,0))</f>
        <v>EURO-5</v>
      </c>
    </row>
    <row r="177" spans="1:8" x14ac:dyDescent="0.2">
      <c r="A177" t="s">
        <v>1174</v>
      </c>
      <c r="B177" s="6">
        <f>INDEX('vehicles specifications'!$B$3:$CW$166,MATCH(B159,'vehicles specifications'!$A$3:$A$166,0),MATCH("Lightweighting rate [%]",'vehicles specifications'!$B$2:$CW$2,0))</f>
        <v>0.05</v>
      </c>
    </row>
    <row r="178" spans="1:8" x14ac:dyDescent="0.2">
      <c r="A178" t="s">
        <v>485</v>
      </c>
      <c r="B178" s="6" t="s">
        <v>486</v>
      </c>
    </row>
    <row r="179" spans="1:8" x14ac:dyDescent="0.2">
      <c r="A179" t="s">
        <v>487</v>
      </c>
      <c r="B179" s="2">
        <v>15900</v>
      </c>
    </row>
    <row r="180" spans="1:8" x14ac:dyDescent="0.2">
      <c r="A180" t="s">
        <v>488</v>
      </c>
      <c r="B180" s="2">
        <v>1000</v>
      </c>
    </row>
    <row r="181" spans="1:8" x14ac:dyDescent="0.2">
      <c r="A181" t="s">
        <v>83</v>
      </c>
      <c r="B18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91 kW. Lifetime: 40500 km. Annual kilometers: 2896 km. Number of passengers: 1.1. Curb mass: 251 kg. Lightweighting of glider: 5%. Emission standard: EURO-5. Service visits throughout lifetime: 1.6. Range: 303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6" x14ac:dyDescent="0.2">
      <c r="A182" s="10" t="s">
        <v>79</v>
      </c>
    </row>
    <row r="183" spans="1:8" x14ac:dyDescent="0.2">
      <c r="A183" t="s">
        <v>80</v>
      </c>
      <c r="B183" t="s">
        <v>81</v>
      </c>
      <c r="C183" t="s">
        <v>72</v>
      </c>
      <c r="D183" t="s">
        <v>76</v>
      </c>
      <c r="E183" t="s">
        <v>82</v>
      </c>
      <c r="F183" t="s">
        <v>74</v>
      </c>
      <c r="G183" t="s">
        <v>83</v>
      </c>
      <c r="H183" t="s">
        <v>73</v>
      </c>
    </row>
    <row r="184" spans="1:8" x14ac:dyDescent="0.2">
      <c r="A184" t="str">
        <f>B154</f>
        <v>Motorbike, gasoline, &gt;35kW, EURO-5, 2040</v>
      </c>
      <c r="B184">
        <v>1</v>
      </c>
      <c r="C184" t="str">
        <f>B155</f>
        <v>CH</v>
      </c>
      <c r="D184" t="str">
        <f>B162</f>
        <v>unit</v>
      </c>
      <c r="F184" t="s">
        <v>84</v>
      </c>
      <c r="G184" t="s">
        <v>85</v>
      </c>
      <c r="H184" t="str">
        <f>B156</f>
        <v>Motorbike, gasoline, &gt;35kW, EURO-5</v>
      </c>
    </row>
    <row r="185" spans="1:8" x14ac:dyDescent="0.2">
      <c r="A185" t="str">
        <f>INDEX('ei names mapping'!$B$4:$R$33,MATCH(B156,'ei names mapping'!$A$4:$A$33,0),MATCH(G185,'ei names mapping'!$B$3:$R$3,0))</f>
        <v>motor scooter production</v>
      </c>
      <c r="B185" s="11">
        <f>INDEX('vehicles specifications'!$B$3:$CW$166,MATCH(B159,'vehicles specifications'!$A$3:$A$166,0),MATCH(G185,'vehicles specifications'!$B$2:$CW$2,0))*INDEX('ei names mapping'!$B$137:$BL$300,MATCH(B159,'ei names mapping'!$A$137:$A$300,0),MATCH(G185,'ei names mapping'!$B$136:$BL$136,0))</f>
        <v>1.2333333333333334</v>
      </c>
      <c r="C185" t="str">
        <f>INDEX('ei names mapping'!$B$38:$R$67,MATCH(B156,'ei names mapping'!$A$4:$A$33,0),MATCH(G185,'ei names mapping'!$B$3:$R$3,0))</f>
        <v>RER</v>
      </c>
      <c r="D185" t="str">
        <f>INDEX('ei names mapping'!$B$104:$R$133,MATCH(B156,'ei names mapping'!$A$104:$A$133,0),MATCH(G185,'ei names mapping'!$B$3:$R$3,0))</f>
        <v>unit</v>
      </c>
      <c r="F185" t="s">
        <v>89</v>
      </c>
      <c r="G185" t="s">
        <v>15</v>
      </c>
      <c r="H185" t="str">
        <f>INDEX('ei names mapping'!$B$71:$R$100,MATCH(B156,'ei names mapping'!$A$4:$A$33,0),MATCH(G185,'ei names mapping'!$B$3:$R$3,0))</f>
        <v>motor scooter, 50 cubic cm engine</v>
      </c>
    </row>
    <row r="186" spans="1:8" x14ac:dyDescent="0.2">
      <c r="A186" t="str">
        <f>INDEX('ei names mapping'!$B$4:$R$33,MATCH(B156,'ei names mapping'!$A$4:$A$33,0),MATCH(G186,'ei names mapping'!$B$3:$R$3,0))</f>
        <v>motor scooter production</v>
      </c>
      <c r="B186" s="11">
        <f>INDEX('vehicles specifications'!$B$3:$CW$166,MATCH(B159,'vehicles specifications'!$A$3:$A$166,0),MATCH(G186,'vehicles specifications'!$B$2:$CW$2,0))*INDEX('ei names mapping'!$B$137:$BL$300,MATCH(B159,'ei names mapping'!$A$137:$A$300,0),MATCH(G186,'ei names mapping'!$B$136:$BL$136,0))</f>
        <v>1.4444444444444444</v>
      </c>
      <c r="C186" t="str">
        <f>INDEX('ei names mapping'!$B$38:$R$67,MATCH(B156,'ei names mapping'!$A$4:$A$33,0),MATCH(G186,'ei names mapping'!$B$3:$R$3,0))</f>
        <v>RER</v>
      </c>
      <c r="D186" t="str">
        <f>INDEX('ei names mapping'!$B$104:$R$133,MATCH(B156,'ei names mapping'!$A$104:$A$133,0),MATCH(G186,'ei names mapping'!$B$3:$R$3,0))</f>
        <v>unit</v>
      </c>
      <c r="F186" t="s">
        <v>89</v>
      </c>
      <c r="G186" t="s">
        <v>16</v>
      </c>
      <c r="H186" t="str">
        <f>INDEX('ei names mapping'!$B$71:$R$100,MATCH(B156,'ei names mapping'!$A$4:$A$33,0),MATCH(G186,'ei names mapping'!$B$3:$R$3,0))</f>
        <v>motor scooter, 50 cubic cm engine</v>
      </c>
    </row>
    <row r="187" spans="1:8" x14ac:dyDescent="0.2">
      <c r="A187" t="str">
        <f>INDEX('ei names mapping'!$B$4:$R$33,MATCH(B156,'ei names mapping'!$A$4:$A$33,0),MATCH(G187,'ei names mapping'!$B$3:$R$3,0))</f>
        <v>Glider lightweighting</v>
      </c>
      <c r="B187" s="11">
        <f>INDEX('vehicles specifications'!$B$3:$CW$166,MATCH(B159,'vehicles specifications'!$A$3:$A$166,0),MATCH(G187,'vehicles specifications'!$B$2:$CW$2,0))*INDEX('ei names mapping'!$B$137:$BL$300,MATCH(B159,'ei names mapping'!$A$137:$A$300,0),MATCH(G187,'ei names mapping'!$B$136:$BL$136,0))</f>
        <v>5.5500000000000007</v>
      </c>
      <c r="C187" t="str">
        <f>INDEX('ei names mapping'!$B$38:$R$67,MATCH(B156,'ei names mapping'!$A$4:$A$33,0),MATCH(G187,'ei names mapping'!$B$3:$R$3,0))</f>
        <v>GLO</v>
      </c>
      <c r="D187" t="str">
        <f>INDEX('ei names mapping'!$B$104:$R$133,MATCH(B156,'ei names mapping'!$A$104:$A$133,0),MATCH(G187,'ei names mapping'!$B$3:$R$3,0))</f>
        <v>kilogram</v>
      </c>
      <c r="F187" t="s">
        <v>89</v>
      </c>
      <c r="G187" t="s">
        <v>14</v>
      </c>
      <c r="H187" t="str">
        <f>INDEX('ei names mapping'!$B$71:$R$100,MATCH(B156,'ei names mapping'!$A$4:$A$33,0),MATCH(G187,'ei names mapping'!$B$3:$R$3,0))</f>
        <v>Glider lightweighting</v>
      </c>
    </row>
    <row r="188" spans="1:8" x14ac:dyDescent="0.2">
      <c r="A188" t="str">
        <f>INDEX('ei names mapping'!$B$4:$R$33,MATCH(B156,'ei names mapping'!$A$4:$A$33,0),MATCH(G188,'ei names mapping'!$B$3:$R$3,0))</f>
        <v>polyethylene production, high density, granulate</v>
      </c>
      <c r="B188" s="11">
        <f>INDEX('vehicles specifications'!$B$3:$CW$166,MATCH(B159,'vehicles specifications'!$A$3:$A$166,0),MATCH(G188,'vehicles specifications'!$B$2:$CW$2,0))*INDEX('ei names mapping'!$B$137:$BL$300,MATCH(B159,'ei names mapping'!$A$137:$A$300,0),MATCH(G188,'ei names mapping'!$B$136:$BL$136,0))</f>
        <v>2.0249999999999999</v>
      </c>
      <c r="C188" t="str">
        <f>INDEX('ei names mapping'!$B$38:$R$67,MATCH(B156,'ei names mapping'!$A$4:$A$33,0),MATCH(G188,'ei names mapping'!$B$3:$R$3,0))</f>
        <v>RER</v>
      </c>
      <c r="D188" t="str">
        <f>INDEX('ei names mapping'!$B$104:$R$133,MATCH(B156,'ei names mapping'!$A$104:$A$133,0),MATCH(G188,'ei names mapping'!$B$3:$R$3,0))</f>
        <v>kilogram</v>
      </c>
      <c r="F188" t="s">
        <v>89</v>
      </c>
      <c r="G188" t="s">
        <v>24</v>
      </c>
      <c r="H188" t="str">
        <f>INDEX('ei names mapping'!$B$71:$R$100,MATCH(B156,'ei names mapping'!$A$4:$A$33,0),MATCH(G188,'ei names mapping'!$B$3:$R$3,0))</f>
        <v>polyethylene, high density, granulate</v>
      </c>
    </row>
    <row r="189" spans="1:8" x14ac:dyDescent="0.2">
      <c r="A189" t="s">
        <v>282</v>
      </c>
      <c r="B189" s="6">
        <f>B188/0.994</f>
        <v>2.0372233400402413</v>
      </c>
      <c r="C189" t="s">
        <v>92</v>
      </c>
      <c r="D189" t="s">
        <v>77</v>
      </c>
      <c r="F189" t="s">
        <v>89</v>
      </c>
      <c r="G189" t="s">
        <v>647</v>
      </c>
      <c r="H189" t="s">
        <v>282</v>
      </c>
    </row>
    <row r="190" spans="1:8" x14ac:dyDescent="0.2">
      <c r="A190" s="13" t="s">
        <v>840</v>
      </c>
      <c r="B190">
        <f>(B169/1000)*B180</f>
        <v>250.97499999999999</v>
      </c>
      <c r="C190" t="s">
        <v>92</v>
      </c>
      <c r="D190" t="s">
        <v>233</v>
      </c>
      <c r="F190" t="s">
        <v>89</v>
      </c>
      <c r="H190" s="13" t="s">
        <v>841</v>
      </c>
    </row>
    <row r="191" spans="1:8" x14ac:dyDescent="0.2">
      <c r="A191" s="13" t="s">
        <v>441</v>
      </c>
      <c r="B191" s="2">
        <f>(B169/1000)*B179</f>
        <v>3990.5025000000001</v>
      </c>
      <c r="C191" t="s">
        <v>95</v>
      </c>
      <c r="D191" t="s">
        <v>233</v>
      </c>
      <c r="F191" t="s">
        <v>89</v>
      </c>
      <c r="H191" s="13" t="s">
        <v>441</v>
      </c>
    </row>
    <row r="193" spans="1:2" ht="16" x14ac:dyDescent="0.2">
      <c r="A193" s="10" t="s">
        <v>71</v>
      </c>
      <c r="B193" s="8" t="str">
        <f>B195&amp;", "&amp;B197</f>
        <v>Motorbike, gasoline, &gt;35kW, EURO-5, 2050</v>
      </c>
    </row>
    <row r="194" spans="1:2" x14ac:dyDescent="0.2">
      <c r="A194" t="s">
        <v>72</v>
      </c>
      <c r="B194" t="s">
        <v>37</v>
      </c>
    </row>
    <row r="195" spans="1:2" x14ac:dyDescent="0.2">
      <c r="A195" t="s">
        <v>86</v>
      </c>
      <c r="B195" t="s">
        <v>631</v>
      </c>
    </row>
    <row r="196" spans="1:2" x14ac:dyDescent="0.2">
      <c r="A196" t="s">
        <v>87</v>
      </c>
    </row>
    <row r="197" spans="1:2" x14ac:dyDescent="0.2">
      <c r="A197" t="s">
        <v>88</v>
      </c>
      <c r="B197">
        <v>2050</v>
      </c>
    </row>
    <row r="198" spans="1:2" x14ac:dyDescent="0.2">
      <c r="A198" t="s">
        <v>126</v>
      </c>
      <c r="B198" t="str">
        <f>B195&amp;" - "&amp;B197&amp;" - "&amp;B194</f>
        <v>Motorbike, gasoline, &gt;35kW, EURO-5 - 2050 - CH</v>
      </c>
    </row>
    <row r="199" spans="1:2" x14ac:dyDescent="0.2">
      <c r="A199" t="s">
        <v>73</v>
      </c>
      <c r="B199" t="str">
        <f>B195</f>
        <v>Motorbike, gasoline, &gt;35kW, EURO-5</v>
      </c>
    </row>
    <row r="200" spans="1:2" x14ac:dyDescent="0.2">
      <c r="A200" t="s">
        <v>74</v>
      </c>
      <c r="B200" t="s">
        <v>75</v>
      </c>
    </row>
    <row r="201" spans="1:2" x14ac:dyDescent="0.2">
      <c r="A201" t="s">
        <v>76</v>
      </c>
      <c r="B201" t="s">
        <v>76</v>
      </c>
    </row>
    <row r="202" spans="1:2" x14ac:dyDescent="0.2">
      <c r="A202" t="s">
        <v>78</v>
      </c>
      <c r="B202" t="s">
        <v>1143</v>
      </c>
    </row>
    <row r="203" spans="1:2" x14ac:dyDescent="0.2">
      <c r="A203" t="s">
        <v>127</v>
      </c>
      <c r="B203">
        <f>INDEX('vehicles specifications'!$B$3:$CW$166,MATCH(B198,'vehicles specifications'!$A$3:$A$166,0),MATCH("Lifetime [km]",'vehicles specifications'!$B$2:$CW$2,0))</f>
        <v>40500</v>
      </c>
    </row>
    <row r="204" spans="1:2" x14ac:dyDescent="0.2">
      <c r="A204" t="s">
        <v>128</v>
      </c>
      <c r="B204">
        <f>INDEX('vehicles specifications'!$B$3:$CW$166,MATCH(B198,'vehicles specifications'!$A$3:$A$166,0),MATCH("Passengers [unit]",'vehicles specifications'!$B$2:$CW$2,0))</f>
        <v>1.1000000000000001</v>
      </c>
    </row>
    <row r="205" spans="1:2" x14ac:dyDescent="0.2">
      <c r="A205" t="s">
        <v>129</v>
      </c>
      <c r="B205">
        <f>INDEX('vehicles specifications'!$B$3:$CW$166,MATCH(B198,'vehicles specifications'!$A$3:$A$166,0),MATCH("Servicing [unit]",'vehicles specifications'!$B$2:$CW$2,0))</f>
        <v>1.62</v>
      </c>
    </row>
    <row r="206" spans="1:2" x14ac:dyDescent="0.2">
      <c r="A206" t="s">
        <v>130</v>
      </c>
      <c r="B206">
        <f>INDEX('vehicles specifications'!$B$3:$CW$166,MATCH(B198,'vehicles specifications'!$A$3:$A$166,0),MATCH("Energy battery replacement [unit]",'vehicles specifications'!$B$2:$CW$2,0))</f>
        <v>0</v>
      </c>
    </row>
    <row r="207" spans="1:2" x14ac:dyDescent="0.2">
      <c r="A207" t="s">
        <v>131</v>
      </c>
      <c r="B207">
        <f>INDEX('vehicles specifications'!$B$3:$CW$166,MATCH(B198,'vehicles specifications'!$A$3:$A$166,0),MATCH("Annual kilometers [km]",'vehicles specifications'!$B$2:$CW$2,0))</f>
        <v>2896</v>
      </c>
    </row>
    <row r="208" spans="1:2" x14ac:dyDescent="0.2">
      <c r="A208" t="s">
        <v>132</v>
      </c>
      <c r="B208" s="2">
        <f>INDEX('vehicles specifications'!$B$3:$CW$166,MATCH(B198,'vehicles specifications'!$A$3:$A$166,0),MATCH("Curb mass [kg]",'vehicles specifications'!$B$2:$CW$2,0))</f>
        <v>248.755</v>
      </c>
    </row>
    <row r="209" spans="1:8" x14ac:dyDescent="0.2">
      <c r="A209" t="s">
        <v>133</v>
      </c>
      <c r="B209">
        <f>INDEX('vehicles specifications'!$B$3:$CW$166,MATCH(B198,'vehicles specifications'!$A$3:$A$166,0),MATCH("Power [kW]",'vehicles specifications'!$B$2:$CW$2,0))</f>
        <v>91</v>
      </c>
    </row>
    <row r="210" spans="1:8" x14ac:dyDescent="0.2">
      <c r="A210" t="s">
        <v>134</v>
      </c>
      <c r="B210" t="str">
        <f>INDEX('vehicles specifications'!$B$3:$CW$166,MATCH(B198,'vehicles specifications'!$A$3:$A$166,0),MATCH("Energy battery mass [kg]",'vehicles specifications'!$B$2:$CW$2,0))</f>
        <v/>
      </c>
    </row>
    <row r="211" spans="1:8" x14ac:dyDescent="0.2">
      <c r="A211" t="s">
        <v>135</v>
      </c>
      <c r="B211">
        <f>INDEX('vehicles specifications'!$B$3:$CW$166,MATCH(B198,'vehicles specifications'!$A$3:$A$166,0),MATCH("Electric energy available [kWh]",'vehicles specifications'!$B$2:$CW$2,0))</f>
        <v>0</v>
      </c>
    </row>
    <row r="212" spans="1:8" x14ac:dyDescent="0.2">
      <c r="A212" t="s">
        <v>138</v>
      </c>
      <c r="B212" s="2">
        <f>INDEX('vehicles specifications'!$B$3:$CW$166,MATCH(B198,'vehicles specifications'!$A$3:$A$166,0),MATCH("Oxydation energy stored [kWh]",'vehicles specifications'!$B$2:$CW$2,0))</f>
        <v>159.75</v>
      </c>
    </row>
    <row r="213" spans="1:8" x14ac:dyDescent="0.2">
      <c r="A213" t="s">
        <v>139</v>
      </c>
      <c r="B213">
        <f>INDEX('vehicles specifications'!$B$3:$CW$166,MATCH(B198,'vehicles specifications'!$A$3:$A$166,0),MATCH("Fuel mass [kg]",'vehicles specifications'!$B$2:$CW$2,0))</f>
        <v>13.5</v>
      </c>
    </row>
    <row r="214" spans="1:8" x14ac:dyDescent="0.2">
      <c r="A214" t="s">
        <v>136</v>
      </c>
      <c r="B214" s="2">
        <f>INDEX('vehicles specifications'!$B$3:$CW$166,MATCH(B198,'vehicles specifications'!$A$3:$A$166,0),MATCH("Range [km]",'vehicles specifications'!$B$2:$CW$2,0))</f>
        <v>306.40821636017245</v>
      </c>
    </row>
    <row r="215" spans="1:8" x14ac:dyDescent="0.2">
      <c r="A215" t="s">
        <v>137</v>
      </c>
      <c r="B215" t="str">
        <f>INDEX('vehicles specifications'!$B$3:$CW$166,MATCH(B198,'vehicles specifications'!$A$3:$A$166,0),MATCH("Emission standard",'vehicles specifications'!$B$2:$CW$2,0))</f>
        <v>EURO-5</v>
      </c>
    </row>
    <row r="216" spans="1:8" x14ac:dyDescent="0.2">
      <c r="A216" t="s">
        <v>1174</v>
      </c>
      <c r="B216" s="6">
        <f>INDEX('vehicles specifications'!$B$3:$CW$166,MATCH(B198,'vehicles specifications'!$A$3:$A$166,0),MATCH("Lightweighting rate [%]",'vehicles specifications'!$B$2:$CW$2,0))</f>
        <v>7.0000000000000007E-2</v>
      </c>
    </row>
    <row r="217" spans="1:8" x14ac:dyDescent="0.2">
      <c r="A217" t="s">
        <v>485</v>
      </c>
      <c r="B217" s="6" t="s">
        <v>486</v>
      </c>
    </row>
    <row r="218" spans="1:8" x14ac:dyDescent="0.2">
      <c r="A218" t="s">
        <v>487</v>
      </c>
      <c r="B218" s="2">
        <v>15900</v>
      </c>
    </row>
    <row r="219" spans="1:8" x14ac:dyDescent="0.2">
      <c r="A219" t="s">
        <v>488</v>
      </c>
      <c r="B219" s="2">
        <v>1000</v>
      </c>
    </row>
    <row r="220" spans="1:8" x14ac:dyDescent="0.2">
      <c r="A220" t="s">
        <v>83</v>
      </c>
      <c r="B220"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91 kW. Lifetime: 40500 km. Annual kilometers: 2896 km. Number of passengers: 1.1. Curb mass: 248.8 kg. Lightweighting of glider: 7%. Emission standard: EURO-5. Service visits throughout lifetime: 1.6. Range: 306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6" x14ac:dyDescent="0.2">
      <c r="A221" s="10" t="s">
        <v>79</v>
      </c>
    </row>
    <row r="222" spans="1:8" x14ac:dyDescent="0.2">
      <c r="A222" t="s">
        <v>80</v>
      </c>
      <c r="B222" t="s">
        <v>81</v>
      </c>
      <c r="C222" t="s">
        <v>72</v>
      </c>
      <c r="D222" t="s">
        <v>76</v>
      </c>
      <c r="E222" t="s">
        <v>82</v>
      </c>
      <c r="F222" t="s">
        <v>74</v>
      </c>
      <c r="G222" t="s">
        <v>83</v>
      </c>
      <c r="H222" t="s">
        <v>73</v>
      </c>
    </row>
    <row r="223" spans="1:8" x14ac:dyDescent="0.2">
      <c r="A223" t="str">
        <f>B193</f>
        <v>Motorbike, gasoline, &gt;35kW, EURO-5, 2050</v>
      </c>
      <c r="B223">
        <v>1</v>
      </c>
      <c r="C223" t="str">
        <f>B194</f>
        <v>CH</v>
      </c>
      <c r="D223" t="str">
        <f>B201</f>
        <v>unit</v>
      </c>
      <c r="F223" t="s">
        <v>84</v>
      </c>
      <c r="G223" t="s">
        <v>85</v>
      </c>
      <c r="H223" t="str">
        <f>B195</f>
        <v>Motorbike, gasoline, &gt;35kW, EURO-5</v>
      </c>
    </row>
    <row r="224" spans="1:8" x14ac:dyDescent="0.2">
      <c r="A224" t="str">
        <f>INDEX('ei names mapping'!$B$4:$R$33,MATCH(B195,'ei names mapping'!$A$4:$A$33,0),MATCH(G224,'ei names mapping'!$B$3:$R$3,0))</f>
        <v>motor scooter production</v>
      </c>
      <c r="B224" s="11">
        <f>INDEX('vehicles specifications'!$B$3:$CW$166,MATCH(B198,'vehicles specifications'!$A$3:$A$166,0),MATCH(G224,'vehicles specifications'!$B$2:$CW$2,0))*INDEX('ei names mapping'!$B$137:$BL$300,MATCH(B198,'ei names mapping'!$A$137:$A$300,0),MATCH(G224,'ei names mapping'!$B$136:$BL$136,0))</f>
        <v>1.2333333333333334</v>
      </c>
      <c r="C224" t="str">
        <f>INDEX('ei names mapping'!$B$38:$R$67,MATCH(B195,'ei names mapping'!$A$4:$A$33,0),MATCH(G224,'ei names mapping'!$B$3:$R$3,0))</f>
        <v>RER</v>
      </c>
      <c r="D224" t="str">
        <f>INDEX('ei names mapping'!$B$104:$R$133,MATCH(B195,'ei names mapping'!$A$104:$A$133,0),MATCH(G224,'ei names mapping'!$B$3:$R$3,0))</f>
        <v>unit</v>
      </c>
      <c r="F224" t="s">
        <v>89</v>
      </c>
      <c r="G224" t="s">
        <v>15</v>
      </c>
      <c r="H224" t="str">
        <f>INDEX('ei names mapping'!$B$71:$R$100,MATCH(B195,'ei names mapping'!$A$4:$A$33,0),MATCH(G224,'ei names mapping'!$B$3:$R$3,0))</f>
        <v>motor scooter, 50 cubic cm engine</v>
      </c>
    </row>
    <row r="225" spans="1:8" x14ac:dyDescent="0.2">
      <c r="A225" t="str">
        <f>INDEX('ei names mapping'!$B$4:$R$33,MATCH(B195,'ei names mapping'!$A$4:$A$33,0),MATCH(G225,'ei names mapping'!$B$3:$R$3,0))</f>
        <v>motor scooter production</v>
      </c>
      <c r="B225" s="11">
        <f>INDEX('vehicles specifications'!$B$3:$CW$166,MATCH(B198,'vehicles specifications'!$A$3:$A$166,0),MATCH(G225,'vehicles specifications'!$B$2:$CW$2,0))*INDEX('ei names mapping'!$B$137:$BL$300,MATCH(B198,'ei names mapping'!$A$137:$A$300,0),MATCH(G225,'ei names mapping'!$B$136:$BL$136,0))</f>
        <v>1.4444444444444444</v>
      </c>
      <c r="C225" t="str">
        <f>INDEX('ei names mapping'!$B$38:$R$67,MATCH(B195,'ei names mapping'!$A$4:$A$33,0),MATCH(G225,'ei names mapping'!$B$3:$R$3,0))</f>
        <v>RER</v>
      </c>
      <c r="D225" t="str">
        <f>INDEX('ei names mapping'!$B$104:$R$133,MATCH(B195,'ei names mapping'!$A$104:$A$133,0),MATCH(G225,'ei names mapping'!$B$3:$R$3,0))</f>
        <v>unit</v>
      </c>
      <c r="F225" t="s">
        <v>89</v>
      </c>
      <c r="G225" t="s">
        <v>16</v>
      </c>
      <c r="H225" t="str">
        <f>INDEX('ei names mapping'!$B$71:$R$100,MATCH(B195,'ei names mapping'!$A$4:$A$33,0),MATCH(G225,'ei names mapping'!$B$3:$R$3,0))</f>
        <v>motor scooter, 50 cubic cm engine</v>
      </c>
    </row>
    <row r="226" spans="1:8" x14ac:dyDescent="0.2">
      <c r="A226" t="str">
        <f>INDEX('ei names mapping'!$B$4:$R$33,MATCH(B195,'ei names mapping'!$A$4:$A$33,0),MATCH(G226,'ei names mapping'!$B$3:$R$3,0))</f>
        <v>Glider lightweighting</v>
      </c>
      <c r="B226" s="11">
        <f>INDEX('vehicles specifications'!$B$3:$CW$166,MATCH(B198,'vehicles specifications'!$A$3:$A$166,0),MATCH(G226,'vehicles specifications'!$B$2:$CW$2,0))*INDEX('ei names mapping'!$B$137:$BL$300,MATCH(B198,'ei names mapping'!$A$137:$A$300,0),MATCH(G226,'ei names mapping'!$B$136:$BL$136,0))</f>
        <v>7.7700000000000005</v>
      </c>
      <c r="C226" t="str">
        <f>INDEX('ei names mapping'!$B$38:$R$67,MATCH(B195,'ei names mapping'!$A$4:$A$33,0),MATCH(G226,'ei names mapping'!$B$3:$R$3,0))</f>
        <v>GLO</v>
      </c>
      <c r="D226" t="str">
        <f>INDEX('ei names mapping'!$B$104:$R$133,MATCH(B195,'ei names mapping'!$A$104:$A$133,0),MATCH(G226,'ei names mapping'!$B$3:$R$3,0))</f>
        <v>kilogram</v>
      </c>
      <c r="F226" t="s">
        <v>89</v>
      </c>
      <c r="G226" t="s">
        <v>14</v>
      </c>
      <c r="H226" t="str">
        <f>INDEX('ei names mapping'!$B$71:$R$100,MATCH(B195,'ei names mapping'!$A$4:$A$33,0),MATCH(G226,'ei names mapping'!$B$3:$R$3,0))</f>
        <v>Glider lightweighting</v>
      </c>
    </row>
    <row r="227" spans="1:8" x14ac:dyDescent="0.2">
      <c r="A227" t="str">
        <f>INDEX('ei names mapping'!$B$4:$R$33,MATCH(B195,'ei names mapping'!$A$4:$A$33,0),MATCH(G227,'ei names mapping'!$B$3:$R$3,0))</f>
        <v>polyethylene production, high density, granulate</v>
      </c>
      <c r="B227" s="11">
        <f>INDEX('vehicles specifications'!$B$3:$CW$166,MATCH(B198,'vehicles specifications'!$A$3:$A$166,0),MATCH(G227,'vehicles specifications'!$B$2:$CW$2,0))*INDEX('ei names mapping'!$B$137:$BL$300,MATCH(B198,'ei names mapping'!$A$137:$A$300,0),MATCH(G227,'ei names mapping'!$B$136:$BL$136,0))</f>
        <v>2.0249999999999999</v>
      </c>
      <c r="C227" t="str">
        <f>INDEX('ei names mapping'!$B$38:$R$67,MATCH(B195,'ei names mapping'!$A$4:$A$33,0),MATCH(G227,'ei names mapping'!$B$3:$R$3,0))</f>
        <v>RER</v>
      </c>
      <c r="D227" t="str">
        <f>INDEX('ei names mapping'!$B$104:$R$133,MATCH(B195,'ei names mapping'!$A$104:$A$133,0),MATCH(G227,'ei names mapping'!$B$3:$R$3,0))</f>
        <v>kilogram</v>
      </c>
      <c r="F227" t="s">
        <v>89</v>
      </c>
      <c r="G227" t="s">
        <v>24</v>
      </c>
      <c r="H227" t="str">
        <f>INDEX('ei names mapping'!$B$71:$R$100,MATCH(B195,'ei names mapping'!$A$4:$A$33,0),MATCH(G227,'ei names mapping'!$B$3:$R$3,0))</f>
        <v>polyethylene, high density, granulate</v>
      </c>
    </row>
    <row r="228" spans="1:8" x14ac:dyDescent="0.2">
      <c r="A228" t="s">
        <v>282</v>
      </c>
      <c r="B228" s="6">
        <f>B227/0.994</f>
        <v>2.0372233400402413</v>
      </c>
      <c r="C228" t="s">
        <v>92</v>
      </c>
      <c r="D228" t="s">
        <v>77</v>
      </c>
      <c r="F228" t="s">
        <v>89</v>
      </c>
      <c r="G228" t="s">
        <v>647</v>
      </c>
      <c r="H228" t="s">
        <v>282</v>
      </c>
    </row>
    <row r="229" spans="1:8" x14ac:dyDescent="0.2">
      <c r="A229" s="13" t="s">
        <v>840</v>
      </c>
      <c r="B229">
        <f>(B208/1000)*B219</f>
        <v>248.755</v>
      </c>
      <c r="C229" t="s">
        <v>92</v>
      </c>
      <c r="D229" t="s">
        <v>233</v>
      </c>
      <c r="F229" t="s">
        <v>89</v>
      </c>
      <c r="H229" s="13" t="s">
        <v>841</v>
      </c>
    </row>
    <row r="230" spans="1:8" x14ac:dyDescent="0.2">
      <c r="A230" s="13" t="s">
        <v>441</v>
      </c>
      <c r="B230" s="2">
        <f>(B208/1000)*B218</f>
        <v>3955.2045000000003</v>
      </c>
      <c r="C230" t="s">
        <v>95</v>
      </c>
      <c r="D230" t="s">
        <v>233</v>
      </c>
      <c r="F230" t="s">
        <v>89</v>
      </c>
      <c r="H230" s="13" t="s">
        <v>441</v>
      </c>
    </row>
    <row r="232" spans="1:8" ht="16" x14ac:dyDescent="0.2">
      <c r="A232" s="10" t="s">
        <v>71</v>
      </c>
      <c r="B232" s="8" t="str">
        <f>"transport, "&amp;B234&amp;", "&amp;B236</f>
        <v>transport, Motorbike, gasoline, &gt;35kW, EURO-3, 2006</v>
      </c>
    </row>
    <row r="233" spans="1:8" x14ac:dyDescent="0.2">
      <c r="A233" t="s">
        <v>72</v>
      </c>
      <c r="B233" t="s">
        <v>37</v>
      </c>
    </row>
    <row r="234" spans="1:8" x14ac:dyDescent="0.2">
      <c r="A234" t="s">
        <v>86</v>
      </c>
      <c r="B234" t="s">
        <v>629</v>
      </c>
    </row>
    <row r="235" spans="1:8" x14ac:dyDescent="0.2">
      <c r="A235" t="s">
        <v>87</v>
      </c>
    </row>
    <row r="236" spans="1:8" x14ac:dyDescent="0.2">
      <c r="A236" t="s">
        <v>88</v>
      </c>
      <c r="B236">
        <v>2006</v>
      </c>
    </row>
    <row r="237" spans="1:8" x14ac:dyDescent="0.2">
      <c r="A237" t="s">
        <v>126</v>
      </c>
      <c r="B237" t="str">
        <f>B234&amp;" - "&amp;B236&amp;" - "&amp;B233</f>
        <v>Motorbike, gasoline, &gt;35kW, EURO-3 - 2006 - CH</v>
      </c>
    </row>
    <row r="238" spans="1:8" x14ac:dyDescent="0.2">
      <c r="A238" t="s">
        <v>73</v>
      </c>
      <c r="B238" t="str">
        <f>"transport, "&amp;B234</f>
        <v>transport, Motorbike, gasoline, &gt;35kW, EURO-3</v>
      </c>
    </row>
    <row r="239" spans="1:8" x14ac:dyDescent="0.2">
      <c r="A239" t="s">
        <v>74</v>
      </c>
      <c r="B239" t="s">
        <v>75</v>
      </c>
    </row>
    <row r="240" spans="1:8" x14ac:dyDescent="0.2">
      <c r="A240" t="s">
        <v>76</v>
      </c>
      <c r="B240" t="s">
        <v>166</v>
      </c>
    </row>
    <row r="241" spans="1:2" x14ac:dyDescent="0.2">
      <c r="A241" t="s">
        <v>78</v>
      </c>
      <c r="B241" t="s">
        <v>1143</v>
      </c>
    </row>
    <row r="242" spans="1:2" x14ac:dyDescent="0.2">
      <c r="A242" t="s">
        <v>127</v>
      </c>
      <c r="B242">
        <f>INDEX('vehicles specifications'!$B$3:$CW$166,MATCH(B237,'vehicles specifications'!$A$3:$A$166,0),MATCH("Lifetime [km]",'vehicles specifications'!$B$2:$CW$2,0))</f>
        <v>40500</v>
      </c>
    </row>
    <row r="243" spans="1:2" x14ac:dyDescent="0.2">
      <c r="A243" t="s">
        <v>128</v>
      </c>
      <c r="B243">
        <f>INDEX('vehicles specifications'!$B$3:$CW$166,MATCH(B237,'vehicles specifications'!$A$3:$A$166,0),MATCH("Passengers [unit]",'vehicles specifications'!$B$2:$CW$2,0))</f>
        <v>1.1000000000000001</v>
      </c>
    </row>
    <row r="244" spans="1:2" x14ac:dyDescent="0.2">
      <c r="A244" t="s">
        <v>129</v>
      </c>
      <c r="B244">
        <f>INDEX('vehicles specifications'!$B$3:$CW$166,MATCH(B237,'vehicles specifications'!$A$3:$A$166,0),MATCH("Servicing [unit]",'vehicles specifications'!$B$2:$CW$2,0))</f>
        <v>1.62</v>
      </c>
    </row>
    <row r="245" spans="1:2" x14ac:dyDescent="0.2">
      <c r="A245" t="s">
        <v>130</v>
      </c>
      <c r="B245">
        <f>INDEX('vehicles specifications'!$B$3:$CW$166,MATCH(B237,'vehicles specifications'!$A$3:$A$166,0),MATCH("Energy battery replacement [unit]",'vehicles specifications'!$B$2:$CW$2,0))</f>
        <v>0</v>
      </c>
    </row>
    <row r="246" spans="1:2" x14ac:dyDescent="0.2">
      <c r="A246" t="s">
        <v>131</v>
      </c>
      <c r="B246">
        <f>INDEX('vehicles specifications'!$B$3:$CW$166,MATCH(B237,'vehicles specifications'!$A$3:$A$166,0),MATCH("Annual kilometers [km]",'vehicles specifications'!$B$2:$CW$2,0))</f>
        <v>2896</v>
      </c>
    </row>
    <row r="247" spans="1:2" x14ac:dyDescent="0.2">
      <c r="A247" t="s">
        <v>132</v>
      </c>
      <c r="B247" s="2">
        <f>INDEX('vehicles specifications'!$B$3:$CW$166,MATCH(B237,'vehicles specifications'!$A$3:$A$166,0),MATCH("Curb mass [kg]",'vehicles specifications'!$B$2:$CW$2,0))</f>
        <v>262.07499999999999</v>
      </c>
    </row>
    <row r="248" spans="1:2" x14ac:dyDescent="0.2">
      <c r="A248" t="s">
        <v>133</v>
      </c>
      <c r="B248">
        <f>INDEX('vehicles specifications'!$B$3:$CW$166,MATCH(B237,'vehicles specifications'!$A$3:$A$166,0),MATCH("Power [kW]",'vehicles specifications'!$B$2:$CW$2,0))</f>
        <v>91</v>
      </c>
    </row>
    <row r="249" spans="1:2" x14ac:dyDescent="0.2">
      <c r="A249" t="s">
        <v>134</v>
      </c>
      <c r="B249" t="str">
        <f>INDEX('vehicles specifications'!$B$3:$CW$166,MATCH(B237,'vehicles specifications'!$A$3:$A$166,0),MATCH("Energy battery mass [kg]",'vehicles specifications'!$B$2:$CW$2,0))</f>
        <v/>
      </c>
    </row>
    <row r="250" spans="1:2" x14ac:dyDescent="0.2">
      <c r="A250" t="s">
        <v>135</v>
      </c>
      <c r="B250">
        <f>INDEX('vehicles specifications'!$B$3:$CW$166,MATCH(B237,'vehicles specifications'!$A$3:$A$166,0),MATCH("Electric energy available [kWh]",'vehicles specifications'!$B$2:$CW$2,0))</f>
        <v>0</v>
      </c>
    </row>
    <row r="251" spans="1:2" x14ac:dyDescent="0.2">
      <c r="A251" t="s">
        <v>138</v>
      </c>
      <c r="B251" s="2">
        <f>INDEX('vehicles specifications'!$B$3:$CW$166,MATCH(B237,'vehicles specifications'!$A$3:$A$166,0),MATCH("Oxydation energy stored [kWh]",'vehicles specifications'!$B$2:$CW$2,0))</f>
        <v>159.75</v>
      </c>
    </row>
    <row r="252" spans="1:2" x14ac:dyDescent="0.2">
      <c r="A252" t="s">
        <v>139</v>
      </c>
      <c r="B252">
        <f>INDEX('vehicles specifications'!$B$3:$CW$166,MATCH(B237,'vehicles specifications'!$A$3:$A$166,0),MATCH("Fuel mass [kg]",'vehicles specifications'!$B$2:$CW$2,0))</f>
        <v>13.5</v>
      </c>
    </row>
    <row r="253" spans="1:2" x14ac:dyDescent="0.2">
      <c r="A253" t="s">
        <v>136</v>
      </c>
      <c r="B253" s="2">
        <f>INDEX('vehicles specifications'!$B$3:$CW$166,MATCH(B237,'vehicles specifications'!$A$3:$A$166,0),MATCH("Range [km]",'vehicles specifications'!$B$2:$CW$2,0))</f>
        <v>291.42030699682999</v>
      </c>
    </row>
    <row r="254" spans="1:2" x14ac:dyDescent="0.2">
      <c r="A254" t="s">
        <v>137</v>
      </c>
      <c r="B254" t="str">
        <f>INDEX('vehicles specifications'!$B$3:$CW$166,MATCH(B237,'vehicles specifications'!$A$3:$A$166,0),MATCH("Emission standard",'vehicles specifications'!$B$2:$CW$2,0))</f>
        <v>EURO-3</v>
      </c>
    </row>
    <row r="255" spans="1:2" x14ac:dyDescent="0.2">
      <c r="A255" t="s">
        <v>1174</v>
      </c>
      <c r="B255" s="6">
        <f>INDEX('vehicles specifications'!$B$3:$CW$166,MATCH(B237,'vehicles specifications'!$A$3:$A$166,0),MATCH("Lightweighting rate [%]",'vehicles specifications'!$B$2:$CW$2,0))</f>
        <v>-0.05</v>
      </c>
    </row>
    <row r="256" spans="1:2" x14ac:dyDescent="0.2">
      <c r="A256" t="s">
        <v>83</v>
      </c>
      <c r="B256"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v>
      </c>
    </row>
    <row r="257" spans="1:8" ht="16" x14ac:dyDescent="0.2">
      <c r="A257" s="10" t="s">
        <v>79</v>
      </c>
    </row>
    <row r="258" spans="1:8" x14ac:dyDescent="0.2">
      <c r="A258" t="s">
        <v>80</v>
      </c>
      <c r="B258" t="s">
        <v>81</v>
      </c>
      <c r="C258" t="s">
        <v>72</v>
      </c>
      <c r="D258" t="s">
        <v>76</v>
      </c>
      <c r="E258" t="s">
        <v>82</v>
      </c>
      <c r="F258" t="s">
        <v>74</v>
      </c>
      <c r="G258" t="s">
        <v>83</v>
      </c>
      <c r="H258" t="s">
        <v>73</v>
      </c>
    </row>
    <row r="259" spans="1:8" x14ac:dyDescent="0.2">
      <c r="A259" t="str">
        <f>B232</f>
        <v>transport, Motorbike, gasoline, &gt;35kW, EURO-3, 2006</v>
      </c>
      <c r="B259">
        <v>1</v>
      </c>
      <c r="C259" t="str">
        <f>B233</f>
        <v>CH</v>
      </c>
      <c r="D259" t="s">
        <v>166</v>
      </c>
      <c r="F259" t="s">
        <v>84</v>
      </c>
      <c r="G259" t="s">
        <v>85</v>
      </c>
      <c r="H259" t="str">
        <f>B238</f>
        <v>transport, Motorbike, gasoline, &gt;35kW, EURO-3</v>
      </c>
    </row>
    <row r="260" spans="1:8" x14ac:dyDescent="0.2">
      <c r="A260" t="str">
        <f>RIGHT(A259,LEN(A259)-11)</f>
        <v>Motorbike, gasoline, &gt;35kW, EURO-3, 2006</v>
      </c>
      <c r="B260" s="7">
        <f>1/B242</f>
        <v>2.4691358024691357E-5</v>
      </c>
      <c r="C260" t="str">
        <f>B233</f>
        <v>CH</v>
      </c>
      <c r="D260" t="s">
        <v>76</v>
      </c>
      <c r="F260" t="s">
        <v>89</v>
      </c>
      <c r="H260" t="str">
        <f>RIGHT(H259,LEN(H259)-11)</f>
        <v>Motorbike, gasoline, &gt;35kW, EURO-3</v>
      </c>
    </row>
    <row r="261" spans="1:8" x14ac:dyDescent="0.2">
      <c r="A261" t="str">
        <f>INDEX('ei names mapping'!$B$4:$R$33,MATCH(B234,'ei names mapping'!$A$4:$A$33,0),MATCH(G261,'ei names mapping'!$B$3:$R$3,0))</f>
        <v>road construction</v>
      </c>
      <c r="B261" s="7">
        <f>INDEX('vehicles specifications'!$B$3:$CW$166,MATCH(B237,'vehicles specifications'!$A$3:$A$166,0),MATCH(G261,'vehicles specifications'!$B$2:$CW$2,0))*INDEX('ei names mapping'!$B$137:$BL$300,MATCH(B237,'ei names mapping'!$A$137:$A$300,0),MATCH(G261,'ei names mapping'!$B$136:$BL$136,0))</f>
        <v>1.8825877500000001E-4</v>
      </c>
      <c r="C261" t="str">
        <f>INDEX('ei names mapping'!$B$38:$R$67,MATCH(B234,'ei names mapping'!$A$4:$A$33,0),MATCH(G261,'ei names mapping'!$B$3:$R$3,0))</f>
        <v>CH</v>
      </c>
      <c r="D261" t="str">
        <f>INDEX('ei names mapping'!$B$104:$BL$133,MATCH(B234,'ei names mapping'!$A$4:$A$33,0),MATCH(G261,'ei names mapping'!$B$3:$BL$3,0))</f>
        <v>meter-year</v>
      </c>
      <c r="F261" t="s">
        <v>89</v>
      </c>
      <c r="G261" t="s">
        <v>105</v>
      </c>
      <c r="H261" t="str">
        <f>INDEX('ei names mapping'!$B$71:$BL$100,MATCH(B234,'ei names mapping'!$A$4:$A$33,0),MATCH(G261,'ei names mapping'!$B$3:$BL$3,0))</f>
        <v>road</v>
      </c>
    </row>
    <row r="262" spans="1:8" x14ac:dyDescent="0.2">
      <c r="A262" t="str">
        <f>INDEX('ei names mapping'!$B$4:$R$33,MATCH(B234,'ei names mapping'!$A$4:$A$33,0),MATCH(G262,'ei names mapping'!$B$3:$R$3,0))</f>
        <v>road maintenance</v>
      </c>
      <c r="B262" s="7">
        <f>INDEX('vehicles specifications'!$B$3:$CW$166,MATCH(B237,'vehicles specifications'!$A$3:$A$166,0),MATCH(G262,'vehicles specifications'!$B$2:$CW$2,0))*INDEX('ei names mapping'!$B$137:$BL$300,MATCH(B237,'ei names mapping'!$A$137:$A$300,0),MATCH(G262,'ei names mapping'!$B$136:$BL$136,0))</f>
        <v>1.2899999999999999E-3</v>
      </c>
      <c r="C262" t="str">
        <f>INDEX('ei names mapping'!$B$38:$R$67,MATCH(B234,'ei names mapping'!$A$4:$A$33,0),MATCH(G262,'ei names mapping'!$B$3:$R$3,0))</f>
        <v>CH</v>
      </c>
      <c r="D262" t="str">
        <f>INDEX('ei names mapping'!$B$104:$BL$133,MATCH(B234,'ei names mapping'!$A$4:$A$33,0),MATCH(G262,'ei names mapping'!$B$3:$BL$3,0))</f>
        <v>meter-year</v>
      </c>
      <c r="F262" t="s">
        <v>89</v>
      </c>
      <c r="G262" t="s">
        <v>112</v>
      </c>
      <c r="H262" t="str">
        <f>INDEX('ei names mapping'!$B$71:$BL$100,MATCH(B234,'ei names mapping'!$A$4:$A$33,0),MATCH(G262,'ei names mapping'!$B$3:$BL$3,0))</f>
        <v>road maintenance</v>
      </c>
    </row>
    <row r="263" spans="1:8" x14ac:dyDescent="0.2">
      <c r="A263" t="str">
        <f>INDEX('ei names mapping'!$B$4:$R$33,MATCH(B234,'ei names mapping'!$A$4:$A$33,0),MATCH(G263,'ei names mapping'!$B$3:$R$3,0))</f>
        <v>maintenance, motor scooter</v>
      </c>
      <c r="B263" s="7">
        <f>INDEX('vehicles specifications'!$B$3:$CW$166,MATCH(B237,'vehicles specifications'!$A$3:$A$166,0),MATCH(G263,'vehicles specifications'!$B$2:$CW$2,0))*INDEX('ei names mapping'!$B$137:$BL$300,MATCH(B237,'ei names mapping'!$A$137:$A$300,0),MATCH(G263,'ei names mapping'!$B$136:$BL$136,0))</f>
        <v>4.0000000000000003E-5</v>
      </c>
      <c r="C263" t="str">
        <f>INDEX('ei names mapping'!$B$38:$BL$67,MATCH(B234,'ei names mapping'!$A$4:$A$33,0),MATCH(G263,'ei names mapping'!$B$3:$BL$3,0))</f>
        <v>CH</v>
      </c>
      <c r="D263" t="str">
        <f>INDEX('ei names mapping'!$B$104:$BL$133,MATCH(B234,'ei names mapping'!$A$4:$A$33,0),MATCH(G263,'ei names mapping'!$B$3:$BL$3,0))</f>
        <v>unit</v>
      </c>
      <c r="F263" t="s">
        <v>89</v>
      </c>
      <c r="G263" t="s">
        <v>118</v>
      </c>
      <c r="H263" t="str">
        <f>INDEX('ei names mapping'!$B$71:$BL$100,MATCH(B234,'ei names mapping'!$A$4:$A$33,0),MATCH(G263,'ei names mapping'!$B$3:$BL$3,0))</f>
        <v>maintenance, motor scooter</v>
      </c>
    </row>
    <row r="264" spans="1:8" x14ac:dyDescent="0.2">
      <c r="A264" t="str">
        <f>INDEX('ei names mapping'!$B$4:$R$33,MATCH(B234,'ei names mapping'!$A$4:$A$33,0),MATCH(G264,'ei names mapping'!$B$3:$R$3,0))</f>
        <v>fuel supply for gasoline vehicles</v>
      </c>
      <c r="B264" s="7">
        <f>INDEX('vehicles specifications'!$B$3:$CW$166,MATCH(B237,'vehicles specifications'!$A$3:$A$166,0),MATCH(G264,'vehicles specifications'!$B$2:$CW$2,0))*INDEX('ei names mapping'!$B$137:$BL$300,MATCH(B237,'ei names mapping'!$A$137:$A$300,0),MATCH(G264,'ei names mapping'!$B$136:$BL$136,0))</f>
        <v>4.6324843107611056E-2</v>
      </c>
      <c r="C264" t="str">
        <f>INDEX('ei names mapping'!$B$38:$BL$67,MATCH(B234,'ei names mapping'!$A$4:$A$33,0),MATCH(G264,'ei names mapping'!$B$3:$BL$3,0))</f>
        <v>CH</v>
      </c>
      <c r="D264" t="str">
        <f>INDEX('ei names mapping'!$B$104:$BL$133,MATCH(B234,'ei names mapping'!$A$4:$A$33,0),MATCH(G264,'ei names mapping'!$B$3:$BL$3,0))</f>
        <v>kilogram</v>
      </c>
      <c r="F264" t="s">
        <v>89</v>
      </c>
      <c r="G264" t="s">
        <v>27</v>
      </c>
      <c r="H264" t="str">
        <f>INDEX('ei names mapping'!$B$71:$BL$100,MATCH(B234,'ei names mapping'!$A$4:$A$33,0),MATCH(G264,'ei names mapping'!$B$3:$BL$3,0))</f>
        <v>gasoline blend</v>
      </c>
    </row>
    <row r="265" spans="1:8" x14ac:dyDescent="0.2">
      <c r="A265" t="str">
        <f>INDEX('ei names mapping'!$B$4:$BL$33,MATCH(B234,'ei names mapping'!$A$4:$A$33,0),MATCH(G265,'ei names mapping'!$B$3:$BL$3,0))</f>
        <v>Carbon dioxide, fossil</v>
      </c>
      <c r="B265" s="11">
        <f>INDEX('vehicles specifications'!$B$3:$CW$166,MATCH(B237,'vehicles specifications'!$A$3:$A$166,0),MATCH(G265,'vehicles specifications'!$B$2:$CW$2,0))*INDEX('ei names mapping'!$B$137:$BL$300,MATCH(B237,'ei names mapping'!$A$137:$A$300,0),MATCH(G265,'ei names mapping'!$B$136:$BL$136,0))</f>
        <v>0.14371448726960392</v>
      </c>
      <c r="D265" t="str">
        <f>INDEX('ei names mapping'!$B$104:$BL$133,MATCH(B234,'ei names mapping'!$A$4:$A$33,0),MATCH(G265,'ei names mapping'!$B$3:$BL$3,0))</f>
        <v>kilogram</v>
      </c>
      <c r="E265" t="str">
        <f>INDEX('ei names mapping'!$B$305:$BL$335,MATCH(B234,'ei names mapping'!$A$4:$A$33,0),MATCH(G265,'ei names mapping'!$B$3:$BL$3,0))</f>
        <v>air::urban air close to ground</v>
      </c>
      <c r="F265" t="s">
        <v>167</v>
      </c>
      <c r="G265" t="s">
        <v>66</v>
      </c>
    </row>
    <row r="266" spans="1:8" x14ac:dyDescent="0.2">
      <c r="A266" t="str">
        <f>INDEX('ei names mapping'!$B$4:$BL$33,MATCH(B234,'ei names mapping'!$A$4:$A$33,0),MATCH(G266,'ei names mapping'!$B$3:$BL$3,0))</f>
        <v>Carbon dioxide, from soil or biomass stock</v>
      </c>
      <c r="B266" s="11">
        <f>INDEX('vehicles specifications'!$B$3:$CW$166,MATCH(B237,'vehicles specifications'!$A$3:$A$166,0),MATCH(G266,'vehicles specifications'!$B$2:$CW$2,0))*INDEX('ei names mapping'!$B$137:$BL$300,MATCH(B237,'ei names mapping'!$A$137:$A$300,0),MATCH(G266,'ei names mapping'!$B$136:$BL$136,0))</f>
        <v>1.7455200882947846E-3</v>
      </c>
      <c r="D266" t="str">
        <f>INDEX('ei names mapping'!$B$104:$BL$133,MATCH(B234,'ei names mapping'!$A$4:$A$33,0),MATCH(G266,'ei names mapping'!$B$3:$BL$3,0))</f>
        <v>kilogram</v>
      </c>
      <c r="E266" t="str">
        <f>INDEX('ei names mapping'!$B$305:$BL$335,MATCH(B234,'ei names mapping'!$A$4:$A$33,0),MATCH(G266,'ei names mapping'!$B$3:$BL$3,0))</f>
        <v>air::urban air close to ground</v>
      </c>
      <c r="F266" t="s">
        <v>167</v>
      </c>
      <c r="G266" t="s">
        <v>843</v>
      </c>
    </row>
    <row r="267" spans="1:8" x14ac:dyDescent="0.2">
      <c r="A267" t="str">
        <f>INDEX('ei names mapping'!$B$4:$BL$33,MATCH(B234,'ei names mapping'!$A$4:$A$33,0),MATCH(G267,'ei names mapping'!$B$3:$BL$3,0))</f>
        <v>Sulfur dioxide</v>
      </c>
      <c r="B267" s="7">
        <f>INDEX('vehicles specifications'!$B$3:$CW$166,MATCH(B237,'vehicles specifications'!$A$3:$A$166,0),MATCH(G267,'vehicles specifications'!$B$2:$CW$2,0))*INDEX('ei names mapping'!$B$137:$BL$300,MATCH(B237,'ei names mapping'!$A$137:$A$300,0),MATCH(G267,'ei names mapping'!$B$136:$BL$136,0))</f>
        <v>7.4119748972177688E-7</v>
      </c>
      <c r="D267" t="str">
        <f>INDEX('ei names mapping'!$B$104:$BL$133,MATCH(B234,'ei names mapping'!$A$4:$A$33,0),MATCH(G267,'ei names mapping'!$B$3:$BL$3,0))</f>
        <v>kilogram</v>
      </c>
      <c r="E267" t="str">
        <f>INDEX('ei names mapping'!$B$305:$BL$335,MATCH(B234,'ei names mapping'!$A$4:$A$33,0),MATCH(G267,'ei names mapping'!$B$3:$BL$3,0))</f>
        <v>air::urban air close to ground</v>
      </c>
      <c r="F267" t="s">
        <v>167</v>
      </c>
      <c r="G267" t="s">
        <v>67</v>
      </c>
    </row>
    <row r="268" spans="1:8" x14ac:dyDescent="0.2">
      <c r="A268" t="str">
        <f>INDEX('ei names mapping'!$B$4:$BL$33,MATCH(B234,'ei names mapping'!$A$4:$A$33,0),MATCH(G268,'ei names mapping'!$B$3:$BL$3,0))</f>
        <v>Benzene</v>
      </c>
      <c r="B268" s="7">
        <f>INDEX('vehicles specifications'!$B$3:$CW$166,MATCH(B237,'vehicles specifications'!$A$3:$A$166,0),MATCH(G268,'vehicles specifications'!$B$2:$CW$2,0))*INDEX('ei names mapping'!$B$137:$BL$300,MATCH(B237,'ei names mapping'!$A$137:$A$300,0),MATCH(G268,'ei names mapping'!$B$136:$BL$136,0))</f>
        <v>7.237951507199054E-6</v>
      </c>
      <c r="D268" t="str">
        <f>INDEX('ei names mapping'!$B$104:$BL$133,MATCH(B234,'ei names mapping'!$A$4:$A$33,0),MATCH(G268,'ei names mapping'!$B$3:$BL$3,0))</f>
        <v>kilogram</v>
      </c>
      <c r="E268" t="str">
        <f>INDEX('ei names mapping'!$B$305:$BL$335,MATCH(B234,'ei names mapping'!$A$4:$A$33,0),MATCH(G268,'ei names mapping'!$B$3:$BL$3,0))</f>
        <v>air::urban air close to ground</v>
      </c>
      <c r="F268" t="s">
        <v>167</v>
      </c>
      <c r="G268" t="s">
        <v>55</v>
      </c>
    </row>
    <row r="269" spans="1:8" x14ac:dyDescent="0.2">
      <c r="A269" t="str">
        <f>INDEX('ei names mapping'!$B$4:$BL$33,MATCH(B234,'ei names mapping'!$A$4:$A$33,0),MATCH(G269,'ei names mapping'!$B$3:$BL$3,0))</f>
        <v>Methane, fossil</v>
      </c>
      <c r="B269" s="7">
        <f>INDEX('vehicles specifications'!$B$3:$CW$166,MATCH(B237,'vehicles specifications'!$A$3:$A$166,0),MATCH(G269,'vehicles specifications'!$B$2:$CW$2,0))*INDEX('ei names mapping'!$B$137:$BL$300,MATCH(B237,'ei names mapping'!$A$137:$A$300,0),MATCH(G269,'ei names mapping'!$B$136:$BL$136,0))</f>
        <v>1.6720380300830153E-5</v>
      </c>
      <c r="D269" t="str">
        <f>INDEX('ei names mapping'!$B$104:$BL$133,MATCH(B234,'ei names mapping'!$A$4:$A$33,0),MATCH(G269,'ei names mapping'!$B$3:$BL$3,0))</f>
        <v>kilogram</v>
      </c>
      <c r="E269" t="str">
        <f>INDEX('ei names mapping'!$B$305:$BL$335,MATCH(B234,'ei names mapping'!$A$4:$A$33,0),MATCH(G269,'ei names mapping'!$B$3:$BL$3,0))</f>
        <v>air::urban air close to ground</v>
      </c>
      <c r="F269" t="s">
        <v>167</v>
      </c>
      <c r="G269" t="s">
        <v>56</v>
      </c>
    </row>
    <row r="270" spans="1:8" x14ac:dyDescent="0.2">
      <c r="A270" t="str">
        <f>INDEX('ei names mapping'!$B$4:$BL$33,MATCH(B234,'ei names mapping'!$A$4:$A$33,0),MATCH(G270,'ei names mapping'!$B$3:$BL$3,0))</f>
        <v>Carbon monoxide, fossil</v>
      </c>
      <c r="B270" s="7">
        <f>INDEX('vehicles specifications'!$B$3:$CW$166,MATCH(B237,'vehicles specifications'!$A$3:$A$166,0),MATCH(G270,'vehicles specifications'!$B$2:$CW$2,0))*INDEX('ei names mapping'!$B$137:$BL$300,MATCH(B237,'ei names mapping'!$A$137:$A$300,0),MATCH(G270,'ei names mapping'!$B$136:$BL$136,0))</f>
        <v>2.9373204293002417E-4</v>
      </c>
      <c r="D270" t="str">
        <f>INDEX('ei names mapping'!$B$104:$BL$133,MATCH(B234,'ei names mapping'!$A$4:$A$33,0),MATCH(G270,'ei names mapping'!$B$3:$BL$3,0))</f>
        <v>kilogram</v>
      </c>
      <c r="E270" t="str">
        <f>INDEX('ei names mapping'!$B$305:$BL$335,MATCH(B234,'ei names mapping'!$A$4:$A$33,0),MATCH(G270,'ei names mapping'!$B$3:$BL$3,0))</f>
        <v>air::urban air close to ground</v>
      </c>
      <c r="F270" t="s">
        <v>167</v>
      </c>
      <c r="G270" t="s">
        <v>57</v>
      </c>
    </row>
    <row r="271" spans="1:8" x14ac:dyDescent="0.2">
      <c r="A271" t="str">
        <f>INDEX('ei names mapping'!$B$4:$BL$33,MATCH(B234,'ei names mapping'!$A$4:$A$33,0),MATCH(G271,'ei names mapping'!$B$3:$BL$3,0))</f>
        <v>Dinitrogen monoxide</v>
      </c>
      <c r="B271" s="7">
        <f>INDEX('vehicles specifications'!$B$3:$CW$166,MATCH(B237,'vehicles specifications'!$A$3:$A$166,0),MATCH(G271,'vehicles specifications'!$B$2:$CW$2,0))*INDEX('ei names mapping'!$B$137:$BL$300,MATCH(B237,'ei names mapping'!$A$137:$A$300,0),MATCH(G271,'ei names mapping'!$B$136:$BL$136,0))</f>
        <v>8.8002001583316587E-7</v>
      </c>
      <c r="D271" t="str">
        <f>INDEX('ei names mapping'!$B$104:$BL$133,MATCH(B234,'ei names mapping'!$A$4:$A$33,0),MATCH(G271,'ei names mapping'!$B$3:$BL$3,0))</f>
        <v>kilogram</v>
      </c>
      <c r="E271" t="str">
        <f>INDEX('ei names mapping'!$B$305:$BL$335,MATCH(B234,'ei names mapping'!$A$4:$A$33,0),MATCH(G271,'ei names mapping'!$B$3:$BL$3,0))</f>
        <v>air::urban air close to ground</v>
      </c>
      <c r="F271" t="s">
        <v>167</v>
      </c>
      <c r="G271" t="s">
        <v>58</v>
      </c>
    </row>
    <row r="272" spans="1:8" x14ac:dyDescent="0.2">
      <c r="A272" t="str">
        <f>INDEX('ei names mapping'!$B$4:$BL$33,MATCH(B234,'ei names mapping'!$A$4:$A$33,0),MATCH(G272,'ei names mapping'!$B$3:$BL$3,0))</f>
        <v>Ammonia</v>
      </c>
      <c r="B272" s="7">
        <f>INDEX('vehicles specifications'!$B$3:$CW$166,MATCH(B237,'vehicles specifications'!$A$3:$A$166,0),MATCH(G272,'vehicles specifications'!$B$2:$CW$2,0))*INDEX('ei names mapping'!$B$137:$BL$300,MATCH(B237,'ei names mapping'!$A$137:$A$300,0),MATCH(G272,'ei names mapping'!$B$136:$BL$136,0))</f>
        <v>8.8002001583316587E-7</v>
      </c>
      <c r="D272" t="str">
        <f>INDEX('ei names mapping'!$B$104:$BL$133,MATCH(B234,'ei names mapping'!$A$4:$A$33,0),MATCH(G272,'ei names mapping'!$B$3:$BL$3,0))</f>
        <v>kilogram</v>
      </c>
      <c r="E272" t="str">
        <f>INDEX('ei names mapping'!$B$305:$BL$335,MATCH(B234,'ei names mapping'!$A$4:$A$33,0),MATCH(G272,'ei names mapping'!$B$3:$BL$3,0))</f>
        <v>air::urban air close to ground</v>
      </c>
      <c r="F272" t="s">
        <v>167</v>
      </c>
      <c r="G272" t="s">
        <v>59</v>
      </c>
    </row>
    <row r="273" spans="1:7" x14ac:dyDescent="0.2">
      <c r="A273" t="str">
        <f>INDEX('ei names mapping'!$B$4:$BL$33,MATCH(B234,'ei names mapping'!$A$4:$A$33,0),MATCH(G273,'ei names mapping'!$B$3:$BL$3,0))</f>
        <v>Nitrogen oxides</v>
      </c>
      <c r="B273" s="7">
        <f>INDEX('vehicles specifications'!$B$3:$CW$166,MATCH(B237,'vehicles specifications'!$A$3:$A$166,0),MATCH(G273,'vehicles specifications'!$B$2:$CW$2,0))*INDEX('ei names mapping'!$B$137:$BL$300,MATCH(B237,'ei names mapping'!$A$137:$A$300,0),MATCH(G273,'ei names mapping'!$B$136:$BL$136,0))</f>
        <v>3.1128530669022286E-5</v>
      </c>
      <c r="D273" t="str">
        <f>INDEX('ei names mapping'!$B$104:$BL$133,MATCH(B234,'ei names mapping'!$A$4:$A$33,0),MATCH(G273,'ei names mapping'!$B$3:$BL$3,0))</f>
        <v>kilogram</v>
      </c>
      <c r="E273" t="str">
        <f>INDEX('ei names mapping'!$B$305:$BL$335,MATCH(B234,'ei names mapping'!$A$4:$A$33,0),MATCH(G273,'ei names mapping'!$B$3:$BL$3,0))</f>
        <v>air::urban air close to ground</v>
      </c>
      <c r="F273" t="s">
        <v>167</v>
      </c>
      <c r="G273" t="s">
        <v>60</v>
      </c>
    </row>
    <row r="274" spans="1:7" x14ac:dyDescent="0.2">
      <c r="A274" t="str">
        <f>INDEX('ei names mapping'!$B$4:$BL$33,MATCH(B234,'ei names mapping'!$A$4:$A$33,0),MATCH(G274,'ei names mapping'!$B$3:$BL$3,0))</f>
        <v>Particulates, &lt; 2.5 um</v>
      </c>
      <c r="B274" s="7">
        <f>INDEX('vehicles specifications'!$B$3:$CW$166,MATCH(B$237,'vehicles specifications'!$A$3:$A$166,0),MATCH(G274,'vehicles specifications'!$B$2:$CW$2,0))*INDEX('ei names mapping'!$B$137:$BL$300,MATCH(B$237,'ei names mapping'!$A$137:$A$300,0),MATCH(G274,'ei names mapping'!$B$136:$BL$136,0))</f>
        <v>2.2000500395829146E-6</v>
      </c>
      <c r="D274" t="str">
        <f>INDEX('ei names mapping'!$B$104:$BL$133,MATCH(B234,'ei names mapping'!$A$4:$A$33,0),MATCH(G274,'ei names mapping'!$B$3:$BL$3,0))</f>
        <v>kilogram</v>
      </c>
      <c r="E274" t="str">
        <f>INDEX('ei names mapping'!$B$305:$BL$335,MATCH(B234,'ei names mapping'!$A$4:$A$33,0),MATCH(G274,'ei names mapping'!$B$3:$BL$3,0))</f>
        <v>air::urban air close to ground</v>
      </c>
      <c r="F274" t="s">
        <v>167</v>
      </c>
      <c r="G274" t="s">
        <v>62</v>
      </c>
    </row>
    <row r="275" spans="1:7" x14ac:dyDescent="0.2">
      <c r="A275" t="str">
        <f>INDEX('ei names mapping'!$B$4:$BL$33,MATCH(B$234,'ei names mapping'!$A$4:$A$33,0),MATCH(G275,'ei names mapping'!$B$3:$BL$3,0))</f>
        <v>NMVOC, non-methane volatile organic compounds, unspecified origin</v>
      </c>
      <c r="B275" s="7">
        <f>INDEX('vehicles specifications'!$B$3:$CW$166,MATCH(B$237,'vehicles specifications'!$A$3:$A$166,0),MATCH(G275,'vehicles specifications'!$B$2:$CW$2,0))*INDEX('ei names mapping'!$B$137:$BL$300,MATCH(B$237,'ei names mapping'!$A$137:$A$300,0),MATCH(G275,'ei names mapping'!$B$136:$BL$136,0))</f>
        <v>5.8368079533990228E-5</v>
      </c>
      <c r="D275" t="str">
        <f>INDEX('ei names mapping'!$B$104:$BL$133,MATCH(B$234,'ei names mapping'!$A$4:$A$33,0),MATCH(G275,'ei names mapping'!$B$3:$BL$3,0))</f>
        <v>kilogram</v>
      </c>
      <c r="E275" t="str">
        <f>INDEX('ei names mapping'!$B$305:$BL$335,MATCH(B$234,'ei names mapping'!$A$4:$A$33,0),MATCH(G275,'ei names mapping'!$B$3:$BL$3,0))</f>
        <v>air::urban air close to ground</v>
      </c>
      <c r="F275" t="s">
        <v>167</v>
      </c>
      <c r="G275" t="s">
        <v>593</v>
      </c>
    </row>
    <row r="276" spans="1:7" x14ac:dyDescent="0.2">
      <c r="A276" t="str">
        <f>INDEX('ei names mapping'!$B$4:$BL$33,MATCH(B$234,'ei names mapping'!$A$4:$A$33,0),MATCH(G276,'ei names mapping'!$B$3:$BL$3,0))</f>
        <v>Ethane</v>
      </c>
      <c r="B276" s="7">
        <f>INDEX('vehicles specifications'!$B$3:$CW$166,MATCH(B$237,'vehicles specifications'!$A$3:$A$166,0),MATCH(G276,'vehicles specifications'!$B$2:$CW$2,0))*INDEX('ei names mapping'!$B$137:$BL$300,MATCH(B$237,'ei names mapping'!$A$137:$A$300,0),MATCH(G276,'ei names mapping'!$B$136:$BL$136,0))</f>
        <v>4.1156979158582854E-6</v>
      </c>
      <c r="D276" t="str">
        <f>INDEX('ei names mapping'!$B$104:$BL$133,MATCH(B$234,'ei names mapping'!$A$4:$A$33,0),MATCH(G276,'ei names mapping'!$B$3:$BL$3,0))</f>
        <v>kilogram</v>
      </c>
      <c r="E276" t="str">
        <f>INDEX('ei names mapping'!$B$305:$BL$335,MATCH(B$234,'ei names mapping'!$A$4:$A$33,0),MATCH(G276,'ei names mapping'!$B$3:$BL$3,0))</f>
        <v>air::urban air close to ground</v>
      </c>
      <c r="F276" t="s">
        <v>167</v>
      </c>
      <c r="G276" t="s">
        <v>541</v>
      </c>
    </row>
    <row r="277" spans="1:7" x14ac:dyDescent="0.2">
      <c r="A277" t="str">
        <f>INDEX('ei names mapping'!$B$4:$BL$33,MATCH(B$234,'ei names mapping'!$A$4:$A$33,0),MATCH(G277,'ei names mapping'!$B$3:$BL$3,0))</f>
        <v>Propane</v>
      </c>
      <c r="B277" s="7">
        <f>INDEX('vehicles specifications'!$B$3:$CW$166,MATCH(B$237,'vehicles specifications'!$A$3:$A$166,0),MATCH(G277,'vehicles specifications'!$B$2:$CW$2,0))*INDEX('ei names mapping'!$B$137:$BL$300,MATCH(B$237,'ei names mapping'!$A$137:$A$300,0),MATCH(G277,'ei names mapping'!$B$136:$BL$136,0))</f>
        <v>8.3862183238491708E-7</v>
      </c>
      <c r="D277" t="str">
        <f>INDEX('ei names mapping'!$B$104:$BL$133,MATCH(B$234,'ei names mapping'!$A$4:$A$33,0),MATCH(G277,'ei names mapping'!$B$3:$BL$3,0))</f>
        <v>kilogram</v>
      </c>
      <c r="E277" t="str">
        <f>INDEX('ei names mapping'!$B$305:$BL$335,MATCH(B$234,'ei names mapping'!$A$4:$A$33,0),MATCH(G277,'ei names mapping'!$B$3:$BL$3,0))</f>
        <v>air::urban air close to ground</v>
      </c>
      <c r="F277" t="s">
        <v>167</v>
      </c>
      <c r="G277" t="s">
        <v>542</v>
      </c>
    </row>
    <row r="278" spans="1:7" x14ac:dyDescent="0.2">
      <c r="A278" t="str">
        <f>INDEX('ei names mapping'!$B$4:$BL$33,MATCH(B$234,'ei names mapping'!$A$4:$A$33,0),MATCH(G278,'ei names mapping'!$B$3:$BL$3,0))</f>
        <v>Butane</v>
      </c>
      <c r="B278" s="7">
        <f>INDEX('vehicles specifications'!$B$3:$CW$166,MATCH(B$237,'vehicles specifications'!$A$3:$A$166,0),MATCH(G278,'vehicles specifications'!$B$2:$CW$2,0))*INDEX('ei names mapping'!$B$137:$BL$300,MATCH(B$237,'ei names mapping'!$A$137:$A$300,0),MATCH(G278,'ei names mapping'!$B$136:$BL$136,0))</f>
        <v>6.7605821564568703E-6</v>
      </c>
      <c r="D278" t="str">
        <f>INDEX('ei names mapping'!$B$104:$BL$133,MATCH(B$234,'ei names mapping'!$A$4:$A$33,0),MATCH(G278,'ei names mapping'!$B$3:$BL$3,0))</f>
        <v>kilogram</v>
      </c>
      <c r="E278" t="str">
        <f>INDEX('ei names mapping'!$B$305:$BL$335,MATCH(B$234,'ei names mapping'!$A$4:$A$33,0),MATCH(G278,'ei names mapping'!$B$3:$BL$3,0))</f>
        <v>air::urban air close to ground</v>
      </c>
      <c r="F278" t="s">
        <v>167</v>
      </c>
      <c r="G278" t="s">
        <v>543</v>
      </c>
    </row>
    <row r="279" spans="1:7" x14ac:dyDescent="0.2">
      <c r="A279" t="str">
        <f>INDEX('ei names mapping'!$B$4:$BL$33,MATCH(B$234,'ei names mapping'!$A$4:$A$33,0),MATCH(G279,'ei names mapping'!$B$3:$BL$3,0))</f>
        <v>Pentane</v>
      </c>
      <c r="B279" s="7">
        <f>INDEX('vehicles specifications'!$B$3:$CW$166,MATCH(B$237,'vehicles specifications'!$A$3:$A$166,0),MATCH(G279,'vehicles specifications'!$B$2:$CW$2,0))*INDEX('ei names mapping'!$B$137:$BL$300,MATCH(B$237,'ei names mapping'!$A$137:$A$300,0),MATCH(G279,'ei names mapping'!$B$136:$BL$136,0))</f>
        <v>2.7739029840424182E-6</v>
      </c>
      <c r="D279" t="str">
        <f>INDEX('ei names mapping'!$B$104:$BL$133,MATCH(B$234,'ei names mapping'!$A$4:$A$33,0),MATCH(G279,'ei names mapping'!$B$3:$BL$3,0))</f>
        <v>kilogram</v>
      </c>
      <c r="E279" t="str">
        <f>INDEX('ei names mapping'!$B$305:$BL$335,MATCH(B$234,'ei names mapping'!$A$4:$A$33,0),MATCH(G279,'ei names mapping'!$B$3:$BL$3,0))</f>
        <v>air::urban air close to ground</v>
      </c>
      <c r="F279" t="s">
        <v>167</v>
      </c>
      <c r="G279" t="s">
        <v>544</v>
      </c>
    </row>
    <row r="280" spans="1:7" x14ac:dyDescent="0.2">
      <c r="A280" t="str">
        <f>INDEX('ei names mapping'!$B$4:$BL$33,MATCH(B$234,'ei names mapping'!$A$4:$A$33,0),MATCH(G280,'ei names mapping'!$B$3:$BL$3,0))</f>
        <v>Hexane</v>
      </c>
      <c r="B280" s="7">
        <f>INDEX('vehicles specifications'!$B$3:$CW$166,MATCH(B$237,'vehicles specifications'!$A$3:$A$166,0),MATCH(G280,'vehicles specifications'!$B$2:$CW$2,0))*INDEX('ei names mapping'!$B$137:$BL$300,MATCH(B$237,'ei names mapping'!$A$137:$A$300,0),MATCH(G280,'ei names mapping'!$B$136:$BL$136,0))</f>
        <v>2.0772017694457178E-6</v>
      </c>
      <c r="D280" t="str">
        <f>INDEX('ei names mapping'!$B$104:$BL$133,MATCH(B$234,'ei names mapping'!$A$4:$A$33,0),MATCH(G280,'ei names mapping'!$B$3:$BL$3,0))</f>
        <v>kilogram</v>
      </c>
      <c r="E280" t="str">
        <f>INDEX('ei names mapping'!$B$305:$BL$335,MATCH(B$234,'ei names mapping'!$A$4:$A$33,0),MATCH(G280,'ei names mapping'!$B$3:$BL$3,0))</f>
        <v>air::urban air close to ground</v>
      </c>
      <c r="F280" t="s">
        <v>167</v>
      </c>
      <c r="G280" t="s">
        <v>545</v>
      </c>
    </row>
    <row r="281" spans="1:7" x14ac:dyDescent="0.2">
      <c r="A281" t="str">
        <f>INDEX('ei names mapping'!$B$4:$BL$33,MATCH(B$234,'ei names mapping'!$A$4:$A$33,0),MATCH(G281,'ei names mapping'!$B$3:$BL$3,0))</f>
        <v>Cyclohexane</v>
      </c>
      <c r="B281" s="7">
        <f>INDEX('vehicles specifications'!$B$3:$CW$166,MATCH(B$237,'vehicles specifications'!$A$3:$A$166,0),MATCH(G281,'vehicles specifications'!$B$2:$CW$2,0))*INDEX('ei names mapping'!$B$137:$BL$300,MATCH(B$237,'ei names mapping'!$A$137:$A$300,0),MATCH(G281,'ei names mapping'!$B$136:$BL$136,0))</f>
        <v>1.4708136752597006E-6</v>
      </c>
      <c r="D281" t="str">
        <f>INDEX('ei names mapping'!$B$104:$BL$133,MATCH(B$234,'ei names mapping'!$A$4:$A$33,0),MATCH(G281,'ei names mapping'!$B$3:$BL$3,0))</f>
        <v>kilogram</v>
      </c>
      <c r="E281" t="str">
        <f>INDEX('ei names mapping'!$B$305:$BL$335,MATCH(B$234,'ei names mapping'!$A$4:$A$33,0),MATCH(G281,'ei names mapping'!$B$3:$BL$3,0))</f>
        <v>air::urban air close to ground</v>
      </c>
      <c r="F281" t="s">
        <v>167</v>
      </c>
      <c r="G281" t="s">
        <v>546</v>
      </c>
    </row>
    <row r="282" spans="1:7" x14ac:dyDescent="0.2">
      <c r="A282" t="str">
        <f>INDEX('ei names mapping'!$B$4:$BL$33,MATCH(B$234,'ei names mapping'!$A$4:$A$33,0),MATCH(G282,'ei names mapping'!$B$3:$BL$3,0))</f>
        <v>Heptane</v>
      </c>
      <c r="B282" s="7">
        <f>INDEX('vehicles specifications'!$B$3:$CW$166,MATCH(B$237,'vehicles specifications'!$A$3:$A$166,0),MATCH(G282,'vehicles specifications'!$B$2:$CW$2,0))*INDEX('ei names mapping'!$B$137:$BL$300,MATCH(B$237,'ei names mapping'!$A$137:$A$300,0),MATCH(G282,'ei names mapping'!$B$136:$BL$136,0))</f>
        <v>9.5473870148436736E-7</v>
      </c>
      <c r="D282" t="str">
        <f>INDEX('ei names mapping'!$B$104:$BL$133,MATCH(B$234,'ei names mapping'!$A$4:$A$33,0),MATCH(G282,'ei names mapping'!$B$3:$BL$3,0))</f>
        <v>kilogram</v>
      </c>
      <c r="E282" t="str">
        <f>INDEX('ei names mapping'!$B$305:$BL$335,MATCH(B$234,'ei names mapping'!$A$4:$A$33,0),MATCH(G282,'ei names mapping'!$B$3:$BL$3,0))</f>
        <v>air::urban air close to ground</v>
      </c>
      <c r="F282" t="s">
        <v>167</v>
      </c>
      <c r="G282" t="s">
        <v>547</v>
      </c>
    </row>
    <row r="283" spans="1:7" x14ac:dyDescent="0.2">
      <c r="A283" t="str">
        <f>INDEX('ei names mapping'!$B$4:$BL$33,MATCH(B$234,'ei names mapping'!$A$4:$A$33,0),MATCH(G283,'ei names mapping'!$B$3:$BL$3,0))</f>
        <v>Ethene</v>
      </c>
      <c r="B283" s="7">
        <f>INDEX('vehicles specifications'!$B$3:$CW$166,MATCH(B$237,'vehicles specifications'!$A$3:$A$166,0),MATCH(G283,'vehicles specifications'!$B$2:$CW$2,0))*INDEX('ei names mapping'!$B$137:$BL$300,MATCH(B$237,'ei names mapping'!$A$137:$A$300,0),MATCH(G283,'ei names mapping'!$B$136:$BL$136,0))</f>
        <v>9.4183682713998361E-6</v>
      </c>
      <c r="D283" t="str">
        <f>INDEX('ei names mapping'!$B$104:$BL$133,MATCH(B$234,'ei names mapping'!$A$4:$A$33,0),MATCH(G283,'ei names mapping'!$B$3:$BL$3,0))</f>
        <v>kilogram</v>
      </c>
      <c r="E283" t="str">
        <f>INDEX('ei names mapping'!$B$305:$BL$335,MATCH(B$234,'ei names mapping'!$A$4:$A$33,0),MATCH(G283,'ei names mapping'!$B$3:$BL$3,0))</f>
        <v>air::urban air close to ground</v>
      </c>
      <c r="F283" t="s">
        <v>167</v>
      </c>
      <c r="G283" t="s">
        <v>548</v>
      </c>
    </row>
    <row r="284" spans="1:7" x14ac:dyDescent="0.2">
      <c r="A284" t="str">
        <f>INDEX('ei names mapping'!$B$4:$BL$33,MATCH(B$234,'ei names mapping'!$A$4:$A$33,0),MATCH(G284,'ei names mapping'!$B$3:$BL$3,0))</f>
        <v>Propene</v>
      </c>
      <c r="B284" s="7">
        <f>INDEX('vehicles specifications'!$B$3:$CW$166,MATCH(B$237,'vehicles specifications'!$A$3:$A$166,0),MATCH(G284,'vehicles specifications'!$B$2:$CW$2,0))*INDEX('ei names mapping'!$B$137:$BL$300,MATCH(B$237,'ei names mapping'!$A$137:$A$300,0),MATCH(G284,'ei names mapping'!$B$136:$BL$136,0))</f>
        <v>4.928515999554436E-6</v>
      </c>
      <c r="D284" t="str">
        <f>INDEX('ei names mapping'!$B$104:$BL$133,MATCH(B$234,'ei names mapping'!$A$4:$A$33,0),MATCH(G284,'ei names mapping'!$B$3:$BL$3,0))</f>
        <v>kilogram</v>
      </c>
      <c r="E284" t="str">
        <f>INDEX('ei names mapping'!$B$305:$BL$335,MATCH(B$234,'ei names mapping'!$A$4:$A$33,0),MATCH(G284,'ei names mapping'!$B$3:$BL$3,0))</f>
        <v>air::urban air close to ground</v>
      </c>
      <c r="F284" t="s">
        <v>167</v>
      </c>
      <c r="G284" t="s">
        <v>549</v>
      </c>
    </row>
    <row r="285" spans="1:7" x14ac:dyDescent="0.2">
      <c r="A285" t="str">
        <f>INDEX('ei names mapping'!$B$4:$BL$33,MATCH(B$234,'ei names mapping'!$A$4:$A$33,0),MATCH(G285,'ei names mapping'!$B$3:$BL$3,0))</f>
        <v>1-Pentene</v>
      </c>
      <c r="B285" s="7">
        <f>INDEX('vehicles specifications'!$B$3:$CW$166,MATCH(B$237,'vehicles specifications'!$A$3:$A$166,0),MATCH(G285,'vehicles specifications'!$B$2:$CW$2,0))*INDEX('ei names mapping'!$B$137:$BL$300,MATCH(B$237,'ei names mapping'!$A$137:$A$300,0),MATCH(G285,'ei names mapping'!$B$136:$BL$136,0))</f>
        <v>1.4192061778821673E-7</v>
      </c>
      <c r="D285" t="str">
        <f>INDEX('ei names mapping'!$B$104:$BL$133,MATCH(B$234,'ei names mapping'!$A$4:$A$33,0),MATCH(G285,'ei names mapping'!$B$3:$BL$3,0))</f>
        <v>kilogram</v>
      </c>
      <c r="E285" t="str">
        <f>INDEX('ei names mapping'!$B$305:$BL$335,MATCH(B$234,'ei names mapping'!$A$4:$A$33,0),MATCH(G285,'ei names mapping'!$B$3:$BL$3,0))</f>
        <v>air::urban air close to ground</v>
      </c>
      <c r="F285" t="s">
        <v>167</v>
      </c>
      <c r="G285" t="s">
        <v>550</v>
      </c>
    </row>
    <row r="286" spans="1:7" x14ac:dyDescent="0.2">
      <c r="A286" t="str">
        <f>INDEX('ei names mapping'!$B$4:$BL$33,MATCH(B$234,'ei names mapping'!$A$4:$A$33,0),MATCH(G286,'ei names mapping'!$B$3:$BL$3,0))</f>
        <v>Toluene</v>
      </c>
      <c r="B286" s="7">
        <f>INDEX('vehicles specifications'!$B$3:$CW$166,MATCH(B$237,'vehicles specifications'!$A$3:$A$166,0),MATCH(G286,'vehicles specifications'!$B$2:$CW$2,0))*INDEX('ei names mapping'!$B$137:$BL$300,MATCH(B$237,'ei names mapping'!$A$137:$A$300,0),MATCH(G286,'ei names mapping'!$B$136:$BL$136,0))</f>
        <v>1.4166258030132906E-5</v>
      </c>
      <c r="D286" t="str">
        <f>INDEX('ei names mapping'!$B$104:$BL$133,MATCH(B$234,'ei names mapping'!$A$4:$A$33,0),MATCH(G286,'ei names mapping'!$B$3:$BL$3,0))</f>
        <v>kilogram</v>
      </c>
      <c r="E286" t="str">
        <f>INDEX('ei names mapping'!$B$305:$BL$335,MATCH(B$234,'ei names mapping'!$A$4:$A$33,0),MATCH(G286,'ei names mapping'!$B$3:$BL$3,0))</f>
        <v>air::urban air close to ground</v>
      </c>
      <c r="F286" t="s">
        <v>167</v>
      </c>
      <c r="G286" t="s">
        <v>551</v>
      </c>
    </row>
    <row r="287" spans="1:7" x14ac:dyDescent="0.2">
      <c r="A287" t="str">
        <f>INDEX('ei names mapping'!$B$4:$BL$33,MATCH(B$234,'ei names mapping'!$A$4:$A$33,0),MATCH(G287,'ei names mapping'!$B$3:$BL$3,0))</f>
        <v>m-Xylene</v>
      </c>
      <c r="B287" s="7">
        <f>INDEX('vehicles specifications'!$B$3:$CW$166,MATCH(B$237,'vehicles specifications'!$A$3:$A$166,0),MATCH(G287,'vehicles specifications'!$B$2:$CW$2,0))*INDEX('ei names mapping'!$B$137:$BL$300,MATCH(B$237,'ei names mapping'!$A$137:$A$300,0),MATCH(G287,'ei names mapping'!$B$136:$BL$136,0))</f>
        <v>7.0057177690001534E-6</v>
      </c>
      <c r="D287" t="str">
        <f>INDEX('ei names mapping'!$B$104:$BL$133,MATCH(B$234,'ei names mapping'!$A$4:$A$33,0),MATCH(G287,'ei names mapping'!$B$3:$BL$3,0))</f>
        <v>kilogram</v>
      </c>
      <c r="E287" t="str">
        <f>INDEX('ei names mapping'!$B$305:$BL$335,MATCH(B$234,'ei names mapping'!$A$4:$A$33,0),MATCH(G287,'ei names mapping'!$B$3:$BL$3,0))</f>
        <v>air::urban air close to ground</v>
      </c>
      <c r="F287" t="s">
        <v>167</v>
      </c>
      <c r="G287" t="s">
        <v>552</v>
      </c>
    </row>
    <row r="288" spans="1:7" x14ac:dyDescent="0.2">
      <c r="A288" t="str">
        <f>INDEX('ei names mapping'!$B$4:$BL$33,MATCH(B$234,'ei names mapping'!$A$4:$A$33,0),MATCH(G288,'ei names mapping'!$B$3:$BL$3,0))</f>
        <v>o-Xylene</v>
      </c>
      <c r="B288" s="7">
        <f>INDEX('vehicles specifications'!$B$3:$CW$166,MATCH(B$237,'vehicles specifications'!$A$3:$A$166,0),MATCH(G288,'vehicles specifications'!$B$2:$CW$2,0))*INDEX('ei names mapping'!$B$137:$BL$300,MATCH(B$237,'ei names mapping'!$A$137:$A$300,0),MATCH(G288,'ei names mapping'!$B$136:$BL$136,0))</f>
        <v>2.9158236018306349E-6</v>
      </c>
      <c r="D288" t="str">
        <f>INDEX('ei names mapping'!$B$104:$BL$133,MATCH(B$234,'ei names mapping'!$A$4:$A$33,0),MATCH(G288,'ei names mapping'!$B$3:$BL$3,0))</f>
        <v>kilogram</v>
      </c>
      <c r="E288" t="str">
        <f>INDEX('ei names mapping'!$B$305:$BL$335,MATCH(B$234,'ei names mapping'!$A$4:$A$33,0),MATCH(G288,'ei names mapping'!$B$3:$BL$3,0))</f>
        <v>air::urban air close to ground</v>
      </c>
      <c r="F288" t="s">
        <v>167</v>
      </c>
      <c r="G288" t="s">
        <v>553</v>
      </c>
    </row>
    <row r="289" spans="1:7" x14ac:dyDescent="0.2">
      <c r="A289" t="str">
        <f>INDEX('ei names mapping'!$B$4:$BL$33,MATCH(B$234,'ei names mapping'!$A$4:$A$33,0),MATCH(G289,'ei names mapping'!$B$3:$BL$3,0))</f>
        <v>Formaldehyde</v>
      </c>
      <c r="B289" s="7">
        <f>INDEX('vehicles specifications'!$B$3:$CW$166,MATCH(B$237,'vehicles specifications'!$A$3:$A$166,0),MATCH(G289,'vehicles specifications'!$B$2:$CW$2,0))*INDEX('ei names mapping'!$B$137:$BL$300,MATCH(B$237,'ei names mapping'!$A$137:$A$300,0),MATCH(G289,'ei names mapping'!$B$136:$BL$136,0))</f>
        <v>2.1933186385451676E-6</v>
      </c>
      <c r="D289" t="str">
        <f>INDEX('ei names mapping'!$B$104:$BL$133,MATCH(B$234,'ei names mapping'!$A$4:$A$33,0),MATCH(G289,'ei names mapping'!$B$3:$BL$3,0))</f>
        <v>kilogram</v>
      </c>
      <c r="E289" t="str">
        <f>INDEX('ei names mapping'!$B$305:$BL$335,MATCH(B$234,'ei names mapping'!$A$4:$A$33,0),MATCH(G289,'ei names mapping'!$B$3:$BL$3,0))</f>
        <v>air::urban air close to ground</v>
      </c>
      <c r="F289" t="s">
        <v>167</v>
      </c>
      <c r="G289" t="s">
        <v>554</v>
      </c>
    </row>
    <row r="290" spans="1:7" x14ac:dyDescent="0.2">
      <c r="A290" t="str">
        <f>INDEX('ei names mapping'!$B$4:$BL$33,MATCH(B$234,'ei names mapping'!$A$4:$A$33,0),MATCH(G290,'ei names mapping'!$B$3:$BL$3,0))</f>
        <v>Acetaldehyde</v>
      </c>
      <c r="B290" s="7">
        <f>INDEX('vehicles specifications'!$B$3:$CW$166,MATCH(B$237,'vehicles specifications'!$A$3:$A$166,0),MATCH(G290,'vehicles specifications'!$B$2:$CW$2,0))*INDEX('ei names mapping'!$B$137:$BL$300,MATCH(B$237,'ei names mapping'!$A$137:$A$300,0),MATCH(G290,'ei names mapping'!$B$136:$BL$136,0))</f>
        <v>9.6764057582875035E-7</v>
      </c>
      <c r="D290" t="str">
        <f>INDEX('ei names mapping'!$B$104:$BL$133,MATCH(B$234,'ei names mapping'!$A$4:$A$33,0),MATCH(G290,'ei names mapping'!$B$3:$BL$3,0))</f>
        <v>kilogram</v>
      </c>
      <c r="E290" t="str">
        <f>INDEX('ei names mapping'!$B$305:$BL$335,MATCH(B$234,'ei names mapping'!$A$4:$A$33,0),MATCH(G290,'ei names mapping'!$B$3:$BL$3,0))</f>
        <v>air::urban air close to ground</v>
      </c>
      <c r="F290" t="s">
        <v>167</v>
      </c>
      <c r="G290" t="s">
        <v>555</v>
      </c>
    </row>
    <row r="291" spans="1:7" x14ac:dyDescent="0.2">
      <c r="A291" t="str">
        <f>INDEX('ei names mapping'!$B$4:$BL$33,MATCH(B$234,'ei names mapping'!$A$4:$A$33,0),MATCH(G291,'ei names mapping'!$B$3:$BL$3,0))</f>
        <v>Benzaldehyde</v>
      </c>
      <c r="B291" s="7">
        <f>INDEX('vehicles specifications'!$B$3:$CW$166,MATCH(B$237,'vehicles specifications'!$A$3:$A$166,0),MATCH(G291,'vehicles specifications'!$B$2:$CW$2,0))*INDEX('ei names mapping'!$B$137:$BL$300,MATCH(B$237,'ei names mapping'!$A$137:$A$300,0),MATCH(G291,'ei names mapping'!$B$136:$BL$136,0))</f>
        <v>2.8384123557643346E-7</v>
      </c>
      <c r="D291" t="str">
        <f>INDEX('ei names mapping'!$B$104:$BL$133,MATCH(B$234,'ei names mapping'!$A$4:$A$33,0),MATCH(G291,'ei names mapping'!$B$3:$BL$3,0))</f>
        <v>kilogram</v>
      </c>
      <c r="E291" t="str">
        <f>INDEX('ei names mapping'!$B$305:$BL$335,MATCH(B$234,'ei names mapping'!$A$4:$A$33,0),MATCH(G291,'ei names mapping'!$B$3:$BL$3,0))</f>
        <v>air::urban air close to ground</v>
      </c>
      <c r="F291" t="s">
        <v>167</v>
      </c>
      <c r="G291" t="s">
        <v>556</v>
      </c>
    </row>
    <row r="292" spans="1:7" x14ac:dyDescent="0.2">
      <c r="A292" t="str">
        <f>INDEX('ei names mapping'!$B$4:$BL$33,MATCH(B$234,'ei names mapping'!$A$4:$A$33,0),MATCH(G292,'ei names mapping'!$B$3:$BL$3,0))</f>
        <v>Acetone</v>
      </c>
      <c r="B292" s="7">
        <f>INDEX('vehicles specifications'!$B$3:$CW$166,MATCH(B$237,'vehicles specifications'!$A$3:$A$166,0),MATCH(G292,'vehicles specifications'!$B$2:$CW$2,0))*INDEX('ei names mapping'!$B$137:$BL$300,MATCH(B$237,'ei names mapping'!$A$137:$A$300,0),MATCH(G292,'ei names mapping'!$B$136:$BL$136,0))</f>
        <v>7.8701433500738386E-7</v>
      </c>
      <c r="D292" t="str">
        <f>INDEX('ei names mapping'!$B$104:$BL$133,MATCH(B$234,'ei names mapping'!$A$4:$A$33,0),MATCH(G292,'ei names mapping'!$B$3:$BL$3,0))</f>
        <v>kilogram</v>
      </c>
      <c r="E292" t="str">
        <f>INDEX('ei names mapping'!$B$305:$BL$335,MATCH(B$234,'ei names mapping'!$A$4:$A$33,0),MATCH(G292,'ei names mapping'!$B$3:$BL$3,0))</f>
        <v>air::urban air close to ground</v>
      </c>
      <c r="F292" t="s">
        <v>167</v>
      </c>
      <c r="G292" t="s">
        <v>557</v>
      </c>
    </row>
    <row r="293" spans="1:7" x14ac:dyDescent="0.2">
      <c r="A293" t="str">
        <f>INDEX('ei names mapping'!$B$4:$BL$33,MATCH(B$234,'ei names mapping'!$A$4:$A$33,0),MATCH(G293,'ei names mapping'!$B$3:$BL$3,0))</f>
        <v>Methyl ethyl ketone</v>
      </c>
      <c r="B293" s="7">
        <f>INDEX('vehicles specifications'!$B$3:$CW$166,MATCH(B$237,'vehicles specifications'!$A$3:$A$166,0),MATCH(G293,'vehicles specifications'!$B$2:$CW$2,0))*INDEX('ei names mapping'!$B$137:$BL$300,MATCH(B$237,'ei names mapping'!$A$137:$A$300,0),MATCH(G293,'ei names mapping'!$B$136:$BL$136,0))</f>
        <v>6.4509371721916699E-8</v>
      </c>
      <c r="D293" t="str">
        <f>INDEX('ei names mapping'!$B$104:$BL$133,MATCH(B$234,'ei names mapping'!$A$4:$A$33,0),MATCH(G293,'ei names mapping'!$B$3:$BL$3,0))</f>
        <v>kilogram</v>
      </c>
      <c r="E293" t="str">
        <f>INDEX('ei names mapping'!$B$305:$BL$335,MATCH(B$234,'ei names mapping'!$A$4:$A$33,0),MATCH(G293,'ei names mapping'!$B$3:$BL$3,0))</f>
        <v>air::urban air close to ground</v>
      </c>
      <c r="F293" t="s">
        <v>167</v>
      </c>
      <c r="G293" t="s">
        <v>560</v>
      </c>
    </row>
    <row r="294" spans="1:7" x14ac:dyDescent="0.2">
      <c r="A294" t="str">
        <f>INDEX('ei names mapping'!$B$4:$BL$33,MATCH(B$234,'ei names mapping'!$A$4:$A$33,0),MATCH(G294,'ei names mapping'!$B$3:$BL$3,0))</f>
        <v>Acrolein</v>
      </c>
      <c r="B294" s="7">
        <f>INDEX('vehicles specifications'!$B$3:$CW$166,MATCH(B$237,'vehicles specifications'!$A$3:$A$166,0),MATCH(G294,'vehicles specifications'!$B$2:$CW$2,0))*INDEX('ei names mapping'!$B$137:$BL$300,MATCH(B$237,'ei names mapping'!$A$137:$A$300,0),MATCH(G294,'ei names mapping'!$B$136:$BL$136,0))</f>
        <v>2.4513561254328344E-7</v>
      </c>
      <c r="D294" t="str">
        <f>INDEX('ei names mapping'!$B$104:$BL$133,MATCH(B$234,'ei names mapping'!$A$4:$A$33,0),MATCH(G294,'ei names mapping'!$B$3:$BL$3,0))</f>
        <v>kilogram</v>
      </c>
      <c r="E294" t="str">
        <f>INDEX('ei names mapping'!$B$305:$BL$335,MATCH(B$234,'ei names mapping'!$A$4:$A$33,0),MATCH(G294,'ei names mapping'!$B$3:$BL$3,0))</f>
        <v>air::urban air close to ground</v>
      </c>
      <c r="F294" t="s">
        <v>167</v>
      </c>
      <c r="G294" t="s">
        <v>558</v>
      </c>
    </row>
    <row r="295" spans="1:7" x14ac:dyDescent="0.2">
      <c r="A295" t="str">
        <f>INDEX('ei names mapping'!$B$4:$BL$33,MATCH(B$234,'ei names mapping'!$A$4:$A$33,0),MATCH(G295,'ei names mapping'!$B$3:$BL$3,0))</f>
        <v>Styrene</v>
      </c>
      <c r="B295" s="7">
        <f>INDEX('vehicles specifications'!$B$3:$CW$166,MATCH(B$237,'vehicles specifications'!$A$3:$A$166,0),MATCH(G295,'vehicles specifications'!$B$2:$CW$2,0))*INDEX('ei names mapping'!$B$137:$BL$300,MATCH(B$237,'ei names mapping'!$A$137:$A$300,0),MATCH(G295,'ei names mapping'!$B$136:$BL$136,0))</f>
        <v>1.3030893087827173E-6</v>
      </c>
      <c r="D295" t="str">
        <f>INDEX('ei names mapping'!$B$104:$BL$133,MATCH(B$234,'ei names mapping'!$A$4:$A$33,0),MATCH(G295,'ei names mapping'!$B$3:$BL$3,0))</f>
        <v>kilogram</v>
      </c>
      <c r="E295" t="str">
        <f>INDEX('ei names mapping'!$B$305:$BL$335,MATCH(B$234,'ei names mapping'!$A$4:$A$33,0),MATCH(G295,'ei names mapping'!$B$3:$BL$3,0))</f>
        <v>air::urban air close to ground</v>
      </c>
      <c r="F295" t="s">
        <v>167</v>
      </c>
      <c r="G295" t="s">
        <v>559</v>
      </c>
    </row>
    <row r="296" spans="1:7" x14ac:dyDescent="0.2">
      <c r="A296" t="str">
        <f>INDEX('ei names mapping'!$B$4:$BL$33,MATCH(B$234,'ei names mapping'!$A$4:$A$33,0),MATCH(G296,'ei names mapping'!$B$3:$BL$3,0))</f>
        <v>PAH, polycyclic aromatic hydrocarbons</v>
      </c>
      <c r="B296" s="7">
        <f>INDEX('vehicles specifications'!$B$3:$CW$166,MATCH(B$237,'vehicles specifications'!$A$3:$A$166,0),MATCH(G296,'vehicles specifications'!$B$2:$CW$2,0))*INDEX('ei names mapping'!$B$137:$BL$300,MATCH(B$237,'ei names mapping'!$A$137:$A$300,0),MATCH(G296,'ei names mapping'!$B$136:$BL$136,0))</f>
        <v>1.6158977272981469E-9</v>
      </c>
      <c r="D296" t="str">
        <f>INDEX('ei names mapping'!$B$104:$BL$133,MATCH(B$234,'ei names mapping'!$A$4:$A$33,0),MATCH(G296,'ei names mapping'!$B$3:$BL$3,0))</f>
        <v>kilogram</v>
      </c>
      <c r="E296" t="str">
        <f>INDEX('ei names mapping'!$B$305:$BL$335,MATCH(B$234,'ei names mapping'!$A$4:$A$33,0),MATCH(G296,'ei names mapping'!$B$3:$BL$3,0))</f>
        <v>air::urban air close to ground</v>
      </c>
      <c r="F296" t="s">
        <v>167</v>
      </c>
      <c r="G296" t="s">
        <v>561</v>
      </c>
    </row>
    <row r="297" spans="1:7" x14ac:dyDescent="0.2">
      <c r="A297" t="str">
        <f>INDEX('ei names mapping'!$B$4:$BL$33,MATCH(B$234,'ei names mapping'!$A$4:$A$33,0),MATCH(G297,'ei names mapping'!$B$3:$BL$3,0))</f>
        <v>Arsenic</v>
      </c>
      <c r="B297" s="7">
        <f>INDEX('vehicles specifications'!$B$3:$CW$166,MATCH(B$237,'vehicles specifications'!$A$3:$A$166,0),MATCH(G297,'vehicles specifications'!$B$2:$CW$2,0))*INDEX('ei names mapping'!$B$137:$BL$300,MATCH(B$237,'ei names mapping'!$A$137:$A$300,0),MATCH(G297,'ei names mapping'!$B$136:$BL$136,0))</f>
        <v>1.3930152821535749E-11</v>
      </c>
      <c r="D297" t="str">
        <f>INDEX('ei names mapping'!$B$104:$BL$133,MATCH(B$234,'ei names mapping'!$A$4:$A$33,0),MATCH(G297,'ei names mapping'!$B$3:$BL$3,0))</f>
        <v>kilogram</v>
      </c>
      <c r="E297" t="str">
        <f>INDEX('ei names mapping'!$B$305:$BL$335,MATCH(B$234,'ei names mapping'!$A$4:$A$33,0),MATCH(G297,'ei names mapping'!$B$3:$BL$3,0))</f>
        <v>air::urban air close to ground</v>
      </c>
      <c r="F297" t="s">
        <v>167</v>
      </c>
      <c r="G297" t="s">
        <v>562</v>
      </c>
    </row>
    <row r="298" spans="1:7" x14ac:dyDescent="0.2">
      <c r="A298" t="str">
        <f>INDEX('ei names mapping'!$B$4:$BL$33,MATCH(B$234,'ei names mapping'!$A$4:$A$33,0),MATCH(G298,'ei names mapping'!$B$3:$BL$3,0))</f>
        <v>Selenium</v>
      </c>
      <c r="B298" s="7">
        <f>INDEX('vehicles specifications'!$B$3:$CW$166,MATCH(B$237,'vehicles specifications'!$A$3:$A$166,0),MATCH(G298,'vehicles specifications'!$B$2:$CW$2,0))*INDEX('ei names mapping'!$B$137:$BL$300,MATCH(B$237,'ei names mapping'!$A$137:$A$300,0),MATCH(G298,'ei names mapping'!$B$136:$BL$136,0))</f>
        <v>9.2867685476904988E-12</v>
      </c>
      <c r="D298" t="str">
        <f>INDEX('ei names mapping'!$B$104:$BL$133,MATCH(B$234,'ei names mapping'!$A$4:$A$33,0),MATCH(G298,'ei names mapping'!$B$3:$BL$3,0))</f>
        <v>kilogram</v>
      </c>
      <c r="E298" t="str">
        <f>INDEX('ei names mapping'!$B$305:$BL$335,MATCH(B$234,'ei names mapping'!$A$4:$A$33,0),MATCH(G298,'ei names mapping'!$B$3:$BL$3,0))</f>
        <v>air::urban air close to ground</v>
      </c>
      <c r="F298" t="s">
        <v>167</v>
      </c>
      <c r="G298" t="s">
        <v>563</v>
      </c>
    </row>
    <row r="299" spans="1:7" x14ac:dyDescent="0.2">
      <c r="A299" t="str">
        <f>INDEX('ei names mapping'!$B$4:$BL$33,MATCH(B$234,'ei names mapping'!$A$4:$A$33,0),MATCH(G299,'ei names mapping'!$B$3:$BL$3,0))</f>
        <v>Zinc</v>
      </c>
      <c r="B299" s="7">
        <f>INDEX('vehicles specifications'!$B$3:$CW$166,MATCH(B$237,'vehicles specifications'!$A$3:$A$166,0),MATCH(G299,'vehicles specifications'!$B$2:$CW$2,0))*INDEX('ei names mapping'!$B$137:$BL$300,MATCH(B$237,'ei names mapping'!$A$137:$A$300,0),MATCH(G299,'ei names mapping'!$B$136:$BL$136,0))</f>
        <v>1.0029710031505739E-7</v>
      </c>
      <c r="D299" t="str">
        <f>INDEX('ei names mapping'!$B$104:$BL$133,MATCH(B$234,'ei names mapping'!$A$4:$A$33,0),MATCH(G299,'ei names mapping'!$B$3:$BL$3,0))</f>
        <v>kilogram</v>
      </c>
      <c r="E299" t="str">
        <f>INDEX('ei names mapping'!$B$305:$BL$335,MATCH(B$234,'ei names mapping'!$A$4:$A$33,0),MATCH(G299,'ei names mapping'!$B$3:$BL$3,0))</f>
        <v>air::urban air close to ground</v>
      </c>
      <c r="F299" t="s">
        <v>167</v>
      </c>
      <c r="G299" t="s">
        <v>564</v>
      </c>
    </row>
    <row r="300" spans="1:7" x14ac:dyDescent="0.2">
      <c r="A300" t="str">
        <f>INDEX('ei names mapping'!$B$4:$BL$33,MATCH(B$234,'ei names mapping'!$A$4:$A$33,0),MATCH(G300,'ei names mapping'!$B$3:$BL$3,0))</f>
        <v>Copper</v>
      </c>
      <c r="B300" s="7">
        <f>INDEX('vehicles specifications'!$B$3:$CW$166,MATCH(B$237,'vehicles specifications'!$A$3:$A$166,0),MATCH(G300,'vehicles specifications'!$B$2:$CW$2,0))*INDEX('ei names mapping'!$B$137:$BL$300,MATCH(B$237,'ei names mapping'!$A$137:$A$300,0),MATCH(G300,'ei names mapping'!$B$136:$BL$136,0))</f>
        <v>1.9502213950150047E-9</v>
      </c>
      <c r="D300" t="str">
        <f>INDEX('ei names mapping'!$B$104:$BL$133,MATCH(B$234,'ei names mapping'!$A$4:$A$33,0),MATCH(G300,'ei names mapping'!$B$3:$BL$3,0))</f>
        <v>kilogram</v>
      </c>
      <c r="E300" t="str">
        <f>INDEX('ei names mapping'!$B$305:$BL$335,MATCH(B$234,'ei names mapping'!$A$4:$A$33,0),MATCH(G300,'ei names mapping'!$B$3:$BL$3,0))</f>
        <v>air::urban air close to ground</v>
      </c>
      <c r="F300" t="s">
        <v>167</v>
      </c>
      <c r="G300" t="s">
        <v>522</v>
      </c>
    </row>
    <row r="301" spans="1:7" x14ac:dyDescent="0.2">
      <c r="A301" t="str">
        <f>INDEX('ei names mapping'!$B$4:$BL$33,MATCH(B$234,'ei names mapping'!$A$4:$A$33,0),MATCH(G301,'ei names mapping'!$B$3:$BL$3,0))</f>
        <v>Nickel</v>
      </c>
      <c r="B301" s="7">
        <f>INDEX('vehicles specifications'!$B$3:$CW$166,MATCH(B$237,'vehicles specifications'!$A$3:$A$166,0),MATCH(G301,'vehicles specifications'!$B$2:$CW$2,0))*INDEX('ei names mapping'!$B$137:$BL$300,MATCH(B$237,'ei names mapping'!$A$137:$A$300,0),MATCH(G301,'ei names mapping'!$B$136:$BL$136,0))</f>
        <v>6.0363995559988245E-10</v>
      </c>
      <c r="D301" t="str">
        <f>INDEX('ei names mapping'!$B$104:$BL$133,MATCH(B$234,'ei names mapping'!$A$4:$A$33,0),MATCH(G301,'ei names mapping'!$B$3:$BL$3,0))</f>
        <v>kilogram</v>
      </c>
      <c r="E301" t="str">
        <f>INDEX('ei names mapping'!$B$305:$BL$335,MATCH(B$234,'ei names mapping'!$A$4:$A$33,0),MATCH(G301,'ei names mapping'!$B$3:$BL$3,0))</f>
        <v>air::urban air close to ground</v>
      </c>
      <c r="F301" t="s">
        <v>167</v>
      </c>
      <c r="G301" t="s">
        <v>524</v>
      </c>
    </row>
    <row r="302" spans="1:7" x14ac:dyDescent="0.2">
      <c r="A302" t="str">
        <f>INDEX('ei names mapping'!$B$4:$BL$33,MATCH(B$234,'ei names mapping'!$A$4:$A$33,0),MATCH(G302,'ei names mapping'!$B$3:$BL$3,0))</f>
        <v>Chromium</v>
      </c>
      <c r="B302" s="7">
        <f>INDEX('vehicles specifications'!$B$3:$CW$166,MATCH(B$237,'vehicles specifications'!$A$3:$A$166,0),MATCH(G302,'vehicles specifications'!$B$2:$CW$2,0))*INDEX('ei names mapping'!$B$137:$BL$300,MATCH(B$237,'ei names mapping'!$A$137:$A$300,0),MATCH(G302,'ei names mapping'!$B$136:$BL$136,0))</f>
        <v>7.4294148381523998E-10</v>
      </c>
      <c r="D302" t="str">
        <f>INDEX('ei names mapping'!$B$104:$BL$133,MATCH(B$234,'ei names mapping'!$A$4:$A$33,0),MATCH(G302,'ei names mapping'!$B$3:$BL$3,0))</f>
        <v>kilogram</v>
      </c>
      <c r="E302" t="str">
        <f>INDEX('ei names mapping'!$B$305:$BL$335,MATCH(B$234,'ei names mapping'!$A$4:$A$33,0),MATCH(G302,'ei names mapping'!$B$3:$BL$3,0))</f>
        <v>air::urban air close to ground</v>
      </c>
      <c r="F302" t="s">
        <v>167</v>
      </c>
      <c r="G302" t="s">
        <v>523</v>
      </c>
    </row>
    <row r="303" spans="1:7" x14ac:dyDescent="0.2">
      <c r="A303" t="str">
        <f>INDEX('ei names mapping'!$B$4:$BL$33,MATCH(B$234,'ei names mapping'!$A$4:$A$33,0),MATCH(G303,'ei names mapping'!$B$3:$BL$3,0))</f>
        <v>Chromium VI</v>
      </c>
      <c r="B303" s="7">
        <f>INDEX('vehicles specifications'!$B$3:$CW$166,MATCH(B$237,'vehicles specifications'!$A$3:$A$166,0),MATCH(G303,'vehicles specifications'!$B$2:$CW$2,0))*INDEX('ei names mapping'!$B$137:$BL$300,MATCH(B$237,'ei names mapping'!$A$137:$A$300,0),MATCH(G303,'ei names mapping'!$B$136:$BL$136,0))</f>
        <v>1.4858829676304797E-12</v>
      </c>
      <c r="D303" t="str">
        <f>INDEX('ei names mapping'!$B$104:$BL$133,MATCH(B$234,'ei names mapping'!$A$4:$A$33,0),MATCH(G303,'ei names mapping'!$B$3:$BL$3,0))</f>
        <v>kilogram</v>
      </c>
      <c r="E303" t="str">
        <f>INDEX('ei names mapping'!$B$305:$BL$335,MATCH(B$234,'ei names mapping'!$A$4:$A$33,0),MATCH(G303,'ei names mapping'!$B$3:$BL$3,0))</f>
        <v>air::urban air close to ground</v>
      </c>
      <c r="F303" t="s">
        <v>167</v>
      </c>
      <c r="G303" t="s">
        <v>567</v>
      </c>
    </row>
    <row r="304" spans="1:7" x14ac:dyDescent="0.2">
      <c r="A304" t="str">
        <f>INDEX('ei names mapping'!$B$4:$BL$33,MATCH(B$234,'ei names mapping'!$A$4:$A$33,0),MATCH(G304,'ei names mapping'!$B$3:$BL$3,0))</f>
        <v>Mercury</v>
      </c>
      <c r="B304" s="7">
        <f>INDEX('vehicles specifications'!$B$3:$CW$166,MATCH(B$237,'vehicles specifications'!$A$3:$A$166,0),MATCH(G304,'vehicles specifications'!$B$2:$CW$2,0))*INDEX('ei names mapping'!$B$137:$BL$300,MATCH(B$237,'ei names mapping'!$A$137:$A$300,0),MATCH(G304,'ei names mapping'!$B$136:$BL$136,0))</f>
        <v>4.0397443182453672E-10</v>
      </c>
      <c r="D304" t="str">
        <f>INDEX('ei names mapping'!$B$104:$BL$133,MATCH(B$234,'ei names mapping'!$A$4:$A$33,0),MATCH(G304,'ei names mapping'!$B$3:$BL$3,0))</f>
        <v>kilogram</v>
      </c>
      <c r="E304" t="str">
        <f>INDEX('ei names mapping'!$B$305:$BL$335,MATCH(B$234,'ei names mapping'!$A$4:$A$33,0),MATCH(G304,'ei names mapping'!$B$3:$BL$3,0))</f>
        <v>air::urban air close to ground</v>
      </c>
      <c r="F304" t="s">
        <v>167</v>
      </c>
      <c r="G304" t="s">
        <v>565</v>
      </c>
    </row>
    <row r="305" spans="1:8" x14ac:dyDescent="0.2">
      <c r="A305" t="str">
        <f>INDEX('ei names mapping'!$B$4:$BL$33,MATCH(B$234,'ei names mapping'!$A$4:$A$33,0),MATCH(G305,'ei names mapping'!$B$3:$BL$3,0))</f>
        <v>Cadmium</v>
      </c>
      <c r="B305" s="7">
        <f>INDEX('vehicles specifications'!$B$3:$CW$166,MATCH(B$237,'vehicles specifications'!$A$3:$A$166,0),MATCH(G305,'vehicles specifications'!$B$2:$CW$2,0))*INDEX('ei names mapping'!$B$137:$BL$300,MATCH(B$237,'ei names mapping'!$A$137:$A$300,0),MATCH(G305,'ei names mapping'!$B$136:$BL$136,0))</f>
        <v>5.0148550157528711E-10</v>
      </c>
      <c r="D305" t="str">
        <f>INDEX('ei names mapping'!$B$104:$BL$133,MATCH(B$234,'ei names mapping'!$A$4:$A$33,0),MATCH(G305,'ei names mapping'!$B$3:$BL$3,0))</f>
        <v>kilogram</v>
      </c>
      <c r="E305" t="str">
        <f>INDEX('ei names mapping'!$B$305:$BL$335,MATCH(B$234,'ei names mapping'!$A$4:$A$33,0),MATCH(G305,'ei names mapping'!$B$3:$BL$3,0))</f>
        <v>air::urban air close to ground</v>
      </c>
      <c r="F305" t="s">
        <v>167</v>
      </c>
      <c r="G305" t="s">
        <v>566</v>
      </c>
    </row>
    <row r="306" spans="1:8" x14ac:dyDescent="0.2">
      <c r="A306" t="str">
        <f>INDEX('ei names mapping'!$B$4:$BL$33,MATCH(B234,'ei names mapping'!$A$4:$A$33,0),MATCH(G306,'ei names mapping'!$B$3:$BL$3,0))</f>
        <v>treatment of road wear emissions, passenger car</v>
      </c>
      <c r="B306" s="7">
        <f>INDEX('vehicles specifications'!$B$3:$CW$166,MATCH(B237,'vehicles specifications'!$A$3:$A$166,0),MATCH(G306,'vehicles specifications'!$B$2:$CW$2,0))*INDEX('ei names mapping'!$B$137:$BL$300,MATCH(B237,'ei names mapping'!$A$137:$A$300,0),MATCH(G306,'ei names mapping'!$B$136:$BL$136,0))</f>
        <v>-1.1395557468987971E-5</v>
      </c>
      <c r="C306" t="str">
        <f>INDEX('ei names mapping'!$B$38:$BL$67,MATCH(B234,'ei names mapping'!$A$4:$A$33,0),MATCH(G306,'ei names mapping'!$B$3:$BL$3,0))</f>
        <v>RER</v>
      </c>
      <c r="D306" t="str">
        <f>INDEX('ei names mapping'!$B$104:$BL$133,MATCH(B234,'ei names mapping'!$A$4:$A$33,0),MATCH(G306,'ei names mapping'!$B$3:$BL$3,0))</f>
        <v>kilogram</v>
      </c>
      <c r="F306" t="s">
        <v>89</v>
      </c>
      <c r="G306" t="s">
        <v>29</v>
      </c>
      <c r="H306" t="str">
        <f>INDEX('ei names mapping'!$B$71:$BL$100,MATCH(B234,'ei names mapping'!$A$4:$A$33,0),MATCH(G306,'ei names mapping'!$B$3:$BL$3,0))</f>
        <v>road wear emissions, passenger car</v>
      </c>
    </row>
    <row r="307" spans="1:8" x14ac:dyDescent="0.2">
      <c r="A307" t="str">
        <f>INDEX('ei names mapping'!$B$4:$BL$33,MATCH(B234,'ei names mapping'!$A$4:$A$33,0),MATCH(G307,'ei names mapping'!$B$3:$BL$3,0))</f>
        <v>treatment of tyre wear emissions, passenger car</v>
      </c>
      <c r="B307" s="7">
        <f>INDEX('vehicles specifications'!$B$3:$CW$166,MATCH(B237,'vehicles specifications'!$A$3:$A$166,0),MATCH(G307,'vehicles specifications'!$B$2:$CW$2,0))*INDEX('ei names mapping'!$B$137:$BL$300,MATCH(B237,'ei names mapping'!$A$137:$A$300,0),MATCH(G307,'ei names mapping'!$B$136:$BL$136,0))</f>
        <v>-6.8046284672740703E-6</v>
      </c>
      <c r="C307" t="str">
        <f>INDEX('ei names mapping'!$B$38:$BL$67,MATCH(B234,'ei names mapping'!$A$4:$A$33,0),MATCH(G307,'ei names mapping'!$B$3:$BL$3,0))</f>
        <v>RER</v>
      </c>
      <c r="D307" t="str">
        <f>INDEX('ei names mapping'!$B$104:$BL$133,MATCH(B234,'ei names mapping'!$A$4:$A$33,0),MATCH(G307,'ei names mapping'!$B$3:$BL$3,0))</f>
        <v>kilogram</v>
      </c>
      <c r="F307" t="s">
        <v>89</v>
      </c>
      <c r="G307" t="s">
        <v>30</v>
      </c>
      <c r="H307" t="str">
        <f>INDEX('ei names mapping'!$B$71:$BL$100,MATCH(B234,'ei names mapping'!$A$4:$A$33,0),MATCH(G307,'ei names mapping'!$B$3:$BL$3,0))</f>
        <v>tyre wear emissions, passenger car</v>
      </c>
    </row>
    <row r="308" spans="1:8" x14ac:dyDescent="0.2">
      <c r="A308" t="str">
        <f>INDEX('ei names mapping'!$B$4:$BL$33,MATCH(B234,'ei names mapping'!$A$4:$A$33,0),MATCH(G308,'ei names mapping'!$B$3:$BL$3,0))</f>
        <v>treatment of brake wear emissions, passenger car</v>
      </c>
      <c r="B308" s="7">
        <f>INDEX('vehicles specifications'!$B$3:$CW$166,MATCH(B237,'vehicles specifications'!$A$3:$A$166,0),MATCH(G308,'vehicles specifications'!$B$2:$CW$2,0))*INDEX('ei names mapping'!$B$137:$BL$300,MATCH(B237,'ei names mapping'!$A$137:$A$300,0),MATCH(G308,'ei names mapping'!$B$136:$BL$136,0))</f>
        <v>-3.9518473198543693E-6</v>
      </c>
      <c r="C308" t="str">
        <f>INDEX('ei names mapping'!$B$38:$BL$67,MATCH(B234,'ei names mapping'!$A$4:$A$33,0),MATCH(G308,'ei names mapping'!$B$3:$BL$3,0))</f>
        <v>RER</v>
      </c>
      <c r="D308" t="str">
        <f>INDEX('ei names mapping'!$B$104:$BL$133,MATCH(B234,'ei names mapping'!$A$4:$A$33,0),MATCH(G308,'ei names mapping'!$B$3:$BL$3,0))</f>
        <v>kilogram</v>
      </c>
      <c r="F308" t="s">
        <v>89</v>
      </c>
      <c r="G308" t="s">
        <v>31</v>
      </c>
      <c r="H308" t="str">
        <f>INDEX('ei names mapping'!$B$71:$BL$100,MATCH(B234,'ei names mapping'!$A$4:$A$33,0),MATCH(G308,'ei names mapping'!$B$3:$BL$3,0))</f>
        <v>brake wear emissions, passenger car</v>
      </c>
    </row>
    <row r="310" spans="1:8" ht="16" x14ac:dyDescent="0.2">
      <c r="A310" s="10" t="s">
        <v>71</v>
      </c>
      <c r="B310" s="8" t="str">
        <f>"transport, "&amp;B312&amp;", "&amp;B314</f>
        <v>transport, Motorbike, gasoline, &gt;35kW, EURO-4, 2016</v>
      </c>
    </row>
    <row r="311" spans="1:8" x14ac:dyDescent="0.2">
      <c r="A311" t="s">
        <v>72</v>
      </c>
      <c r="B311" t="s">
        <v>37</v>
      </c>
    </row>
    <row r="312" spans="1:8" x14ac:dyDescent="0.2">
      <c r="A312" t="s">
        <v>86</v>
      </c>
      <c r="B312" t="s">
        <v>630</v>
      </c>
    </row>
    <row r="313" spans="1:8" x14ac:dyDescent="0.2">
      <c r="A313" t="s">
        <v>87</v>
      </c>
    </row>
    <row r="314" spans="1:8" x14ac:dyDescent="0.2">
      <c r="A314" t="s">
        <v>88</v>
      </c>
      <c r="B314">
        <v>2016</v>
      </c>
    </row>
    <row r="315" spans="1:8" x14ac:dyDescent="0.2">
      <c r="A315" t="s">
        <v>126</v>
      </c>
      <c r="B315" t="str">
        <f>B312&amp;" - "&amp;B314&amp;" - "&amp;B311</f>
        <v>Motorbike, gasoline, &gt;35kW, EURO-4 - 2016 - CH</v>
      </c>
    </row>
    <row r="316" spans="1:8" x14ac:dyDescent="0.2">
      <c r="A316" t="s">
        <v>73</v>
      </c>
      <c r="B316" t="str">
        <f>"transport, "&amp;B312</f>
        <v>transport, Motorbike, gasoline, &gt;35kW, EURO-4</v>
      </c>
    </row>
    <row r="317" spans="1:8" x14ac:dyDescent="0.2">
      <c r="A317" t="s">
        <v>74</v>
      </c>
      <c r="B317" t="s">
        <v>75</v>
      </c>
    </row>
    <row r="318" spans="1:8" x14ac:dyDescent="0.2">
      <c r="A318" t="s">
        <v>76</v>
      </c>
      <c r="B318" t="s">
        <v>166</v>
      </c>
    </row>
    <row r="319" spans="1:8" x14ac:dyDescent="0.2">
      <c r="A319" t="s">
        <v>78</v>
      </c>
      <c r="B319" t="s">
        <v>1143</v>
      </c>
    </row>
    <row r="320" spans="1:8" x14ac:dyDescent="0.2">
      <c r="A320" t="s">
        <v>127</v>
      </c>
      <c r="B320">
        <f>INDEX('vehicles specifications'!$B$3:$CW$166,MATCH(B315,'vehicles specifications'!$A$3:$A$166,0),MATCH("Lifetime [km]",'vehicles specifications'!$B$2:$CW$2,0))</f>
        <v>40500</v>
      </c>
    </row>
    <row r="321" spans="1:8" x14ac:dyDescent="0.2">
      <c r="A321" t="s">
        <v>128</v>
      </c>
      <c r="B321">
        <f>INDEX('vehicles specifications'!$B$3:$CW$166,MATCH(B315,'vehicles specifications'!$A$3:$A$166,0),MATCH("Passengers [unit]",'vehicles specifications'!$B$2:$CW$2,0))</f>
        <v>1.1000000000000001</v>
      </c>
    </row>
    <row r="322" spans="1:8" x14ac:dyDescent="0.2">
      <c r="A322" t="s">
        <v>129</v>
      </c>
      <c r="B322">
        <f>INDEX('vehicles specifications'!$B$3:$CW$166,MATCH(B315,'vehicles specifications'!$A$3:$A$166,0),MATCH("Servicing [unit]",'vehicles specifications'!$B$2:$CW$2,0))</f>
        <v>1.62</v>
      </c>
    </row>
    <row r="323" spans="1:8" x14ac:dyDescent="0.2">
      <c r="A323" t="s">
        <v>130</v>
      </c>
      <c r="B323">
        <f>INDEX('vehicles specifications'!$B$3:$CW$166,MATCH(B315,'vehicles specifications'!$A$3:$A$166,0),MATCH("Energy battery replacement [unit]",'vehicles specifications'!$B$2:$CW$2,0))</f>
        <v>0</v>
      </c>
    </row>
    <row r="324" spans="1:8" x14ac:dyDescent="0.2">
      <c r="A324" t="s">
        <v>131</v>
      </c>
      <c r="B324">
        <f>INDEX('vehicles specifications'!$B$3:$CW$166,MATCH(B315,'vehicles specifications'!$A$3:$A$166,0),MATCH("Annual kilometers [km]",'vehicles specifications'!$B$2:$CW$2,0))</f>
        <v>2896</v>
      </c>
    </row>
    <row r="325" spans="1:8" x14ac:dyDescent="0.2">
      <c r="A325" t="s">
        <v>132</v>
      </c>
      <c r="B325" s="2">
        <f>INDEX('vehicles specifications'!$B$3:$CW$166,MATCH(B315,'vehicles specifications'!$A$3:$A$166,0),MATCH("Curb mass [kg]",'vehicles specifications'!$B$2:$CW$2,0))</f>
        <v>258.745</v>
      </c>
    </row>
    <row r="326" spans="1:8" x14ac:dyDescent="0.2">
      <c r="A326" t="s">
        <v>133</v>
      </c>
      <c r="B326">
        <f>INDEX('vehicles specifications'!$B$3:$CW$166,MATCH(B315,'vehicles specifications'!$A$3:$A$166,0),MATCH("Power [kW]",'vehicles specifications'!$B$2:$CW$2,0))</f>
        <v>91</v>
      </c>
    </row>
    <row r="327" spans="1:8" x14ac:dyDescent="0.2">
      <c r="A327" t="s">
        <v>134</v>
      </c>
      <c r="B327" t="str">
        <f>INDEX('vehicles specifications'!$B$3:$CW$166,MATCH(B315,'vehicles specifications'!$A$3:$A$166,0),MATCH("Energy battery mass [kg]",'vehicles specifications'!$B$2:$CW$2,0))</f>
        <v/>
      </c>
    </row>
    <row r="328" spans="1:8" x14ac:dyDescent="0.2">
      <c r="A328" t="s">
        <v>135</v>
      </c>
      <c r="B328">
        <f>INDEX('vehicles specifications'!$B$3:$CW$166,MATCH(B315,'vehicles specifications'!$A$3:$A$166,0),MATCH("Electric energy available [kWh]",'vehicles specifications'!$B$2:$CW$2,0))</f>
        <v>0</v>
      </c>
    </row>
    <row r="329" spans="1:8" x14ac:dyDescent="0.2">
      <c r="A329" t="s">
        <v>138</v>
      </c>
      <c r="B329" s="2">
        <f>INDEX('vehicles specifications'!$B$3:$CW$166,MATCH(B315,'vehicles specifications'!$A$3:$A$166,0),MATCH("Oxydation energy stored [kWh]",'vehicles specifications'!$B$2:$CW$2,0))</f>
        <v>159.75</v>
      </c>
    </row>
    <row r="330" spans="1:8" x14ac:dyDescent="0.2">
      <c r="A330" t="s">
        <v>139</v>
      </c>
      <c r="B330">
        <f>INDEX('vehicles specifications'!$B$3:$CW$166,MATCH(B315,'vehicles specifications'!$A$3:$A$166,0),MATCH("Fuel mass [kg]",'vehicles specifications'!$B$2:$CW$2,0))</f>
        <v>13.5</v>
      </c>
    </row>
    <row r="331" spans="1:8" x14ac:dyDescent="0.2">
      <c r="A331" t="s">
        <v>136</v>
      </c>
      <c r="B331" s="2">
        <f>INDEX('vehicles specifications'!$B$3:$CW$166,MATCH(B315,'vehicles specifications'!$A$3:$A$166,0),MATCH("Range [km]",'vehicles specifications'!$B$2:$CW$2,0))</f>
        <v>294.33451006679832</v>
      </c>
    </row>
    <row r="332" spans="1:8" x14ac:dyDescent="0.2">
      <c r="A332" t="s">
        <v>137</v>
      </c>
      <c r="B332" t="str">
        <f>INDEX('vehicles specifications'!$B$3:$CW$166,MATCH(B315,'vehicles specifications'!$A$3:$A$166,0),MATCH("Emission standard",'vehicles specifications'!$B$2:$CW$2,0))</f>
        <v>EURO-4</v>
      </c>
    </row>
    <row r="333" spans="1:8" x14ac:dyDescent="0.2">
      <c r="A333" t="s">
        <v>1174</v>
      </c>
      <c r="B333" s="6">
        <f>INDEX('vehicles specifications'!$B$3:$CW$166,MATCH(B315,'vehicles specifications'!$A$3:$A$166,0),MATCH("Lightweighting rate [%]",'vehicles specifications'!$B$2:$CW$2,0))</f>
        <v>-0.02</v>
      </c>
    </row>
    <row r="334" spans="1:8" x14ac:dyDescent="0.2">
      <c r="A334" t="s">
        <v>83</v>
      </c>
      <c r="B334"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v>
      </c>
    </row>
    <row r="335" spans="1:8" ht="16" x14ac:dyDescent="0.2">
      <c r="A335" s="10" t="s">
        <v>79</v>
      </c>
    </row>
    <row r="336" spans="1:8" x14ac:dyDescent="0.2">
      <c r="A336" t="s">
        <v>80</v>
      </c>
      <c r="B336" t="s">
        <v>81</v>
      </c>
      <c r="C336" t="s">
        <v>72</v>
      </c>
      <c r="D336" t="s">
        <v>76</v>
      </c>
      <c r="E336" t="s">
        <v>82</v>
      </c>
      <c r="F336" t="s">
        <v>74</v>
      </c>
      <c r="G336" t="s">
        <v>83</v>
      </c>
      <c r="H336" t="s">
        <v>73</v>
      </c>
    </row>
    <row r="337" spans="1:8" x14ac:dyDescent="0.2">
      <c r="A337" t="str">
        <f>B310</f>
        <v>transport, Motorbike, gasoline, &gt;35kW, EURO-4, 2016</v>
      </c>
      <c r="B337">
        <v>1</v>
      </c>
      <c r="C337" t="str">
        <f>B311</f>
        <v>CH</v>
      </c>
      <c r="D337" t="s">
        <v>166</v>
      </c>
      <c r="F337" t="s">
        <v>84</v>
      </c>
      <c r="G337" t="s">
        <v>85</v>
      </c>
      <c r="H337" t="str">
        <f>B316</f>
        <v>transport, Motorbike, gasoline, &gt;35kW, EURO-4</v>
      </c>
    </row>
    <row r="338" spans="1:8" x14ac:dyDescent="0.2">
      <c r="A338" t="str">
        <f>RIGHT(A337,LEN(A337)-11)</f>
        <v>Motorbike, gasoline, &gt;35kW, EURO-4, 2016</v>
      </c>
      <c r="B338" s="7">
        <f>1/B320</f>
        <v>2.4691358024691357E-5</v>
      </c>
      <c r="C338" t="str">
        <f>B311</f>
        <v>CH</v>
      </c>
      <c r="D338" t="s">
        <v>76</v>
      </c>
      <c r="F338" t="s">
        <v>89</v>
      </c>
      <c r="H338" t="str">
        <f>RIGHT(H337,LEN(H337)-11)</f>
        <v>Motorbike, gasoline, &gt;35kW, EURO-4</v>
      </c>
    </row>
    <row r="339" spans="1:8" x14ac:dyDescent="0.2">
      <c r="A339" t="str">
        <f>INDEX('ei names mapping'!$B$4:$R$33,MATCH(B312,'ei names mapping'!$A$4:$A$33,0),MATCH(G339,'ei names mapping'!$B$3:$R$3,0))</f>
        <v>road construction</v>
      </c>
      <c r="B339" s="7">
        <f>INDEX('vehicles specifications'!$B$3:$CW$166,MATCH(B315,'vehicles specifications'!$A$3:$A$166,0),MATCH(G339,'vehicles specifications'!$B$2:$CW$2,0))*INDEX('ei names mapping'!$B$137:$BL$300,MATCH(B315,'ei names mapping'!$A$137:$A$300,0),MATCH(G339,'ei names mapping'!$B$136:$BL$136,0))</f>
        <v>1.8647056500000001E-4</v>
      </c>
      <c r="C339" t="str">
        <f>INDEX('ei names mapping'!$B$38:$R$67,MATCH(B312,'ei names mapping'!$A$4:$A$33,0),MATCH(G339,'ei names mapping'!$B$3:$R$3,0))</f>
        <v>CH</v>
      </c>
      <c r="D339" t="str">
        <f>INDEX('ei names mapping'!$B$104:$BL$133,MATCH(B312,'ei names mapping'!$A$4:$A$33,0),MATCH(G339,'ei names mapping'!$B$3:$BL$3,0))</f>
        <v>meter-year</v>
      </c>
      <c r="F339" t="s">
        <v>89</v>
      </c>
      <c r="G339" t="s">
        <v>105</v>
      </c>
      <c r="H339" t="str">
        <f>INDEX('ei names mapping'!$B$71:$BL$100,MATCH(B312,'ei names mapping'!$A$4:$A$33,0),MATCH(G339,'ei names mapping'!$B$3:$BL$3,0))</f>
        <v>road</v>
      </c>
    </row>
    <row r="340" spans="1:8" x14ac:dyDescent="0.2">
      <c r="A340" t="str">
        <f>INDEX('ei names mapping'!$B$4:$R$33,MATCH(B312,'ei names mapping'!$A$4:$A$33,0),MATCH(G340,'ei names mapping'!$B$3:$R$3,0))</f>
        <v>road maintenance</v>
      </c>
      <c r="B340" s="7">
        <f>INDEX('vehicles specifications'!$B$3:$CW$166,MATCH(B315,'vehicles specifications'!$A$3:$A$166,0),MATCH(G340,'vehicles specifications'!$B$2:$CW$2,0))*INDEX('ei names mapping'!$B$137:$BL$300,MATCH(B315,'ei names mapping'!$A$137:$A$300,0),MATCH(G340,'ei names mapping'!$B$136:$BL$136,0))</f>
        <v>1.2899999999999999E-3</v>
      </c>
      <c r="C340" t="str">
        <f>INDEX('ei names mapping'!$B$38:$R$67,MATCH(B312,'ei names mapping'!$A$4:$A$33,0),MATCH(G340,'ei names mapping'!$B$3:$R$3,0))</f>
        <v>CH</v>
      </c>
      <c r="D340" t="str">
        <f>INDEX('ei names mapping'!$B$104:$BL$133,MATCH(B312,'ei names mapping'!$A$4:$A$33,0),MATCH(G340,'ei names mapping'!$B$3:$BL$3,0))</f>
        <v>meter-year</v>
      </c>
      <c r="F340" t="s">
        <v>89</v>
      </c>
      <c r="G340" t="s">
        <v>112</v>
      </c>
      <c r="H340" t="str">
        <f>INDEX('ei names mapping'!$B$71:$BL$100,MATCH(B312,'ei names mapping'!$A$4:$A$33,0),MATCH(G340,'ei names mapping'!$B$3:$BL$3,0))</f>
        <v>road maintenance</v>
      </c>
    </row>
    <row r="341" spans="1:8" x14ac:dyDescent="0.2">
      <c r="A341" t="str">
        <f>INDEX('ei names mapping'!$B$4:$R$33,MATCH(B312,'ei names mapping'!$A$4:$A$33,0),MATCH(G341,'ei names mapping'!$B$3:$R$3,0))</f>
        <v>maintenance, motor scooter</v>
      </c>
      <c r="B341" s="7">
        <f>INDEX('vehicles specifications'!$B$3:$CW$166,MATCH(B315,'vehicles specifications'!$A$3:$A$166,0),MATCH(G341,'vehicles specifications'!$B$2:$CW$2,0))*INDEX('ei names mapping'!$B$137:$BL$300,MATCH(B315,'ei names mapping'!$A$137:$A$300,0),MATCH(G341,'ei names mapping'!$B$136:$BL$136,0))</f>
        <v>4.0000000000000003E-5</v>
      </c>
      <c r="C341" t="str">
        <f>INDEX('ei names mapping'!$B$38:$BL$67,MATCH(B312,'ei names mapping'!$A$4:$A$33,0),MATCH(G341,'ei names mapping'!$B$3:$BL$3,0))</f>
        <v>CH</v>
      </c>
      <c r="D341" t="str">
        <f>INDEX('ei names mapping'!$B$104:$BL$133,MATCH(B312,'ei names mapping'!$A$4:$A$33,0),MATCH(G341,'ei names mapping'!$B$3:$BL$3,0))</f>
        <v>unit</v>
      </c>
      <c r="F341" t="s">
        <v>89</v>
      </c>
      <c r="G341" t="s">
        <v>118</v>
      </c>
      <c r="H341" t="str">
        <f>INDEX('ei names mapping'!$B$71:$BL$100,MATCH(B312,'ei names mapping'!$A$4:$A$33,0),MATCH(G341,'ei names mapping'!$B$3:$BL$3,0))</f>
        <v>maintenance, motor scooter</v>
      </c>
    </row>
    <row r="342" spans="1:8" x14ac:dyDescent="0.2">
      <c r="A342" t="str">
        <f>INDEX('ei names mapping'!$B$4:$R$33,MATCH(B312,'ei names mapping'!$A$4:$A$33,0),MATCH(G342,'ei names mapping'!$B$3:$R$3,0))</f>
        <v>fuel supply for gasoline vehicles</v>
      </c>
      <c r="B342" s="7">
        <f>INDEX('vehicles specifications'!$B$3:$CW$166,MATCH(B315,'vehicles specifications'!$A$3:$A$166,0),MATCH(G342,'vehicles specifications'!$B$2:$CW$2,0))*INDEX('ei names mapping'!$B$137:$BL$300,MATCH(B315,'ei names mapping'!$A$137:$A$300,0),MATCH(G342,'ei names mapping'!$B$136:$BL$136,0))</f>
        <v>4.586618129466441E-2</v>
      </c>
      <c r="C342" t="str">
        <f>INDEX('ei names mapping'!$B$38:$BL$67,MATCH(B312,'ei names mapping'!$A$4:$A$33,0),MATCH(G342,'ei names mapping'!$B$3:$BL$3,0))</f>
        <v>CH</v>
      </c>
      <c r="D342" t="str">
        <f>INDEX('ei names mapping'!$B$104:$BL$133,MATCH(B312,'ei names mapping'!$A$4:$A$33,0),MATCH(G342,'ei names mapping'!$B$3:$BL$3,0))</f>
        <v>kilogram</v>
      </c>
      <c r="F342" t="s">
        <v>89</v>
      </c>
      <c r="G342" t="s">
        <v>27</v>
      </c>
      <c r="H342" t="str">
        <f>INDEX('ei names mapping'!$B$71:$BL$100,MATCH(B312,'ei names mapping'!$A$4:$A$33,0),MATCH(G342,'ei names mapping'!$B$3:$BL$3,0))</f>
        <v>gasoline blend</v>
      </c>
    </row>
    <row r="343" spans="1:8" x14ac:dyDescent="0.2">
      <c r="A343" t="str">
        <f>INDEX('ei names mapping'!$B$4:$BL$33,MATCH(B312,'ei names mapping'!$A$4:$A$33,0),MATCH(G343,'ei names mapping'!$B$3:$BL$3,0))</f>
        <v>Carbon dioxide, fossil</v>
      </c>
      <c r="B343" s="11">
        <f>INDEX('vehicles specifications'!$B$3:$CW$166,MATCH(B315,'vehicles specifications'!$A$3:$A$166,0),MATCH(G343,'vehicles specifications'!$B$2:$CW$2,0))*INDEX('ei names mapping'!$B$137:$BL$300,MATCH(B315,'ei names mapping'!$A$137:$A$300,0),MATCH(G343,'ei names mapping'!$B$136:$BL$136,0))</f>
        <v>0.14229157155406327</v>
      </c>
      <c r="D343" t="str">
        <f>INDEX('ei names mapping'!$B$104:$BL$133,MATCH(B312,'ei names mapping'!$A$4:$A$33,0),MATCH(G343,'ei names mapping'!$B$3:$BL$3,0))</f>
        <v>kilogram</v>
      </c>
      <c r="E343" t="str">
        <f>INDEX('ei names mapping'!$B$305:$BL$335,MATCH(B312,'ei names mapping'!$A$4:$A$33,0),MATCH(G343,'ei names mapping'!$B$3:$BL$3,0))</f>
        <v>air::urban air close to ground</v>
      </c>
      <c r="F343" t="s">
        <v>167</v>
      </c>
      <c r="G343" t="s">
        <v>66</v>
      </c>
    </row>
    <row r="344" spans="1:8" x14ac:dyDescent="0.2">
      <c r="A344" t="str">
        <f>INDEX('ei names mapping'!$B$4:$BL$33,MATCH(B312,'ei names mapping'!$A$4:$A$33,0),MATCH(G344,'ei names mapping'!$B$3:$BL$3,0))</f>
        <v>Carbon dioxide, from soil or biomass stock</v>
      </c>
      <c r="B344" s="11">
        <f>INDEX('vehicles specifications'!$B$3:$CW$166,MATCH(B315,'vehicles specifications'!$A$3:$A$166,0),MATCH(G344,'vehicles specifications'!$B$2:$CW$2,0))*INDEX('ei names mapping'!$B$137:$BL$300,MATCH(B315,'ei names mapping'!$A$137:$A$300,0),MATCH(G344,'ei names mapping'!$B$136:$BL$136,0))</f>
        <v>1.7282377111829548E-3</v>
      </c>
      <c r="D344" t="str">
        <f>INDEX('ei names mapping'!$B$104:$BL$133,MATCH(B312,'ei names mapping'!$A$4:$A$33,0),MATCH(G344,'ei names mapping'!$B$3:$BL$3,0))</f>
        <v>kilogram</v>
      </c>
      <c r="E344" t="str">
        <f>INDEX('ei names mapping'!$B$305:$BL$335,MATCH(B312,'ei names mapping'!$A$4:$A$33,0),MATCH(G344,'ei names mapping'!$B$3:$BL$3,0))</f>
        <v>air::urban air close to ground</v>
      </c>
      <c r="F344" t="s">
        <v>167</v>
      </c>
      <c r="G344" t="s">
        <v>843</v>
      </c>
    </row>
    <row r="345" spans="1:8" x14ac:dyDescent="0.2">
      <c r="A345" t="str">
        <f>INDEX('ei names mapping'!$B$4:$BL$33,MATCH(B312,'ei names mapping'!$A$4:$A$33,0),MATCH(G345,'ei names mapping'!$B$3:$BL$3,0))</f>
        <v>Sulfur dioxide</v>
      </c>
      <c r="B345" s="7">
        <f>INDEX('vehicles specifications'!$B$3:$CW$166,MATCH(B315,'vehicles specifications'!$A$3:$A$166,0),MATCH(G345,'vehicles specifications'!$B$2:$CW$2,0))*INDEX('ei names mapping'!$B$137:$BL$300,MATCH(B315,'ei names mapping'!$A$137:$A$300,0),MATCH(G345,'ei names mapping'!$B$136:$BL$136,0))</f>
        <v>7.3385890071463054E-7</v>
      </c>
      <c r="D345" t="str">
        <f>INDEX('ei names mapping'!$B$104:$BL$133,MATCH(B312,'ei names mapping'!$A$4:$A$33,0),MATCH(G345,'ei names mapping'!$B$3:$BL$3,0))</f>
        <v>kilogram</v>
      </c>
      <c r="E345" t="str">
        <f>INDEX('ei names mapping'!$B$305:$BL$335,MATCH(B312,'ei names mapping'!$A$4:$A$33,0),MATCH(G345,'ei names mapping'!$B$3:$BL$3,0))</f>
        <v>air::urban air close to ground</v>
      </c>
      <c r="F345" t="s">
        <v>167</v>
      </c>
      <c r="G345" t="s">
        <v>67</v>
      </c>
    </row>
    <row r="346" spans="1:8" x14ac:dyDescent="0.2">
      <c r="A346" t="str">
        <f>INDEX('ei names mapping'!$B$4:$BL$33,MATCH(B312,'ei names mapping'!$A$4:$A$33,0),MATCH(G346,'ei names mapping'!$B$3:$BL$3,0))</f>
        <v>Benzene</v>
      </c>
      <c r="B346" s="7">
        <f>INDEX('vehicles specifications'!$B$3:$CW$166,MATCH(B315,'vehicles specifications'!$A$3:$A$166,0),MATCH(G346,'vehicles specifications'!$B$2:$CW$2,0))*INDEX('ei names mapping'!$B$137:$BL$300,MATCH(B315,'ei names mapping'!$A$137:$A$300,0),MATCH(G346,'ei names mapping'!$B$136:$BL$136,0))</f>
        <v>2.5284474658107934E-6</v>
      </c>
      <c r="D346" t="str">
        <f>INDEX('ei names mapping'!$B$104:$BL$133,MATCH(B312,'ei names mapping'!$A$4:$A$33,0),MATCH(G346,'ei names mapping'!$B$3:$BL$3,0))</f>
        <v>kilogram</v>
      </c>
      <c r="E346" t="str">
        <f>INDEX('ei names mapping'!$B$305:$BL$335,MATCH(B312,'ei names mapping'!$A$4:$A$33,0),MATCH(G346,'ei names mapping'!$B$3:$BL$3,0))</f>
        <v>air::urban air close to ground</v>
      </c>
      <c r="F346" t="s">
        <v>167</v>
      </c>
      <c r="G346" t="s">
        <v>55</v>
      </c>
    </row>
    <row r="347" spans="1:8" x14ac:dyDescent="0.2">
      <c r="A347" t="str">
        <f>INDEX('ei names mapping'!$B$4:$BL$33,MATCH(B312,'ei names mapping'!$A$4:$A$33,0),MATCH(G347,'ei names mapping'!$B$3:$BL$3,0))</f>
        <v>Methane, fossil</v>
      </c>
      <c r="B347" s="7">
        <f>INDEX('vehicles specifications'!$B$3:$CW$166,MATCH(B315,'vehicles specifications'!$A$3:$A$166,0),MATCH(G347,'vehicles specifications'!$B$2:$CW$2,0))*INDEX('ei names mapping'!$B$137:$BL$300,MATCH(B315,'ei names mapping'!$A$137:$A$300,0),MATCH(G347,'ei names mapping'!$B$136:$BL$136,0))</f>
        <v>2.0986931709545604E-5</v>
      </c>
      <c r="D347" t="str">
        <f>INDEX('ei names mapping'!$B$104:$BL$133,MATCH(B312,'ei names mapping'!$A$4:$A$33,0),MATCH(G347,'ei names mapping'!$B$3:$BL$3,0))</f>
        <v>kilogram</v>
      </c>
      <c r="E347" t="str">
        <f>INDEX('ei names mapping'!$B$305:$BL$335,MATCH(B312,'ei names mapping'!$A$4:$A$33,0),MATCH(G347,'ei names mapping'!$B$3:$BL$3,0))</f>
        <v>air::urban air close to ground</v>
      </c>
      <c r="F347" t="s">
        <v>167</v>
      </c>
      <c r="G347" t="s">
        <v>56</v>
      </c>
    </row>
    <row r="348" spans="1:8" x14ac:dyDescent="0.2">
      <c r="A348" t="str">
        <f>INDEX('ei names mapping'!$B$4:$BL$33,MATCH(B312,'ei names mapping'!$A$4:$A$33,0),MATCH(G348,'ei names mapping'!$B$3:$BL$3,0))</f>
        <v>Carbon monoxide, fossil</v>
      </c>
      <c r="B348" s="7">
        <f>INDEX('vehicles specifications'!$B$3:$CW$166,MATCH(B315,'vehicles specifications'!$A$3:$A$166,0),MATCH(G348,'vehicles specifications'!$B$2:$CW$2,0))*INDEX('ei names mapping'!$B$137:$BL$300,MATCH(B315,'ei names mapping'!$A$137:$A$300,0),MATCH(G348,'ei names mapping'!$B$136:$BL$136,0))</f>
        <v>1.8591280332931159E-4</v>
      </c>
      <c r="D348" t="str">
        <f>INDEX('ei names mapping'!$B$104:$BL$133,MATCH(B312,'ei names mapping'!$A$4:$A$33,0),MATCH(G348,'ei names mapping'!$B$3:$BL$3,0))</f>
        <v>kilogram</v>
      </c>
      <c r="E348" t="str">
        <f>INDEX('ei names mapping'!$B$305:$BL$335,MATCH(B312,'ei names mapping'!$A$4:$A$33,0),MATCH(G348,'ei names mapping'!$B$3:$BL$3,0))</f>
        <v>air::urban air close to ground</v>
      </c>
      <c r="F348" t="s">
        <v>167</v>
      </c>
      <c r="G348" t="s">
        <v>57</v>
      </c>
    </row>
    <row r="349" spans="1:8" x14ac:dyDescent="0.2">
      <c r="A349" t="str">
        <f>INDEX('ei names mapping'!$B$4:$BL$33,MATCH(B312,'ei names mapping'!$A$4:$A$33,0),MATCH(G349,'ei names mapping'!$B$3:$BL$3,0))</f>
        <v>Dinitrogen monoxide</v>
      </c>
      <c r="B349" s="7">
        <f>INDEX('vehicles specifications'!$B$3:$CW$166,MATCH(B315,'vehicles specifications'!$A$3:$A$166,0),MATCH(G349,'vehicles specifications'!$B$2:$CW$2,0))*INDEX('ei names mapping'!$B$137:$BL$300,MATCH(B315,'ei names mapping'!$A$137:$A$300,0),MATCH(G349,'ei names mapping'!$B$136:$BL$136,0))</f>
        <v>1.1045753531339791E-6</v>
      </c>
      <c r="D349" t="str">
        <f>INDEX('ei names mapping'!$B$104:$BL$133,MATCH(B312,'ei names mapping'!$A$4:$A$33,0),MATCH(G349,'ei names mapping'!$B$3:$BL$3,0))</f>
        <v>kilogram</v>
      </c>
      <c r="E349" t="str">
        <f>INDEX('ei names mapping'!$B$305:$BL$335,MATCH(B312,'ei names mapping'!$A$4:$A$33,0),MATCH(G349,'ei names mapping'!$B$3:$BL$3,0))</f>
        <v>air::urban air close to ground</v>
      </c>
      <c r="F349" t="s">
        <v>167</v>
      </c>
      <c r="G349" t="s">
        <v>58</v>
      </c>
    </row>
    <row r="350" spans="1:8" x14ac:dyDescent="0.2">
      <c r="A350" t="str">
        <f>INDEX('ei names mapping'!$B$4:$BL$33,MATCH(B312,'ei names mapping'!$A$4:$A$33,0),MATCH(G350,'ei names mapping'!$B$3:$BL$3,0))</f>
        <v>Ammonia</v>
      </c>
      <c r="B350" s="7">
        <f>INDEX('vehicles specifications'!$B$3:$CW$166,MATCH(B315,'vehicles specifications'!$A$3:$A$166,0),MATCH(G350,'vehicles specifications'!$B$2:$CW$2,0))*INDEX('ei names mapping'!$B$137:$BL$300,MATCH(B315,'ei names mapping'!$A$137:$A$300,0),MATCH(G350,'ei names mapping'!$B$136:$BL$136,0))</f>
        <v>1.1045753531339791E-6</v>
      </c>
      <c r="D350" t="str">
        <f>INDEX('ei names mapping'!$B$104:$BL$133,MATCH(B312,'ei names mapping'!$A$4:$A$33,0),MATCH(G350,'ei names mapping'!$B$3:$BL$3,0))</f>
        <v>kilogram</v>
      </c>
      <c r="E350" t="str">
        <f>INDEX('ei names mapping'!$B$305:$BL$335,MATCH(B312,'ei names mapping'!$A$4:$A$33,0),MATCH(G350,'ei names mapping'!$B$3:$BL$3,0))</f>
        <v>air::urban air close to ground</v>
      </c>
      <c r="F350" t="s">
        <v>167</v>
      </c>
      <c r="G350" t="s">
        <v>59</v>
      </c>
    </row>
    <row r="351" spans="1:8" x14ac:dyDescent="0.2">
      <c r="A351" t="str">
        <f>INDEX('ei names mapping'!$B$4:$BL$33,MATCH(B312,'ei names mapping'!$A$4:$A$33,0),MATCH(G351,'ei names mapping'!$B$3:$BL$3,0))</f>
        <v>Nitrogen oxides</v>
      </c>
      <c r="B351" s="7">
        <f>INDEX('vehicles specifications'!$B$3:$CW$166,MATCH(B315,'vehicles specifications'!$A$3:$A$166,0),MATCH(G351,'vehicles specifications'!$B$2:$CW$2,0))*INDEX('ei names mapping'!$B$137:$BL$300,MATCH(B315,'ei names mapping'!$A$137:$A$300,0),MATCH(G351,'ei names mapping'!$B$136:$BL$136,0))</f>
        <v>1.3774566377073175E-5</v>
      </c>
      <c r="D351" t="str">
        <f>INDEX('ei names mapping'!$B$104:$BL$133,MATCH(B312,'ei names mapping'!$A$4:$A$33,0),MATCH(G351,'ei names mapping'!$B$3:$BL$3,0))</f>
        <v>kilogram</v>
      </c>
      <c r="E351" t="str">
        <f>INDEX('ei names mapping'!$B$305:$BL$335,MATCH(B312,'ei names mapping'!$A$4:$A$33,0),MATCH(G351,'ei names mapping'!$B$3:$BL$3,0))</f>
        <v>air::urban air close to ground</v>
      </c>
      <c r="F351" t="s">
        <v>167</v>
      </c>
      <c r="G351" t="s">
        <v>60</v>
      </c>
    </row>
    <row r="352" spans="1:8" x14ac:dyDescent="0.2">
      <c r="A352" t="str">
        <f>INDEX('ei names mapping'!$B$4:$BL$33,MATCH(B312,'ei names mapping'!$A$4:$A$33,0),MATCH(G352,'ei names mapping'!$B$3:$BL$3,0))</f>
        <v>Particulates, &lt; 2.5 um</v>
      </c>
      <c r="B352" s="7">
        <f>INDEX('vehicles specifications'!$B$3:$CW$166,MATCH(B$315,'vehicles specifications'!$A$3:$A$166,0),MATCH(G352,'vehicles specifications'!$B$2:$CW$2,0))*INDEX('ei names mapping'!$B$137:$BL$300,MATCH(B$315,'ei names mapping'!$A$137:$A$300,0),MATCH(G352,'ei names mapping'!$B$136:$BL$136,0))</f>
        <v>2.7614383828349475E-6</v>
      </c>
      <c r="D352" t="str">
        <f>INDEX('ei names mapping'!$B$104:$BL$133,MATCH(B312,'ei names mapping'!$A$4:$A$33,0),MATCH(G352,'ei names mapping'!$B$3:$BL$3,0))</f>
        <v>kilogram</v>
      </c>
      <c r="E352" t="str">
        <f>INDEX('ei names mapping'!$B$305:$BL$335,MATCH(B312,'ei names mapping'!$A$4:$A$33,0),MATCH(G352,'ei names mapping'!$B$3:$BL$3,0))</f>
        <v>air::urban air close to ground</v>
      </c>
      <c r="F352" t="s">
        <v>167</v>
      </c>
      <c r="G352" t="s">
        <v>62</v>
      </c>
    </row>
    <row r="353" spans="1:7" x14ac:dyDescent="0.2">
      <c r="A353" t="str">
        <f>INDEX('ei names mapping'!$B$4:$BL$33,MATCH(B$234,'ei names mapping'!$A$4:$A$33,0),MATCH(G353,'ei names mapping'!$B$3:$BL$3,0))</f>
        <v>NMVOC, non-methane volatile organic compounds, unspecified origin</v>
      </c>
      <c r="B353" s="7">
        <f>INDEX('vehicles specifications'!$B$3:$CW$166,MATCH(B$315,'vehicles specifications'!$A$3:$A$166,0),MATCH(G353,'vehicles specifications'!$B$2:$CW$2,0))*INDEX('ei names mapping'!$B$137:$BL$300,MATCH(B$315,'ei names mapping'!$A$137:$A$300,0),MATCH(G353,'ei names mapping'!$B$136:$BL$136,0))</f>
        <v>2.0389833039800411E-5</v>
      </c>
      <c r="D353" t="str">
        <f>INDEX('ei names mapping'!$B$104:$BL$133,MATCH(B$234,'ei names mapping'!$A$4:$A$33,0),MATCH(G353,'ei names mapping'!$B$3:$BL$3,0))</f>
        <v>kilogram</v>
      </c>
      <c r="E353" t="str">
        <f>INDEX('ei names mapping'!$B$305:$BL$335,MATCH(B$234,'ei names mapping'!$A$4:$A$33,0),MATCH(G353,'ei names mapping'!$B$3:$BL$3,0))</f>
        <v>air::urban air close to ground</v>
      </c>
      <c r="F353" t="s">
        <v>167</v>
      </c>
      <c r="G353" t="s">
        <v>593</v>
      </c>
    </row>
    <row r="354" spans="1:7" x14ac:dyDescent="0.2">
      <c r="A354" t="str">
        <f>INDEX('ei names mapping'!$B$4:$BL$33,MATCH(B$234,'ei names mapping'!$A$4:$A$33,0),MATCH(G354,'ei names mapping'!$B$3:$BL$3,0))</f>
        <v>Ethane</v>
      </c>
      <c r="B354" s="7">
        <f>INDEX('vehicles specifications'!$B$3:$CW$166,MATCH(B$315,'vehicles specifications'!$A$3:$A$166,0),MATCH(G354,'vehicles specifications'!$B$2:$CW$2,0))*INDEX('ei names mapping'!$B$137:$BL$300,MATCH(B$315,'ei names mapping'!$A$137:$A$300,0),MATCH(G354,'ei names mapping'!$B$136:$BL$136,0))</f>
        <v>1.4377446374218237E-6</v>
      </c>
      <c r="D354" t="str">
        <f>INDEX('ei names mapping'!$B$104:$BL$133,MATCH(B$234,'ei names mapping'!$A$4:$A$33,0),MATCH(G354,'ei names mapping'!$B$3:$BL$3,0))</f>
        <v>kilogram</v>
      </c>
      <c r="E354" t="str">
        <f>INDEX('ei names mapping'!$B$305:$BL$335,MATCH(B$234,'ei names mapping'!$A$4:$A$33,0),MATCH(G354,'ei names mapping'!$B$3:$BL$3,0))</f>
        <v>air::urban air close to ground</v>
      </c>
      <c r="F354" t="s">
        <v>167</v>
      </c>
      <c r="G354" t="s">
        <v>541</v>
      </c>
    </row>
    <row r="355" spans="1:7" x14ac:dyDescent="0.2">
      <c r="A355" t="str">
        <f>INDEX('ei names mapping'!$B$4:$BL$33,MATCH(B$234,'ei names mapping'!$A$4:$A$33,0),MATCH(G355,'ei names mapping'!$B$3:$BL$3,0))</f>
        <v>Propane</v>
      </c>
      <c r="B355" s="7">
        <f>INDEX('vehicles specifications'!$B$3:$CW$166,MATCH(B$315,'vehicles specifications'!$A$3:$A$166,0),MATCH(G355,'vehicles specifications'!$B$2:$CW$2,0))*INDEX('ei names mapping'!$B$137:$BL$300,MATCH(B$315,'ei names mapping'!$A$137:$A$300,0),MATCH(G355,'ei names mapping'!$B$136:$BL$136,0))</f>
        <v>2.9295737126150013E-7</v>
      </c>
      <c r="D355" t="str">
        <f>INDEX('ei names mapping'!$B$104:$BL$133,MATCH(B$234,'ei names mapping'!$A$4:$A$33,0),MATCH(G355,'ei names mapping'!$B$3:$BL$3,0))</f>
        <v>kilogram</v>
      </c>
      <c r="E355" t="str">
        <f>INDEX('ei names mapping'!$B$305:$BL$335,MATCH(B$234,'ei names mapping'!$A$4:$A$33,0),MATCH(G355,'ei names mapping'!$B$3:$BL$3,0))</f>
        <v>air::urban air close to ground</v>
      </c>
      <c r="F355" t="s">
        <v>167</v>
      </c>
      <c r="G355" t="s">
        <v>542</v>
      </c>
    </row>
    <row r="356" spans="1:7" x14ac:dyDescent="0.2">
      <c r="A356" t="str">
        <f>INDEX('ei names mapping'!$B$4:$BL$33,MATCH(B$234,'ei names mapping'!$A$4:$A$33,0),MATCH(G356,'ei names mapping'!$B$3:$BL$3,0))</f>
        <v>Butane</v>
      </c>
      <c r="B356" s="7">
        <f>INDEX('vehicles specifications'!$B$3:$CW$166,MATCH(B$315,'vehicles specifications'!$A$3:$A$166,0),MATCH(G356,'vehicles specifications'!$B$2:$CW$2,0))*INDEX('ei names mapping'!$B$137:$BL$300,MATCH(B$315,'ei names mapping'!$A$137:$A$300,0),MATCH(G356,'ei names mapping'!$B$136:$BL$136,0))</f>
        <v>2.3616871160157862E-6</v>
      </c>
      <c r="D356" t="str">
        <f>INDEX('ei names mapping'!$B$104:$BL$133,MATCH(B$234,'ei names mapping'!$A$4:$A$33,0),MATCH(G356,'ei names mapping'!$B$3:$BL$3,0))</f>
        <v>kilogram</v>
      </c>
      <c r="E356" t="str">
        <f>INDEX('ei names mapping'!$B$305:$BL$335,MATCH(B$234,'ei names mapping'!$A$4:$A$33,0),MATCH(G356,'ei names mapping'!$B$3:$BL$3,0))</f>
        <v>air::urban air close to ground</v>
      </c>
      <c r="F356" t="s">
        <v>167</v>
      </c>
      <c r="G356" t="s">
        <v>543</v>
      </c>
    </row>
    <row r="357" spans="1:7" x14ac:dyDescent="0.2">
      <c r="A357" t="str">
        <f>INDEX('ei names mapping'!$B$4:$BL$33,MATCH(B$234,'ei names mapping'!$A$4:$A$33,0),MATCH(G357,'ei names mapping'!$B$3:$BL$3,0))</f>
        <v>Pentane</v>
      </c>
      <c r="B357" s="7">
        <f>INDEX('vehicles specifications'!$B$3:$CW$166,MATCH(B$315,'vehicles specifications'!$A$3:$A$166,0),MATCH(G357,'vehicles specifications'!$B$2:$CW$2,0))*INDEX('ei names mapping'!$B$137:$BL$300,MATCH(B$315,'ei names mapping'!$A$137:$A$300,0),MATCH(G357,'ei names mapping'!$B$136:$BL$136,0))</f>
        <v>9.6901284340342343E-7</v>
      </c>
      <c r="D357" t="str">
        <f>INDEX('ei names mapping'!$B$104:$BL$133,MATCH(B$234,'ei names mapping'!$A$4:$A$33,0),MATCH(G357,'ei names mapping'!$B$3:$BL$3,0))</f>
        <v>kilogram</v>
      </c>
      <c r="E357" t="str">
        <f>INDEX('ei names mapping'!$B$305:$BL$335,MATCH(B$234,'ei names mapping'!$A$4:$A$33,0),MATCH(G357,'ei names mapping'!$B$3:$BL$3,0))</f>
        <v>air::urban air close to ground</v>
      </c>
      <c r="F357" t="s">
        <v>167</v>
      </c>
      <c r="G357" t="s">
        <v>544</v>
      </c>
    </row>
    <row r="358" spans="1:7" x14ac:dyDescent="0.2">
      <c r="A358" t="str">
        <f>INDEX('ei names mapping'!$B$4:$BL$33,MATCH(B$234,'ei names mapping'!$A$4:$A$33,0),MATCH(G358,'ei names mapping'!$B$3:$BL$3,0))</f>
        <v>Hexane</v>
      </c>
      <c r="B358" s="7">
        <f>INDEX('vehicles specifications'!$B$3:$CW$166,MATCH(B$315,'vehicles specifications'!$A$3:$A$166,0),MATCH(G358,'vehicles specifications'!$B$2:$CW$2,0))*INDEX('ei names mapping'!$B$137:$BL$300,MATCH(B$315,'ei names mapping'!$A$137:$A$300,0),MATCH(G358,'ei names mapping'!$B$136:$BL$136,0))</f>
        <v>7.2563287343233113E-7</v>
      </c>
      <c r="D358" t="str">
        <f>INDEX('ei names mapping'!$B$104:$BL$133,MATCH(B$234,'ei names mapping'!$A$4:$A$33,0),MATCH(G358,'ei names mapping'!$B$3:$BL$3,0))</f>
        <v>kilogram</v>
      </c>
      <c r="E358" t="str">
        <f>INDEX('ei names mapping'!$B$305:$BL$335,MATCH(B$234,'ei names mapping'!$A$4:$A$33,0),MATCH(G358,'ei names mapping'!$B$3:$BL$3,0))</f>
        <v>air::urban air close to ground</v>
      </c>
      <c r="F358" t="s">
        <v>167</v>
      </c>
      <c r="G358" t="s">
        <v>545</v>
      </c>
    </row>
    <row r="359" spans="1:7" x14ac:dyDescent="0.2">
      <c r="A359" t="str">
        <f>INDEX('ei names mapping'!$B$4:$BL$33,MATCH(B$234,'ei names mapping'!$A$4:$A$33,0),MATCH(G359,'ei names mapping'!$B$3:$BL$3,0))</f>
        <v>Cyclohexane</v>
      </c>
      <c r="B359" s="7">
        <f>INDEX('vehicles specifications'!$B$3:$CW$166,MATCH(B$315,'vehicles specifications'!$A$3:$A$166,0),MATCH(G359,'vehicles specifications'!$B$2:$CW$2,0))*INDEX('ei names mapping'!$B$137:$BL$300,MATCH(B$315,'ei names mapping'!$A$137:$A$300,0),MATCH(G359,'ei names mapping'!$B$136:$BL$136,0))</f>
        <v>5.1380215882786179E-7</v>
      </c>
      <c r="D359" t="str">
        <f>INDEX('ei names mapping'!$B$104:$BL$133,MATCH(B$234,'ei names mapping'!$A$4:$A$33,0),MATCH(G359,'ei names mapping'!$B$3:$BL$3,0))</f>
        <v>kilogram</v>
      </c>
      <c r="E359" t="str">
        <f>INDEX('ei names mapping'!$B$305:$BL$335,MATCH(B$234,'ei names mapping'!$A$4:$A$33,0),MATCH(G359,'ei names mapping'!$B$3:$BL$3,0))</f>
        <v>air::urban air close to ground</v>
      </c>
      <c r="F359" t="s">
        <v>167</v>
      </c>
      <c r="G359" t="s">
        <v>546</v>
      </c>
    </row>
    <row r="360" spans="1:7" x14ac:dyDescent="0.2">
      <c r="A360" t="str">
        <f>INDEX('ei names mapping'!$B$4:$BL$33,MATCH(B$234,'ei names mapping'!$A$4:$A$33,0),MATCH(G360,'ei names mapping'!$B$3:$BL$3,0))</f>
        <v>Heptane</v>
      </c>
      <c r="B360" s="7">
        <f>INDEX('vehicles specifications'!$B$3:$CW$166,MATCH(B$315,'vehicles specifications'!$A$3:$A$166,0),MATCH(G360,'vehicles specifications'!$B$2:$CW$2,0))*INDEX('ei names mapping'!$B$137:$BL$300,MATCH(B$315,'ei names mapping'!$A$137:$A$300,0),MATCH(G360,'ei names mapping'!$B$136:$BL$136,0))</f>
        <v>3.335206995900156E-7</v>
      </c>
      <c r="D360" t="str">
        <f>INDEX('ei names mapping'!$B$104:$BL$133,MATCH(B$234,'ei names mapping'!$A$4:$A$33,0),MATCH(G360,'ei names mapping'!$B$3:$BL$3,0))</f>
        <v>kilogram</v>
      </c>
      <c r="E360" t="str">
        <f>INDEX('ei names mapping'!$B$305:$BL$335,MATCH(B$234,'ei names mapping'!$A$4:$A$33,0),MATCH(G360,'ei names mapping'!$B$3:$BL$3,0))</f>
        <v>air::urban air close to ground</v>
      </c>
      <c r="F360" t="s">
        <v>167</v>
      </c>
      <c r="G360" t="s">
        <v>547</v>
      </c>
    </row>
    <row r="361" spans="1:7" x14ac:dyDescent="0.2">
      <c r="A361" t="str">
        <f>INDEX('ei names mapping'!$B$4:$BL$33,MATCH(B$234,'ei names mapping'!$A$4:$A$33,0),MATCH(G361,'ei names mapping'!$B$3:$BL$3,0))</f>
        <v>Ethene</v>
      </c>
      <c r="B361" s="7">
        <f>INDEX('vehicles specifications'!$B$3:$CW$166,MATCH(B$315,'vehicles specifications'!$A$3:$A$166,0),MATCH(G361,'vehicles specifications'!$B$2:$CW$2,0))*INDEX('ei names mapping'!$B$137:$BL$300,MATCH(B$315,'ei names mapping'!$A$137:$A$300,0),MATCH(G361,'ei names mapping'!$B$136:$BL$136,0))</f>
        <v>3.2901366310906936E-6</v>
      </c>
      <c r="D361" t="str">
        <f>INDEX('ei names mapping'!$B$104:$BL$133,MATCH(B$234,'ei names mapping'!$A$4:$A$33,0),MATCH(G361,'ei names mapping'!$B$3:$BL$3,0))</f>
        <v>kilogram</v>
      </c>
      <c r="E361" t="str">
        <f>INDEX('ei names mapping'!$B$305:$BL$335,MATCH(B$234,'ei names mapping'!$A$4:$A$33,0),MATCH(G361,'ei names mapping'!$B$3:$BL$3,0))</f>
        <v>air::urban air close to ground</v>
      </c>
      <c r="F361" t="s">
        <v>167</v>
      </c>
      <c r="G361" t="s">
        <v>548</v>
      </c>
    </row>
    <row r="362" spans="1:7" x14ac:dyDescent="0.2">
      <c r="A362" t="str">
        <f>INDEX('ei names mapping'!$B$4:$BL$33,MATCH(B$234,'ei names mapping'!$A$4:$A$33,0),MATCH(G362,'ei names mapping'!$B$3:$BL$3,0))</f>
        <v>Propene</v>
      </c>
      <c r="B362" s="7">
        <f>INDEX('vehicles specifications'!$B$3:$CW$166,MATCH(B$315,'vehicles specifications'!$A$3:$A$166,0),MATCH(G362,'vehicles specifications'!$B$2:$CW$2,0))*INDEX('ei names mapping'!$B$137:$BL$300,MATCH(B$315,'ei names mapping'!$A$137:$A$300,0),MATCH(G362,'ei names mapping'!$B$136:$BL$136,0))</f>
        <v>1.7216879357214317E-6</v>
      </c>
      <c r="D362" t="str">
        <f>INDEX('ei names mapping'!$B$104:$BL$133,MATCH(B$234,'ei names mapping'!$A$4:$A$33,0),MATCH(G362,'ei names mapping'!$B$3:$BL$3,0))</f>
        <v>kilogram</v>
      </c>
      <c r="E362" t="str">
        <f>INDEX('ei names mapping'!$B$305:$BL$335,MATCH(B$234,'ei names mapping'!$A$4:$A$33,0),MATCH(G362,'ei names mapping'!$B$3:$BL$3,0))</f>
        <v>air::urban air close to ground</v>
      </c>
      <c r="F362" t="s">
        <v>167</v>
      </c>
      <c r="G362" t="s">
        <v>549</v>
      </c>
    </row>
    <row r="363" spans="1:7" x14ac:dyDescent="0.2">
      <c r="A363" t="str">
        <f>INDEX('ei names mapping'!$B$4:$BL$33,MATCH(B$234,'ei names mapping'!$A$4:$A$33,0),MATCH(G363,'ei names mapping'!$B$3:$BL$3,0))</f>
        <v>1-Pentene</v>
      </c>
      <c r="B363" s="7">
        <f>INDEX('vehicles specifications'!$B$3:$CW$166,MATCH(B$315,'vehicles specifications'!$A$3:$A$166,0),MATCH(G363,'vehicles specifications'!$B$2:$CW$2,0))*INDEX('ei names mapping'!$B$137:$BL$300,MATCH(B$315,'ei names mapping'!$A$137:$A$300,0),MATCH(G363,'ei names mapping'!$B$136:$BL$136,0))</f>
        <v>4.9577401290407721E-8</v>
      </c>
      <c r="D363" t="str">
        <f>INDEX('ei names mapping'!$B$104:$BL$133,MATCH(B$234,'ei names mapping'!$A$4:$A$33,0),MATCH(G363,'ei names mapping'!$B$3:$BL$3,0))</f>
        <v>kilogram</v>
      </c>
      <c r="E363" t="str">
        <f>INDEX('ei names mapping'!$B$305:$BL$335,MATCH(B$234,'ei names mapping'!$A$4:$A$33,0),MATCH(G363,'ei names mapping'!$B$3:$BL$3,0))</f>
        <v>air::urban air close to ground</v>
      </c>
      <c r="F363" t="s">
        <v>167</v>
      </c>
      <c r="G363" t="s">
        <v>550</v>
      </c>
    </row>
    <row r="364" spans="1:7" x14ac:dyDescent="0.2">
      <c r="A364" t="str">
        <f>INDEX('ei names mapping'!$B$4:$BL$33,MATCH(B$234,'ei names mapping'!$A$4:$A$33,0),MATCH(G364,'ei names mapping'!$B$3:$BL$3,0))</f>
        <v>Toluene</v>
      </c>
      <c r="B364" s="7">
        <f>INDEX('vehicles specifications'!$B$3:$CW$166,MATCH(B$315,'vehicles specifications'!$A$3:$A$166,0),MATCH(G364,'vehicles specifications'!$B$2:$CW$2,0))*INDEX('ei names mapping'!$B$137:$BL$300,MATCH(B$315,'ei names mapping'!$A$137:$A$300,0),MATCH(G364,'ei names mapping'!$B$136:$BL$136,0))</f>
        <v>4.9487260560788793E-6</v>
      </c>
      <c r="D364" t="str">
        <f>INDEX('ei names mapping'!$B$104:$BL$133,MATCH(B$234,'ei names mapping'!$A$4:$A$33,0),MATCH(G364,'ei names mapping'!$B$3:$BL$3,0))</f>
        <v>kilogram</v>
      </c>
      <c r="E364" t="str">
        <f>INDEX('ei names mapping'!$B$305:$BL$335,MATCH(B$234,'ei names mapping'!$A$4:$A$33,0),MATCH(G364,'ei names mapping'!$B$3:$BL$3,0))</f>
        <v>air::urban air close to ground</v>
      </c>
      <c r="F364" t="s">
        <v>167</v>
      </c>
      <c r="G364" t="s">
        <v>551</v>
      </c>
    </row>
    <row r="365" spans="1:7" x14ac:dyDescent="0.2">
      <c r="A365" t="str">
        <f>INDEX('ei names mapping'!$B$4:$BL$33,MATCH(B$234,'ei names mapping'!$A$4:$A$33,0),MATCH(G365,'ei names mapping'!$B$3:$BL$3,0))</f>
        <v>m-Xylene</v>
      </c>
      <c r="B365" s="7">
        <f>INDEX('vehicles specifications'!$B$3:$CW$166,MATCH(B$315,'vehicles specifications'!$A$3:$A$166,0),MATCH(G365,'vehicles specifications'!$B$2:$CW$2,0))*INDEX('ei names mapping'!$B$137:$BL$300,MATCH(B$315,'ei names mapping'!$A$137:$A$300,0),MATCH(G365,'ei names mapping'!$B$136:$BL$136,0))</f>
        <v>2.4473208091537626E-6</v>
      </c>
      <c r="D365" t="str">
        <f>INDEX('ei names mapping'!$B$104:$BL$133,MATCH(B$234,'ei names mapping'!$A$4:$A$33,0),MATCH(G365,'ei names mapping'!$B$3:$BL$3,0))</f>
        <v>kilogram</v>
      </c>
      <c r="E365" t="str">
        <f>INDEX('ei names mapping'!$B$305:$BL$335,MATCH(B$234,'ei names mapping'!$A$4:$A$33,0),MATCH(G365,'ei names mapping'!$B$3:$BL$3,0))</f>
        <v>air::urban air close to ground</v>
      </c>
      <c r="F365" t="s">
        <v>167</v>
      </c>
      <c r="G365" t="s">
        <v>552</v>
      </c>
    </row>
    <row r="366" spans="1:7" x14ac:dyDescent="0.2">
      <c r="A366" t="str">
        <f>INDEX('ei names mapping'!$B$4:$BL$33,MATCH(B$234,'ei names mapping'!$A$4:$A$33,0),MATCH(G366,'ei names mapping'!$B$3:$BL$3,0))</f>
        <v>o-Xylene</v>
      </c>
      <c r="B366" s="7">
        <f>INDEX('vehicles specifications'!$B$3:$CW$166,MATCH(B$315,'vehicles specifications'!$A$3:$A$166,0),MATCH(G366,'vehicles specifications'!$B$2:$CW$2,0))*INDEX('ei names mapping'!$B$137:$BL$300,MATCH(B$315,'ei names mapping'!$A$137:$A$300,0),MATCH(G366,'ei names mapping'!$B$136:$BL$136,0))</f>
        <v>1.0185902446938312E-6</v>
      </c>
      <c r="D366" t="str">
        <f>INDEX('ei names mapping'!$B$104:$BL$133,MATCH(B$234,'ei names mapping'!$A$4:$A$33,0),MATCH(G366,'ei names mapping'!$B$3:$BL$3,0))</f>
        <v>kilogram</v>
      </c>
      <c r="E366" t="str">
        <f>INDEX('ei names mapping'!$B$305:$BL$335,MATCH(B$234,'ei names mapping'!$A$4:$A$33,0),MATCH(G366,'ei names mapping'!$B$3:$BL$3,0))</f>
        <v>air::urban air close to ground</v>
      </c>
      <c r="F366" t="s">
        <v>167</v>
      </c>
      <c r="G366" t="s">
        <v>553</v>
      </c>
    </row>
    <row r="367" spans="1:7" x14ac:dyDescent="0.2">
      <c r="A367" t="str">
        <f>INDEX('ei names mapping'!$B$4:$BL$33,MATCH(B$234,'ei names mapping'!$A$4:$A$33,0),MATCH(G367,'ei names mapping'!$B$3:$BL$3,0))</f>
        <v>Formaldehyde</v>
      </c>
      <c r="B367" s="7">
        <f>INDEX('vehicles specifications'!$B$3:$CW$166,MATCH(B$315,'vehicles specifications'!$A$3:$A$166,0),MATCH(G367,'vehicles specifications'!$B$2:$CW$2,0))*INDEX('ei names mapping'!$B$137:$BL$300,MATCH(B$315,'ei names mapping'!$A$137:$A$300,0),MATCH(G367,'ei names mapping'!$B$136:$BL$136,0))</f>
        <v>7.6619620176084655E-7</v>
      </c>
      <c r="D367" t="str">
        <f>INDEX('ei names mapping'!$B$104:$BL$133,MATCH(B$234,'ei names mapping'!$A$4:$A$33,0),MATCH(G367,'ei names mapping'!$B$3:$BL$3,0))</f>
        <v>kilogram</v>
      </c>
      <c r="E367" t="str">
        <f>INDEX('ei names mapping'!$B$305:$BL$335,MATCH(B$234,'ei names mapping'!$A$4:$A$33,0),MATCH(G367,'ei names mapping'!$B$3:$BL$3,0))</f>
        <v>air::urban air close to ground</v>
      </c>
      <c r="F367" t="s">
        <v>167</v>
      </c>
      <c r="G367" t="s">
        <v>554</v>
      </c>
    </row>
    <row r="368" spans="1:7" x14ac:dyDescent="0.2">
      <c r="A368" t="str">
        <f>INDEX('ei names mapping'!$B$4:$BL$33,MATCH(B$234,'ei names mapping'!$A$4:$A$33,0),MATCH(G368,'ei names mapping'!$B$3:$BL$3,0))</f>
        <v>Acetaldehyde</v>
      </c>
      <c r="B368" s="7">
        <f>INDEX('vehicles specifications'!$B$3:$CW$166,MATCH(B$315,'vehicles specifications'!$A$3:$A$166,0),MATCH(G368,'vehicles specifications'!$B$2:$CW$2,0))*INDEX('ei names mapping'!$B$137:$BL$300,MATCH(B$315,'ei names mapping'!$A$137:$A$300,0),MATCH(G368,'ei names mapping'!$B$136:$BL$136,0))</f>
        <v>3.3802773607096173E-7</v>
      </c>
      <c r="D368" t="str">
        <f>INDEX('ei names mapping'!$B$104:$BL$133,MATCH(B$234,'ei names mapping'!$A$4:$A$33,0),MATCH(G368,'ei names mapping'!$B$3:$BL$3,0))</f>
        <v>kilogram</v>
      </c>
      <c r="E368" t="str">
        <f>INDEX('ei names mapping'!$B$305:$BL$335,MATCH(B$234,'ei names mapping'!$A$4:$A$33,0),MATCH(G368,'ei names mapping'!$B$3:$BL$3,0))</f>
        <v>air::urban air close to ground</v>
      </c>
      <c r="F368" t="s">
        <v>167</v>
      </c>
      <c r="G368" t="s">
        <v>555</v>
      </c>
    </row>
    <row r="369" spans="1:8" x14ac:dyDescent="0.2">
      <c r="A369" t="str">
        <f>INDEX('ei names mapping'!$B$4:$BL$33,MATCH(B$234,'ei names mapping'!$A$4:$A$33,0),MATCH(G369,'ei names mapping'!$B$3:$BL$3,0))</f>
        <v>Benzaldehyde</v>
      </c>
      <c r="B369" s="7">
        <f>INDEX('vehicles specifications'!$B$3:$CW$166,MATCH(B$315,'vehicles specifications'!$A$3:$A$166,0),MATCH(G369,'vehicles specifications'!$B$2:$CW$2,0))*INDEX('ei names mapping'!$B$137:$BL$300,MATCH(B$315,'ei names mapping'!$A$137:$A$300,0),MATCH(G369,'ei names mapping'!$B$136:$BL$136,0))</f>
        <v>9.9154802580815442E-8</v>
      </c>
      <c r="D369" t="str">
        <f>INDEX('ei names mapping'!$B$104:$BL$133,MATCH(B$234,'ei names mapping'!$A$4:$A$33,0),MATCH(G369,'ei names mapping'!$B$3:$BL$3,0))</f>
        <v>kilogram</v>
      </c>
      <c r="E369" t="str">
        <f>INDEX('ei names mapping'!$B$305:$BL$335,MATCH(B$234,'ei names mapping'!$A$4:$A$33,0),MATCH(G369,'ei names mapping'!$B$3:$BL$3,0))</f>
        <v>air::urban air close to ground</v>
      </c>
      <c r="F369" t="s">
        <v>167</v>
      </c>
      <c r="G369" t="s">
        <v>556</v>
      </c>
    </row>
    <row r="370" spans="1:8" x14ac:dyDescent="0.2">
      <c r="A370" t="str">
        <f>INDEX('ei names mapping'!$B$4:$BL$33,MATCH(B$234,'ei names mapping'!$A$4:$A$33,0),MATCH(G370,'ei names mapping'!$B$3:$BL$3,0))</f>
        <v>Acetone</v>
      </c>
      <c r="B370" s="7">
        <f>INDEX('vehicles specifications'!$B$3:$CW$166,MATCH(B$315,'vehicles specifications'!$A$3:$A$166,0),MATCH(G370,'vehicles specifications'!$B$2:$CW$2,0))*INDEX('ei names mapping'!$B$137:$BL$300,MATCH(B$315,'ei names mapping'!$A$137:$A$300,0),MATCH(G370,'ei names mapping'!$B$136:$BL$136,0))</f>
        <v>2.7492922533771551E-7</v>
      </c>
      <c r="D370" t="str">
        <f>INDEX('ei names mapping'!$B$104:$BL$133,MATCH(B$234,'ei names mapping'!$A$4:$A$33,0),MATCH(G370,'ei names mapping'!$B$3:$BL$3,0))</f>
        <v>kilogram</v>
      </c>
      <c r="E370" t="str">
        <f>INDEX('ei names mapping'!$B$305:$BL$335,MATCH(B$234,'ei names mapping'!$A$4:$A$33,0),MATCH(G370,'ei names mapping'!$B$3:$BL$3,0))</f>
        <v>air::urban air close to ground</v>
      </c>
      <c r="F370" t="s">
        <v>167</v>
      </c>
      <c r="G370" t="s">
        <v>557</v>
      </c>
    </row>
    <row r="371" spans="1:8" x14ac:dyDescent="0.2">
      <c r="A371" t="str">
        <f>INDEX('ei names mapping'!$B$4:$BL$33,MATCH(B$234,'ei names mapping'!$A$4:$A$33,0),MATCH(G371,'ei names mapping'!$B$3:$BL$3,0))</f>
        <v>Methyl ethyl ketone</v>
      </c>
      <c r="B371" s="7">
        <f>INDEX('vehicles specifications'!$B$3:$CW$166,MATCH(B$315,'vehicles specifications'!$A$3:$A$166,0),MATCH(G371,'vehicles specifications'!$B$2:$CW$2,0))*INDEX('ei names mapping'!$B$137:$BL$300,MATCH(B$315,'ei names mapping'!$A$137:$A$300,0),MATCH(G371,'ei names mapping'!$B$136:$BL$136,0))</f>
        <v>0</v>
      </c>
      <c r="D371" t="str">
        <f>INDEX('ei names mapping'!$B$104:$BL$133,MATCH(B$234,'ei names mapping'!$A$4:$A$33,0),MATCH(G371,'ei names mapping'!$B$3:$BL$3,0))</f>
        <v>kilogram</v>
      </c>
      <c r="E371" t="str">
        <f>INDEX('ei names mapping'!$B$305:$BL$335,MATCH(B$234,'ei names mapping'!$A$4:$A$33,0),MATCH(G371,'ei names mapping'!$B$3:$BL$3,0))</f>
        <v>air::urban air close to ground</v>
      </c>
      <c r="F371" t="s">
        <v>167</v>
      </c>
      <c r="G371" t="s">
        <v>560</v>
      </c>
    </row>
    <row r="372" spans="1:8" x14ac:dyDescent="0.2">
      <c r="A372" t="str">
        <f>INDEX('ei names mapping'!$B$4:$BL$33,MATCH(B$234,'ei names mapping'!$A$4:$A$33,0),MATCH(G372,'ei names mapping'!$B$3:$BL$3,0))</f>
        <v>Acrolein</v>
      </c>
      <c r="B372" s="7">
        <f>INDEX('vehicles specifications'!$B$3:$CW$166,MATCH(B$315,'vehicles specifications'!$A$3:$A$166,0),MATCH(G372,'vehicles specifications'!$B$2:$CW$2,0))*INDEX('ei names mapping'!$B$137:$BL$300,MATCH(B$315,'ei names mapping'!$A$137:$A$300,0),MATCH(G372,'ei names mapping'!$B$136:$BL$136,0))</f>
        <v>8.5633693137976965E-8</v>
      </c>
      <c r="D372" t="str">
        <f>INDEX('ei names mapping'!$B$104:$BL$133,MATCH(B$234,'ei names mapping'!$A$4:$A$33,0),MATCH(G372,'ei names mapping'!$B$3:$BL$3,0))</f>
        <v>kilogram</v>
      </c>
      <c r="E372" t="str">
        <f>INDEX('ei names mapping'!$B$305:$BL$335,MATCH(B$234,'ei names mapping'!$A$4:$A$33,0),MATCH(G372,'ei names mapping'!$B$3:$BL$3,0))</f>
        <v>air::urban air close to ground</v>
      </c>
      <c r="F372" t="s">
        <v>167</v>
      </c>
      <c r="G372" t="s">
        <v>558</v>
      </c>
    </row>
    <row r="373" spans="1:8" x14ac:dyDescent="0.2">
      <c r="A373" t="str">
        <f>INDEX('ei names mapping'!$B$4:$BL$33,MATCH(B$234,'ei names mapping'!$A$4:$A$33,0),MATCH(G373,'ei names mapping'!$B$3:$BL$3,0))</f>
        <v>Styrene</v>
      </c>
      <c r="B373" s="7">
        <f>INDEX('vehicles specifications'!$B$3:$CW$166,MATCH(B$315,'vehicles specifications'!$A$3:$A$166,0),MATCH(G373,'vehicles specifications'!$B$2:$CW$2,0))*INDEX('ei names mapping'!$B$137:$BL$300,MATCH(B$315,'ei names mapping'!$A$137:$A$300,0),MATCH(G373,'ei names mapping'!$B$136:$BL$136,0))</f>
        <v>4.5521068457556175E-7</v>
      </c>
      <c r="D373" t="str">
        <f>INDEX('ei names mapping'!$B$104:$BL$133,MATCH(B$234,'ei names mapping'!$A$4:$A$33,0),MATCH(G373,'ei names mapping'!$B$3:$BL$3,0))</f>
        <v>kilogram</v>
      </c>
      <c r="E373" t="str">
        <f>INDEX('ei names mapping'!$B$305:$BL$335,MATCH(B$234,'ei names mapping'!$A$4:$A$33,0),MATCH(G373,'ei names mapping'!$B$3:$BL$3,0))</f>
        <v>air::urban air close to ground</v>
      </c>
      <c r="F373" t="s">
        <v>167</v>
      </c>
      <c r="G373" t="s">
        <v>559</v>
      </c>
    </row>
    <row r="374" spans="1:8" x14ac:dyDescent="0.2">
      <c r="A374" t="str">
        <f>INDEX('ei names mapping'!$B$4:$BL$33,MATCH(B$234,'ei names mapping'!$A$4:$A$33,0),MATCH(G374,'ei names mapping'!$B$3:$BL$3,0))</f>
        <v>PAH, polycyclic aromatic hydrocarbons</v>
      </c>
      <c r="B374" s="7">
        <f>INDEX('vehicles specifications'!$B$3:$CW$166,MATCH(B$315,'vehicles specifications'!$A$3:$A$166,0),MATCH(G374,'vehicles specifications'!$B$2:$CW$2,0))*INDEX('ei names mapping'!$B$137:$BL$300,MATCH(B$315,'ei names mapping'!$A$137:$A$300,0),MATCH(G374,'ei names mapping'!$B$136:$BL$136,0))</f>
        <v>1.5998987398991553E-9</v>
      </c>
      <c r="D374" t="str">
        <f>INDEX('ei names mapping'!$B$104:$BL$133,MATCH(B$234,'ei names mapping'!$A$4:$A$33,0),MATCH(G374,'ei names mapping'!$B$3:$BL$3,0))</f>
        <v>kilogram</v>
      </c>
      <c r="E374" t="str">
        <f>INDEX('ei names mapping'!$B$305:$BL$335,MATCH(B$234,'ei names mapping'!$A$4:$A$33,0),MATCH(G374,'ei names mapping'!$B$3:$BL$3,0))</f>
        <v>air::urban air close to ground</v>
      </c>
      <c r="F374" t="s">
        <v>167</v>
      </c>
      <c r="G374" t="s">
        <v>561</v>
      </c>
    </row>
    <row r="375" spans="1:8" x14ac:dyDescent="0.2">
      <c r="A375" t="str">
        <f>INDEX('ei names mapping'!$B$4:$BL$33,MATCH(B$234,'ei names mapping'!$A$4:$A$33,0),MATCH(G375,'ei names mapping'!$B$3:$BL$3,0))</f>
        <v>Arsenic</v>
      </c>
      <c r="B375" s="7">
        <f>INDEX('vehicles specifications'!$B$3:$CW$166,MATCH(B$315,'vehicles specifications'!$A$3:$A$166,0),MATCH(G375,'vehicles specifications'!$B$2:$CW$2,0))*INDEX('ei names mapping'!$B$137:$BL$300,MATCH(B$315,'ei names mapping'!$A$137:$A$300,0),MATCH(G375,'ei names mapping'!$B$136:$BL$136,0))</f>
        <v>1.3792230516372029E-11</v>
      </c>
      <c r="D375" t="str">
        <f>INDEX('ei names mapping'!$B$104:$BL$133,MATCH(B$234,'ei names mapping'!$A$4:$A$33,0),MATCH(G375,'ei names mapping'!$B$3:$BL$3,0))</f>
        <v>kilogram</v>
      </c>
      <c r="E375" t="str">
        <f>INDEX('ei names mapping'!$B$305:$BL$335,MATCH(B$234,'ei names mapping'!$A$4:$A$33,0),MATCH(G375,'ei names mapping'!$B$3:$BL$3,0))</f>
        <v>air::urban air close to ground</v>
      </c>
      <c r="F375" t="s">
        <v>167</v>
      </c>
      <c r="G375" t="s">
        <v>562</v>
      </c>
    </row>
    <row r="376" spans="1:8" x14ac:dyDescent="0.2">
      <c r="A376" t="str">
        <f>INDEX('ei names mapping'!$B$4:$BL$33,MATCH(B$234,'ei names mapping'!$A$4:$A$33,0),MATCH(G376,'ei names mapping'!$B$3:$BL$3,0))</f>
        <v>Selenium</v>
      </c>
      <c r="B376" s="7">
        <f>INDEX('vehicles specifications'!$B$3:$CW$166,MATCH(B$315,'vehicles specifications'!$A$3:$A$166,0),MATCH(G376,'vehicles specifications'!$B$2:$CW$2,0))*INDEX('ei names mapping'!$B$137:$BL$300,MATCH(B$315,'ei names mapping'!$A$137:$A$300,0),MATCH(G376,'ei names mapping'!$B$136:$BL$136,0))</f>
        <v>9.1948203442480187E-12</v>
      </c>
      <c r="D376" t="str">
        <f>INDEX('ei names mapping'!$B$104:$BL$133,MATCH(B$234,'ei names mapping'!$A$4:$A$33,0),MATCH(G376,'ei names mapping'!$B$3:$BL$3,0))</f>
        <v>kilogram</v>
      </c>
      <c r="E376" t="str">
        <f>INDEX('ei names mapping'!$B$305:$BL$335,MATCH(B$234,'ei names mapping'!$A$4:$A$33,0),MATCH(G376,'ei names mapping'!$B$3:$BL$3,0))</f>
        <v>air::urban air close to ground</v>
      </c>
      <c r="F376" t="s">
        <v>167</v>
      </c>
      <c r="G376" t="s">
        <v>563</v>
      </c>
    </row>
    <row r="377" spans="1:8" x14ac:dyDescent="0.2">
      <c r="A377" t="str">
        <f>INDEX('ei names mapping'!$B$4:$BL$33,MATCH(B$234,'ei names mapping'!$A$4:$A$33,0),MATCH(G377,'ei names mapping'!$B$3:$BL$3,0))</f>
        <v>Zinc</v>
      </c>
      <c r="B377" s="7">
        <f>INDEX('vehicles specifications'!$B$3:$CW$166,MATCH(B$315,'vehicles specifications'!$A$3:$A$166,0),MATCH(G377,'vehicles specifications'!$B$2:$CW$2,0))*INDEX('ei names mapping'!$B$137:$BL$300,MATCH(B$315,'ei names mapping'!$A$137:$A$300,0),MATCH(G377,'ei names mapping'!$B$136:$BL$136,0))</f>
        <v>9.930405971787861E-8</v>
      </c>
      <c r="D377" t="str">
        <f>INDEX('ei names mapping'!$B$104:$BL$133,MATCH(B$234,'ei names mapping'!$A$4:$A$33,0),MATCH(G377,'ei names mapping'!$B$3:$BL$3,0))</f>
        <v>kilogram</v>
      </c>
      <c r="E377" t="str">
        <f>INDEX('ei names mapping'!$B$305:$BL$335,MATCH(B$234,'ei names mapping'!$A$4:$A$33,0),MATCH(G377,'ei names mapping'!$B$3:$BL$3,0))</f>
        <v>air::urban air close to ground</v>
      </c>
      <c r="F377" t="s">
        <v>167</v>
      </c>
      <c r="G377" t="s">
        <v>564</v>
      </c>
    </row>
    <row r="378" spans="1:8" x14ac:dyDescent="0.2">
      <c r="A378" t="str">
        <f>INDEX('ei names mapping'!$B$4:$BL$33,MATCH(B$234,'ei names mapping'!$A$4:$A$33,0),MATCH(G378,'ei names mapping'!$B$3:$BL$3,0))</f>
        <v>Copper</v>
      </c>
      <c r="B378" s="7">
        <f>INDEX('vehicles specifications'!$B$3:$CW$166,MATCH(B$315,'vehicles specifications'!$A$3:$A$166,0),MATCH(G378,'vehicles specifications'!$B$2:$CW$2,0))*INDEX('ei names mapping'!$B$137:$BL$300,MATCH(B$315,'ei names mapping'!$A$137:$A$300,0),MATCH(G378,'ei names mapping'!$B$136:$BL$136,0))</f>
        <v>1.9309122722920839E-9</v>
      </c>
      <c r="D378" t="str">
        <f>INDEX('ei names mapping'!$B$104:$BL$133,MATCH(B$234,'ei names mapping'!$A$4:$A$33,0),MATCH(G378,'ei names mapping'!$B$3:$BL$3,0))</f>
        <v>kilogram</v>
      </c>
      <c r="E378" t="str">
        <f>INDEX('ei names mapping'!$B$305:$BL$335,MATCH(B$234,'ei names mapping'!$A$4:$A$33,0),MATCH(G378,'ei names mapping'!$B$3:$BL$3,0))</f>
        <v>air::urban air close to ground</v>
      </c>
      <c r="F378" t="s">
        <v>167</v>
      </c>
      <c r="G378" t="s">
        <v>522</v>
      </c>
    </row>
    <row r="379" spans="1:8" x14ac:dyDescent="0.2">
      <c r="A379" t="str">
        <f>INDEX('ei names mapping'!$B$4:$BL$33,MATCH(B$234,'ei names mapping'!$A$4:$A$33,0),MATCH(G379,'ei names mapping'!$B$3:$BL$3,0))</f>
        <v>Nickel</v>
      </c>
      <c r="B379" s="7">
        <f>INDEX('vehicles specifications'!$B$3:$CW$166,MATCH(B$315,'vehicles specifications'!$A$3:$A$166,0),MATCH(G379,'vehicles specifications'!$B$2:$CW$2,0))*INDEX('ei names mapping'!$B$137:$BL$300,MATCH(B$315,'ei names mapping'!$A$137:$A$300,0),MATCH(G379,'ei names mapping'!$B$136:$BL$136,0))</f>
        <v>5.9766332237612127E-10</v>
      </c>
      <c r="D379" t="str">
        <f>INDEX('ei names mapping'!$B$104:$BL$133,MATCH(B$234,'ei names mapping'!$A$4:$A$33,0),MATCH(G379,'ei names mapping'!$B$3:$BL$3,0))</f>
        <v>kilogram</v>
      </c>
      <c r="E379" t="str">
        <f>INDEX('ei names mapping'!$B$305:$BL$335,MATCH(B$234,'ei names mapping'!$A$4:$A$33,0),MATCH(G379,'ei names mapping'!$B$3:$BL$3,0))</f>
        <v>air::urban air close to ground</v>
      </c>
      <c r="F379" t="s">
        <v>167</v>
      </c>
      <c r="G379" t="s">
        <v>524</v>
      </c>
    </row>
    <row r="380" spans="1:8" x14ac:dyDescent="0.2">
      <c r="A380" t="str">
        <f>INDEX('ei names mapping'!$B$4:$BL$33,MATCH(B$234,'ei names mapping'!$A$4:$A$33,0),MATCH(G380,'ei names mapping'!$B$3:$BL$3,0))</f>
        <v>Chromium</v>
      </c>
      <c r="B380" s="7">
        <f>INDEX('vehicles specifications'!$B$3:$CW$166,MATCH(B$315,'vehicles specifications'!$A$3:$A$166,0),MATCH(G380,'vehicles specifications'!$B$2:$CW$2,0))*INDEX('ei names mapping'!$B$137:$BL$300,MATCH(B$315,'ei names mapping'!$A$137:$A$300,0),MATCH(G380,'ei names mapping'!$B$136:$BL$136,0))</f>
        <v>7.3558562753984162E-10</v>
      </c>
      <c r="D380" t="str">
        <f>INDEX('ei names mapping'!$B$104:$BL$133,MATCH(B$234,'ei names mapping'!$A$4:$A$33,0),MATCH(G380,'ei names mapping'!$B$3:$BL$3,0))</f>
        <v>kilogram</v>
      </c>
      <c r="E380" t="str">
        <f>INDEX('ei names mapping'!$B$305:$BL$335,MATCH(B$234,'ei names mapping'!$A$4:$A$33,0),MATCH(G380,'ei names mapping'!$B$3:$BL$3,0))</f>
        <v>air::urban air close to ground</v>
      </c>
      <c r="F380" t="s">
        <v>167</v>
      </c>
      <c r="G380" t="s">
        <v>523</v>
      </c>
    </row>
    <row r="381" spans="1:8" x14ac:dyDescent="0.2">
      <c r="A381" t="str">
        <f>INDEX('ei names mapping'!$B$4:$BL$33,MATCH(B$234,'ei names mapping'!$A$4:$A$33,0),MATCH(G381,'ei names mapping'!$B$3:$BL$3,0))</f>
        <v>Chromium VI</v>
      </c>
      <c r="B381" s="7">
        <f>INDEX('vehicles specifications'!$B$3:$CW$166,MATCH(B$315,'vehicles specifications'!$A$3:$A$166,0),MATCH(G381,'vehicles specifications'!$B$2:$CW$2,0))*INDEX('ei names mapping'!$B$137:$BL$300,MATCH(B$315,'ei names mapping'!$A$137:$A$300,0),MATCH(G381,'ei names mapping'!$B$136:$BL$136,0))</f>
        <v>1.4711712550796828E-12</v>
      </c>
      <c r="D381" t="str">
        <f>INDEX('ei names mapping'!$B$104:$BL$133,MATCH(B$234,'ei names mapping'!$A$4:$A$33,0),MATCH(G381,'ei names mapping'!$B$3:$BL$3,0))</f>
        <v>kilogram</v>
      </c>
      <c r="E381" t="str">
        <f>INDEX('ei names mapping'!$B$305:$BL$335,MATCH(B$234,'ei names mapping'!$A$4:$A$33,0),MATCH(G381,'ei names mapping'!$B$3:$BL$3,0))</f>
        <v>air::urban air close to ground</v>
      </c>
      <c r="F381" t="s">
        <v>167</v>
      </c>
      <c r="G381" t="s">
        <v>567</v>
      </c>
    </row>
    <row r="382" spans="1:8" x14ac:dyDescent="0.2">
      <c r="A382" t="str">
        <f>INDEX('ei names mapping'!$B$4:$BL$33,MATCH(B$234,'ei names mapping'!$A$4:$A$33,0),MATCH(G382,'ei names mapping'!$B$3:$BL$3,0))</f>
        <v>Mercury</v>
      </c>
      <c r="B382" s="7">
        <f>INDEX('vehicles specifications'!$B$3:$CW$166,MATCH(B$315,'vehicles specifications'!$A$3:$A$166,0),MATCH(G382,'vehicles specifications'!$B$2:$CW$2,0))*INDEX('ei names mapping'!$B$137:$BL$300,MATCH(B$315,'ei names mapping'!$A$137:$A$300,0),MATCH(G382,'ei names mapping'!$B$136:$BL$136,0))</f>
        <v>3.9997468497478883E-10</v>
      </c>
      <c r="D382" t="str">
        <f>INDEX('ei names mapping'!$B$104:$BL$133,MATCH(B$234,'ei names mapping'!$A$4:$A$33,0),MATCH(G382,'ei names mapping'!$B$3:$BL$3,0))</f>
        <v>kilogram</v>
      </c>
      <c r="E382" t="str">
        <f>INDEX('ei names mapping'!$B$305:$BL$335,MATCH(B$234,'ei names mapping'!$A$4:$A$33,0),MATCH(G382,'ei names mapping'!$B$3:$BL$3,0))</f>
        <v>air::urban air close to ground</v>
      </c>
      <c r="F382" t="s">
        <v>167</v>
      </c>
      <c r="G382" t="s">
        <v>565</v>
      </c>
    </row>
    <row r="383" spans="1:8" x14ac:dyDescent="0.2">
      <c r="A383" t="str">
        <f>INDEX('ei names mapping'!$B$4:$BL$33,MATCH(B$234,'ei names mapping'!$A$4:$A$33,0),MATCH(G383,'ei names mapping'!$B$3:$BL$3,0))</f>
        <v>Cadmium</v>
      </c>
      <c r="B383" s="7">
        <f>INDEX('vehicles specifications'!$B$3:$CW$166,MATCH(B$315,'vehicles specifications'!$A$3:$A$166,0),MATCH(G383,'vehicles specifications'!$B$2:$CW$2,0))*INDEX('ei names mapping'!$B$137:$BL$300,MATCH(B$315,'ei names mapping'!$A$137:$A$300,0),MATCH(G383,'ei names mapping'!$B$136:$BL$136,0))</f>
        <v>4.9652029858939313E-10</v>
      </c>
      <c r="D383" t="str">
        <f>INDEX('ei names mapping'!$B$104:$BL$133,MATCH(B$234,'ei names mapping'!$A$4:$A$33,0),MATCH(G383,'ei names mapping'!$B$3:$BL$3,0))</f>
        <v>kilogram</v>
      </c>
      <c r="E383" t="str">
        <f>INDEX('ei names mapping'!$B$305:$BL$335,MATCH(B$234,'ei names mapping'!$A$4:$A$33,0),MATCH(G383,'ei names mapping'!$B$3:$BL$3,0))</f>
        <v>air::urban air close to ground</v>
      </c>
      <c r="F383" t="s">
        <v>167</v>
      </c>
      <c r="G383" t="s">
        <v>566</v>
      </c>
    </row>
    <row r="384" spans="1:8" x14ac:dyDescent="0.2">
      <c r="A384" t="str">
        <f>INDEX('ei names mapping'!$B$4:$BL$33,MATCH(B312,'ei names mapping'!$A$4:$A$33,0),MATCH(G384,'ei names mapping'!$B$3:$BL$3,0))</f>
        <v>treatment of road wear emissions, passenger car</v>
      </c>
      <c r="B384" s="7">
        <f>INDEX('vehicles specifications'!$B$3:$CW$166,MATCH(B315,'vehicles specifications'!$A$3:$A$166,0),MATCH(G384,'vehicles specifications'!$B$2:$CW$2,0))*INDEX('ei names mapping'!$B$137:$BL$300,MATCH(B315,'ei names mapping'!$A$137:$A$300,0),MATCH(G384,'ei names mapping'!$B$136:$BL$136,0))</f>
        <v>-1.1308758017520681E-5</v>
      </c>
      <c r="C384" t="str">
        <f>INDEX('ei names mapping'!$B$38:$BL$67,MATCH(B312,'ei names mapping'!$A$4:$A$33,0),MATCH(G384,'ei names mapping'!$B$3:$BL$3,0))</f>
        <v>RER</v>
      </c>
      <c r="D384" t="str">
        <f>INDEX('ei names mapping'!$B$104:$BL$133,MATCH(B312,'ei names mapping'!$A$4:$A$33,0),MATCH(G384,'ei names mapping'!$B$3:$BL$3,0))</f>
        <v>kilogram</v>
      </c>
      <c r="F384" t="s">
        <v>89</v>
      </c>
      <c r="G384" t="s">
        <v>29</v>
      </c>
      <c r="H384" t="str">
        <f>INDEX('ei names mapping'!$B$71:$BL$100,MATCH(B312,'ei names mapping'!$A$4:$A$33,0),MATCH(G384,'ei names mapping'!$B$3:$BL$3,0))</f>
        <v>road wear emissions, passenger car</v>
      </c>
    </row>
    <row r="385" spans="1:8" x14ac:dyDescent="0.2">
      <c r="A385" t="str">
        <f>INDEX('ei names mapping'!$B$4:$BL$33,MATCH(B312,'ei names mapping'!$A$4:$A$33,0),MATCH(G385,'ei names mapping'!$B$3:$BL$3,0))</f>
        <v>treatment of tyre wear emissions, passenger car</v>
      </c>
      <c r="B385" s="7">
        <f>INDEX('vehicles specifications'!$B$3:$CW$166,MATCH(B315,'vehicles specifications'!$A$3:$A$166,0),MATCH(G385,'vehicles specifications'!$B$2:$CW$2,0))*INDEX('ei names mapping'!$B$137:$BL$300,MATCH(B315,'ei names mapping'!$A$137:$A$300,0),MATCH(G385,'ei names mapping'!$B$136:$BL$136,0))</f>
        <v>-6.7728023675925525E-6</v>
      </c>
      <c r="C385" t="str">
        <f>INDEX('ei names mapping'!$B$38:$BL$67,MATCH(B312,'ei names mapping'!$A$4:$A$33,0),MATCH(G385,'ei names mapping'!$B$3:$BL$3,0))</f>
        <v>RER</v>
      </c>
      <c r="D385" t="str">
        <f>INDEX('ei names mapping'!$B$104:$BL$133,MATCH(B312,'ei names mapping'!$A$4:$A$33,0),MATCH(G385,'ei names mapping'!$B$3:$BL$3,0))</f>
        <v>kilogram</v>
      </c>
      <c r="F385" t="s">
        <v>89</v>
      </c>
      <c r="G385" t="s">
        <v>30</v>
      </c>
      <c r="H385" t="str">
        <f>INDEX('ei names mapping'!$B$71:$BL$100,MATCH(B312,'ei names mapping'!$A$4:$A$33,0),MATCH(G385,'ei names mapping'!$B$3:$BL$3,0))</f>
        <v>tyre wear emissions, passenger car</v>
      </c>
    </row>
    <row r="386" spans="1:8" x14ac:dyDescent="0.2">
      <c r="A386" t="str">
        <f>INDEX('ei names mapping'!$B$4:$BL$33,MATCH(B312,'ei names mapping'!$A$4:$A$33,0),MATCH(G386,'ei names mapping'!$B$3:$BL$3,0))</f>
        <v>treatment of brake wear emissions, passenger car</v>
      </c>
      <c r="B386" s="7">
        <f>INDEX('vehicles specifications'!$B$3:$CW$166,MATCH(B315,'vehicles specifications'!$A$3:$A$166,0),MATCH(G386,'vehicles specifications'!$B$2:$CW$2,0))*INDEX('ei names mapping'!$B$137:$BL$300,MATCH(B315,'ei names mapping'!$A$137:$A$300,0),MATCH(G386,'ei names mapping'!$B$136:$BL$136,0))</f>
        <v>-3.9284895088005455E-6</v>
      </c>
      <c r="C386" t="str">
        <f>INDEX('ei names mapping'!$B$38:$BL$67,MATCH(B312,'ei names mapping'!$A$4:$A$33,0),MATCH(G386,'ei names mapping'!$B$3:$BL$3,0))</f>
        <v>RER</v>
      </c>
      <c r="D386" t="str">
        <f>INDEX('ei names mapping'!$B$104:$BL$133,MATCH(B312,'ei names mapping'!$A$4:$A$33,0),MATCH(G386,'ei names mapping'!$B$3:$BL$3,0))</f>
        <v>kilogram</v>
      </c>
      <c r="F386" t="s">
        <v>89</v>
      </c>
      <c r="G386" t="s">
        <v>31</v>
      </c>
      <c r="H386" t="str">
        <f>INDEX('ei names mapping'!$B$71:$BL$100,MATCH(B312,'ei names mapping'!$A$4:$A$33,0),MATCH(G386,'ei names mapping'!$B$3:$BL$3,0))</f>
        <v>brake wear emissions, passenger car</v>
      </c>
    </row>
    <row r="388" spans="1:8" ht="16" x14ac:dyDescent="0.2">
      <c r="A388" s="10" t="s">
        <v>71</v>
      </c>
      <c r="B388" s="8" t="str">
        <f>"transport, "&amp;B390&amp;", "&amp;B392</f>
        <v>transport, Motorbike, gasoline, &gt;35kW, EURO-5, 2020</v>
      </c>
    </row>
    <row r="389" spans="1:8" x14ac:dyDescent="0.2">
      <c r="A389" t="s">
        <v>72</v>
      </c>
      <c r="B389" t="s">
        <v>37</v>
      </c>
    </row>
    <row r="390" spans="1:8" x14ac:dyDescent="0.2">
      <c r="A390" t="s">
        <v>86</v>
      </c>
      <c r="B390" t="s">
        <v>631</v>
      </c>
    </row>
    <row r="391" spans="1:8" x14ac:dyDescent="0.2">
      <c r="A391" t="s">
        <v>87</v>
      </c>
    </row>
    <row r="392" spans="1:8" x14ac:dyDescent="0.2">
      <c r="A392" t="s">
        <v>88</v>
      </c>
      <c r="B392">
        <v>2020</v>
      </c>
    </row>
    <row r="393" spans="1:8" x14ac:dyDescent="0.2">
      <c r="A393" t="s">
        <v>126</v>
      </c>
      <c r="B393" t="str">
        <f>B390&amp;" - "&amp;B392&amp;" - "&amp;B389</f>
        <v>Motorbike, gasoline, &gt;35kW, EURO-5 - 2020 - CH</v>
      </c>
    </row>
    <row r="394" spans="1:8" x14ac:dyDescent="0.2">
      <c r="A394" t="s">
        <v>73</v>
      </c>
      <c r="B394" t="str">
        <f>"transport, "&amp;B390</f>
        <v>transport, Motorbike, gasoline, &gt;35kW, EURO-5</v>
      </c>
    </row>
    <row r="395" spans="1:8" x14ac:dyDescent="0.2">
      <c r="A395" t="s">
        <v>74</v>
      </c>
      <c r="B395" t="s">
        <v>75</v>
      </c>
    </row>
    <row r="396" spans="1:8" x14ac:dyDescent="0.2">
      <c r="A396" t="s">
        <v>76</v>
      </c>
      <c r="B396" t="s">
        <v>166</v>
      </c>
    </row>
    <row r="397" spans="1:8" x14ac:dyDescent="0.2">
      <c r="A397" t="s">
        <v>78</v>
      </c>
      <c r="B397" t="s">
        <v>1143</v>
      </c>
    </row>
    <row r="398" spans="1:8" x14ac:dyDescent="0.2">
      <c r="A398" t="s">
        <v>127</v>
      </c>
      <c r="B398">
        <f>INDEX('vehicles specifications'!$B$3:$CW$166,MATCH(B393,'vehicles specifications'!$A$3:$A$166,0),MATCH("Lifetime [km]",'vehicles specifications'!$B$2:$CW$2,0))</f>
        <v>40500</v>
      </c>
    </row>
    <row r="399" spans="1:8" x14ac:dyDescent="0.2">
      <c r="A399" t="s">
        <v>128</v>
      </c>
      <c r="B399">
        <f>INDEX('vehicles specifications'!$B$3:$CW$166,MATCH(B393,'vehicles specifications'!$A$3:$A$166,0),MATCH("Passengers [unit]",'vehicles specifications'!$B$2:$CW$2,0))</f>
        <v>1.1000000000000001</v>
      </c>
    </row>
    <row r="400" spans="1:8" x14ac:dyDescent="0.2">
      <c r="A400" t="s">
        <v>129</v>
      </c>
      <c r="B400">
        <f>INDEX('vehicles specifications'!$B$3:$CW$166,MATCH(B393,'vehicles specifications'!$A$3:$A$166,0),MATCH("Servicing [unit]",'vehicles specifications'!$B$2:$CW$2,0))</f>
        <v>1.62</v>
      </c>
    </row>
    <row r="401" spans="1:8" x14ac:dyDescent="0.2">
      <c r="A401" t="s">
        <v>130</v>
      </c>
      <c r="B401">
        <f>INDEX('vehicles specifications'!$B$3:$CW$166,MATCH(B393,'vehicles specifications'!$A$3:$A$166,0),MATCH("Energy battery replacement [unit]",'vehicles specifications'!$B$2:$CW$2,0))</f>
        <v>0</v>
      </c>
    </row>
    <row r="402" spans="1:8" x14ac:dyDescent="0.2">
      <c r="A402" t="s">
        <v>131</v>
      </c>
      <c r="B402">
        <f>INDEX('vehicles specifications'!$B$3:$CW$166,MATCH(B393,'vehicles specifications'!$A$3:$A$166,0),MATCH("Annual kilometers [km]",'vehicles specifications'!$B$2:$CW$2,0))</f>
        <v>2896</v>
      </c>
    </row>
    <row r="403" spans="1:8" x14ac:dyDescent="0.2">
      <c r="A403" t="s">
        <v>132</v>
      </c>
      <c r="B403" s="2">
        <f>INDEX('vehicles specifications'!$B$3:$CW$166,MATCH(B393,'vehicles specifications'!$A$3:$A$166,0),MATCH("Curb mass [kg]",'vehicles specifications'!$B$2:$CW$2,0))</f>
        <v>256.52499999999998</v>
      </c>
    </row>
    <row r="404" spans="1:8" x14ac:dyDescent="0.2">
      <c r="A404" t="s">
        <v>133</v>
      </c>
      <c r="B404">
        <f>INDEX('vehicles specifications'!$B$3:$CW$166,MATCH(B393,'vehicles specifications'!$A$3:$A$166,0),MATCH("Power [kW]",'vehicles specifications'!$B$2:$CW$2,0))</f>
        <v>91</v>
      </c>
    </row>
    <row r="405" spans="1:8" x14ac:dyDescent="0.2">
      <c r="A405" t="s">
        <v>134</v>
      </c>
      <c r="B405" t="str">
        <f>INDEX('vehicles specifications'!$B$3:$CW$166,MATCH(B393,'vehicles specifications'!$A$3:$A$166,0),MATCH("Energy battery mass [kg]",'vehicles specifications'!$B$2:$CW$2,0))</f>
        <v/>
      </c>
    </row>
    <row r="406" spans="1:8" x14ac:dyDescent="0.2">
      <c r="A406" t="s">
        <v>135</v>
      </c>
      <c r="B406">
        <f>INDEX('vehicles specifications'!$B$3:$CW$166,MATCH(B393,'vehicles specifications'!$A$3:$A$166,0),MATCH("Electric energy available [kWh]",'vehicles specifications'!$B$2:$CW$2,0))</f>
        <v>0</v>
      </c>
    </row>
    <row r="407" spans="1:8" x14ac:dyDescent="0.2">
      <c r="A407" t="s">
        <v>138</v>
      </c>
      <c r="B407" s="2">
        <f>INDEX('vehicles specifications'!$B$3:$CW$166,MATCH(B393,'vehicles specifications'!$A$3:$A$166,0),MATCH("Oxydation energy stored [kWh]",'vehicles specifications'!$B$2:$CW$2,0))</f>
        <v>159.75</v>
      </c>
    </row>
    <row r="408" spans="1:8" x14ac:dyDescent="0.2">
      <c r="A408" t="s">
        <v>139</v>
      </c>
      <c r="B408">
        <f>INDEX('vehicles specifications'!$B$3:$CW$166,MATCH(B393,'vehicles specifications'!$A$3:$A$166,0),MATCH("Fuel mass [kg]",'vehicles specifications'!$B$2:$CW$2,0))</f>
        <v>13.5</v>
      </c>
    </row>
    <row r="409" spans="1:8" x14ac:dyDescent="0.2">
      <c r="A409" t="s">
        <v>136</v>
      </c>
      <c r="B409" s="2">
        <f>INDEX('vehicles specifications'!$B$3:$CW$166,MATCH(B393,'vehicles specifications'!$A$3:$A$166,0),MATCH("Range [km]",'vehicles specifications'!$B$2:$CW$2,0))</f>
        <v>297.30758592605895</v>
      </c>
    </row>
    <row r="410" spans="1:8" x14ac:dyDescent="0.2">
      <c r="A410" t="s">
        <v>137</v>
      </c>
      <c r="B410" t="str">
        <f>INDEX('vehicles specifications'!$B$3:$CW$166,MATCH(B393,'vehicles specifications'!$A$3:$A$166,0),MATCH("Emission standard",'vehicles specifications'!$B$2:$CW$2,0))</f>
        <v>EURO-5</v>
      </c>
    </row>
    <row r="411" spans="1:8" x14ac:dyDescent="0.2">
      <c r="A411" t="s">
        <v>1174</v>
      </c>
      <c r="B411" s="6">
        <f>INDEX('vehicles specifications'!$B$3:$CW$166,MATCH(B393,'vehicles specifications'!$A$3:$A$166,0),MATCH("Lightweighting rate [%]",'vehicles specifications'!$B$2:$CW$2,0))</f>
        <v>0</v>
      </c>
    </row>
    <row r="412" spans="1:8" x14ac:dyDescent="0.2">
      <c r="A412" t="s">
        <v>83</v>
      </c>
      <c r="B412"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v>
      </c>
    </row>
    <row r="413" spans="1:8" ht="16" x14ac:dyDescent="0.2">
      <c r="A413" s="10" t="s">
        <v>79</v>
      </c>
    </row>
    <row r="414" spans="1:8" x14ac:dyDescent="0.2">
      <c r="A414" t="s">
        <v>80</v>
      </c>
      <c r="B414" t="s">
        <v>81</v>
      </c>
      <c r="C414" t="s">
        <v>72</v>
      </c>
      <c r="D414" t="s">
        <v>76</v>
      </c>
      <c r="E414" t="s">
        <v>82</v>
      </c>
      <c r="F414" t="s">
        <v>74</v>
      </c>
      <c r="G414" t="s">
        <v>83</v>
      </c>
      <c r="H414" t="s">
        <v>73</v>
      </c>
    </row>
    <row r="415" spans="1:8" x14ac:dyDescent="0.2">
      <c r="A415" t="str">
        <f>B388</f>
        <v>transport, Motorbike, gasoline, &gt;35kW, EURO-5, 2020</v>
      </c>
      <c r="B415">
        <v>1</v>
      </c>
      <c r="C415" t="str">
        <f>B389</f>
        <v>CH</v>
      </c>
      <c r="D415" t="s">
        <v>166</v>
      </c>
      <c r="F415" t="s">
        <v>84</v>
      </c>
      <c r="G415" t="s">
        <v>85</v>
      </c>
      <c r="H415" t="str">
        <f>B394</f>
        <v>transport, Motorbike, gasoline, &gt;35kW, EURO-5</v>
      </c>
    </row>
    <row r="416" spans="1:8" x14ac:dyDescent="0.2">
      <c r="A416" t="str">
        <f>RIGHT(A415,LEN(A415)-11)</f>
        <v>Motorbike, gasoline, &gt;35kW, EURO-5, 2020</v>
      </c>
      <c r="B416" s="7">
        <f>1/B398</f>
        <v>2.4691358024691357E-5</v>
      </c>
      <c r="C416" t="str">
        <f>B389</f>
        <v>CH</v>
      </c>
      <c r="D416" t="s">
        <v>76</v>
      </c>
      <c r="F416" t="s">
        <v>89</v>
      </c>
      <c r="H416" t="str">
        <f>RIGHT(H415,LEN(H415)-11)</f>
        <v>Motorbike, gasoline, &gt;35kW, EURO-5</v>
      </c>
    </row>
    <row r="417" spans="1:8" x14ac:dyDescent="0.2">
      <c r="A417" t="str">
        <f>INDEX('ei names mapping'!$B$4:$R$33,MATCH(B390,'ei names mapping'!$A$4:$A$33,0),MATCH(G417,'ei names mapping'!$B$3:$R$3,0))</f>
        <v>road construction</v>
      </c>
      <c r="B417" s="7">
        <f>INDEX('vehicles specifications'!$B$3:$CW$166,MATCH(B393,'vehicles specifications'!$A$3:$A$166,0),MATCH(G417,'vehicles specifications'!$B$2:$CW$2,0))*INDEX('ei names mapping'!$B$137:$BL$300,MATCH(B393,'ei names mapping'!$A$137:$A$300,0),MATCH(G417,'ei names mapping'!$B$136:$BL$136,0))</f>
        <v>1.8527842499999999E-4</v>
      </c>
      <c r="C417" t="str">
        <f>INDEX('ei names mapping'!$B$38:$R$67,MATCH(B390,'ei names mapping'!$A$4:$A$33,0),MATCH(G417,'ei names mapping'!$B$3:$R$3,0))</f>
        <v>CH</v>
      </c>
      <c r="D417" t="str">
        <f>INDEX('ei names mapping'!$B$104:$BL$133,MATCH(B390,'ei names mapping'!$A$4:$A$33,0),MATCH(G417,'ei names mapping'!$B$3:$BL$3,0))</f>
        <v>meter-year</v>
      </c>
      <c r="F417" t="s">
        <v>89</v>
      </c>
      <c r="G417" t="s">
        <v>105</v>
      </c>
      <c r="H417" t="str">
        <f>INDEX('ei names mapping'!$B$71:$BL$100,MATCH(B390,'ei names mapping'!$A$4:$A$33,0),MATCH(G417,'ei names mapping'!$B$3:$BL$3,0))</f>
        <v>road</v>
      </c>
    </row>
    <row r="418" spans="1:8" x14ac:dyDescent="0.2">
      <c r="A418" t="str">
        <f>INDEX('ei names mapping'!$B$4:$R$33,MATCH(B390,'ei names mapping'!$A$4:$A$33,0),MATCH(G418,'ei names mapping'!$B$3:$R$3,0))</f>
        <v>road maintenance</v>
      </c>
      <c r="B418" s="7">
        <f>INDEX('vehicles specifications'!$B$3:$CW$166,MATCH(B393,'vehicles specifications'!$A$3:$A$166,0),MATCH(G418,'vehicles specifications'!$B$2:$CW$2,0))*INDEX('ei names mapping'!$B$137:$BL$300,MATCH(B393,'ei names mapping'!$A$137:$A$300,0),MATCH(G418,'ei names mapping'!$B$136:$BL$136,0))</f>
        <v>1.2899999999999999E-3</v>
      </c>
      <c r="C418" t="str">
        <f>INDEX('ei names mapping'!$B$38:$R$67,MATCH(B390,'ei names mapping'!$A$4:$A$33,0),MATCH(G418,'ei names mapping'!$B$3:$R$3,0))</f>
        <v>CH</v>
      </c>
      <c r="D418" t="str">
        <f>INDEX('ei names mapping'!$B$104:$BL$133,MATCH(B390,'ei names mapping'!$A$4:$A$33,0),MATCH(G418,'ei names mapping'!$B$3:$BL$3,0))</f>
        <v>meter-year</v>
      </c>
      <c r="F418" t="s">
        <v>89</v>
      </c>
      <c r="G418" t="s">
        <v>112</v>
      </c>
      <c r="H418" t="str">
        <f>INDEX('ei names mapping'!$B$71:$BL$100,MATCH(B390,'ei names mapping'!$A$4:$A$33,0),MATCH(G418,'ei names mapping'!$B$3:$BL$3,0))</f>
        <v>road maintenance</v>
      </c>
    </row>
    <row r="419" spans="1:8" x14ac:dyDescent="0.2">
      <c r="A419" t="str">
        <f>INDEX('ei names mapping'!$B$4:$R$33,MATCH(B390,'ei names mapping'!$A$4:$A$33,0),MATCH(G419,'ei names mapping'!$B$3:$R$3,0))</f>
        <v>maintenance, motor scooter</v>
      </c>
      <c r="B419" s="7">
        <f>INDEX('vehicles specifications'!$B$3:$CW$166,MATCH(B393,'vehicles specifications'!$A$3:$A$166,0),MATCH(G419,'vehicles specifications'!$B$2:$CW$2,0))*INDEX('ei names mapping'!$B$137:$BL$300,MATCH(B393,'ei names mapping'!$A$137:$A$300,0),MATCH(G419,'ei names mapping'!$B$136:$BL$136,0))</f>
        <v>4.0000000000000003E-5</v>
      </c>
      <c r="C419" t="str">
        <f>INDEX('ei names mapping'!$B$38:$BL$67,MATCH(B390,'ei names mapping'!$A$4:$A$33,0),MATCH(G419,'ei names mapping'!$B$3:$BL$3,0))</f>
        <v>CH</v>
      </c>
      <c r="D419" t="str">
        <f>INDEX('ei names mapping'!$B$104:$BL$133,MATCH(B390,'ei names mapping'!$A$4:$A$33,0),MATCH(G419,'ei names mapping'!$B$3:$BL$3,0))</f>
        <v>unit</v>
      </c>
      <c r="F419" t="s">
        <v>89</v>
      </c>
      <c r="G419" t="s">
        <v>118</v>
      </c>
      <c r="H419" t="str">
        <f>INDEX('ei names mapping'!$B$71:$BL$100,MATCH(B390,'ei names mapping'!$A$4:$A$33,0),MATCH(G419,'ei names mapping'!$B$3:$BL$3,0))</f>
        <v>maintenance, motor scooter</v>
      </c>
    </row>
    <row r="420" spans="1:8" x14ac:dyDescent="0.2">
      <c r="A420" t="str">
        <f>INDEX('ei names mapping'!$B$4:$R$33,MATCH(B390,'ei names mapping'!$A$4:$A$33,0),MATCH(G420,'ei names mapping'!$B$3:$R$3,0))</f>
        <v>fuel supply for gasoline vehicles</v>
      </c>
      <c r="B420" s="7">
        <f>INDEX('vehicles specifications'!$B$3:$CW$166,MATCH(B393,'vehicles specifications'!$A$3:$A$166,0),MATCH(G420,'vehicles specifications'!$B$2:$CW$2,0))*INDEX('ei names mapping'!$B$137:$BL$300,MATCH(B393,'ei names mapping'!$A$137:$A$300,0),MATCH(G420,'ei names mapping'!$B$136:$BL$136,0))</f>
        <v>4.5407519481717763E-2</v>
      </c>
      <c r="C420" t="str">
        <f>INDEX('ei names mapping'!$B$38:$BL$67,MATCH(B390,'ei names mapping'!$A$4:$A$33,0),MATCH(G420,'ei names mapping'!$B$3:$BL$3,0))</f>
        <v>CH</v>
      </c>
      <c r="D420" t="str">
        <f>INDEX('ei names mapping'!$B$104:$BL$133,MATCH(B390,'ei names mapping'!$A$4:$A$33,0),MATCH(G420,'ei names mapping'!$B$3:$BL$3,0))</f>
        <v>kilogram</v>
      </c>
      <c r="F420" t="s">
        <v>89</v>
      </c>
      <c r="G420" t="s">
        <v>27</v>
      </c>
      <c r="H420" t="str">
        <f>INDEX('ei names mapping'!$B$71:$BL$100,MATCH(B390,'ei names mapping'!$A$4:$A$33,0),MATCH(G420,'ei names mapping'!$B$3:$BL$3,0))</f>
        <v>gasoline blend</v>
      </c>
    </row>
    <row r="421" spans="1:8" x14ac:dyDescent="0.2">
      <c r="A421" t="str">
        <f>INDEX('ei names mapping'!$B$4:$BL$33,MATCH(B390,'ei names mapping'!$A$4:$A$33,0),MATCH(G421,'ei names mapping'!$B$3:$BL$3,0))</f>
        <v>Carbon dioxide, fossil</v>
      </c>
      <c r="B421" s="7">
        <f>INDEX('vehicles specifications'!$B$3:$CW$166,MATCH(B393,'vehicles specifications'!$A$3:$A$166,0),MATCH(G421,'vehicles specifications'!$B$2:$CW$2,0))*INDEX('ei names mapping'!$B$137:$BL$300,MATCH(B393,'ei names mapping'!$A$137:$A$300,0),MATCH(G421,'ei names mapping'!$B$136:$BL$136,0))</f>
        <v>0.14086865583852268</v>
      </c>
      <c r="D421" t="str">
        <f>INDEX('ei names mapping'!$B$104:$BL$133,MATCH(B390,'ei names mapping'!$A$4:$A$33,0),MATCH(G421,'ei names mapping'!$B$3:$BL$3,0))</f>
        <v>kilogram</v>
      </c>
      <c r="E421" t="str">
        <f>INDEX('ei names mapping'!$B$305:$BL$335,MATCH(B390,'ei names mapping'!$A$4:$A$33,0),MATCH(G421,'ei names mapping'!$B$3:$BL$3,0))</f>
        <v>air::urban air close to ground</v>
      </c>
      <c r="F421" t="s">
        <v>167</v>
      </c>
      <c r="G421" t="s">
        <v>66</v>
      </c>
    </row>
    <row r="422" spans="1:8" x14ac:dyDescent="0.2">
      <c r="A422" t="str">
        <f>INDEX('ei names mapping'!$B$4:$BL$33,MATCH(B390,'ei names mapping'!$A$4:$A$33,0),MATCH(G422,'ei names mapping'!$B$3:$BL$3,0))</f>
        <v>Carbon dioxide, from soil or biomass stock</v>
      </c>
      <c r="B422" s="11">
        <f>INDEX('vehicles specifications'!$B$3:$CW$166,MATCH(B393,'vehicles specifications'!$A$3:$A$166,0),MATCH(G422,'vehicles specifications'!$B$2:$CW$2,0))*INDEX('ei names mapping'!$B$137:$BL$300,MATCH(B393,'ei names mapping'!$A$137:$A$300,0),MATCH(G422,'ei names mapping'!$B$136:$BL$136,0))</f>
        <v>1.7109553340711255E-3</v>
      </c>
      <c r="D422" t="str">
        <f>INDEX('ei names mapping'!$B$104:$BL$133,MATCH(B390,'ei names mapping'!$A$4:$A$33,0),MATCH(G422,'ei names mapping'!$B$3:$BL$3,0))</f>
        <v>kilogram</v>
      </c>
      <c r="E422" t="str">
        <f>INDEX('ei names mapping'!$B$305:$BL$335,MATCH(B390,'ei names mapping'!$A$4:$A$33,0),MATCH(G422,'ei names mapping'!$B$3:$BL$3,0))</f>
        <v>air::urban air close to ground</v>
      </c>
      <c r="F422" t="s">
        <v>167</v>
      </c>
      <c r="G422" t="s">
        <v>843</v>
      </c>
    </row>
    <row r="423" spans="1:8" x14ac:dyDescent="0.2">
      <c r="A423" t="str">
        <f>INDEX('ei names mapping'!$B$4:$BL$33,MATCH(B390,'ei names mapping'!$A$4:$A$33,0),MATCH(G423,'ei names mapping'!$B$3:$BL$3,0))</f>
        <v>Sulfur dioxide</v>
      </c>
      <c r="B423" s="7">
        <f>INDEX('vehicles specifications'!$B$3:$CW$166,MATCH(B393,'vehicles specifications'!$A$3:$A$166,0),MATCH(G423,'vehicles specifications'!$B$2:$CW$2,0))*INDEX('ei names mapping'!$B$137:$BL$300,MATCH(B393,'ei names mapping'!$A$137:$A$300,0),MATCH(G423,'ei names mapping'!$B$136:$BL$136,0))</f>
        <v>7.265203117074842E-7</v>
      </c>
      <c r="D423" t="str">
        <f>INDEX('ei names mapping'!$B$104:$BL$133,MATCH(B390,'ei names mapping'!$A$4:$A$33,0),MATCH(G423,'ei names mapping'!$B$3:$BL$3,0))</f>
        <v>kilogram</v>
      </c>
      <c r="E423" t="str">
        <f>INDEX('ei names mapping'!$B$305:$BL$335,MATCH(B390,'ei names mapping'!$A$4:$A$33,0),MATCH(G423,'ei names mapping'!$B$3:$BL$3,0))</f>
        <v>air::urban air close to ground</v>
      </c>
      <c r="F423" t="s">
        <v>167</v>
      </c>
      <c r="G423" t="s">
        <v>67</v>
      </c>
    </row>
    <row r="424" spans="1:8" x14ac:dyDescent="0.2">
      <c r="A424" t="str">
        <f>INDEX('ei names mapping'!$B$4:$BL$33,MATCH(B390,'ei names mapping'!$A$4:$A$33,0),MATCH(G424,'ei names mapping'!$B$3:$BL$3,0))</f>
        <v>Benzene</v>
      </c>
      <c r="B424" s="7">
        <f>INDEX('vehicles specifications'!$B$3:$CW$166,MATCH(B393,'vehicles specifications'!$A$3:$A$166,0),MATCH(G424,'vehicles specifications'!$B$2:$CW$2,0))*INDEX('ei names mapping'!$B$137:$BL$300,MATCH(B393,'ei names mapping'!$A$137:$A$300,0),MATCH(G424,'ei names mapping'!$B$136:$BL$136,0))</f>
        <v>1.4740138315818797E-6</v>
      </c>
      <c r="D424" t="str">
        <f>INDEX('ei names mapping'!$B$104:$BL$133,MATCH(B390,'ei names mapping'!$A$4:$A$33,0),MATCH(G424,'ei names mapping'!$B$3:$BL$3,0))</f>
        <v>kilogram</v>
      </c>
      <c r="E424" t="str">
        <f>INDEX('ei names mapping'!$B$305:$BL$335,MATCH(B390,'ei names mapping'!$A$4:$A$33,0),MATCH(G424,'ei names mapping'!$B$3:$BL$3,0))</f>
        <v>air::urban air close to ground</v>
      </c>
      <c r="F424" t="s">
        <v>167</v>
      </c>
      <c r="G424" t="s">
        <v>55</v>
      </c>
    </row>
    <row r="425" spans="1:8" x14ac:dyDescent="0.2">
      <c r="A425" t="str">
        <f>INDEX('ei names mapping'!$B$4:$BL$33,MATCH(B390,'ei names mapping'!$A$4:$A$33,0),MATCH(G425,'ei names mapping'!$B$3:$BL$3,0))</f>
        <v>Methane, fossil</v>
      </c>
      <c r="B425" s="7">
        <f>INDEX('vehicles specifications'!$B$3:$CW$166,MATCH(B393,'vehicles specifications'!$A$3:$A$166,0),MATCH(G425,'vehicles specifications'!$B$2:$CW$2,0))*INDEX('ei names mapping'!$B$137:$BL$300,MATCH(B393,'ei names mapping'!$A$137:$A$300,0),MATCH(G425,'ei names mapping'!$B$136:$BL$136,0))</f>
        <v>2.0777062392450149E-5</v>
      </c>
      <c r="D425" t="str">
        <f>INDEX('ei names mapping'!$B$104:$BL$133,MATCH(B390,'ei names mapping'!$A$4:$A$33,0),MATCH(G425,'ei names mapping'!$B$3:$BL$3,0))</f>
        <v>kilogram</v>
      </c>
      <c r="E425" t="str">
        <f>INDEX('ei names mapping'!$B$305:$BL$335,MATCH(B390,'ei names mapping'!$A$4:$A$33,0),MATCH(G425,'ei names mapping'!$B$3:$BL$3,0))</f>
        <v>air::urban air close to ground</v>
      </c>
      <c r="F425" t="s">
        <v>167</v>
      </c>
      <c r="G425" t="s">
        <v>56</v>
      </c>
    </row>
    <row r="426" spans="1:8" x14ac:dyDescent="0.2">
      <c r="A426" t="str">
        <f>INDEX('ei names mapping'!$B$4:$BL$33,MATCH(B390,'ei names mapping'!$A$4:$A$33,0),MATCH(G426,'ei names mapping'!$B$3:$BL$3,0))</f>
        <v>Carbon monoxide, fossil</v>
      </c>
      <c r="B426" s="7">
        <f>INDEX('vehicles specifications'!$B$3:$CW$166,MATCH(B393,'vehicles specifications'!$A$3:$A$166,0),MATCH(G426,'vehicles specifications'!$B$2:$CW$2,0))*INDEX('ei names mapping'!$B$137:$BL$300,MATCH(B393,'ei names mapping'!$A$137:$A$300,0),MATCH(G426,'ei names mapping'!$B$136:$BL$136,0))</f>
        <v>1.6143029994865083E-4</v>
      </c>
      <c r="D426" t="str">
        <f>INDEX('ei names mapping'!$B$104:$BL$133,MATCH(B390,'ei names mapping'!$A$4:$A$33,0),MATCH(G426,'ei names mapping'!$B$3:$BL$3,0))</f>
        <v>kilogram</v>
      </c>
      <c r="E426" t="str">
        <f>INDEX('ei names mapping'!$B$305:$BL$335,MATCH(B390,'ei names mapping'!$A$4:$A$33,0),MATCH(G426,'ei names mapping'!$B$3:$BL$3,0))</f>
        <v>air::urban air close to ground</v>
      </c>
      <c r="F426" t="s">
        <v>167</v>
      </c>
      <c r="G426" t="s">
        <v>57</v>
      </c>
    </row>
    <row r="427" spans="1:8" x14ac:dyDescent="0.2">
      <c r="A427" t="str">
        <f>INDEX('ei names mapping'!$B$4:$BL$33,MATCH(B390,'ei names mapping'!$A$4:$A$33,0),MATCH(G427,'ei names mapping'!$B$3:$BL$3,0))</f>
        <v>Dinitrogen monoxide</v>
      </c>
      <c r="B427" s="7">
        <f>INDEX('vehicles specifications'!$B$3:$CW$166,MATCH(B393,'vehicles specifications'!$A$3:$A$166,0),MATCH(G427,'vehicles specifications'!$B$2:$CW$2,0))*INDEX('ei names mapping'!$B$137:$BL$300,MATCH(B393,'ei names mapping'!$A$137:$A$300,0),MATCH(G427,'ei names mapping'!$B$136:$BL$136,0))</f>
        <v>1.0935295996026393E-6</v>
      </c>
      <c r="D427" t="str">
        <f>INDEX('ei names mapping'!$B$104:$BL$133,MATCH(B390,'ei names mapping'!$A$4:$A$33,0),MATCH(G427,'ei names mapping'!$B$3:$BL$3,0))</f>
        <v>kilogram</v>
      </c>
      <c r="E427" t="str">
        <f>INDEX('ei names mapping'!$B$305:$BL$335,MATCH(B390,'ei names mapping'!$A$4:$A$33,0),MATCH(G427,'ei names mapping'!$B$3:$BL$3,0))</f>
        <v>air::urban air close to ground</v>
      </c>
      <c r="F427" t="s">
        <v>167</v>
      </c>
      <c r="G427" t="s">
        <v>58</v>
      </c>
    </row>
    <row r="428" spans="1:8" x14ac:dyDescent="0.2">
      <c r="A428" t="str">
        <f>INDEX('ei names mapping'!$B$4:$BL$33,MATCH(B390,'ei names mapping'!$A$4:$A$33,0),MATCH(G428,'ei names mapping'!$B$3:$BL$3,0))</f>
        <v>Ammonia</v>
      </c>
      <c r="B428" s="7">
        <f>INDEX('vehicles specifications'!$B$3:$CW$166,MATCH(B393,'vehicles specifications'!$A$3:$A$166,0),MATCH(G428,'vehicles specifications'!$B$2:$CW$2,0))*INDEX('ei names mapping'!$B$137:$BL$300,MATCH(B393,'ei names mapping'!$A$137:$A$300,0),MATCH(G428,'ei names mapping'!$B$136:$BL$136,0))</f>
        <v>1.0935295996026393E-6</v>
      </c>
      <c r="D428" t="str">
        <f>INDEX('ei names mapping'!$B$104:$BL$133,MATCH(B390,'ei names mapping'!$A$4:$A$33,0),MATCH(G428,'ei names mapping'!$B$3:$BL$3,0))</f>
        <v>kilogram</v>
      </c>
      <c r="E428" t="str">
        <f>INDEX('ei names mapping'!$B$305:$BL$335,MATCH(B390,'ei names mapping'!$A$4:$A$33,0),MATCH(G428,'ei names mapping'!$B$3:$BL$3,0))</f>
        <v>air::urban air close to ground</v>
      </c>
      <c r="F428" t="s">
        <v>167</v>
      </c>
      <c r="G428" t="s">
        <v>59</v>
      </c>
    </row>
    <row r="429" spans="1:8" x14ac:dyDescent="0.2">
      <c r="A429" t="str">
        <f>INDEX('ei names mapping'!$B$4:$BL$33,MATCH(B390,'ei names mapping'!$A$4:$A$33,0),MATCH(G429,'ei names mapping'!$B$3:$BL$3,0))</f>
        <v>Nitrogen oxides</v>
      </c>
      <c r="B429" s="7">
        <f>INDEX('vehicles specifications'!$B$3:$CW$166,MATCH(B393,'vehicles specifications'!$A$3:$A$166,0),MATCH(G429,'vehicles specifications'!$B$2:$CW$2,0))*INDEX('ei names mapping'!$B$137:$BL$300,MATCH(B393,'ei names mapping'!$A$137:$A$300,0),MATCH(G429,'ei names mapping'!$B$136:$BL$136,0))</f>
        <v>9.2040080028458703E-6</v>
      </c>
      <c r="D429" t="str">
        <f>INDEX('ei names mapping'!$B$104:$BL$133,MATCH(B390,'ei names mapping'!$A$4:$A$33,0),MATCH(G429,'ei names mapping'!$B$3:$BL$3,0))</f>
        <v>kilogram</v>
      </c>
      <c r="E429" t="str">
        <f>INDEX('ei names mapping'!$B$305:$BL$335,MATCH(B390,'ei names mapping'!$A$4:$A$33,0),MATCH(G429,'ei names mapping'!$B$3:$BL$3,0))</f>
        <v>air::urban air close to ground</v>
      </c>
      <c r="F429" t="s">
        <v>167</v>
      </c>
      <c r="G429" t="s">
        <v>60</v>
      </c>
    </row>
    <row r="430" spans="1:8" x14ac:dyDescent="0.2">
      <c r="A430" t="str">
        <f>INDEX('ei names mapping'!$B$4:$BL$33,MATCH(B390,'ei names mapping'!$A$4:$A$33,0),MATCH(G430,'ei names mapping'!$B$3:$BL$3,0))</f>
        <v>Particulates, &lt; 2.5 um</v>
      </c>
      <c r="B430" s="7">
        <f>INDEX('vehicles specifications'!$B$3:$CW$166,MATCH(B$393,'vehicles specifications'!$A$3:$A$166,0),MATCH(G430,'vehicles specifications'!$B$2:$CW$2,0))*INDEX('ei names mapping'!$B$137:$BL$300,MATCH(B$393,'ei names mapping'!$A$137:$A$300,0),MATCH(G430,'ei names mapping'!$B$136:$BL$136,0))</f>
        <v>2.7338239990065983E-6</v>
      </c>
      <c r="D430" t="str">
        <f>INDEX('ei names mapping'!$B$104:$BL$133,MATCH(B390,'ei names mapping'!$A$4:$A$33,0),MATCH(G430,'ei names mapping'!$B$3:$BL$3,0))</f>
        <v>kilogram</v>
      </c>
      <c r="E430" t="str">
        <f>INDEX('ei names mapping'!$B$305:$BL$335,MATCH(B390,'ei names mapping'!$A$4:$A$33,0),MATCH(G430,'ei names mapping'!$B$3:$BL$3,0))</f>
        <v>air::urban air close to ground</v>
      </c>
      <c r="F430" t="s">
        <v>167</v>
      </c>
      <c r="G430" t="s">
        <v>62</v>
      </c>
    </row>
    <row r="431" spans="1:8" x14ac:dyDescent="0.2">
      <c r="A431" t="str">
        <f>INDEX('ei names mapping'!$B$4:$BL$33,MATCH(B$234,'ei names mapping'!$A$4:$A$33,0),MATCH(G431,'ei names mapping'!$B$3:$BL$3,0))</f>
        <v>NMVOC, non-methane volatile organic compounds, unspecified origin</v>
      </c>
      <c r="B431" s="7">
        <f>INDEX('vehicles specifications'!$B$3:$CW$166,MATCH(B$393,'vehicles specifications'!$A$3:$A$166,0),MATCH(G431,'vehicles specifications'!$B$2:$CW$2,0))*INDEX('ei names mapping'!$B$137:$BL$300,MATCH(B$393,'ei names mapping'!$A$137:$A$300,0),MATCH(G431,'ei names mapping'!$B$136:$BL$136,0))</f>
        <v>1.18866997755373E-5</v>
      </c>
      <c r="D431" t="str">
        <f>INDEX('ei names mapping'!$B$104:$BL$133,MATCH(B$234,'ei names mapping'!$A$4:$A$33,0),MATCH(G431,'ei names mapping'!$B$3:$BL$3,0))</f>
        <v>kilogram</v>
      </c>
      <c r="E431" t="str">
        <f>INDEX('ei names mapping'!$B$305:$BL$335,MATCH(B$234,'ei names mapping'!$A$4:$A$33,0),MATCH(G431,'ei names mapping'!$B$3:$BL$3,0))</f>
        <v>air::urban air close to ground</v>
      </c>
      <c r="F431" t="s">
        <v>167</v>
      </c>
      <c r="G431" t="s">
        <v>593</v>
      </c>
    </row>
    <row r="432" spans="1:8" x14ac:dyDescent="0.2">
      <c r="A432" t="str">
        <f>INDEX('ei names mapping'!$B$4:$BL$33,MATCH(B$234,'ei names mapping'!$A$4:$A$33,0),MATCH(G432,'ei names mapping'!$B$3:$BL$3,0))</f>
        <v>Ethane</v>
      </c>
      <c r="B432" s="7">
        <f>INDEX('vehicles specifications'!$B$3:$CW$166,MATCH(B$393,'vehicles specifications'!$A$3:$A$166,0),MATCH(G432,'vehicles specifications'!$B$2:$CW$2,0))*INDEX('ei names mapping'!$B$137:$BL$300,MATCH(B$393,'ei names mapping'!$A$137:$A$300,0),MATCH(G432,'ei names mapping'!$B$136:$BL$136,0))</f>
        <v>8.381647277622453E-7</v>
      </c>
      <c r="D432" t="str">
        <f>INDEX('ei names mapping'!$B$104:$BL$133,MATCH(B$234,'ei names mapping'!$A$4:$A$33,0),MATCH(G432,'ei names mapping'!$B$3:$BL$3,0))</f>
        <v>kilogram</v>
      </c>
      <c r="E432" t="str">
        <f>INDEX('ei names mapping'!$B$305:$BL$335,MATCH(B$234,'ei names mapping'!$A$4:$A$33,0),MATCH(G432,'ei names mapping'!$B$3:$BL$3,0))</f>
        <v>air::urban air close to ground</v>
      </c>
      <c r="F432" t="s">
        <v>167</v>
      </c>
      <c r="G432" t="s">
        <v>541</v>
      </c>
    </row>
    <row r="433" spans="1:7" x14ac:dyDescent="0.2">
      <c r="A433" t="str">
        <f>INDEX('ei names mapping'!$B$4:$BL$33,MATCH(B$234,'ei names mapping'!$A$4:$A$33,0),MATCH(G433,'ei names mapping'!$B$3:$BL$3,0))</f>
        <v>Propane</v>
      </c>
      <c r="B433" s="7">
        <f>INDEX('vehicles specifications'!$B$3:$CW$166,MATCH(B$393,'vehicles specifications'!$A$3:$A$166,0),MATCH(G433,'vehicles specifications'!$B$2:$CW$2,0))*INDEX('ei names mapping'!$B$137:$BL$300,MATCH(B$393,'ei names mapping'!$A$137:$A$300,0),MATCH(G433,'ei names mapping'!$B$136:$BL$136,0))</f>
        <v>1.7078591631519106E-7</v>
      </c>
      <c r="D433" t="str">
        <f>INDEX('ei names mapping'!$B$104:$BL$133,MATCH(B$234,'ei names mapping'!$A$4:$A$33,0),MATCH(G433,'ei names mapping'!$B$3:$BL$3,0))</f>
        <v>kilogram</v>
      </c>
      <c r="E433" t="str">
        <f>INDEX('ei names mapping'!$B$305:$BL$335,MATCH(B$234,'ei names mapping'!$A$4:$A$33,0),MATCH(G433,'ei names mapping'!$B$3:$BL$3,0))</f>
        <v>air::urban air close to ground</v>
      </c>
      <c r="F433" t="s">
        <v>167</v>
      </c>
      <c r="G433" t="s">
        <v>542</v>
      </c>
    </row>
    <row r="434" spans="1:7" x14ac:dyDescent="0.2">
      <c r="A434" t="str">
        <f>INDEX('ei names mapping'!$B$4:$BL$33,MATCH(B$234,'ei names mapping'!$A$4:$A$33,0),MATCH(G434,'ei names mapping'!$B$3:$BL$3,0))</f>
        <v>Butane</v>
      </c>
      <c r="B434" s="7">
        <f>INDEX('vehicles specifications'!$B$3:$CW$166,MATCH(B$393,'vehicles specifications'!$A$3:$A$166,0),MATCH(G434,'vehicles specifications'!$B$2:$CW$2,0))*INDEX('ei names mapping'!$B$137:$BL$300,MATCH(B$393,'ei names mapping'!$A$137:$A$300,0),MATCH(G434,'ei names mapping'!$B$136:$BL$136,0))</f>
        <v>1.3767972330640017E-6</v>
      </c>
      <c r="D434" t="str">
        <f>INDEX('ei names mapping'!$B$104:$BL$133,MATCH(B$234,'ei names mapping'!$A$4:$A$33,0),MATCH(G434,'ei names mapping'!$B$3:$BL$3,0))</f>
        <v>kilogram</v>
      </c>
      <c r="E434" t="str">
        <f>INDEX('ei names mapping'!$B$305:$BL$335,MATCH(B$234,'ei names mapping'!$A$4:$A$33,0),MATCH(G434,'ei names mapping'!$B$3:$BL$3,0))</f>
        <v>air::urban air close to ground</v>
      </c>
      <c r="F434" t="s">
        <v>167</v>
      </c>
      <c r="G434" t="s">
        <v>543</v>
      </c>
    </row>
    <row r="435" spans="1:7" x14ac:dyDescent="0.2">
      <c r="A435" t="str">
        <f>INDEX('ei names mapping'!$B$4:$BL$33,MATCH(B$234,'ei names mapping'!$A$4:$A$33,0),MATCH(G435,'ei names mapping'!$B$3:$BL$3,0))</f>
        <v>Pentane</v>
      </c>
      <c r="B435" s="7">
        <f>INDEX('vehicles specifications'!$B$3:$CW$166,MATCH(B$393,'vehicles specifications'!$A$3:$A$166,0),MATCH(G435,'vehicles specifications'!$B$2:$CW$2,0))*INDEX('ei names mapping'!$B$137:$BL$300,MATCH(B$393,'ei names mapping'!$A$137:$A$300,0),MATCH(G435,'ei names mapping'!$B$136:$BL$136,0))</f>
        <v>5.6490726165793968E-7</v>
      </c>
      <c r="D435" t="str">
        <f>INDEX('ei names mapping'!$B$104:$BL$133,MATCH(B$234,'ei names mapping'!$A$4:$A$33,0),MATCH(G435,'ei names mapping'!$B$3:$BL$3,0))</f>
        <v>kilogram</v>
      </c>
      <c r="E435" t="str">
        <f>INDEX('ei names mapping'!$B$305:$BL$335,MATCH(B$234,'ei names mapping'!$A$4:$A$33,0),MATCH(G435,'ei names mapping'!$B$3:$BL$3,0))</f>
        <v>air::urban air close to ground</v>
      </c>
      <c r="F435" t="s">
        <v>167</v>
      </c>
      <c r="G435" t="s">
        <v>544</v>
      </c>
    </row>
    <row r="436" spans="1:7" x14ac:dyDescent="0.2">
      <c r="A436" t="str">
        <f>INDEX('ei names mapping'!$B$4:$BL$33,MATCH(B$234,'ei names mapping'!$A$4:$A$33,0),MATCH(G436,'ei names mapping'!$B$3:$BL$3,0))</f>
        <v>Hexane</v>
      </c>
      <c r="B436" s="7">
        <f>INDEX('vehicles specifications'!$B$3:$CW$166,MATCH(B$393,'vehicles specifications'!$A$3:$A$166,0),MATCH(G436,'vehicles specifications'!$B$2:$CW$2,0))*INDEX('ei names mapping'!$B$137:$BL$300,MATCH(B$393,'ei names mapping'!$A$137:$A$300,0),MATCH(G436,'ei names mapping'!$B$136:$BL$136,0))</f>
        <v>4.2302357733455016E-7</v>
      </c>
      <c r="D436" t="str">
        <f>INDEX('ei names mapping'!$B$104:$BL$133,MATCH(B$234,'ei names mapping'!$A$4:$A$33,0),MATCH(G436,'ei names mapping'!$B$3:$BL$3,0))</f>
        <v>kilogram</v>
      </c>
      <c r="E436" t="str">
        <f>INDEX('ei names mapping'!$B$305:$BL$335,MATCH(B$234,'ei names mapping'!$A$4:$A$33,0),MATCH(G436,'ei names mapping'!$B$3:$BL$3,0))</f>
        <v>air::urban air close to ground</v>
      </c>
      <c r="F436" t="s">
        <v>167</v>
      </c>
      <c r="G436" t="s">
        <v>545</v>
      </c>
    </row>
    <row r="437" spans="1:7" x14ac:dyDescent="0.2">
      <c r="A437" t="str">
        <f>INDEX('ei names mapping'!$B$4:$BL$33,MATCH(B$234,'ei names mapping'!$A$4:$A$33,0),MATCH(G437,'ei names mapping'!$B$3:$BL$3,0))</f>
        <v>Cyclohexane</v>
      </c>
      <c r="B437" s="7">
        <f>INDEX('vehicles specifications'!$B$3:$CW$166,MATCH(B$393,'vehicles specifications'!$A$3:$A$166,0),MATCH(G437,'vehicles specifications'!$B$2:$CW$2,0))*INDEX('ei names mapping'!$B$137:$BL$300,MATCH(B$393,'ei names mapping'!$A$137:$A$300,0),MATCH(G437,'ei names mapping'!$B$136:$BL$136,0))</f>
        <v>2.9953222246048898E-7</v>
      </c>
      <c r="D437" t="str">
        <f>INDEX('ei names mapping'!$B$104:$BL$133,MATCH(B$234,'ei names mapping'!$A$4:$A$33,0),MATCH(G437,'ei names mapping'!$B$3:$BL$3,0))</f>
        <v>kilogram</v>
      </c>
      <c r="E437" t="str">
        <f>INDEX('ei names mapping'!$B$305:$BL$335,MATCH(B$234,'ei names mapping'!$A$4:$A$33,0),MATCH(G437,'ei names mapping'!$B$3:$BL$3,0))</f>
        <v>air::urban air close to ground</v>
      </c>
      <c r="F437" t="s">
        <v>167</v>
      </c>
      <c r="G437" t="s">
        <v>546</v>
      </c>
    </row>
    <row r="438" spans="1:7" x14ac:dyDescent="0.2">
      <c r="A438" t="str">
        <f>INDEX('ei names mapping'!$B$4:$BL$33,MATCH(B$234,'ei names mapping'!$A$4:$A$33,0),MATCH(G438,'ei names mapping'!$B$3:$BL$3,0))</f>
        <v>Heptane</v>
      </c>
      <c r="B438" s="7">
        <f>INDEX('vehicles specifications'!$B$3:$CW$166,MATCH(B$393,'vehicles specifications'!$A$3:$A$166,0),MATCH(G438,'vehicles specifications'!$B$2:$CW$2,0))*INDEX('ei names mapping'!$B$137:$BL$300,MATCH(B$393,'ei names mapping'!$A$137:$A$300,0),MATCH(G438,'ei names mapping'!$B$136:$BL$136,0))</f>
        <v>1.9443319703575599E-7</v>
      </c>
      <c r="D438" t="str">
        <f>INDEX('ei names mapping'!$B$104:$BL$133,MATCH(B$234,'ei names mapping'!$A$4:$A$33,0),MATCH(G438,'ei names mapping'!$B$3:$BL$3,0))</f>
        <v>kilogram</v>
      </c>
      <c r="E438" t="str">
        <f>INDEX('ei names mapping'!$B$305:$BL$335,MATCH(B$234,'ei names mapping'!$A$4:$A$33,0),MATCH(G438,'ei names mapping'!$B$3:$BL$3,0))</f>
        <v>air::urban air close to ground</v>
      </c>
      <c r="F438" t="s">
        <v>167</v>
      </c>
      <c r="G438" t="s">
        <v>547</v>
      </c>
    </row>
    <row r="439" spans="1:7" x14ac:dyDescent="0.2">
      <c r="A439" t="str">
        <f>INDEX('ei names mapping'!$B$4:$BL$33,MATCH(B$234,'ei names mapping'!$A$4:$A$33,0),MATCH(G439,'ei names mapping'!$B$3:$BL$3,0))</f>
        <v>Ethene</v>
      </c>
      <c r="B439" s="7">
        <f>INDEX('vehicles specifications'!$B$3:$CW$166,MATCH(B$393,'vehicles specifications'!$A$3:$A$166,0),MATCH(G439,'vehicles specifications'!$B$2:$CW$2,0))*INDEX('ei names mapping'!$B$137:$BL$300,MATCH(B$393,'ei names mapping'!$A$137:$A$300,0),MATCH(G439,'ei names mapping'!$B$136:$BL$136,0))</f>
        <v>1.9180572140013763E-6</v>
      </c>
      <c r="D439" t="str">
        <f>INDEX('ei names mapping'!$B$104:$BL$133,MATCH(B$234,'ei names mapping'!$A$4:$A$33,0),MATCH(G439,'ei names mapping'!$B$3:$BL$3,0))</f>
        <v>kilogram</v>
      </c>
      <c r="E439" t="str">
        <f>INDEX('ei names mapping'!$B$305:$BL$335,MATCH(B$234,'ei names mapping'!$A$4:$A$33,0),MATCH(G439,'ei names mapping'!$B$3:$BL$3,0))</f>
        <v>air::urban air close to ground</v>
      </c>
      <c r="F439" t="s">
        <v>167</v>
      </c>
      <c r="G439" t="s">
        <v>548</v>
      </c>
    </row>
    <row r="440" spans="1:7" x14ac:dyDescent="0.2">
      <c r="A440" t="str">
        <f>INDEX('ei names mapping'!$B$4:$BL$33,MATCH(B$234,'ei names mapping'!$A$4:$A$33,0),MATCH(G440,'ei names mapping'!$B$3:$BL$3,0))</f>
        <v>Propene</v>
      </c>
      <c r="B440" s="7">
        <f>INDEX('vehicles specifications'!$B$3:$CW$166,MATCH(B$393,'vehicles specifications'!$A$3:$A$166,0),MATCH(G440,'vehicles specifications'!$B$2:$CW$2,0))*INDEX('ei names mapping'!$B$137:$BL$300,MATCH(B$393,'ei names mapping'!$A$137:$A$300,0),MATCH(G440,'ei names mapping'!$B$136:$BL$136,0))</f>
        <v>1.0036956928061999E-6</v>
      </c>
      <c r="D440" t="str">
        <f>INDEX('ei names mapping'!$B$104:$BL$133,MATCH(B$234,'ei names mapping'!$A$4:$A$33,0),MATCH(G440,'ei names mapping'!$B$3:$BL$3,0))</f>
        <v>kilogram</v>
      </c>
      <c r="E440" t="str">
        <f>INDEX('ei names mapping'!$B$305:$BL$335,MATCH(B$234,'ei names mapping'!$A$4:$A$33,0),MATCH(G440,'ei names mapping'!$B$3:$BL$3,0))</f>
        <v>air::urban air close to ground</v>
      </c>
      <c r="F440" t="s">
        <v>167</v>
      </c>
      <c r="G440" t="s">
        <v>549</v>
      </c>
    </row>
    <row r="441" spans="1:7" x14ac:dyDescent="0.2">
      <c r="A441" t="str">
        <f>INDEX('ei names mapping'!$B$4:$BL$33,MATCH(B$234,'ei names mapping'!$A$4:$A$33,0),MATCH(G441,'ei names mapping'!$B$3:$BL$3,0))</f>
        <v>1-Pentene</v>
      </c>
      <c r="B441" s="7">
        <f>INDEX('vehicles specifications'!$B$3:$CW$166,MATCH(B$393,'vehicles specifications'!$A$3:$A$166,0),MATCH(G441,'vehicles specifications'!$B$2:$CW$2,0))*INDEX('ei names mapping'!$B$137:$BL$300,MATCH(B$393,'ei names mapping'!$A$137:$A$300,0),MATCH(G441,'ei names mapping'!$B$136:$BL$136,0))</f>
        <v>2.8902231991801569E-8</v>
      </c>
      <c r="D441" t="str">
        <f>INDEX('ei names mapping'!$B$104:$BL$133,MATCH(B$234,'ei names mapping'!$A$4:$A$33,0),MATCH(G441,'ei names mapping'!$B$3:$BL$3,0))</f>
        <v>kilogram</v>
      </c>
      <c r="E441" t="str">
        <f>INDEX('ei names mapping'!$B$305:$BL$335,MATCH(B$234,'ei names mapping'!$A$4:$A$33,0),MATCH(G441,'ei names mapping'!$B$3:$BL$3,0))</f>
        <v>air::urban air close to ground</v>
      </c>
      <c r="F441" t="s">
        <v>167</v>
      </c>
      <c r="G441" t="s">
        <v>550</v>
      </c>
    </row>
    <row r="442" spans="1:7" x14ac:dyDescent="0.2">
      <c r="A442" t="str">
        <f>INDEX('ei names mapping'!$B$4:$BL$33,MATCH(B$234,'ei names mapping'!$A$4:$A$33,0),MATCH(G442,'ei names mapping'!$B$3:$BL$3,0))</f>
        <v>Toluene</v>
      </c>
      <c r="B442" s="7">
        <f>INDEX('vehicles specifications'!$B$3:$CW$166,MATCH(B$393,'vehicles specifications'!$A$3:$A$166,0),MATCH(G442,'vehicles specifications'!$B$2:$CW$2,0))*INDEX('ei names mapping'!$B$137:$BL$300,MATCH(B$393,'ei names mapping'!$A$137:$A$300,0),MATCH(G442,'ei names mapping'!$B$136:$BL$136,0))</f>
        <v>2.8849682479089193E-6</v>
      </c>
      <c r="D442" t="str">
        <f>INDEX('ei names mapping'!$B$104:$BL$133,MATCH(B$234,'ei names mapping'!$A$4:$A$33,0),MATCH(G442,'ei names mapping'!$B$3:$BL$3,0))</f>
        <v>kilogram</v>
      </c>
      <c r="E442" t="str">
        <f>INDEX('ei names mapping'!$B$305:$BL$335,MATCH(B$234,'ei names mapping'!$A$4:$A$33,0),MATCH(G442,'ei names mapping'!$B$3:$BL$3,0))</f>
        <v>air::urban air close to ground</v>
      </c>
      <c r="F442" t="s">
        <v>167</v>
      </c>
      <c r="G442" t="s">
        <v>551</v>
      </c>
    </row>
    <row r="443" spans="1:7" x14ac:dyDescent="0.2">
      <c r="A443" t="str">
        <f>INDEX('ei names mapping'!$B$4:$BL$33,MATCH(B$234,'ei names mapping'!$A$4:$A$33,0),MATCH(G443,'ei names mapping'!$B$3:$BL$3,0))</f>
        <v>m-Xylene</v>
      </c>
      <c r="B443" s="7">
        <f>INDEX('vehicles specifications'!$B$3:$CW$166,MATCH(B$393,'vehicles specifications'!$A$3:$A$166,0),MATCH(G443,'vehicles specifications'!$B$2:$CW$2,0))*INDEX('ei names mapping'!$B$137:$BL$300,MATCH(B$393,'ei names mapping'!$A$137:$A$300,0),MATCH(G443,'ei names mapping'!$B$136:$BL$136,0))</f>
        <v>1.42671927014075E-6</v>
      </c>
      <c r="D443" t="str">
        <f>INDEX('ei names mapping'!$B$104:$BL$133,MATCH(B$234,'ei names mapping'!$A$4:$A$33,0),MATCH(G443,'ei names mapping'!$B$3:$BL$3,0))</f>
        <v>kilogram</v>
      </c>
      <c r="E443" t="str">
        <f>INDEX('ei names mapping'!$B$305:$BL$335,MATCH(B$234,'ei names mapping'!$A$4:$A$33,0),MATCH(G443,'ei names mapping'!$B$3:$BL$3,0))</f>
        <v>air::urban air close to ground</v>
      </c>
      <c r="F443" t="s">
        <v>167</v>
      </c>
      <c r="G443" t="s">
        <v>552</v>
      </c>
    </row>
    <row r="444" spans="1:7" x14ac:dyDescent="0.2">
      <c r="A444" t="str">
        <f>INDEX('ei names mapping'!$B$4:$BL$33,MATCH(B$234,'ei names mapping'!$A$4:$A$33,0),MATCH(G444,'ei names mapping'!$B$3:$BL$3,0))</f>
        <v>o-Xylene</v>
      </c>
      <c r="B444" s="7">
        <f>INDEX('vehicles specifications'!$B$3:$CW$166,MATCH(B$393,'vehicles specifications'!$A$3:$A$166,0),MATCH(G444,'vehicles specifications'!$B$2:$CW$2,0))*INDEX('ei names mapping'!$B$137:$BL$300,MATCH(B$393,'ei names mapping'!$A$137:$A$300,0),MATCH(G444,'ei names mapping'!$B$136:$BL$136,0))</f>
        <v>5.9380949364974125E-7</v>
      </c>
      <c r="D444" t="str">
        <f>INDEX('ei names mapping'!$B$104:$BL$133,MATCH(B$234,'ei names mapping'!$A$4:$A$33,0),MATCH(G444,'ei names mapping'!$B$3:$BL$3,0))</f>
        <v>kilogram</v>
      </c>
      <c r="E444" t="str">
        <f>INDEX('ei names mapping'!$B$305:$BL$335,MATCH(B$234,'ei names mapping'!$A$4:$A$33,0),MATCH(G444,'ei names mapping'!$B$3:$BL$3,0))</f>
        <v>air::urban air close to ground</v>
      </c>
      <c r="F444" t="s">
        <v>167</v>
      </c>
      <c r="G444" t="s">
        <v>553</v>
      </c>
    </row>
    <row r="445" spans="1:7" x14ac:dyDescent="0.2">
      <c r="A445" t="str">
        <f>INDEX('ei names mapping'!$B$4:$BL$33,MATCH(B$234,'ei names mapping'!$A$4:$A$33,0),MATCH(G445,'ei names mapping'!$B$3:$BL$3,0))</f>
        <v>Formaldehyde</v>
      </c>
      <c r="B445" s="7">
        <f>INDEX('vehicles specifications'!$B$3:$CW$166,MATCH(B$393,'vehicles specifications'!$A$3:$A$166,0),MATCH(G445,'vehicles specifications'!$B$2:$CW$2,0))*INDEX('ei names mapping'!$B$137:$BL$300,MATCH(B$393,'ei names mapping'!$A$137:$A$300,0),MATCH(G445,'ei names mapping'!$B$136:$BL$136,0))</f>
        <v>4.4667085805511511E-7</v>
      </c>
      <c r="D445" t="str">
        <f>INDEX('ei names mapping'!$B$104:$BL$133,MATCH(B$234,'ei names mapping'!$A$4:$A$33,0),MATCH(G445,'ei names mapping'!$B$3:$BL$3,0))</f>
        <v>kilogram</v>
      </c>
      <c r="E445" t="str">
        <f>INDEX('ei names mapping'!$B$305:$BL$335,MATCH(B$234,'ei names mapping'!$A$4:$A$33,0),MATCH(G445,'ei names mapping'!$B$3:$BL$3,0))</f>
        <v>air::urban air close to ground</v>
      </c>
      <c r="F445" t="s">
        <v>167</v>
      </c>
      <c r="G445" t="s">
        <v>554</v>
      </c>
    </row>
    <row r="446" spans="1:7" x14ac:dyDescent="0.2">
      <c r="A446" t="str">
        <f>INDEX('ei names mapping'!$B$4:$BL$33,MATCH(B$234,'ei names mapping'!$A$4:$A$33,0),MATCH(G446,'ei names mapping'!$B$3:$BL$3,0))</f>
        <v>Acetaldehyde</v>
      </c>
      <c r="B446" s="7">
        <f>INDEX('vehicles specifications'!$B$3:$CW$166,MATCH(B$393,'vehicles specifications'!$A$3:$A$166,0),MATCH(G446,'vehicles specifications'!$B$2:$CW$2,0))*INDEX('ei names mapping'!$B$137:$BL$300,MATCH(B$393,'ei names mapping'!$A$137:$A$300,0),MATCH(G446,'ei names mapping'!$B$136:$BL$136,0))</f>
        <v>1.970606726713743E-7</v>
      </c>
      <c r="D446" t="str">
        <f>INDEX('ei names mapping'!$B$104:$BL$133,MATCH(B$234,'ei names mapping'!$A$4:$A$33,0),MATCH(G446,'ei names mapping'!$B$3:$BL$3,0))</f>
        <v>kilogram</v>
      </c>
      <c r="E446" t="str">
        <f>INDEX('ei names mapping'!$B$305:$BL$335,MATCH(B$234,'ei names mapping'!$A$4:$A$33,0),MATCH(G446,'ei names mapping'!$B$3:$BL$3,0))</f>
        <v>air::urban air close to ground</v>
      </c>
      <c r="F446" t="s">
        <v>167</v>
      </c>
      <c r="G446" t="s">
        <v>555</v>
      </c>
    </row>
    <row r="447" spans="1:7" x14ac:dyDescent="0.2">
      <c r="A447" t="str">
        <f>INDEX('ei names mapping'!$B$4:$BL$33,MATCH(B$234,'ei names mapping'!$A$4:$A$33,0),MATCH(G447,'ei names mapping'!$B$3:$BL$3,0))</f>
        <v>Benzaldehyde</v>
      </c>
      <c r="B447" s="7">
        <f>INDEX('vehicles specifications'!$B$3:$CW$166,MATCH(B$393,'vehicles specifications'!$A$3:$A$166,0),MATCH(G447,'vehicles specifications'!$B$2:$CW$2,0))*INDEX('ei names mapping'!$B$137:$BL$300,MATCH(B$393,'ei names mapping'!$A$137:$A$300,0),MATCH(G447,'ei names mapping'!$B$136:$BL$136,0))</f>
        <v>5.7804463983603138E-8</v>
      </c>
      <c r="D447" t="str">
        <f>INDEX('ei names mapping'!$B$104:$BL$133,MATCH(B$234,'ei names mapping'!$A$4:$A$33,0),MATCH(G447,'ei names mapping'!$B$3:$BL$3,0))</f>
        <v>kilogram</v>
      </c>
      <c r="E447" t="str">
        <f>INDEX('ei names mapping'!$B$305:$BL$335,MATCH(B$234,'ei names mapping'!$A$4:$A$33,0),MATCH(G447,'ei names mapping'!$B$3:$BL$3,0))</f>
        <v>air::urban air close to ground</v>
      </c>
      <c r="F447" t="s">
        <v>167</v>
      </c>
      <c r="G447" t="s">
        <v>556</v>
      </c>
    </row>
    <row r="448" spans="1:7" x14ac:dyDescent="0.2">
      <c r="A448" t="str">
        <f>INDEX('ei names mapping'!$B$4:$BL$33,MATCH(B$234,'ei names mapping'!$A$4:$A$33,0),MATCH(G448,'ei names mapping'!$B$3:$BL$3,0))</f>
        <v>Acetone</v>
      </c>
      <c r="B448" s="7">
        <f>INDEX('vehicles specifications'!$B$3:$CW$166,MATCH(B$393,'vehicles specifications'!$A$3:$A$166,0),MATCH(G448,'vehicles specifications'!$B$2:$CW$2,0))*INDEX('ei names mapping'!$B$137:$BL$300,MATCH(B$393,'ei names mapping'!$A$137:$A$300,0),MATCH(G448,'ei names mapping'!$B$136:$BL$136,0))</f>
        <v>1.6027601377271776E-7</v>
      </c>
      <c r="D448" t="str">
        <f>INDEX('ei names mapping'!$B$104:$BL$133,MATCH(B$234,'ei names mapping'!$A$4:$A$33,0),MATCH(G448,'ei names mapping'!$B$3:$BL$3,0))</f>
        <v>kilogram</v>
      </c>
      <c r="E448" t="str">
        <f>INDEX('ei names mapping'!$B$305:$BL$335,MATCH(B$234,'ei names mapping'!$A$4:$A$33,0),MATCH(G448,'ei names mapping'!$B$3:$BL$3,0))</f>
        <v>air::urban air close to ground</v>
      </c>
      <c r="F448" t="s">
        <v>167</v>
      </c>
      <c r="G448" t="s">
        <v>557</v>
      </c>
    </row>
    <row r="449" spans="1:8" x14ac:dyDescent="0.2">
      <c r="A449" t="str">
        <f>INDEX('ei names mapping'!$B$4:$BL$33,MATCH(B$234,'ei names mapping'!$A$4:$A$33,0),MATCH(G449,'ei names mapping'!$B$3:$BL$3,0))</f>
        <v>Methyl ethyl ketone</v>
      </c>
      <c r="B449" s="7">
        <f>INDEX('vehicles specifications'!$B$3:$CW$166,MATCH(B$393,'vehicles specifications'!$A$3:$A$166,0),MATCH(G449,'vehicles specifications'!$B$2:$CW$2,0))*INDEX('ei names mapping'!$B$137:$BL$300,MATCH(B$393,'ei names mapping'!$A$137:$A$300,0),MATCH(G449,'ei names mapping'!$B$136:$BL$136,0))</f>
        <v>0</v>
      </c>
      <c r="D449" t="str">
        <f>INDEX('ei names mapping'!$B$104:$BL$133,MATCH(B$234,'ei names mapping'!$A$4:$A$33,0),MATCH(G449,'ei names mapping'!$B$3:$BL$3,0))</f>
        <v>kilogram</v>
      </c>
      <c r="E449" t="str">
        <f>INDEX('ei names mapping'!$B$305:$BL$335,MATCH(B$234,'ei names mapping'!$A$4:$A$33,0),MATCH(G449,'ei names mapping'!$B$3:$BL$3,0))</f>
        <v>air::urban air close to ground</v>
      </c>
      <c r="F449" t="s">
        <v>167</v>
      </c>
      <c r="G449" t="s">
        <v>560</v>
      </c>
    </row>
    <row r="450" spans="1:8" x14ac:dyDescent="0.2">
      <c r="A450" t="str">
        <f>INDEX('ei names mapping'!$B$4:$BL$33,MATCH(B$234,'ei names mapping'!$A$4:$A$33,0),MATCH(G450,'ei names mapping'!$B$3:$BL$3,0))</f>
        <v>Acrolein</v>
      </c>
      <c r="B450" s="7">
        <f>INDEX('vehicles specifications'!$B$3:$CW$166,MATCH(B$393,'vehicles specifications'!$A$3:$A$166,0),MATCH(G450,'vehicles specifications'!$B$2:$CW$2,0))*INDEX('ei names mapping'!$B$137:$BL$300,MATCH(B$393,'ei names mapping'!$A$137:$A$300,0),MATCH(G450,'ei names mapping'!$B$136:$BL$136,0))</f>
        <v>4.992203707674815E-8</v>
      </c>
      <c r="D450" t="str">
        <f>INDEX('ei names mapping'!$B$104:$BL$133,MATCH(B$234,'ei names mapping'!$A$4:$A$33,0),MATCH(G450,'ei names mapping'!$B$3:$BL$3,0))</f>
        <v>kilogram</v>
      </c>
      <c r="E450" t="str">
        <f>INDEX('ei names mapping'!$B$305:$BL$335,MATCH(B$234,'ei names mapping'!$A$4:$A$33,0),MATCH(G450,'ei names mapping'!$B$3:$BL$3,0))</f>
        <v>air::urban air close to ground</v>
      </c>
      <c r="F450" t="s">
        <v>167</v>
      </c>
      <c r="G450" t="s">
        <v>558</v>
      </c>
    </row>
    <row r="451" spans="1:8" x14ac:dyDescent="0.2">
      <c r="A451" t="str">
        <f>INDEX('ei names mapping'!$B$4:$BL$33,MATCH(B$234,'ei names mapping'!$A$4:$A$33,0),MATCH(G451,'ei names mapping'!$B$3:$BL$3,0))</f>
        <v>Styrene</v>
      </c>
      <c r="B451" s="7">
        <f>INDEX('vehicles specifications'!$B$3:$CW$166,MATCH(B$393,'vehicles specifications'!$A$3:$A$166,0),MATCH(G451,'vehicles specifications'!$B$2:$CW$2,0))*INDEX('ei names mapping'!$B$137:$BL$300,MATCH(B$393,'ei names mapping'!$A$137:$A$300,0),MATCH(G451,'ei names mapping'!$B$136:$BL$136,0))</f>
        <v>2.6537503919745075E-7</v>
      </c>
      <c r="D451" t="str">
        <f>INDEX('ei names mapping'!$B$104:$BL$133,MATCH(B$234,'ei names mapping'!$A$4:$A$33,0),MATCH(G451,'ei names mapping'!$B$3:$BL$3,0))</f>
        <v>kilogram</v>
      </c>
      <c r="E451" t="str">
        <f>INDEX('ei names mapping'!$B$305:$BL$335,MATCH(B$234,'ei names mapping'!$A$4:$A$33,0),MATCH(G451,'ei names mapping'!$B$3:$BL$3,0))</f>
        <v>air::urban air close to ground</v>
      </c>
      <c r="F451" t="s">
        <v>167</v>
      </c>
      <c r="G451" t="s">
        <v>559</v>
      </c>
    </row>
    <row r="452" spans="1:8" x14ac:dyDescent="0.2">
      <c r="A452" t="str">
        <f>INDEX('ei names mapping'!$B$4:$BL$33,MATCH(B$234,'ei names mapping'!$A$4:$A$33,0),MATCH(G452,'ei names mapping'!$B$3:$BL$3,0))</f>
        <v>PAH, polycyclic aromatic hydrocarbons</v>
      </c>
      <c r="B452" s="7">
        <f>INDEX('vehicles specifications'!$B$3:$CW$166,MATCH(B$393,'vehicles specifications'!$A$3:$A$166,0),MATCH(G452,'vehicles specifications'!$B$2:$CW$2,0))*INDEX('ei names mapping'!$B$137:$BL$300,MATCH(B$393,'ei names mapping'!$A$137:$A$300,0),MATCH(G452,'ei names mapping'!$B$136:$BL$136,0))</f>
        <v>1.5838997525001637E-9</v>
      </c>
      <c r="D452" t="str">
        <f>INDEX('ei names mapping'!$B$104:$BL$133,MATCH(B$234,'ei names mapping'!$A$4:$A$33,0),MATCH(G452,'ei names mapping'!$B$3:$BL$3,0))</f>
        <v>kilogram</v>
      </c>
      <c r="E452" t="str">
        <f>INDEX('ei names mapping'!$B$305:$BL$335,MATCH(B$234,'ei names mapping'!$A$4:$A$33,0),MATCH(G452,'ei names mapping'!$B$3:$BL$3,0))</f>
        <v>air::urban air close to ground</v>
      </c>
      <c r="F452" t="s">
        <v>167</v>
      </c>
      <c r="G452" t="s">
        <v>561</v>
      </c>
    </row>
    <row r="453" spans="1:8" x14ac:dyDescent="0.2">
      <c r="A453" t="str">
        <f>INDEX('ei names mapping'!$B$4:$BL$33,MATCH(B$234,'ei names mapping'!$A$4:$A$33,0),MATCH(G453,'ei names mapping'!$B$3:$BL$3,0))</f>
        <v>Arsenic</v>
      </c>
      <c r="B453" s="7">
        <f>INDEX('vehicles specifications'!$B$3:$CW$166,MATCH(B$393,'vehicles specifications'!$A$3:$A$166,0),MATCH(G453,'vehicles specifications'!$B$2:$CW$2,0))*INDEX('ei names mapping'!$B$137:$BL$300,MATCH(B$393,'ei names mapping'!$A$137:$A$300,0),MATCH(G453,'ei names mapping'!$B$136:$BL$136,0))</f>
        <v>1.3654308211208309E-11</v>
      </c>
      <c r="D453" t="str">
        <f>INDEX('ei names mapping'!$B$104:$BL$133,MATCH(B$234,'ei names mapping'!$A$4:$A$33,0),MATCH(G453,'ei names mapping'!$B$3:$BL$3,0))</f>
        <v>kilogram</v>
      </c>
      <c r="E453" t="str">
        <f>INDEX('ei names mapping'!$B$305:$BL$335,MATCH(B$234,'ei names mapping'!$A$4:$A$33,0),MATCH(G453,'ei names mapping'!$B$3:$BL$3,0))</f>
        <v>air::urban air close to ground</v>
      </c>
      <c r="F453" t="s">
        <v>167</v>
      </c>
      <c r="G453" t="s">
        <v>562</v>
      </c>
    </row>
    <row r="454" spans="1:8" x14ac:dyDescent="0.2">
      <c r="A454" t="str">
        <f>INDEX('ei names mapping'!$B$4:$BL$33,MATCH(B$234,'ei names mapping'!$A$4:$A$33,0),MATCH(G454,'ei names mapping'!$B$3:$BL$3,0))</f>
        <v>Selenium</v>
      </c>
      <c r="B454" s="7">
        <f>INDEX('vehicles specifications'!$B$3:$CW$166,MATCH(B$393,'vehicles specifications'!$A$3:$A$166,0),MATCH(G454,'vehicles specifications'!$B$2:$CW$2,0))*INDEX('ei names mapping'!$B$137:$BL$300,MATCH(B$393,'ei names mapping'!$A$137:$A$300,0),MATCH(G454,'ei names mapping'!$B$136:$BL$136,0))</f>
        <v>9.1028721408055385E-12</v>
      </c>
      <c r="D454" t="str">
        <f>INDEX('ei names mapping'!$B$104:$BL$133,MATCH(B$234,'ei names mapping'!$A$4:$A$33,0),MATCH(G454,'ei names mapping'!$B$3:$BL$3,0))</f>
        <v>kilogram</v>
      </c>
      <c r="E454" t="str">
        <f>INDEX('ei names mapping'!$B$305:$BL$335,MATCH(B$234,'ei names mapping'!$A$4:$A$33,0),MATCH(G454,'ei names mapping'!$B$3:$BL$3,0))</f>
        <v>air::urban air close to ground</v>
      </c>
      <c r="F454" t="s">
        <v>167</v>
      </c>
      <c r="G454" t="s">
        <v>563</v>
      </c>
    </row>
    <row r="455" spans="1:8" x14ac:dyDescent="0.2">
      <c r="A455" t="str">
        <f>INDEX('ei names mapping'!$B$4:$BL$33,MATCH(B$234,'ei names mapping'!$A$4:$A$33,0),MATCH(G455,'ei names mapping'!$B$3:$BL$3,0))</f>
        <v>Zinc</v>
      </c>
      <c r="B455" s="7">
        <f>INDEX('vehicles specifications'!$B$3:$CW$166,MATCH(B$393,'vehicles specifications'!$A$3:$A$166,0),MATCH(G455,'vehicles specifications'!$B$2:$CW$2,0))*INDEX('ei names mapping'!$B$137:$BL$300,MATCH(B$393,'ei names mapping'!$A$137:$A$300,0),MATCH(G455,'ei names mapping'!$B$136:$BL$136,0))</f>
        <v>9.8311019120699828E-8</v>
      </c>
      <c r="D455" t="str">
        <f>INDEX('ei names mapping'!$B$104:$BL$133,MATCH(B$234,'ei names mapping'!$A$4:$A$33,0),MATCH(G455,'ei names mapping'!$B$3:$BL$3,0))</f>
        <v>kilogram</v>
      </c>
      <c r="E455" t="str">
        <f>INDEX('ei names mapping'!$B$305:$BL$335,MATCH(B$234,'ei names mapping'!$A$4:$A$33,0),MATCH(G455,'ei names mapping'!$B$3:$BL$3,0))</f>
        <v>air::urban air close to ground</v>
      </c>
      <c r="F455" t="s">
        <v>167</v>
      </c>
      <c r="G455" t="s">
        <v>564</v>
      </c>
    </row>
    <row r="456" spans="1:8" x14ac:dyDescent="0.2">
      <c r="A456" t="str">
        <f>INDEX('ei names mapping'!$B$4:$BL$33,MATCH(B$234,'ei names mapping'!$A$4:$A$33,0),MATCH(G456,'ei names mapping'!$B$3:$BL$3,0))</f>
        <v>Copper</v>
      </c>
      <c r="B456" s="7">
        <f>INDEX('vehicles specifications'!$B$3:$CW$166,MATCH(B$393,'vehicles specifications'!$A$3:$A$166,0),MATCH(G456,'vehicles specifications'!$B$2:$CW$2,0))*INDEX('ei names mapping'!$B$137:$BL$300,MATCH(B$393,'ei names mapping'!$A$137:$A$300,0),MATCH(G456,'ei names mapping'!$B$136:$BL$136,0))</f>
        <v>1.911603149569163E-9</v>
      </c>
      <c r="D456" t="str">
        <f>INDEX('ei names mapping'!$B$104:$BL$133,MATCH(B$234,'ei names mapping'!$A$4:$A$33,0),MATCH(G456,'ei names mapping'!$B$3:$BL$3,0))</f>
        <v>kilogram</v>
      </c>
      <c r="E456" t="str">
        <f>INDEX('ei names mapping'!$B$305:$BL$335,MATCH(B$234,'ei names mapping'!$A$4:$A$33,0),MATCH(G456,'ei names mapping'!$B$3:$BL$3,0))</f>
        <v>air::urban air close to ground</v>
      </c>
      <c r="F456" t="s">
        <v>167</v>
      </c>
      <c r="G456" t="s">
        <v>522</v>
      </c>
    </row>
    <row r="457" spans="1:8" x14ac:dyDescent="0.2">
      <c r="A457" t="str">
        <f>INDEX('ei names mapping'!$B$4:$BL$33,MATCH(B$234,'ei names mapping'!$A$4:$A$33,0),MATCH(G457,'ei names mapping'!$B$3:$BL$3,0))</f>
        <v>Nickel</v>
      </c>
      <c r="B457" s="7">
        <f>INDEX('vehicles specifications'!$B$3:$CW$166,MATCH(B$393,'vehicles specifications'!$A$3:$A$166,0),MATCH(G457,'vehicles specifications'!$B$2:$CW$2,0))*INDEX('ei names mapping'!$B$137:$BL$300,MATCH(B$393,'ei names mapping'!$A$137:$A$300,0),MATCH(G457,'ei names mapping'!$B$136:$BL$136,0))</f>
        <v>5.9168668915236E-10</v>
      </c>
      <c r="D457" t="str">
        <f>INDEX('ei names mapping'!$B$104:$BL$133,MATCH(B$234,'ei names mapping'!$A$4:$A$33,0),MATCH(G457,'ei names mapping'!$B$3:$BL$3,0))</f>
        <v>kilogram</v>
      </c>
      <c r="E457" t="str">
        <f>INDEX('ei names mapping'!$B$305:$BL$335,MATCH(B$234,'ei names mapping'!$A$4:$A$33,0),MATCH(G457,'ei names mapping'!$B$3:$BL$3,0))</f>
        <v>air::urban air close to ground</v>
      </c>
      <c r="F457" t="s">
        <v>167</v>
      </c>
      <c r="G457" t="s">
        <v>524</v>
      </c>
    </row>
    <row r="458" spans="1:8" x14ac:dyDescent="0.2">
      <c r="A458" t="str">
        <f>INDEX('ei names mapping'!$B$4:$BL$33,MATCH(B$234,'ei names mapping'!$A$4:$A$33,0),MATCH(G458,'ei names mapping'!$B$3:$BL$3,0))</f>
        <v>Chromium</v>
      </c>
      <c r="B458" s="7">
        <f>INDEX('vehicles specifications'!$B$3:$CW$166,MATCH(B$393,'vehicles specifications'!$A$3:$A$166,0),MATCH(G458,'vehicles specifications'!$B$2:$CW$2,0))*INDEX('ei names mapping'!$B$137:$BL$300,MATCH(B$393,'ei names mapping'!$A$137:$A$300,0),MATCH(G458,'ei names mapping'!$B$136:$BL$136,0))</f>
        <v>7.2822977126444316E-10</v>
      </c>
      <c r="D458" t="str">
        <f>INDEX('ei names mapping'!$B$104:$BL$133,MATCH(B$234,'ei names mapping'!$A$4:$A$33,0),MATCH(G458,'ei names mapping'!$B$3:$BL$3,0))</f>
        <v>kilogram</v>
      </c>
      <c r="E458" t="str">
        <f>INDEX('ei names mapping'!$B$305:$BL$335,MATCH(B$234,'ei names mapping'!$A$4:$A$33,0),MATCH(G458,'ei names mapping'!$B$3:$BL$3,0))</f>
        <v>air::urban air close to ground</v>
      </c>
      <c r="F458" t="s">
        <v>167</v>
      </c>
      <c r="G458" t="s">
        <v>523</v>
      </c>
    </row>
    <row r="459" spans="1:8" x14ac:dyDescent="0.2">
      <c r="A459" t="str">
        <f>INDEX('ei names mapping'!$B$4:$BL$33,MATCH(B$234,'ei names mapping'!$A$4:$A$33,0),MATCH(G459,'ei names mapping'!$B$3:$BL$3,0))</f>
        <v>Chromium VI</v>
      </c>
      <c r="B459" s="7">
        <f>INDEX('vehicles specifications'!$B$3:$CW$166,MATCH(B$393,'vehicles specifications'!$A$3:$A$166,0),MATCH(G459,'vehicles specifications'!$B$2:$CW$2,0))*INDEX('ei names mapping'!$B$137:$BL$300,MATCH(B$393,'ei names mapping'!$A$137:$A$300,0),MATCH(G459,'ei names mapping'!$B$136:$BL$136,0))</f>
        <v>1.4564595425288861E-12</v>
      </c>
      <c r="D459" t="str">
        <f>INDEX('ei names mapping'!$B$104:$BL$133,MATCH(B$234,'ei names mapping'!$A$4:$A$33,0),MATCH(G459,'ei names mapping'!$B$3:$BL$3,0))</f>
        <v>kilogram</v>
      </c>
      <c r="E459" t="str">
        <f>INDEX('ei names mapping'!$B$305:$BL$335,MATCH(B$234,'ei names mapping'!$A$4:$A$33,0),MATCH(G459,'ei names mapping'!$B$3:$BL$3,0))</f>
        <v>air::urban air close to ground</v>
      </c>
      <c r="F459" t="s">
        <v>167</v>
      </c>
      <c r="G459" t="s">
        <v>567</v>
      </c>
    </row>
    <row r="460" spans="1:8" x14ac:dyDescent="0.2">
      <c r="A460" t="str">
        <f>INDEX('ei names mapping'!$B$4:$BL$33,MATCH(B$234,'ei names mapping'!$A$4:$A$33,0),MATCH(G460,'ei names mapping'!$B$3:$BL$3,0))</f>
        <v>Mercury</v>
      </c>
      <c r="B460" s="7">
        <f>INDEX('vehicles specifications'!$B$3:$CW$166,MATCH(B$393,'vehicles specifications'!$A$3:$A$166,0),MATCH(G460,'vehicles specifications'!$B$2:$CW$2,0))*INDEX('ei names mapping'!$B$137:$BL$300,MATCH(B$393,'ei names mapping'!$A$137:$A$300,0),MATCH(G460,'ei names mapping'!$B$136:$BL$136,0))</f>
        <v>3.9597493812504094E-10</v>
      </c>
      <c r="D460" t="str">
        <f>INDEX('ei names mapping'!$B$104:$BL$133,MATCH(B$234,'ei names mapping'!$A$4:$A$33,0),MATCH(G460,'ei names mapping'!$B$3:$BL$3,0))</f>
        <v>kilogram</v>
      </c>
      <c r="E460" t="str">
        <f>INDEX('ei names mapping'!$B$305:$BL$335,MATCH(B$234,'ei names mapping'!$A$4:$A$33,0),MATCH(G460,'ei names mapping'!$B$3:$BL$3,0))</f>
        <v>air::urban air close to ground</v>
      </c>
      <c r="F460" t="s">
        <v>167</v>
      </c>
      <c r="G460" t="s">
        <v>565</v>
      </c>
    </row>
    <row r="461" spans="1:8" x14ac:dyDescent="0.2">
      <c r="A461" t="str">
        <f>INDEX('ei names mapping'!$B$4:$BL$33,MATCH(B$234,'ei names mapping'!$A$4:$A$33,0),MATCH(G461,'ei names mapping'!$B$3:$BL$3,0))</f>
        <v>Cadmium</v>
      </c>
      <c r="B461" s="7">
        <f>INDEX('vehicles specifications'!$B$3:$CW$166,MATCH(B$393,'vehicles specifications'!$A$3:$A$166,0),MATCH(G461,'vehicles specifications'!$B$2:$CW$2,0))*INDEX('ei names mapping'!$B$137:$BL$300,MATCH(B$393,'ei names mapping'!$A$137:$A$300,0),MATCH(G461,'ei names mapping'!$B$136:$BL$136,0))</f>
        <v>4.9155509560349916E-10</v>
      </c>
      <c r="D461" t="str">
        <f>INDEX('ei names mapping'!$B$104:$BL$133,MATCH(B$234,'ei names mapping'!$A$4:$A$33,0),MATCH(G461,'ei names mapping'!$B$3:$BL$3,0))</f>
        <v>kilogram</v>
      </c>
      <c r="E461" t="str">
        <f>INDEX('ei names mapping'!$B$305:$BL$335,MATCH(B$234,'ei names mapping'!$A$4:$A$33,0),MATCH(G461,'ei names mapping'!$B$3:$BL$3,0))</f>
        <v>air::urban air close to ground</v>
      </c>
      <c r="F461" t="s">
        <v>167</v>
      </c>
      <c r="G461" t="s">
        <v>566</v>
      </c>
    </row>
    <row r="462" spans="1:8" x14ac:dyDescent="0.2">
      <c r="A462" t="str">
        <f>INDEX('ei names mapping'!$B$4:$BL$33,MATCH(B390,'ei names mapping'!$A$4:$A$33,0),MATCH(G462,'ei names mapping'!$B$3:$BL$3,0))</f>
        <v>treatment of road wear emissions, passenger car</v>
      </c>
      <c r="B462" s="7">
        <f>INDEX('vehicles specifications'!$B$3:$CW$166,MATCH(B393,'vehicles specifications'!$A$3:$A$166,0),MATCH(G462,'vehicles specifications'!$B$2:$CW$2,0))*INDEX('ei names mapping'!$B$137:$BL$300,MATCH(B393,'ei names mapping'!$A$137:$A$300,0),MATCH(G462,'ei names mapping'!$B$136:$BL$136,0))</f>
        <v>-1.1250808142206311E-5</v>
      </c>
      <c r="C462" t="str">
        <f>INDEX('ei names mapping'!$B$38:$BL$67,MATCH(B390,'ei names mapping'!$A$4:$A$33,0),MATCH(G462,'ei names mapping'!$B$3:$BL$3,0))</f>
        <v>RER</v>
      </c>
      <c r="D462" t="str">
        <f>INDEX('ei names mapping'!$B$104:$BL$133,MATCH(B390,'ei names mapping'!$A$4:$A$33,0),MATCH(G462,'ei names mapping'!$B$3:$BL$3,0))</f>
        <v>kilogram</v>
      </c>
      <c r="F462" t="s">
        <v>89</v>
      </c>
      <c r="G462" t="s">
        <v>29</v>
      </c>
      <c r="H462" t="str">
        <f>INDEX('ei names mapping'!$B$71:$BL$100,MATCH(B390,'ei names mapping'!$A$4:$A$33,0),MATCH(G462,'ei names mapping'!$B$3:$BL$3,0))</f>
        <v>road wear emissions, passenger car</v>
      </c>
    </row>
    <row r="463" spans="1:8" x14ac:dyDescent="0.2">
      <c r="A463" t="str">
        <f>INDEX('ei names mapping'!$B$4:$BL$33,MATCH(B390,'ei names mapping'!$A$4:$A$33,0),MATCH(G463,'ei names mapping'!$B$3:$BL$3,0))</f>
        <v>treatment of tyre wear emissions, passenger car</v>
      </c>
      <c r="B463" s="7">
        <f>INDEX('vehicles specifications'!$B$3:$CW$166,MATCH(B393,'vehicles specifications'!$A$3:$A$166,0),MATCH(G463,'vehicles specifications'!$B$2:$CW$2,0))*INDEX('ei names mapping'!$B$137:$BL$300,MATCH(B393,'ei names mapping'!$A$137:$A$300,0),MATCH(G463,'ei names mapping'!$B$136:$BL$136,0))</f>
        <v>-6.7514741481301901E-6</v>
      </c>
      <c r="C463" t="str">
        <f>INDEX('ei names mapping'!$B$38:$BL$67,MATCH(B390,'ei names mapping'!$A$4:$A$33,0),MATCH(G463,'ei names mapping'!$B$3:$BL$3,0))</f>
        <v>RER</v>
      </c>
      <c r="D463" t="str">
        <f>INDEX('ei names mapping'!$B$104:$BL$133,MATCH(B390,'ei names mapping'!$A$4:$A$33,0),MATCH(G463,'ei names mapping'!$B$3:$BL$3,0))</f>
        <v>kilogram</v>
      </c>
      <c r="F463" t="s">
        <v>89</v>
      </c>
      <c r="G463" t="s">
        <v>30</v>
      </c>
      <c r="H463" t="str">
        <f>INDEX('ei names mapping'!$B$71:$BL$100,MATCH(B390,'ei names mapping'!$A$4:$A$33,0),MATCH(G463,'ei names mapping'!$B$3:$BL$3,0))</f>
        <v>tyre wear emissions, passenger car</v>
      </c>
    </row>
    <row r="464" spans="1:8" x14ac:dyDescent="0.2">
      <c r="A464" t="str">
        <f>INDEX('ei names mapping'!$B$4:$BL$33,MATCH(B390,'ei names mapping'!$A$4:$A$33,0),MATCH(G464,'ei names mapping'!$B$3:$BL$3,0))</f>
        <v>treatment of brake wear emissions, passenger car</v>
      </c>
      <c r="B464" s="7">
        <f>INDEX('vehicles specifications'!$B$3:$CW$166,MATCH(B393,'vehicles specifications'!$A$3:$A$166,0),MATCH(G464,'vehicles specifications'!$B$2:$CW$2,0))*INDEX('ei names mapping'!$B$137:$BL$300,MATCH(B393,'ei names mapping'!$A$137:$A$300,0),MATCH(G464,'ei names mapping'!$B$136:$BL$136,0))</f>
        <v>-3.9128602753765776E-6</v>
      </c>
      <c r="C464" t="str">
        <f>INDEX('ei names mapping'!$B$38:$BL$67,MATCH(B390,'ei names mapping'!$A$4:$A$33,0),MATCH(G464,'ei names mapping'!$B$3:$BL$3,0))</f>
        <v>RER</v>
      </c>
      <c r="D464" t="str">
        <f>INDEX('ei names mapping'!$B$104:$BL$133,MATCH(B390,'ei names mapping'!$A$4:$A$33,0),MATCH(G464,'ei names mapping'!$B$3:$BL$3,0))</f>
        <v>kilogram</v>
      </c>
      <c r="F464" t="s">
        <v>89</v>
      </c>
      <c r="G464" t="s">
        <v>31</v>
      </c>
      <c r="H464" t="str">
        <f>INDEX('ei names mapping'!$B$71:$BL$100,MATCH(B390,'ei names mapping'!$A$4:$A$33,0),MATCH(G464,'ei names mapping'!$B$3:$BL$3,0))</f>
        <v>brake wear emissions, passenger car</v>
      </c>
    </row>
    <row r="465" spans="1:2" x14ac:dyDescent="0.2">
      <c r="B465" s="6"/>
    </row>
    <row r="466" spans="1:2" ht="16" x14ac:dyDescent="0.2">
      <c r="A466" s="10" t="s">
        <v>71</v>
      </c>
      <c r="B466" s="8" t="str">
        <f>"transport, "&amp;B468&amp;", "&amp;B470</f>
        <v>transport, Motorbike, gasoline, &gt;35kW, EURO-5, 2030</v>
      </c>
    </row>
    <row r="467" spans="1:2" x14ac:dyDescent="0.2">
      <c r="A467" t="s">
        <v>72</v>
      </c>
      <c r="B467" t="s">
        <v>37</v>
      </c>
    </row>
    <row r="468" spans="1:2" x14ac:dyDescent="0.2">
      <c r="A468" t="s">
        <v>86</v>
      </c>
      <c r="B468" t="s">
        <v>631</v>
      </c>
    </row>
    <row r="469" spans="1:2" x14ac:dyDescent="0.2">
      <c r="A469" t="s">
        <v>87</v>
      </c>
    </row>
    <row r="470" spans="1:2" x14ac:dyDescent="0.2">
      <c r="A470" t="s">
        <v>88</v>
      </c>
      <c r="B470">
        <v>2030</v>
      </c>
    </row>
    <row r="471" spans="1:2" x14ac:dyDescent="0.2">
      <c r="A471" t="s">
        <v>126</v>
      </c>
      <c r="B471" t="str">
        <f>B468&amp;" - "&amp;B470&amp;" - "&amp;B467</f>
        <v>Motorbike, gasoline, &gt;35kW, EURO-5 - 2030 - CH</v>
      </c>
    </row>
    <row r="472" spans="1:2" x14ac:dyDescent="0.2">
      <c r="A472" t="s">
        <v>73</v>
      </c>
      <c r="B472" t="str">
        <f>"transport, "&amp;B468</f>
        <v>transport, Motorbike, gasoline, &gt;35kW, EURO-5</v>
      </c>
    </row>
    <row r="473" spans="1:2" x14ac:dyDescent="0.2">
      <c r="A473" t="s">
        <v>74</v>
      </c>
      <c r="B473" t="s">
        <v>75</v>
      </c>
    </row>
    <row r="474" spans="1:2" x14ac:dyDescent="0.2">
      <c r="A474" t="s">
        <v>76</v>
      </c>
      <c r="B474" t="s">
        <v>166</v>
      </c>
    </row>
    <row r="475" spans="1:2" x14ac:dyDescent="0.2">
      <c r="A475" t="s">
        <v>78</v>
      </c>
      <c r="B475" t="s">
        <v>1143</v>
      </c>
    </row>
    <row r="476" spans="1:2" x14ac:dyDescent="0.2">
      <c r="A476" t="s">
        <v>127</v>
      </c>
      <c r="B476">
        <f>INDEX('vehicles specifications'!$B$3:$CW$166,MATCH(B471,'vehicles specifications'!$A$3:$A$166,0),MATCH("Lifetime [km]",'vehicles specifications'!$B$2:$CW$2,0))</f>
        <v>40500</v>
      </c>
    </row>
    <row r="477" spans="1:2" x14ac:dyDescent="0.2">
      <c r="A477" t="s">
        <v>128</v>
      </c>
      <c r="B477">
        <f>INDEX('vehicles specifications'!$B$3:$CW$166,MATCH(B471,'vehicles specifications'!$A$3:$A$166,0),MATCH("Passengers [unit]",'vehicles specifications'!$B$2:$CW$2,0))</f>
        <v>1.1000000000000001</v>
      </c>
    </row>
    <row r="478" spans="1:2" x14ac:dyDescent="0.2">
      <c r="A478" t="s">
        <v>129</v>
      </c>
      <c r="B478">
        <f>INDEX('vehicles specifications'!$B$3:$CW$166,MATCH(B471,'vehicles specifications'!$A$3:$A$166,0),MATCH("Servicing [unit]",'vehicles specifications'!$B$2:$CW$2,0))</f>
        <v>1.62</v>
      </c>
    </row>
    <row r="479" spans="1:2" x14ac:dyDescent="0.2">
      <c r="A479" t="s">
        <v>130</v>
      </c>
      <c r="B479">
        <f>INDEX('vehicles specifications'!$B$3:$CW$166,MATCH(B471,'vehicles specifications'!$A$3:$A$166,0),MATCH("Energy battery replacement [unit]",'vehicles specifications'!$B$2:$CW$2,0))</f>
        <v>0</v>
      </c>
    </row>
    <row r="480" spans="1:2" x14ac:dyDescent="0.2">
      <c r="A480" t="s">
        <v>131</v>
      </c>
      <c r="B480">
        <f>INDEX('vehicles specifications'!$B$3:$CW$166,MATCH(B471,'vehicles specifications'!$A$3:$A$166,0),MATCH("Annual kilometers [km]",'vehicles specifications'!$B$2:$CW$2,0))</f>
        <v>2896</v>
      </c>
    </row>
    <row r="481" spans="1:8" x14ac:dyDescent="0.2">
      <c r="A481" t="s">
        <v>132</v>
      </c>
      <c r="B481" s="2">
        <f>INDEX('vehicles specifications'!$B$3:$CW$166,MATCH(B471,'vehicles specifications'!$A$3:$A$166,0),MATCH("Curb mass [kg]",'vehicles specifications'!$B$2:$CW$2,0))</f>
        <v>253.19500000000002</v>
      </c>
    </row>
    <row r="482" spans="1:8" x14ac:dyDescent="0.2">
      <c r="A482" t="s">
        <v>133</v>
      </c>
      <c r="B482">
        <f>INDEX('vehicles specifications'!$B$3:$CW$166,MATCH(B471,'vehicles specifications'!$A$3:$A$166,0),MATCH("Power [kW]",'vehicles specifications'!$B$2:$CW$2,0))</f>
        <v>91</v>
      </c>
    </row>
    <row r="483" spans="1:8" x14ac:dyDescent="0.2">
      <c r="A483" t="s">
        <v>134</v>
      </c>
      <c r="B483" t="str">
        <f>INDEX('vehicles specifications'!$B$3:$CW$166,MATCH(B471,'vehicles specifications'!$A$3:$A$166,0),MATCH("Energy battery mass [kg]",'vehicles specifications'!$B$2:$CW$2,0))</f>
        <v/>
      </c>
    </row>
    <row r="484" spans="1:8" x14ac:dyDescent="0.2">
      <c r="A484" t="s">
        <v>135</v>
      </c>
      <c r="B484">
        <f>INDEX('vehicles specifications'!$B$3:$CW$166,MATCH(B471,'vehicles specifications'!$A$3:$A$166,0),MATCH("Electric energy available [kWh]",'vehicles specifications'!$B$2:$CW$2,0))</f>
        <v>0</v>
      </c>
    </row>
    <row r="485" spans="1:8" x14ac:dyDescent="0.2">
      <c r="A485" t="s">
        <v>138</v>
      </c>
      <c r="B485" s="2">
        <f>INDEX('vehicles specifications'!$B$3:$CW$166,MATCH(B471,'vehicles specifications'!$A$3:$A$166,0),MATCH("Oxydation energy stored [kWh]",'vehicles specifications'!$B$2:$CW$2,0))</f>
        <v>159.75</v>
      </c>
    </row>
    <row r="486" spans="1:8" x14ac:dyDescent="0.2">
      <c r="A486" t="s">
        <v>139</v>
      </c>
      <c r="B486">
        <f>INDEX('vehicles specifications'!$B$3:$CW$166,MATCH(B471,'vehicles specifications'!$A$3:$A$166,0),MATCH("Fuel mass [kg]",'vehicles specifications'!$B$2:$CW$2,0))</f>
        <v>13.5</v>
      </c>
    </row>
    <row r="487" spans="1:8" x14ac:dyDescent="0.2">
      <c r="A487" t="s">
        <v>136</v>
      </c>
      <c r="B487" s="2">
        <f>INDEX('vehicles specifications'!$B$3:$CW$166,MATCH(B471,'vehicles specifications'!$A$3:$A$166,0),MATCH("Range [km]",'vehicles specifications'!$B$2:$CW$2,0))</f>
        <v>300.31069285460501</v>
      </c>
    </row>
    <row r="488" spans="1:8" x14ac:dyDescent="0.2">
      <c r="A488" t="s">
        <v>137</v>
      </c>
      <c r="B488" t="str">
        <f>INDEX('vehicles specifications'!$B$3:$CW$166,MATCH(B471,'vehicles specifications'!$A$3:$A$166,0),MATCH("Emission standard",'vehicles specifications'!$B$2:$CW$2,0))</f>
        <v>EURO-5</v>
      </c>
    </row>
    <row r="489" spans="1:8" x14ac:dyDescent="0.2">
      <c r="A489" t="s">
        <v>1174</v>
      </c>
      <c r="B489" s="6">
        <f>INDEX('vehicles specifications'!$B$3:$CW$166,MATCH(B471,'vehicles specifications'!$A$3:$A$166,0),MATCH("Lightweighting rate [%]",'vehicles specifications'!$B$2:$CW$2,0))</f>
        <v>0.03</v>
      </c>
    </row>
    <row r="490" spans="1:8" x14ac:dyDescent="0.2">
      <c r="A490" t="s">
        <v>83</v>
      </c>
      <c r="B490"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91 kW. Lifetime: 40500 km. Annual kilometers: 2896 km. Number of passengers: 1.1. Curb mass: 253.2 kg. Lightweighting of glider: 3%. Emission standard: EURO-5. Service visits throughout lifetime: 1.6. Range: 300 km. Fuel tank capacity: 159.8 kWh. Fuel mass: 13.5 kg. Documentation: Life-cycle inventories for on-road vehicles, Sacchi R. (PSI), Bauer C. (PSI), 2021. Sacchi R., Bauer C. Life cycle inventories for on-road vehicles. Paul Scherrer Institut, 2021.</v>
      </c>
    </row>
    <row r="491" spans="1:8" ht="16" x14ac:dyDescent="0.2">
      <c r="A491" s="10" t="s">
        <v>79</v>
      </c>
    </row>
    <row r="492" spans="1:8" x14ac:dyDescent="0.2">
      <c r="A492" t="s">
        <v>80</v>
      </c>
      <c r="B492" t="s">
        <v>81</v>
      </c>
      <c r="C492" t="s">
        <v>72</v>
      </c>
      <c r="D492" t="s">
        <v>76</v>
      </c>
      <c r="E492" t="s">
        <v>82</v>
      </c>
      <c r="F492" t="s">
        <v>74</v>
      </c>
      <c r="G492" t="s">
        <v>83</v>
      </c>
      <c r="H492" t="s">
        <v>73</v>
      </c>
    </row>
    <row r="493" spans="1:8" x14ac:dyDescent="0.2">
      <c r="A493" t="str">
        <f>B466</f>
        <v>transport, Motorbike, gasoline, &gt;35kW, EURO-5, 2030</v>
      </c>
      <c r="B493">
        <v>1</v>
      </c>
      <c r="C493" t="str">
        <f>B467</f>
        <v>CH</v>
      </c>
      <c r="D493" t="s">
        <v>166</v>
      </c>
      <c r="F493" t="s">
        <v>84</v>
      </c>
      <c r="G493" t="s">
        <v>85</v>
      </c>
      <c r="H493" t="str">
        <f>B472</f>
        <v>transport, Motorbike, gasoline, &gt;35kW, EURO-5</v>
      </c>
    </row>
    <row r="494" spans="1:8" x14ac:dyDescent="0.2">
      <c r="A494" t="str">
        <f>RIGHT(A493,LEN(A493)-11)</f>
        <v>Motorbike, gasoline, &gt;35kW, EURO-5, 2030</v>
      </c>
      <c r="B494" s="7">
        <f>1/B476</f>
        <v>2.4691358024691357E-5</v>
      </c>
      <c r="C494" t="str">
        <f>B467</f>
        <v>CH</v>
      </c>
      <c r="D494" t="s">
        <v>76</v>
      </c>
      <c r="F494" t="s">
        <v>89</v>
      </c>
      <c r="H494" t="str">
        <f>RIGHT(H493,LEN(H493)-11)</f>
        <v>Motorbike, gasoline, &gt;35kW, EURO-5</v>
      </c>
    </row>
    <row r="495" spans="1:8" x14ac:dyDescent="0.2">
      <c r="A495" t="str">
        <f>INDEX('ei names mapping'!$B$4:$R$33,MATCH(B468,'ei names mapping'!$A$4:$A$33,0),MATCH(G495,'ei names mapping'!$B$3:$R$3,0))</f>
        <v>road construction</v>
      </c>
      <c r="B495" s="7">
        <f>INDEX('vehicles specifications'!$B$3:$CW$166,MATCH(B471,'vehicles specifications'!$A$3:$A$166,0),MATCH(G495,'vehicles specifications'!$B$2:$CW$2,0))*INDEX('ei names mapping'!$B$137:$BL$300,MATCH(B471,'ei names mapping'!$A$137:$A$300,0),MATCH(G495,'ei names mapping'!$B$136:$BL$136,0))</f>
        <v>1.8349021500000003E-4</v>
      </c>
      <c r="C495" t="str">
        <f>INDEX('ei names mapping'!$B$38:$R$67,MATCH(B468,'ei names mapping'!$A$4:$A$33,0),MATCH(G495,'ei names mapping'!$B$3:$R$3,0))</f>
        <v>CH</v>
      </c>
      <c r="D495" t="str">
        <f>INDEX('ei names mapping'!$B$104:$BL$133,MATCH(B468,'ei names mapping'!$A$4:$A$33,0),MATCH(G495,'ei names mapping'!$B$3:$BL$3,0))</f>
        <v>meter-year</v>
      </c>
      <c r="F495" t="s">
        <v>89</v>
      </c>
      <c r="G495" t="s">
        <v>105</v>
      </c>
      <c r="H495" t="str">
        <f>INDEX('ei names mapping'!$B$71:$BL$100,MATCH(B468,'ei names mapping'!$A$4:$A$33,0),MATCH(G495,'ei names mapping'!$B$3:$BL$3,0))</f>
        <v>road</v>
      </c>
    </row>
    <row r="496" spans="1:8" x14ac:dyDescent="0.2">
      <c r="A496" t="str">
        <f>INDEX('ei names mapping'!$B$4:$R$33,MATCH(B468,'ei names mapping'!$A$4:$A$33,0),MATCH(G496,'ei names mapping'!$B$3:$R$3,0))</f>
        <v>road maintenance</v>
      </c>
      <c r="B496" s="7">
        <f>INDEX('vehicles specifications'!$B$3:$CW$166,MATCH(B471,'vehicles specifications'!$A$3:$A$166,0),MATCH(G496,'vehicles specifications'!$B$2:$CW$2,0))*INDEX('ei names mapping'!$B$137:$BL$300,MATCH(B471,'ei names mapping'!$A$137:$A$300,0),MATCH(G496,'ei names mapping'!$B$136:$BL$136,0))</f>
        <v>1.2899999999999999E-3</v>
      </c>
      <c r="C496" t="str">
        <f>INDEX('ei names mapping'!$B$38:$R$67,MATCH(B468,'ei names mapping'!$A$4:$A$33,0),MATCH(G496,'ei names mapping'!$B$3:$R$3,0))</f>
        <v>CH</v>
      </c>
      <c r="D496" t="str">
        <f>INDEX('ei names mapping'!$B$104:$BL$133,MATCH(B468,'ei names mapping'!$A$4:$A$33,0),MATCH(G496,'ei names mapping'!$B$3:$BL$3,0))</f>
        <v>meter-year</v>
      </c>
      <c r="F496" t="s">
        <v>89</v>
      </c>
      <c r="G496" t="s">
        <v>112</v>
      </c>
      <c r="H496" t="str">
        <f>INDEX('ei names mapping'!$B$71:$BL$100,MATCH(B468,'ei names mapping'!$A$4:$A$33,0),MATCH(G496,'ei names mapping'!$B$3:$BL$3,0))</f>
        <v>road maintenance</v>
      </c>
    </row>
    <row r="497" spans="1:8" x14ac:dyDescent="0.2">
      <c r="A497" t="str">
        <f>INDEX('ei names mapping'!$B$4:$R$33,MATCH(B468,'ei names mapping'!$A$4:$A$33,0),MATCH(G497,'ei names mapping'!$B$3:$R$3,0))</f>
        <v>maintenance, motor scooter</v>
      </c>
      <c r="B497" s="7">
        <f>INDEX('vehicles specifications'!$B$3:$CW$166,MATCH(B471,'vehicles specifications'!$A$3:$A$166,0),MATCH(G497,'vehicles specifications'!$B$2:$CW$2,0))*INDEX('ei names mapping'!$B$137:$BL$300,MATCH(B471,'ei names mapping'!$A$137:$A$300,0),MATCH(G497,'ei names mapping'!$B$136:$BL$136,0))</f>
        <v>4.0000000000000003E-5</v>
      </c>
      <c r="C497" t="str">
        <f>INDEX('ei names mapping'!$B$38:$BL$67,MATCH(B468,'ei names mapping'!$A$4:$A$33,0),MATCH(G497,'ei names mapping'!$B$3:$BL$3,0))</f>
        <v>CH</v>
      </c>
      <c r="D497" t="str">
        <f>INDEX('ei names mapping'!$B$104:$BL$133,MATCH(B468,'ei names mapping'!$A$4:$A$33,0),MATCH(G497,'ei names mapping'!$B$3:$BL$3,0))</f>
        <v>unit</v>
      </c>
      <c r="F497" t="s">
        <v>89</v>
      </c>
      <c r="G497" t="s">
        <v>118</v>
      </c>
      <c r="H497" t="str">
        <f>INDEX('ei names mapping'!$B$71:$BL$100,MATCH(B468,'ei names mapping'!$A$4:$A$33,0),MATCH(G497,'ei names mapping'!$B$3:$BL$3,0))</f>
        <v>maintenance, motor scooter</v>
      </c>
    </row>
    <row r="498" spans="1:8" x14ac:dyDescent="0.2">
      <c r="A498" t="str">
        <f>INDEX('ei names mapping'!$B$4:$R$33,MATCH(B468,'ei names mapping'!$A$4:$A$33,0),MATCH(G498,'ei names mapping'!$B$3:$R$3,0))</f>
        <v>fuel supply for gasoline vehicles</v>
      </c>
      <c r="B498" s="7">
        <f>INDEX('vehicles specifications'!$B$3:$CW$166,MATCH(B471,'vehicles specifications'!$A$3:$A$166,0),MATCH(G498,'vehicles specifications'!$B$2:$CW$2,0))*INDEX('ei names mapping'!$B$137:$BL$300,MATCH(B471,'ei names mapping'!$A$137:$A$300,0),MATCH(G498,'ei names mapping'!$B$136:$BL$136,0))</f>
        <v>4.4953444286900589E-2</v>
      </c>
      <c r="C498" t="str">
        <f>INDEX('ei names mapping'!$B$38:$BL$67,MATCH(B468,'ei names mapping'!$A$4:$A$33,0),MATCH(G498,'ei names mapping'!$B$3:$BL$3,0))</f>
        <v>CH</v>
      </c>
      <c r="D498" t="str">
        <f>INDEX('ei names mapping'!$B$104:$BL$133,MATCH(B468,'ei names mapping'!$A$4:$A$33,0),MATCH(G498,'ei names mapping'!$B$3:$BL$3,0))</f>
        <v>kilogram</v>
      </c>
      <c r="F498" t="s">
        <v>89</v>
      </c>
      <c r="G498" t="s">
        <v>27</v>
      </c>
      <c r="H498" t="str">
        <f>INDEX('ei names mapping'!$B$71:$BL$100,MATCH(B468,'ei names mapping'!$A$4:$A$33,0),MATCH(G498,'ei names mapping'!$B$3:$BL$3,0))</f>
        <v>gasoline blend</v>
      </c>
    </row>
    <row r="499" spans="1:8" x14ac:dyDescent="0.2">
      <c r="A499" t="str">
        <f>INDEX('ei names mapping'!$B$4:$BL$33,MATCH(B468,'ei names mapping'!$A$4:$A$33,0),MATCH(G499,'ei names mapping'!$B$3:$BL$3,0))</f>
        <v>Carbon dioxide, fossil</v>
      </c>
      <c r="B499" s="7">
        <f>INDEX('vehicles specifications'!$B$3:$CW$166,MATCH(B471,'vehicles specifications'!$A$3:$A$166,0),MATCH(G499,'vehicles specifications'!$B$2:$CW$2,0))*INDEX('ei names mapping'!$B$137:$BL$300,MATCH(B471,'ei names mapping'!$A$137:$A$300,0),MATCH(G499,'ei names mapping'!$B$136:$BL$136,0))</f>
        <v>0.13945996928013743</v>
      </c>
      <c r="D499" t="str">
        <f>INDEX('ei names mapping'!$B$104:$BL$133,MATCH(B468,'ei names mapping'!$A$4:$A$33,0),MATCH(G499,'ei names mapping'!$B$3:$BL$3,0))</f>
        <v>kilogram</v>
      </c>
      <c r="E499" t="str">
        <f>INDEX('ei names mapping'!$B$305:$BL$335,MATCH(B468,'ei names mapping'!$A$4:$A$33,0),MATCH(G499,'ei names mapping'!$B$3:$BL$3,0))</f>
        <v>air::urban air close to ground</v>
      </c>
      <c r="F499" t="s">
        <v>167</v>
      </c>
      <c r="G499" t="s">
        <v>66</v>
      </c>
    </row>
    <row r="500" spans="1:8" x14ac:dyDescent="0.2">
      <c r="A500" t="str">
        <f>INDEX('ei names mapping'!$B$4:$BL$33,MATCH(B468,'ei names mapping'!$A$4:$A$33,0),MATCH(G500,'ei names mapping'!$B$3:$BL$3,0))</f>
        <v>Carbon dioxide, from soil or biomass stock</v>
      </c>
      <c r="B500" s="11">
        <f>INDEX('vehicles specifications'!$B$3:$CW$166,MATCH(B471,'vehicles specifications'!$A$3:$A$166,0),MATCH(G500,'vehicles specifications'!$B$2:$CW$2,0))*INDEX('ei names mapping'!$B$137:$BL$300,MATCH(B471,'ei names mapping'!$A$137:$A$300,0),MATCH(G500,'ei names mapping'!$B$136:$BL$136,0))</f>
        <v>1.6938457807304144E-3</v>
      </c>
      <c r="D500" t="str">
        <f>INDEX('ei names mapping'!$B$104:$BL$133,MATCH(B468,'ei names mapping'!$A$4:$A$33,0),MATCH(G500,'ei names mapping'!$B$3:$BL$3,0))</f>
        <v>kilogram</v>
      </c>
      <c r="E500" t="str">
        <f>INDEX('ei names mapping'!$B$305:$BL$335,MATCH(B468,'ei names mapping'!$A$4:$A$33,0),MATCH(G500,'ei names mapping'!$B$3:$BL$3,0))</f>
        <v>air::urban air close to ground</v>
      </c>
      <c r="F500" t="s">
        <v>167</v>
      </c>
      <c r="G500" t="s">
        <v>843</v>
      </c>
    </row>
    <row r="501" spans="1:8" x14ac:dyDescent="0.2">
      <c r="A501" t="str">
        <f>INDEX('ei names mapping'!$B$4:$BL$33,MATCH(B468,'ei names mapping'!$A$4:$A$33,0),MATCH(G501,'ei names mapping'!$B$3:$BL$3,0))</f>
        <v>Sulfur dioxide</v>
      </c>
      <c r="B501" s="7">
        <f>INDEX('vehicles specifications'!$B$3:$CW$166,MATCH(B471,'vehicles specifications'!$A$3:$A$166,0),MATCH(G501,'vehicles specifications'!$B$2:$CW$2,0))*INDEX('ei names mapping'!$B$137:$BL$300,MATCH(B471,'ei names mapping'!$A$137:$A$300,0),MATCH(G501,'ei names mapping'!$B$136:$BL$136,0))</f>
        <v>7.1925510859040943E-7</v>
      </c>
      <c r="D501" t="str">
        <f>INDEX('ei names mapping'!$B$104:$BL$133,MATCH(B468,'ei names mapping'!$A$4:$A$33,0),MATCH(G501,'ei names mapping'!$B$3:$BL$3,0))</f>
        <v>kilogram</v>
      </c>
      <c r="E501" t="str">
        <f>INDEX('ei names mapping'!$B$305:$BL$335,MATCH(B468,'ei names mapping'!$A$4:$A$33,0),MATCH(G501,'ei names mapping'!$B$3:$BL$3,0))</f>
        <v>air::urban air close to ground</v>
      </c>
      <c r="F501" t="s">
        <v>167</v>
      </c>
      <c r="G501" t="s">
        <v>67</v>
      </c>
    </row>
    <row r="502" spans="1:8" x14ac:dyDescent="0.2">
      <c r="A502" t="str">
        <f>INDEX('ei names mapping'!$B$4:$BL$33,MATCH(B468,'ei names mapping'!$A$4:$A$33,0),MATCH(G502,'ei names mapping'!$B$3:$BL$3,0))</f>
        <v>Benzene</v>
      </c>
      <c r="B502" s="7">
        <f>INDEX('vehicles specifications'!$B$3:$CW$166,MATCH(B471,'vehicles specifications'!$A$3:$A$166,0),MATCH(G502,'vehicles specifications'!$B$2:$CW$2,0))*INDEX('ei names mapping'!$B$137:$BL$300,MATCH(B471,'ei names mapping'!$A$137:$A$300,0),MATCH(G502,'ei names mapping'!$B$136:$BL$136,0))</f>
        <v>1.459273693266061E-6</v>
      </c>
      <c r="D502" t="str">
        <f>INDEX('ei names mapping'!$B$104:$BL$133,MATCH(B468,'ei names mapping'!$A$4:$A$33,0),MATCH(G502,'ei names mapping'!$B$3:$BL$3,0))</f>
        <v>kilogram</v>
      </c>
      <c r="E502" t="str">
        <f>INDEX('ei names mapping'!$B$305:$BL$335,MATCH(B468,'ei names mapping'!$A$4:$A$33,0),MATCH(G502,'ei names mapping'!$B$3:$BL$3,0))</f>
        <v>air::urban air close to ground</v>
      </c>
      <c r="F502" t="s">
        <v>167</v>
      </c>
      <c r="G502" t="s">
        <v>55</v>
      </c>
    </row>
    <row r="503" spans="1:8" x14ac:dyDescent="0.2">
      <c r="A503" t="str">
        <f>INDEX('ei names mapping'!$B$4:$BL$33,MATCH(B468,'ei names mapping'!$A$4:$A$33,0),MATCH(G503,'ei names mapping'!$B$3:$BL$3,0))</f>
        <v>Methane, fossil</v>
      </c>
      <c r="B503" s="7">
        <f>INDEX('vehicles specifications'!$B$3:$CW$166,MATCH(B471,'vehicles specifications'!$A$3:$A$166,0),MATCH(G503,'vehicles specifications'!$B$2:$CW$2,0))*INDEX('ei names mapping'!$B$137:$BL$300,MATCH(B471,'ei names mapping'!$A$137:$A$300,0),MATCH(G503,'ei names mapping'!$B$136:$BL$136,0))</f>
        <v>2.0569291768525646E-5</v>
      </c>
      <c r="D503" t="str">
        <f>INDEX('ei names mapping'!$B$104:$BL$133,MATCH(B468,'ei names mapping'!$A$4:$A$33,0),MATCH(G503,'ei names mapping'!$B$3:$BL$3,0))</f>
        <v>kilogram</v>
      </c>
      <c r="E503" t="str">
        <f>INDEX('ei names mapping'!$B$305:$BL$335,MATCH(B468,'ei names mapping'!$A$4:$A$33,0),MATCH(G503,'ei names mapping'!$B$3:$BL$3,0))</f>
        <v>air::urban air close to ground</v>
      </c>
      <c r="F503" t="s">
        <v>167</v>
      </c>
      <c r="G503" t="s">
        <v>56</v>
      </c>
    </row>
    <row r="504" spans="1:8" x14ac:dyDescent="0.2">
      <c r="A504" t="str">
        <f>INDEX('ei names mapping'!$B$4:$BL$33,MATCH(B468,'ei names mapping'!$A$4:$A$33,0),MATCH(G504,'ei names mapping'!$B$3:$BL$3,0))</f>
        <v>Carbon monoxide, fossil</v>
      </c>
      <c r="B504" s="7">
        <f>INDEX('vehicles specifications'!$B$3:$CW$166,MATCH(B471,'vehicles specifications'!$A$3:$A$166,0),MATCH(G504,'vehicles specifications'!$B$2:$CW$2,0))*INDEX('ei names mapping'!$B$137:$BL$300,MATCH(B471,'ei names mapping'!$A$137:$A$300,0),MATCH(G504,'ei names mapping'!$B$136:$BL$136,0))</f>
        <v>1.5981599694916431E-4</v>
      </c>
      <c r="D504" t="str">
        <f>INDEX('ei names mapping'!$B$104:$BL$133,MATCH(B468,'ei names mapping'!$A$4:$A$33,0),MATCH(G504,'ei names mapping'!$B$3:$BL$3,0))</f>
        <v>kilogram</v>
      </c>
      <c r="E504" t="str">
        <f>INDEX('ei names mapping'!$B$305:$BL$335,MATCH(B468,'ei names mapping'!$A$4:$A$33,0),MATCH(G504,'ei names mapping'!$B$3:$BL$3,0))</f>
        <v>air::urban air close to ground</v>
      </c>
      <c r="F504" t="s">
        <v>167</v>
      </c>
      <c r="G504" t="s">
        <v>57</v>
      </c>
    </row>
    <row r="505" spans="1:8" x14ac:dyDescent="0.2">
      <c r="A505" t="str">
        <f>INDEX('ei names mapping'!$B$4:$BL$33,MATCH(B468,'ei names mapping'!$A$4:$A$33,0),MATCH(G505,'ei names mapping'!$B$3:$BL$3,0))</f>
        <v>Dinitrogen monoxide</v>
      </c>
      <c r="B505" s="7">
        <f>INDEX('vehicles specifications'!$B$3:$CW$166,MATCH(B471,'vehicles specifications'!$A$3:$A$166,0),MATCH(G505,'vehicles specifications'!$B$2:$CW$2,0))*INDEX('ei names mapping'!$B$137:$BL$300,MATCH(B471,'ei names mapping'!$A$137:$A$300,0),MATCH(G505,'ei names mapping'!$B$136:$BL$136,0))</f>
        <v>1.0825943036066128E-6</v>
      </c>
      <c r="D505" t="str">
        <f>INDEX('ei names mapping'!$B$104:$BL$133,MATCH(B468,'ei names mapping'!$A$4:$A$33,0),MATCH(G505,'ei names mapping'!$B$3:$BL$3,0))</f>
        <v>kilogram</v>
      </c>
      <c r="E505" t="str">
        <f>INDEX('ei names mapping'!$B$305:$BL$335,MATCH(B468,'ei names mapping'!$A$4:$A$33,0),MATCH(G505,'ei names mapping'!$B$3:$BL$3,0))</f>
        <v>air::urban air close to ground</v>
      </c>
      <c r="F505" t="s">
        <v>167</v>
      </c>
      <c r="G505" t="s">
        <v>58</v>
      </c>
    </row>
    <row r="506" spans="1:8" x14ac:dyDescent="0.2">
      <c r="A506" t="str">
        <f>INDEX('ei names mapping'!$B$4:$BL$33,MATCH(B468,'ei names mapping'!$A$4:$A$33,0),MATCH(G506,'ei names mapping'!$B$3:$BL$3,0))</f>
        <v>Ammonia</v>
      </c>
      <c r="B506" s="7">
        <f>INDEX('vehicles specifications'!$B$3:$CW$166,MATCH(B471,'vehicles specifications'!$A$3:$A$166,0),MATCH(G506,'vehicles specifications'!$B$2:$CW$2,0))*INDEX('ei names mapping'!$B$137:$BL$300,MATCH(B471,'ei names mapping'!$A$137:$A$300,0),MATCH(G506,'ei names mapping'!$B$136:$BL$136,0))</f>
        <v>1.0825943036066128E-6</v>
      </c>
      <c r="D506" t="str">
        <f>INDEX('ei names mapping'!$B$104:$BL$133,MATCH(B468,'ei names mapping'!$A$4:$A$33,0),MATCH(G506,'ei names mapping'!$B$3:$BL$3,0))</f>
        <v>kilogram</v>
      </c>
      <c r="E506" t="str">
        <f>INDEX('ei names mapping'!$B$305:$BL$335,MATCH(B468,'ei names mapping'!$A$4:$A$33,0),MATCH(G506,'ei names mapping'!$B$3:$BL$3,0))</f>
        <v>air::urban air close to ground</v>
      </c>
      <c r="F506" t="s">
        <v>167</v>
      </c>
      <c r="G506" t="s">
        <v>59</v>
      </c>
    </row>
    <row r="507" spans="1:8" x14ac:dyDescent="0.2">
      <c r="A507" t="str">
        <f>INDEX('ei names mapping'!$B$4:$BL$33,MATCH(B468,'ei names mapping'!$A$4:$A$33,0),MATCH(G507,'ei names mapping'!$B$3:$BL$3,0))</f>
        <v>Nitrogen oxides</v>
      </c>
      <c r="B507" s="7">
        <f>INDEX('vehicles specifications'!$B$3:$CW$166,MATCH(B471,'vehicles specifications'!$A$3:$A$166,0),MATCH(G507,'vehicles specifications'!$B$2:$CW$2,0))*INDEX('ei names mapping'!$B$137:$BL$300,MATCH(B471,'ei names mapping'!$A$137:$A$300,0),MATCH(G507,'ei names mapping'!$B$136:$BL$136,0))</f>
        <v>9.1119679228174102E-6</v>
      </c>
      <c r="D507" t="str">
        <f>INDEX('ei names mapping'!$B$104:$BL$133,MATCH(B468,'ei names mapping'!$A$4:$A$33,0),MATCH(G507,'ei names mapping'!$B$3:$BL$3,0))</f>
        <v>kilogram</v>
      </c>
      <c r="E507" t="str">
        <f>INDEX('ei names mapping'!$B$305:$BL$335,MATCH(B468,'ei names mapping'!$A$4:$A$33,0),MATCH(G507,'ei names mapping'!$B$3:$BL$3,0))</f>
        <v>air::urban air close to ground</v>
      </c>
      <c r="F507" t="s">
        <v>167</v>
      </c>
      <c r="G507" t="s">
        <v>60</v>
      </c>
    </row>
    <row r="508" spans="1:8" x14ac:dyDescent="0.2">
      <c r="A508" t="str">
        <f>INDEX('ei names mapping'!$B$4:$BL$33,MATCH(B468,'ei names mapping'!$A$4:$A$33,0),MATCH(G508,'ei names mapping'!$B$3:$BL$3,0))</f>
        <v>Particulates, &lt; 2.5 um</v>
      </c>
      <c r="B508" s="7">
        <f>INDEX('vehicles specifications'!$B$3:$CW$166,MATCH(B$471,'vehicles specifications'!$A$3:$A$166,0),MATCH(G508,'vehicles specifications'!$B$2:$CW$2,0))*INDEX('ei names mapping'!$B$137:$BL$300,MATCH(B$471,'ei names mapping'!$A$137:$A$300,0),MATCH(G508,'ei names mapping'!$B$136:$BL$136,0))</f>
        <v>2.7064857590165319E-6</v>
      </c>
      <c r="D508" t="str">
        <f>INDEX('ei names mapping'!$B$104:$BL$133,MATCH(B468,'ei names mapping'!$A$4:$A$33,0),MATCH(G508,'ei names mapping'!$B$3:$BL$3,0))</f>
        <v>kilogram</v>
      </c>
      <c r="E508" t="str">
        <f>INDEX('ei names mapping'!$B$305:$BL$335,MATCH(B468,'ei names mapping'!$A$4:$A$33,0),MATCH(G508,'ei names mapping'!$B$3:$BL$3,0))</f>
        <v>air::urban air close to ground</v>
      </c>
      <c r="F508" t="s">
        <v>167</v>
      </c>
      <c r="G508" t="s">
        <v>62</v>
      </c>
    </row>
    <row r="509" spans="1:8" x14ac:dyDescent="0.2">
      <c r="A509" t="str">
        <f>INDEX('ei names mapping'!$B$4:$BL$33,MATCH(B$234,'ei names mapping'!$A$4:$A$33,0),MATCH(G509,'ei names mapping'!$B$3:$BL$3,0))</f>
        <v>NMVOC, non-methane volatile organic compounds, unspecified origin</v>
      </c>
      <c r="B509" s="7">
        <f>INDEX('vehicles specifications'!$B$3:$CW$166,MATCH(B$471,'vehicles specifications'!$A$3:$A$166,0),MATCH(G509,'vehicles specifications'!$B$2:$CW$2,0))*INDEX('ei names mapping'!$B$137:$BL$300,MATCH(B$471,'ei names mapping'!$A$137:$A$300,0),MATCH(G509,'ei names mapping'!$B$136:$BL$136,0))</f>
        <v>1.1767832777781926E-5</v>
      </c>
      <c r="D509" t="str">
        <f>INDEX('ei names mapping'!$B$104:$BL$133,MATCH(B$234,'ei names mapping'!$A$4:$A$33,0),MATCH(G509,'ei names mapping'!$B$3:$BL$3,0))</f>
        <v>kilogram</v>
      </c>
      <c r="E509" t="str">
        <f>INDEX('ei names mapping'!$B$305:$BL$335,MATCH(B$234,'ei names mapping'!$A$4:$A$33,0),MATCH(G509,'ei names mapping'!$B$3:$BL$3,0))</f>
        <v>air::urban air close to ground</v>
      </c>
      <c r="F509" t="s">
        <v>167</v>
      </c>
      <c r="G509" t="s">
        <v>593</v>
      </c>
    </row>
    <row r="510" spans="1:8" x14ac:dyDescent="0.2">
      <c r="A510" t="str">
        <f>INDEX('ei names mapping'!$B$4:$BL$33,MATCH(B$234,'ei names mapping'!$A$4:$A$33,0),MATCH(G510,'ei names mapping'!$B$3:$BL$3,0))</f>
        <v>Ethane</v>
      </c>
      <c r="B510" s="7">
        <f>INDEX('vehicles specifications'!$B$3:$CW$166,MATCH(B$471,'vehicles specifications'!$A$3:$A$166,0),MATCH(G510,'vehicles specifications'!$B$2:$CW$2,0))*INDEX('ei names mapping'!$B$137:$BL$300,MATCH(B$471,'ei names mapping'!$A$137:$A$300,0),MATCH(G510,'ei names mapping'!$B$136:$BL$136,0))</f>
        <v>8.2978308048462282E-7</v>
      </c>
      <c r="D510" t="str">
        <f>INDEX('ei names mapping'!$B$104:$BL$133,MATCH(B$234,'ei names mapping'!$A$4:$A$33,0),MATCH(G510,'ei names mapping'!$B$3:$BL$3,0))</f>
        <v>kilogram</v>
      </c>
      <c r="E510" t="str">
        <f>INDEX('ei names mapping'!$B$305:$BL$335,MATCH(B$234,'ei names mapping'!$A$4:$A$33,0),MATCH(G510,'ei names mapping'!$B$3:$BL$3,0))</f>
        <v>air::urban air close to ground</v>
      </c>
      <c r="F510" t="s">
        <v>167</v>
      </c>
      <c r="G510" t="s">
        <v>541</v>
      </c>
    </row>
    <row r="511" spans="1:8" x14ac:dyDescent="0.2">
      <c r="A511" t="str">
        <f>INDEX('ei names mapping'!$B$4:$BL$33,MATCH(B$234,'ei names mapping'!$A$4:$A$33,0),MATCH(G511,'ei names mapping'!$B$3:$BL$3,0))</f>
        <v>Propane</v>
      </c>
      <c r="B511" s="7">
        <f>INDEX('vehicles specifications'!$B$3:$CW$166,MATCH(B$471,'vehicles specifications'!$A$3:$A$166,0),MATCH(G511,'vehicles specifications'!$B$2:$CW$2,0))*INDEX('ei names mapping'!$B$137:$BL$300,MATCH(B$471,'ei names mapping'!$A$137:$A$300,0),MATCH(G511,'ei names mapping'!$B$136:$BL$136,0))</f>
        <v>1.6907805715203913E-7</v>
      </c>
      <c r="D511" t="str">
        <f>INDEX('ei names mapping'!$B$104:$BL$133,MATCH(B$234,'ei names mapping'!$A$4:$A$33,0),MATCH(G511,'ei names mapping'!$B$3:$BL$3,0))</f>
        <v>kilogram</v>
      </c>
      <c r="E511" t="str">
        <f>INDEX('ei names mapping'!$B$305:$BL$335,MATCH(B$234,'ei names mapping'!$A$4:$A$33,0),MATCH(G511,'ei names mapping'!$B$3:$BL$3,0))</f>
        <v>air::urban air close to ground</v>
      </c>
      <c r="F511" t="s">
        <v>167</v>
      </c>
      <c r="G511" t="s">
        <v>542</v>
      </c>
    </row>
    <row r="512" spans="1:8" x14ac:dyDescent="0.2">
      <c r="A512" t="str">
        <f>INDEX('ei names mapping'!$B$4:$BL$33,MATCH(B$234,'ei names mapping'!$A$4:$A$33,0),MATCH(G512,'ei names mapping'!$B$3:$BL$3,0))</f>
        <v>Butane</v>
      </c>
      <c r="B512" s="7">
        <f>INDEX('vehicles specifications'!$B$3:$CW$166,MATCH(B$471,'vehicles specifications'!$A$3:$A$166,0),MATCH(G512,'vehicles specifications'!$B$2:$CW$2,0))*INDEX('ei names mapping'!$B$137:$BL$300,MATCH(B$471,'ei names mapping'!$A$137:$A$300,0),MATCH(G512,'ei names mapping'!$B$136:$BL$136,0))</f>
        <v>1.3630292607333617E-6</v>
      </c>
      <c r="D512" t="str">
        <f>INDEX('ei names mapping'!$B$104:$BL$133,MATCH(B$234,'ei names mapping'!$A$4:$A$33,0),MATCH(G512,'ei names mapping'!$B$3:$BL$3,0))</f>
        <v>kilogram</v>
      </c>
      <c r="E512" t="str">
        <f>INDEX('ei names mapping'!$B$305:$BL$335,MATCH(B$234,'ei names mapping'!$A$4:$A$33,0),MATCH(G512,'ei names mapping'!$B$3:$BL$3,0))</f>
        <v>air::urban air close to ground</v>
      </c>
      <c r="F512" t="s">
        <v>167</v>
      </c>
      <c r="G512" t="s">
        <v>543</v>
      </c>
    </row>
    <row r="513" spans="1:7" x14ac:dyDescent="0.2">
      <c r="A513" t="str">
        <f>INDEX('ei names mapping'!$B$4:$BL$33,MATCH(B$234,'ei names mapping'!$A$4:$A$33,0),MATCH(G513,'ei names mapping'!$B$3:$BL$3,0))</f>
        <v>Pentane</v>
      </c>
      <c r="B513" s="7">
        <f>INDEX('vehicles specifications'!$B$3:$CW$166,MATCH(B$471,'vehicles specifications'!$A$3:$A$166,0),MATCH(G513,'vehicles specifications'!$B$2:$CW$2,0))*INDEX('ei names mapping'!$B$137:$BL$300,MATCH(B$471,'ei names mapping'!$A$137:$A$300,0),MATCH(G513,'ei names mapping'!$B$136:$BL$136,0))</f>
        <v>5.5925818904136034E-7</v>
      </c>
      <c r="D513" t="str">
        <f>INDEX('ei names mapping'!$B$104:$BL$133,MATCH(B$234,'ei names mapping'!$A$4:$A$33,0),MATCH(G513,'ei names mapping'!$B$3:$BL$3,0))</f>
        <v>kilogram</v>
      </c>
      <c r="E513" t="str">
        <f>INDEX('ei names mapping'!$B$305:$BL$335,MATCH(B$234,'ei names mapping'!$A$4:$A$33,0),MATCH(G513,'ei names mapping'!$B$3:$BL$3,0))</f>
        <v>air::urban air close to ground</v>
      </c>
      <c r="F513" t="s">
        <v>167</v>
      </c>
      <c r="G513" t="s">
        <v>544</v>
      </c>
    </row>
    <row r="514" spans="1:7" x14ac:dyDescent="0.2">
      <c r="A514" t="str">
        <f>INDEX('ei names mapping'!$B$4:$BL$33,MATCH(B$234,'ei names mapping'!$A$4:$A$33,0),MATCH(G514,'ei names mapping'!$B$3:$BL$3,0))</f>
        <v>Hexane</v>
      </c>
      <c r="B514" s="7">
        <f>INDEX('vehicles specifications'!$B$3:$CW$166,MATCH(B$471,'vehicles specifications'!$A$3:$A$166,0),MATCH(G514,'vehicles specifications'!$B$2:$CW$2,0))*INDEX('ei names mapping'!$B$137:$BL$300,MATCH(B$471,'ei names mapping'!$A$137:$A$300,0),MATCH(G514,'ei names mapping'!$B$136:$BL$136,0))</f>
        <v>4.1879334156120465E-7</v>
      </c>
      <c r="D514" t="str">
        <f>INDEX('ei names mapping'!$B$104:$BL$133,MATCH(B$234,'ei names mapping'!$A$4:$A$33,0),MATCH(G514,'ei names mapping'!$B$3:$BL$3,0))</f>
        <v>kilogram</v>
      </c>
      <c r="E514" t="str">
        <f>INDEX('ei names mapping'!$B$305:$BL$335,MATCH(B$234,'ei names mapping'!$A$4:$A$33,0),MATCH(G514,'ei names mapping'!$B$3:$BL$3,0))</f>
        <v>air::urban air close to ground</v>
      </c>
      <c r="F514" t="s">
        <v>167</v>
      </c>
      <c r="G514" t="s">
        <v>545</v>
      </c>
    </row>
    <row r="515" spans="1:7" x14ac:dyDescent="0.2">
      <c r="A515" t="str">
        <f>INDEX('ei names mapping'!$B$4:$BL$33,MATCH(B$234,'ei names mapping'!$A$4:$A$33,0),MATCH(G515,'ei names mapping'!$B$3:$BL$3,0))</f>
        <v>Cyclohexane</v>
      </c>
      <c r="B515" s="7">
        <f>INDEX('vehicles specifications'!$B$3:$CW$166,MATCH(B$471,'vehicles specifications'!$A$3:$A$166,0),MATCH(G515,'vehicles specifications'!$B$2:$CW$2,0))*INDEX('ei names mapping'!$B$137:$BL$300,MATCH(B$471,'ei names mapping'!$A$137:$A$300,0),MATCH(G515,'ei names mapping'!$B$136:$BL$136,0))</f>
        <v>2.9653690023588408E-7</v>
      </c>
      <c r="D515" t="str">
        <f>INDEX('ei names mapping'!$B$104:$BL$133,MATCH(B$234,'ei names mapping'!$A$4:$A$33,0),MATCH(G515,'ei names mapping'!$B$3:$BL$3,0))</f>
        <v>kilogram</v>
      </c>
      <c r="E515" t="str">
        <f>INDEX('ei names mapping'!$B$305:$BL$335,MATCH(B$234,'ei names mapping'!$A$4:$A$33,0),MATCH(G515,'ei names mapping'!$B$3:$BL$3,0))</f>
        <v>air::urban air close to ground</v>
      </c>
      <c r="F515" t="s">
        <v>167</v>
      </c>
      <c r="G515" t="s">
        <v>546</v>
      </c>
    </row>
    <row r="516" spans="1:7" x14ac:dyDescent="0.2">
      <c r="A516" t="str">
        <f>INDEX('ei names mapping'!$B$4:$BL$33,MATCH(B$234,'ei names mapping'!$A$4:$A$33,0),MATCH(G516,'ei names mapping'!$B$3:$BL$3,0))</f>
        <v>Heptane</v>
      </c>
      <c r="B516" s="7">
        <f>INDEX('vehicles specifications'!$B$3:$CW$166,MATCH(B$471,'vehicles specifications'!$A$3:$A$166,0),MATCH(G516,'vehicles specifications'!$B$2:$CW$2,0))*INDEX('ei names mapping'!$B$137:$BL$300,MATCH(B$471,'ei names mapping'!$A$137:$A$300,0),MATCH(G516,'ei names mapping'!$B$136:$BL$136,0))</f>
        <v>1.9248886506539842E-7</v>
      </c>
      <c r="D516" t="str">
        <f>INDEX('ei names mapping'!$B$104:$BL$133,MATCH(B$234,'ei names mapping'!$A$4:$A$33,0),MATCH(G516,'ei names mapping'!$B$3:$BL$3,0))</f>
        <v>kilogram</v>
      </c>
      <c r="E516" t="str">
        <f>INDEX('ei names mapping'!$B$305:$BL$335,MATCH(B$234,'ei names mapping'!$A$4:$A$33,0),MATCH(G516,'ei names mapping'!$B$3:$BL$3,0))</f>
        <v>air::urban air close to ground</v>
      </c>
      <c r="F516" t="s">
        <v>167</v>
      </c>
      <c r="G516" t="s">
        <v>547</v>
      </c>
    </row>
    <row r="517" spans="1:7" x14ac:dyDescent="0.2">
      <c r="A517" t="str">
        <f>INDEX('ei names mapping'!$B$4:$BL$33,MATCH(B$234,'ei names mapping'!$A$4:$A$33,0),MATCH(G517,'ei names mapping'!$B$3:$BL$3,0))</f>
        <v>Ethene</v>
      </c>
      <c r="B517" s="7">
        <f>INDEX('vehicles specifications'!$B$3:$CW$166,MATCH(B$471,'vehicles specifications'!$A$3:$A$166,0),MATCH(G517,'vehicles specifications'!$B$2:$CW$2,0))*INDEX('ei names mapping'!$B$137:$BL$300,MATCH(B$471,'ei names mapping'!$A$137:$A$300,0),MATCH(G517,'ei names mapping'!$B$136:$BL$136,0))</f>
        <v>1.8988766418613624E-6</v>
      </c>
      <c r="D517" t="str">
        <f>INDEX('ei names mapping'!$B$104:$BL$133,MATCH(B$234,'ei names mapping'!$A$4:$A$33,0),MATCH(G517,'ei names mapping'!$B$3:$BL$3,0))</f>
        <v>kilogram</v>
      </c>
      <c r="E517" t="str">
        <f>INDEX('ei names mapping'!$B$305:$BL$335,MATCH(B$234,'ei names mapping'!$A$4:$A$33,0),MATCH(G517,'ei names mapping'!$B$3:$BL$3,0))</f>
        <v>air::urban air close to ground</v>
      </c>
      <c r="F517" t="s">
        <v>167</v>
      </c>
      <c r="G517" t="s">
        <v>548</v>
      </c>
    </row>
    <row r="518" spans="1:7" x14ac:dyDescent="0.2">
      <c r="A518" t="str">
        <f>INDEX('ei names mapping'!$B$4:$BL$33,MATCH(B$234,'ei names mapping'!$A$4:$A$33,0),MATCH(G518,'ei names mapping'!$B$3:$BL$3,0))</f>
        <v>Propene</v>
      </c>
      <c r="B518" s="7">
        <f>INDEX('vehicles specifications'!$B$3:$CW$166,MATCH(B$471,'vehicles specifications'!$A$3:$A$166,0),MATCH(G518,'vehicles specifications'!$B$2:$CW$2,0))*INDEX('ei names mapping'!$B$137:$BL$300,MATCH(B$471,'ei names mapping'!$A$137:$A$300,0),MATCH(G518,'ei names mapping'!$B$136:$BL$136,0))</f>
        <v>9.9365873587813773E-7</v>
      </c>
      <c r="D518" t="str">
        <f>INDEX('ei names mapping'!$B$104:$BL$133,MATCH(B$234,'ei names mapping'!$A$4:$A$33,0),MATCH(G518,'ei names mapping'!$B$3:$BL$3,0))</f>
        <v>kilogram</v>
      </c>
      <c r="E518" t="str">
        <f>INDEX('ei names mapping'!$B$305:$BL$335,MATCH(B$234,'ei names mapping'!$A$4:$A$33,0),MATCH(G518,'ei names mapping'!$B$3:$BL$3,0))</f>
        <v>air::urban air close to ground</v>
      </c>
      <c r="F518" t="s">
        <v>167</v>
      </c>
      <c r="G518" t="s">
        <v>549</v>
      </c>
    </row>
    <row r="519" spans="1:7" x14ac:dyDescent="0.2">
      <c r="A519" t="str">
        <f>INDEX('ei names mapping'!$B$4:$BL$33,MATCH(B$234,'ei names mapping'!$A$4:$A$33,0),MATCH(G519,'ei names mapping'!$B$3:$BL$3,0))</f>
        <v>1-Pentene</v>
      </c>
      <c r="B519" s="7">
        <f>INDEX('vehicles specifications'!$B$3:$CW$166,MATCH(B$471,'vehicles specifications'!$A$3:$A$166,0),MATCH(G519,'vehicles specifications'!$B$2:$CW$2,0))*INDEX('ei names mapping'!$B$137:$BL$300,MATCH(B$471,'ei names mapping'!$A$137:$A$300,0),MATCH(G519,'ei names mapping'!$B$136:$BL$136,0))</f>
        <v>2.8613209671883554E-8</v>
      </c>
      <c r="D519" t="str">
        <f>INDEX('ei names mapping'!$B$104:$BL$133,MATCH(B$234,'ei names mapping'!$A$4:$A$33,0),MATCH(G519,'ei names mapping'!$B$3:$BL$3,0))</f>
        <v>kilogram</v>
      </c>
      <c r="E519" t="str">
        <f>INDEX('ei names mapping'!$B$305:$BL$335,MATCH(B$234,'ei names mapping'!$A$4:$A$33,0),MATCH(G519,'ei names mapping'!$B$3:$BL$3,0))</f>
        <v>air::urban air close to ground</v>
      </c>
      <c r="F519" t="s">
        <v>167</v>
      </c>
      <c r="G519" t="s">
        <v>550</v>
      </c>
    </row>
    <row r="520" spans="1:7" x14ac:dyDescent="0.2">
      <c r="A520" t="str">
        <f>INDEX('ei names mapping'!$B$4:$BL$33,MATCH(B$234,'ei names mapping'!$A$4:$A$33,0),MATCH(G520,'ei names mapping'!$B$3:$BL$3,0))</f>
        <v>Toluene</v>
      </c>
      <c r="B520" s="7">
        <f>INDEX('vehicles specifications'!$B$3:$CW$166,MATCH(B$471,'vehicles specifications'!$A$3:$A$166,0),MATCH(G520,'vehicles specifications'!$B$2:$CW$2,0))*INDEX('ei names mapping'!$B$137:$BL$300,MATCH(B$471,'ei names mapping'!$A$137:$A$300,0),MATCH(G520,'ei names mapping'!$B$136:$BL$136,0))</f>
        <v>2.8561185654298302E-6</v>
      </c>
      <c r="D520" t="str">
        <f>INDEX('ei names mapping'!$B$104:$BL$133,MATCH(B$234,'ei names mapping'!$A$4:$A$33,0),MATCH(G520,'ei names mapping'!$B$3:$BL$3,0))</f>
        <v>kilogram</v>
      </c>
      <c r="E520" t="str">
        <f>INDEX('ei names mapping'!$B$305:$BL$335,MATCH(B$234,'ei names mapping'!$A$4:$A$33,0),MATCH(G520,'ei names mapping'!$B$3:$BL$3,0))</f>
        <v>air::urban air close to ground</v>
      </c>
      <c r="F520" t="s">
        <v>167</v>
      </c>
      <c r="G520" t="s">
        <v>551</v>
      </c>
    </row>
    <row r="521" spans="1:7" x14ac:dyDescent="0.2">
      <c r="A521" t="str">
        <f>INDEX('ei names mapping'!$B$4:$BL$33,MATCH(B$234,'ei names mapping'!$A$4:$A$33,0),MATCH(G521,'ei names mapping'!$B$3:$BL$3,0))</f>
        <v>m-Xylene</v>
      </c>
      <c r="B521" s="7">
        <f>INDEX('vehicles specifications'!$B$3:$CW$166,MATCH(B$471,'vehicles specifications'!$A$3:$A$166,0),MATCH(G521,'vehicles specifications'!$B$2:$CW$2,0))*INDEX('ei names mapping'!$B$137:$BL$300,MATCH(B$471,'ei names mapping'!$A$137:$A$300,0),MATCH(G521,'ei names mapping'!$B$136:$BL$136,0))</f>
        <v>1.4124520774393426E-6</v>
      </c>
      <c r="D521" t="str">
        <f>INDEX('ei names mapping'!$B$104:$BL$133,MATCH(B$234,'ei names mapping'!$A$4:$A$33,0),MATCH(G521,'ei names mapping'!$B$3:$BL$3,0))</f>
        <v>kilogram</v>
      </c>
      <c r="E521" t="str">
        <f>INDEX('ei names mapping'!$B$305:$BL$335,MATCH(B$234,'ei names mapping'!$A$4:$A$33,0),MATCH(G521,'ei names mapping'!$B$3:$BL$3,0))</f>
        <v>air::urban air close to ground</v>
      </c>
      <c r="F521" t="s">
        <v>167</v>
      </c>
      <c r="G521" t="s">
        <v>552</v>
      </c>
    </row>
    <row r="522" spans="1:7" x14ac:dyDescent="0.2">
      <c r="A522" t="str">
        <f>INDEX('ei names mapping'!$B$4:$BL$33,MATCH(B$234,'ei names mapping'!$A$4:$A$33,0),MATCH(G522,'ei names mapping'!$B$3:$BL$3,0))</f>
        <v>o-Xylene</v>
      </c>
      <c r="B522" s="7">
        <f>INDEX('vehicles specifications'!$B$3:$CW$166,MATCH(B$471,'vehicles specifications'!$A$3:$A$166,0),MATCH(G522,'vehicles specifications'!$B$2:$CW$2,0))*INDEX('ei names mapping'!$B$137:$BL$300,MATCH(B$471,'ei names mapping'!$A$137:$A$300,0),MATCH(G522,'ei names mapping'!$B$136:$BL$136,0))</f>
        <v>5.878713987132438E-7</v>
      </c>
      <c r="D522" t="str">
        <f>INDEX('ei names mapping'!$B$104:$BL$133,MATCH(B$234,'ei names mapping'!$A$4:$A$33,0),MATCH(G522,'ei names mapping'!$B$3:$BL$3,0))</f>
        <v>kilogram</v>
      </c>
      <c r="E522" t="str">
        <f>INDEX('ei names mapping'!$B$305:$BL$335,MATCH(B$234,'ei names mapping'!$A$4:$A$33,0),MATCH(G522,'ei names mapping'!$B$3:$BL$3,0))</f>
        <v>air::urban air close to ground</v>
      </c>
      <c r="F522" t="s">
        <v>167</v>
      </c>
      <c r="G522" t="s">
        <v>553</v>
      </c>
    </row>
    <row r="523" spans="1:7" x14ac:dyDescent="0.2">
      <c r="A523" t="str">
        <f>INDEX('ei names mapping'!$B$4:$BL$33,MATCH(B$234,'ei names mapping'!$A$4:$A$33,0),MATCH(G523,'ei names mapping'!$B$3:$BL$3,0))</f>
        <v>Formaldehyde</v>
      </c>
      <c r="B523" s="7">
        <f>INDEX('vehicles specifications'!$B$3:$CW$166,MATCH(B$471,'vehicles specifications'!$A$3:$A$166,0),MATCH(G523,'vehicles specifications'!$B$2:$CW$2,0))*INDEX('ei names mapping'!$B$137:$BL$300,MATCH(B$471,'ei names mapping'!$A$137:$A$300,0),MATCH(G523,'ei names mapping'!$B$136:$BL$136,0))</f>
        <v>4.4220414947456396E-7</v>
      </c>
      <c r="D523" t="str">
        <f>INDEX('ei names mapping'!$B$104:$BL$133,MATCH(B$234,'ei names mapping'!$A$4:$A$33,0),MATCH(G523,'ei names mapping'!$B$3:$BL$3,0))</f>
        <v>kilogram</v>
      </c>
      <c r="E523" t="str">
        <f>INDEX('ei names mapping'!$B$305:$BL$335,MATCH(B$234,'ei names mapping'!$A$4:$A$33,0),MATCH(G523,'ei names mapping'!$B$3:$BL$3,0))</f>
        <v>air::urban air close to ground</v>
      </c>
      <c r="F523" t="s">
        <v>167</v>
      </c>
      <c r="G523" t="s">
        <v>554</v>
      </c>
    </row>
    <row r="524" spans="1:7" x14ac:dyDescent="0.2">
      <c r="A524" t="str">
        <f>INDEX('ei names mapping'!$B$4:$BL$33,MATCH(B$234,'ei names mapping'!$A$4:$A$33,0),MATCH(G524,'ei names mapping'!$B$3:$BL$3,0))</f>
        <v>Acetaldehyde</v>
      </c>
      <c r="B524" s="7">
        <f>INDEX('vehicles specifications'!$B$3:$CW$166,MATCH(B$471,'vehicles specifications'!$A$3:$A$166,0),MATCH(G524,'vehicles specifications'!$B$2:$CW$2,0))*INDEX('ei names mapping'!$B$137:$BL$300,MATCH(B$471,'ei names mapping'!$A$137:$A$300,0),MATCH(G524,'ei names mapping'!$B$136:$BL$136,0))</f>
        <v>1.9509006594466054E-7</v>
      </c>
      <c r="D524" t="str">
        <f>INDEX('ei names mapping'!$B$104:$BL$133,MATCH(B$234,'ei names mapping'!$A$4:$A$33,0),MATCH(G524,'ei names mapping'!$B$3:$BL$3,0))</f>
        <v>kilogram</v>
      </c>
      <c r="E524" t="str">
        <f>INDEX('ei names mapping'!$B$305:$BL$335,MATCH(B$234,'ei names mapping'!$A$4:$A$33,0),MATCH(G524,'ei names mapping'!$B$3:$BL$3,0))</f>
        <v>air::urban air close to ground</v>
      </c>
      <c r="F524" t="s">
        <v>167</v>
      </c>
      <c r="G524" t="s">
        <v>555</v>
      </c>
    </row>
    <row r="525" spans="1:7" x14ac:dyDescent="0.2">
      <c r="A525" t="str">
        <f>INDEX('ei names mapping'!$B$4:$BL$33,MATCH(B$234,'ei names mapping'!$A$4:$A$33,0),MATCH(G525,'ei names mapping'!$B$3:$BL$3,0))</f>
        <v>Benzaldehyde</v>
      </c>
      <c r="B525" s="7">
        <f>INDEX('vehicles specifications'!$B$3:$CW$166,MATCH(B$471,'vehicles specifications'!$A$3:$A$166,0),MATCH(G525,'vehicles specifications'!$B$2:$CW$2,0))*INDEX('ei names mapping'!$B$137:$BL$300,MATCH(B$471,'ei names mapping'!$A$137:$A$300,0),MATCH(G525,'ei names mapping'!$B$136:$BL$136,0))</f>
        <v>5.7226419343767108E-8</v>
      </c>
      <c r="D525" t="str">
        <f>INDEX('ei names mapping'!$B$104:$BL$133,MATCH(B$234,'ei names mapping'!$A$4:$A$33,0),MATCH(G525,'ei names mapping'!$B$3:$BL$3,0))</f>
        <v>kilogram</v>
      </c>
      <c r="E525" t="str">
        <f>INDEX('ei names mapping'!$B$305:$BL$335,MATCH(B$234,'ei names mapping'!$A$4:$A$33,0),MATCH(G525,'ei names mapping'!$B$3:$BL$3,0))</f>
        <v>air::urban air close to ground</v>
      </c>
      <c r="F525" t="s">
        <v>167</v>
      </c>
      <c r="G525" t="s">
        <v>556</v>
      </c>
    </row>
    <row r="526" spans="1:7" x14ac:dyDescent="0.2">
      <c r="A526" t="str">
        <f>INDEX('ei names mapping'!$B$4:$BL$33,MATCH(B$234,'ei names mapping'!$A$4:$A$33,0),MATCH(G526,'ei names mapping'!$B$3:$BL$3,0))</f>
        <v>Acetone</v>
      </c>
      <c r="B526" s="7">
        <f>INDEX('vehicles specifications'!$B$3:$CW$166,MATCH(B$471,'vehicles specifications'!$A$3:$A$166,0),MATCH(G526,'vehicles specifications'!$B$2:$CW$2,0))*INDEX('ei names mapping'!$B$137:$BL$300,MATCH(B$471,'ei names mapping'!$A$137:$A$300,0),MATCH(G526,'ei names mapping'!$B$136:$BL$136,0))</f>
        <v>1.5867325363499058E-7</v>
      </c>
      <c r="D526" t="str">
        <f>INDEX('ei names mapping'!$B$104:$BL$133,MATCH(B$234,'ei names mapping'!$A$4:$A$33,0),MATCH(G526,'ei names mapping'!$B$3:$BL$3,0))</f>
        <v>kilogram</v>
      </c>
      <c r="E526" t="str">
        <f>INDEX('ei names mapping'!$B$305:$BL$335,MATCH(B$234,'ei names mapping'!$A$4:$A$33,0),MATCH(G526,'ei names mapping'!$B$3:$BL$3,0))</f>
        <v>air::urban air close to ground</v>
      </c>
      <c r="F526" t="s">
        <v>167</v>
      </c>
      <c r="G526" t="s">
        <v>557</v>
      </c>
    </row>
    <row r="527" spans="1:7" x14ac:dyDescent="0.2">
      <c r="A527" t="str">
        <f>INDEX('ei names mapping'!$B$4:$BL$33,MATCH(B$234,'ei names mapping'!$A$4:$A$33,0),MATCH(G527,'ei names mapping'!$B$3:$BL$3,0))</f>
        <v>Methyl ethyl ketone</v>
      </c>
      <c r="B527" s="7">
        <f>INDEX('vehicles specifications'!$B$3:$CW$166,MATCH(B$471,'vehicles specifications'!$A$3:$A$166,0),MATCH(G527,'vehicles specifications'!$B$2:$CW$2,0))*INDEX('ei names mapping'!$B$137:$BL$300,MATCH(B$471,'ei names mapping'!$A$137:$A$300,0),MATCH(G527,'ei names mapping'!$B$136:$BL$136,0))</f>
        <v>0</v>
      </c>
      <c r="D527" t="str">
        <f>INDEX('ei names mapping'!$B$104:$BL$133,MATCH(B$234,'ei names mapping'!$A$4:$A$33,0),MATCH(G527,'ei names mapping'!$B$3:$BL$3,0))</f>
        <v>kilogram</v>
      </c>
      <c r="E527" t="str">
        <f>INDEX('ei names mapping'!$B$305:$BL$335,MATCH(B$234,'ei names mapping'!$A$4:$A$33,0),MATCH(G527,'ei names mapping'!$B$3:$BL$3,0))</f>
        <v>air::urban air close to ground</v>
      </c>
      <c r="F527" t="s">
        <v>167</v>
      </c>
      <c r="G527" t="s">
        <v>560</v>
      </c>
    </row>
    <row r="528" spans="1:7" x14ac:dyDescent="0.2">
      <c r="A528" t="str">
        <f>INDEX('ei names mapping'!$B$4:$BL$33,MATCH(B$234,'ei names mapping'!$A$4:$A$33,0),MATCH(G528,'ei names mapping'!$B$3:$BL$3,0))</f>
        <v>Acrolein</v>
      </c>
      <c r="B528" s="7">
        <f>INDEX('vehicles specifications'!$B$3:$CW$166,MATCH(B$471,'vehicles specifications'!$A$3:$A$166,0),MATCH(G528,'vehicles specifications'!$B$2:$CW$2,0))*INDEX('ei names mapping'!$B$137:$BL$300,MATCH(B$471,'ei names mapping'!$A$137:$A$300,0),MATCH(G528,'ei names mapping'!$B$136:$BL$136,0))</f>
        <v>4.9422816705980673E-8</v>
      </c>
      <c r="D528" t="str">
        <f>INDEX('ei names mapping'!$B$104:$BL$133,MATCH(B$234,'ei names mapping'!$A$4:$A$33,0),MATCH(G528,'ei names mapping'!$B$3:$BL$3,0))</f>
        <v>kilogram</v>
      </c>
      <c r="E528" t="str">
        <f>INDEX('ei names mapping'!$B$305:$BL$335,MATCH(B$234,'ei names mapping'!$A$4:$A$33,0),MATCH(G528,'ei names mapping'!$B$3:$BL$3,0))</f>
        <v>air::urban air close to ground</v>
      </c>
      <c r="F528" t="s">
        <v>167</v>
      </c>
      <c r="G528" t="s">
        <v>558</v>
      </c>
    </row>
    <row r="529" spans="1:8" x14ac:dyDescent="0.2">
      <c r="A529" t="str">
        <f>INDEX('ei names mapping'!$B$4:$BL$33,MATCH(B$234,'ei names mapping'!$A$4:$A$33,0),MATCH(G529,'ei names mapping'!$B$3:$BL$3,0))</f>
        <v>Styrene</v>
      </c>
      <c r="B529" s="7">
        <f>INDEX('vehicles specifications'!$B$3:$CW$166,MATCH(B$471,'vehicles specifications'!$A$3:$A$166,0),MATCH(G529,'vehicles specifications'!$B$2:$CW$2,0))*INDEX('ei names mapping'!$B$137:$BL$300,MATCH(B$471,'ei names mapping'!$A$137:$A$300,0),MATCH(G529,'ei names mapping'!$B$136:$BL$136,0))</f>
        <v>2.6272128880547621E-7</v>
      </c>
      <c r="D529" t="str">
        <f>INDEX('ei names mapping'!$B$104:$BL$133,MATCH(B$234,'ei names mapping'!$A$4:$A$33,0),MATCH(G529,'ei names mapping'!$B$3:$BL$3,0))</f>
        <v>kilogram</v>
      </c>
      <c r="E529" t="str">
        <f>INDEX('ei names mapping'!$B$305:$BL$335,MATCH(B$234,'ei names mapping'!$A$4:$A$33,0),MATCH(G529,'ei names mapping'!$B$3:$BL$3,0))</f>
        <v>air::urban air close to ground</v>
      </c>
      <c r="F529" t="s">
        <v>167</v>
      </c>
      <c r="G529" t="s">
        <v>559</v>
      </c>
    </row>
    <row r="530" spans="1:8" x14ac:dyDescent="0.2">
      <c r="A530" t="str">
        <f>INDEX('ei names mapping'!$B$4:$BL$33,MATCH(B$234,'ei names mapping'!$A$4:$A$33,0),MATCH(G530,'ei names mapping'!$B$3:$BL$3,0))</f>
        <v>PAH, polycyclic aromatic hydrocarbons</v>
      </c>
      <c r="B530" s="7">
        <f>INDEX('vehicles specifications'!$B$3:$CW$166,MATCH(B$471,'vehicles specifications'!$A$3:$A$166,0),MATCH(G530,'vehicles specifications'!$B$2:$CW$2,0))*INDEX('ei names mapping'!$B$137:$BL$300,MATCH(B$471,'ei names mapping'!$A$137:$A$300,0),MATCH(G530,'ei names mapping'!$B$136:$BL$136,0))</f>
        <v>1.5680607549751621E-9</v>
      </c>
      <c r="D530" t="str">
        <f>INDEX('ei names mapping'!$B$104:$BL$133,MATCH(B$234,'ei names mapping'!$A$4:$A$33,0),MATCH(G530,'ei names mapping'!$B$3:$BL$3,0))</f>
        <v>kilogram</v>
      </c>
      <c r="E530" t="str">
        <f>INDEX('ei names mapping'!$B$305:$BL$335,MATCH(B$234,'ei names mapping'!$A$4:$A$33,0),MATCH(G530,'ei names mapping'!$B$3:$BL$3,0))</f>
        <v>air::urban air close to ground</v>
      </c>
      <c r="F530" t="s">
        <v>167</v>
      </c>
      <c r="G530" t="s">
        <v>561</v>
      </c>
    </row>
    <row r="531" spans="1:8" x14ac:dyDescent="0.2">
      <c r="A531" t="str">
        <f>INDEX('ei names mapping'!$B$4:$BL$33,MATCH(B$234,'ei names mapping'!$A$4:$A$33,0),MATCH(G531,'ei names mapping'!$B$3:$BL$3,0))</f>
        <v>Arsenic</v>
      </c>
      <c r="B531" s="7">
        <f>INDEX('vehicles specifications'!$B$3:$CW$166,MATCH(B$471,'vehicles specifications'!$A$3:$A$166,0),MATCH(G531,'vehicles specifications'!$B$2:$CW$2,0))*INDEX('ei names mapping'!$B$137:$BL$300,MATCH(B$471,'ei names mapping'!$A$137:$A$300,0),MATCH(G531,'ei names mapping'!$B$136:$BL$136,0))</f>
        <v>1.3517765129096225E-11</v>
      </c>
      <c r="D531" t="str">
        <f>INDEX('ei names mapping'!$B$104:$BL$133,MATCH(B$234,'ei names mapping'!$A$4:$A$33,0),MATCH(G531,'ei names mapping'!$B$3:$BL$3,0))</f>
        <v>kilogram</v>
      </c>
      <c r="E531" t="str">
        <f>INDEX('ei names mapping'!$B$305:$BL$335,MATCH(B$234,'ei names mapping'!$A$4:$A$33,0),MATCH(G531,'ei names mapping'!$B$3:$BL$3,0))</f>
        <v>air::urban air close to ground</v>
      </c>
      <c r="F531" t="s">
        <v>167</v>
      </c>
      <c r="G531" t="s">
        <v>562</v>
      </c>
    </row>
    <row r="532" spans="1:8" x14ac:dyDescent="0.2">
      <c r="A532" t="str">
        <f>INDEX('ei names mapping'!$B$4:$BL$33,MATCH(B$234,'ei names mapping'!$A$4:$A$33,0),MATCH(G532,'ei names mapping'!$B$3:$BL$3,0))</f>
        <v>Selenium</v>
      </c>
      <c r="B532" s="7">
        <f>INDEX('vehicles specifications'!$B$3:$CW$166,MATCH(B$471,'vehicles specifications'!$A$3:$A$166,0),MATCH(G532,'vehicles specifications'!$B$2:$CW$2,0))*INDEX('ei names mapping'!$B$137:$BL$300,MATCH(B$471,'ei names mapping'!$A$137:$A$300,0),MATCH(G532,'ei names mapping'!$B$136:$BL$136,0))</f>
        <v>9.0118434193974832E-12</v>
      </c>
      <c r="D532" t="str">
        <f>INDEX('ei names mapping'!$B$104:$BL$133,MATCH(B$234,'ei names mapping'!$A$4:$A$33,0),MATCH(G532,'ei names mapping'!$B$3:$BL$3,0))</f>
        <v>kilogram</v>
      </c>
      <c r="E532" t="str">
        <f>INDEX('ei names mapping'!$B$305:$BL$335,MATCH(B$234,'ei names mapping'!$A$4:$A$33,0),MATCH(G532,'ei names mapping'!$B$3:$BL$3,0))</f>
        <v>air::urban air close to ground</v>
      </c>
      <c r="F532" t="s">
        <v>167</v>
      </c>
      <c r="G532" t="s">
        <v>563</v>
      </c>
    </row>
    <row r="533" spans="1:8" x14ac:dyDescent="0.2">
      <c r="A533" t="str">
        <f>INDEX('ei names mapping'!$B$4:$BL$33,MATCH(B$234,'ei names mapping'!$A$4:$A$33,0),MATCH(G533,'ei names mapping'!$B$3:$BL$3,0))</f>
        <v>Zinc</v>
      </c>
      <c r="B533" s="7">
        <f>INDEX('vehicles specifications'!$B$3:$CW$166,MATCH(B$471,'vehicles specifications'!$A$3:$A$166,0),MATCH(G533,'vehicles specifications'!$B$2:$CW$2,0))*INDEX('ei names mapping'!$B$137:$BL$300,MATCH(B$471,'ei names mapping'!$A$137:$A$300,0),MATCH(G533,'ei names mapping'!$B$136:$BL$136,0))</f>
        <v>9.7327908929492816E-8</v>
      </c>
      <c r="D533" t="str">
        <f>INDEX('ei names mapping'!$B$104:$BL$133,MATCH(B$234,'ei names mapping'!$A$4:$A$33,0),MATCH(G533,'ei names mapping'!$B$3:$BL$3,0))</f>
        <v>kilogram</v>
      </c>
      <c r="E533" t="str">
        <f>INDEX('ei names mapping'!$B$305:$BL$335,MATCH(B$234,'ei names mapping'!$A$4:$A$33,0),MATCH(G533,'ei names mapping'!$B$3:$BL$3,0))</f>
        <v>air::urban air close to ground</v>
      </c>
      <c r="F533" t="s">
        <v>167</v>
      </c>
      <c r="G533" t="s">
        <v>564</v>
      </c>
    </row>
    <row r="534" spans="1:8" x14ac:dyDescent="0.2">
      <c r="A534" t="str">
        <f>INDEX('ei names mapping'!$B$4:$BL$33,MATCH(B$234,'ei names mapping'!$A$4:$A$33,0),MATCH(G534,'ei names mapping'!$B$3:$BL$3,0))</f>
        <v>Copper</v>
      </c>
      <c r="B534" s="7">
        <f>INDEX('vehicles specifications'!$B$3:$CW$166,MATCH(B$471,'vehicles specifications'!$A$3:$A$166,0),MATCH(G534,'vehicles specifications'!$B$2:$CW$2,0))*INDEX('ei names mapping'!$B$137:$BL$300,MATCH(B$471,'ei names mapping'!$A$137:$A$300,0),MATCH(G534,'ei names mapping'!$B$136:$BL$136,0))</f>
        <v>1.8924871180734711E-9</v>
      </c>
      <c r="D534" t="str">
        <f>INDEX('ei names mapping'!$B$104:$BL$133,MATCH(B$234,'ei names mapping'!$A$4:$A$33,0),MATCH(G534,'ei names mapping'!$B$3:$BL$3,0))</f>
        <v>kilogram</v>
      </c>
      <c r="E534" t="str">
        <f>INDEX('ei names mapping'!$B$305:$BL$335,MATCH(B$234,'ei names mapping'!$A$4:$A$33,0),MATCH(G534,'ei names mapping'!$B$3:$BL$3,0))</f>
        <v>air::urban air close to ground</v>
      </c>
      <c r="F534" t="s">
        <v>167</v>
      </c>
      <c r="G534" t="s">
        <v>522</v>
      </c>
    </row>
    <row r="535" spans="1:8" x14ac:dyDescent="0.2">
      <c r="A535" t="str">
        <f>INDEX('ei names mapping'!$B$4:$BL$33,MATCH(B$234,'ei names mapping'!$A$4:$A$33,0),MATCH(G535,'ei names mapping'!$B$3:$BL$3,0))</f>
        <v>Nickel</v>
      </c>
      <c r="B535" s="7">
        <f>INDEX('vehicles specifications'!$B$3:$CW$166,MATCH(B$471,'vehicles specifications'!$A$3:$A$166,0),MATCH(G535,'vehicles specifications'!$B$2:$CW$2,0))*INDEX('ei names mapping'!$B$137:$BL$300,MATCH(B$471,'ei names mapping'!$A$137:$A$300,0),MATCH(G535,'ei names mapping'!$B$136:$BL$136,0))</f>
        <v>5.8576982226083646E-10</v>
      </c>
      <c r="D535" t="str">
        <f>INDEX('ei names mapping'!$B$104:$BL$133,MATCH(B$234,'ei names mapping'!$A$4:$A$33,0),MATCH(G535,'ei names mapping'!$B$3:$BL$3,0))</f>
        <v>kilogram</v>
      </c>
      <c r="E535" t="str">
        <f>INDEX('ei names mapping'!$B$305:$BL$335,MATCH(B$234,'ei names mapping'!$A$4:$A$33,0),MATCH(G535,'ei names mapping'!$B$3:$BL$3,0))</f>
        <v>air::urban air close to ground</v>
      </c>
      <c r="F535" t="s">
        <v>167</v>
      </c>
      <c r="G535" t="s">
        <v>524</v>
      </c>
    </row>
    <row r="536" spans="1:8" x14ac:dyDescent="0.2">
      <c r="A536" t="str">
        <f>INDEX('ei names mapping'!$B$4:$BL$33,MATCH(B$234,'ei names mapping'!$A$4:$A$33,0),MATCH(G536,'ei names mapping'!$B$3:$BL$3,0))</f>
        <v>Chromium</v>
      </c>
      <c r="B536" s="7">
        <f>INDEX('vehicles specifications'!$B$3:$CW$166,MATCH(B$471,'vehicles specifications'!$A$3:$A$166,0),MATCH(G536,'vehicles specifications'!$B$2:$CW$2,0))*INDEX('ei names mapping'!$B$137:$BL$300,MATCH(B$471,'ei names mapping'!$A$137:$A$300,0),MATCH(G536,'ei names mapping'!$B$136:$BL$136,0))</f>
        <v>7.2094747355179865E-10</v>
      </c>
      <c r="D536" t="str">
        <f>INDEX('ei names mapping'!$B$104:$BL$133,MATCH(B$234,'ei names mapping'!$A$4:$A$33,0),MATCH(G536,'ei names mapping'!$B$3:$BL$3,0))</f>
        <v>kilogram</v>
      </c>
      <c r="E536" t="str">
        <f>INDEX('ei names mapping'!$B$305:$BL$335,MATCH(B$234,'ei names mapping'!$A$4:$A$33,0),MATCH(G536,'ei names mapping'!$B$3:$BL$3,0))</f>
        <v>air::urban air close to ground</v>
      </c>
      <c r="F536" t="s">
        <v>167</v>
      </c>
      <c r="G536" t="s">
        <v>523</v>
      </c>
    </row>
    <row r="537" spans="1:8" x14ac:dyDescent="0.2">
      <c r="A537" t="str">
        <f>INDEX('ei names mapping'!$B$4:$BL$33,MATCH(B$234,'ei names mapping'!$A$4:$A$33,0),MATCH(G537,'ei names mapping'!$B$3:$BL$3,0))</f>
        <v>Chromium VI</v>
      </c>
      <c r="B537" s="7">
        <f>INDEX('vehicles specifications'!$B$3:$CW$166,MATCH(B$471,'vehicles specifications'!$A$3:$A$166,0),MATCH(G537,'vehicles specifications'!$B$2:$CW$2,0))*INDEX('ei names mapping'!$B$137:$BL$300,MATCH(B$471,'ei names mapping'!$A$137:$A$300,0),MATCH(G537,'ei names mapping'!$B$136:$BL$136,0))</f>
        <v>1.4418949471035971E-12</v>
      </c>
      <c r="D537" t="str">
        <f>INDEX('ei names mapping'!$B$104:$BL$133,MATCH(B$234,'ei names mapping'!$A$4:$A$33,0),MATCH(G537,'ei names mapping'!$B$3:$BL$3,0))</f>
        <v>kilogram</v>
      </c>
      <c r="E537" t="str">
        <f>INDEX('ei names mapping'!$B$305:$BL$335,MATCH(B$234,'ei names mapping'!$A$4:$A$33,0),MATCH(G537,'ei names mapping'!$B$3:$BL$3,0))</f>
        <v>air::urban air close to ground</v>
      </c>
      <c r="F537" t="s">
        <v>167</v>
      </c>
      <c r="G537" t="s">
        <v>567</v>
      </c>
    </row>
    <row r="538" spans="1:8" x14ac:dyDescent="0.2">
      <c r="A538" t="str">
        <f>INDEX('ei names mapping'!$B$4:$BL$33,MATCH(B$234,'ei names mapping'!$A$4:$A$33,0),MATCH(G538,'ei names mapping'!$B$3:$BL$3,0))</f>
        <v>Mercury</v>
      </c>
      <c r="B538" s="7">
        <f>INDEX('vehicles specifications'!$B$3:$CW$166,MATCH(B$471,'vehicles specifications'!$A$3:$A$166,0),MATCH(G538,'vehicles specifications'!$B$2:$CW$2,0))*INDEX('ei names mapping'!$B$137:$BL$300,MATCH(B$471,'ei names mapping'!$A$137:$A$300,0),MATCH(G538,'ei names mapping'!$B$136:$BL$136,0))</f>
        <v>3.9201518874379051E-10</v>
      </c>
      <c r="D538" t="str">
        <f>INDEX('ei names mapping'!$B$104:$BL$133,MATCH(B$234,'ei names mapping'!$A$4:$A$33,0),MATCH(G538,'ei names mapping'!$B$3:$BL$3,0))</f>
        <v>kilogram</v>
      </c>
      <c r="E538" t="str">
        <f>INDEX('ei names mapping'!$B$305:$BL$335,MATCH(B$234,'ei names mapping'!$A$4:$A$33,0),MATCH(G538,'ei names mapping'!$B$3:$BL$3,0))</f>
        <v>air::urban air close to ground</v>
      </c>
      <c r="F538" t="s">
        <v>167</v>
      </c>
      <c r="G538" t="s">
        <v>565</v>
      </c>
    </row>
    <row r="539" spans="1:8" x14ac:dyDescent="0.2">
      <c r="A539" t="str">
        <f>INDEX('ei names mapping'!$B$4:$BL$33,MATCH(B$234,'ei names mapping'!$A$4:$A$33,0),MATCH(G539,'ei names mapping'!$B$3:$BL$3,0))</f>
        <v>Cadmium</v>
      </c>
      <c r="B539" s="7">
        <f>INDEX('vehicles specifications'!$B$3:$CW$166,MATCH(B$471,'vehicles specifications'!$A$3:$A$166,0),MATCH(G539,'vehicles specifications'!$B$2:$CW$2,0))*INDEX('ei names mapping'!$B$137:$BL$300,MATCH(B$471,'ei names mapping'!$A$137:$A$300,0),MATCH(G539,'ei names mapping'!$B$136:$BL$136,0))</f>
        <v>4.8663954464746423E-10</v>
      </c>
      <c r="D539" t="str">
        <f>INDEX('ei names mapping'!$B$104:$BL$133,MATCH(B$234,'ei names mapping'!$A$4:$A$33,0),MATCH(G539,'ei names mapping'!$B$3:$BL$3,0))</f>
        <v>kilogram</v>
      </c>
      <c r="E539" t="str">
        <f>INDEX('ei names mapping'!$B$305:$BL$335,MATCH(B$234,'ei names mapping'!$A$4:$A$33,0),MATCH(G539,'ei names mapping'!$B$3:$BL$3,0))</f>
        <v>air::urban air close to ground</v>
      </c>
      <c r="F539" t="s">
        <v>167</v>
      </c>
      <c r="G539" t="s">
        <v>566</v>
      </c>
    </row>
    <row r="540" spans="1:8" x14ac:dyDescent="0.2">
      <c r="A540" t="str">
        <f>INDEX('ei names mapping'!$B$4:$BL$33,MATCH(B468,'ei names mapping'!$A$4:$A$33,0),MATCH(G540,'ei names mapping'!$B$3:$BL$3,0))</f>
        <v>treatment of road wear emissions, passenger car</v>
      </c>
      <c r="B540" s="7">
        <f>INDEX('vehicles specifications'!$B$3:$CW$166,MATCH(B471,'vehicles specifications'!$A$3:$A$166,0),MATCH(G540,'vehicles specifications'!$B$2:$CW$2,0))*INDEX('ei names mapping'!$B$137:$BL$300,MATCH(B471,'ei names mapping'!$A$137:$A$300,0),MATCH(G540,'ei names mapping'!$B$136:$BL$136,0))</f>
        <v>-1.1163756613204765E-5</v>
      </c>
      <c r="C540" t="str">
        <f>INDEX('ei names mapping'!$B$38:$BL$67,MATCH(B468,'ei names mapping'!$A$4:$A$33,0),MATCH(G540,'ei names mapping'!$B$3:$BL$3,0))</f>
        <v>RER</v>
      </c>
      <c r="D540" t="str">
        <f>INDEX('ei names mapping'!$B$104:$BL$133,MATCH(B468,'ei names mapping'!$A$4:$A$33,0),MATCH(G540,'ei names mapping'!$B$3:$BL$3,0))</f>
        <v>kilogram</v>
      </c>
      <c r="F540" t="s">
        <v>89</v>
      </c>
      <c r="G540" t="s">
        <v>29</v>
      </c>
      <c r="H540" t="str">
        <f>INDEX('ei names mapping'!$B$71:$BL$100,MATCH(B468,'ei names mapping'!$A$4:$A$33,0),MATCH(G540,'ei names mapping'!$B$3:$BL$3,0))</f>
        <v>road wear emissions, passenger car</v>
      </c>
    </row>
    <row r="541" spans="1:8" x14ac:dyDescent="0.2">
      <c r="A541" t="str">
        <f>INDEX('ei names mapping'!$B$4:$BL$33,MATCH(B468,'ei names mapping'!$A$4:$A$33,0),MATCH(G541,'ei names mapping'!$B$3:$BL$3,0))</f>
        <v>treatment of tyre wear emissions, passenger car</v>
      </c>
      <c r="B541" s="7">
        <f>INDEX('vehicles specifications'!$B$3:$CW$166,MATCH(B471,'vehicles specifications'!$A$3:$A$166,0),MATCH(G541,'vehicles specifications'!$B$2:$CW$2,0))*INDEX('ei names mapping'!$B$137:$BL$300,MATCH(B471,'ei names mapping'!$A$137:$A$300,0),MATCH(G541,'ei names mapping'!$B$136:$BL$136,0))</f>
        <v>-6.7193129407007649E-6</v>
      </c>
      <c r="C541" t="str">
        <f>INDEX('ei names mapping'!$B$38:$BL$67,MATCH(B468,'ei names mapping'!$A$4:$A$33,0),MATCH(G541,'ei names mapping'!$B$3:$BL$3,0))</f>
        <v>RER</v>
      </c>
      <c r="D541" t="str">
        <f>INDEX('ei names mapping'!$B$104:$BL$133,MATCH(B468,'ei names mapping'!$A$4:$A$33,0),MATCH(G541,'ei names mapping'!$B$3:$BL$3,0))</f>
        <v>kilogram</v>
      </c>
      <c r="F541" t="s">
        <v>89</v>
      </c>
      <c r="G541" t="s">
        <v>30</v>
      </c>
      <c r="H541" t="str">
        <f>INDEX('ei names mapping'!$B$71:$BL$100,MATCH(B468,'ei names mapping'!$A$4:$A$33,0),MATCH(G541,'ei names mapping'!$B$3:$BL$3,0))</f>
        <v>tyre wear emissions, passenger car</v>
      </c>
    </row>
    <row r="542" spans="1:8" x14ac:dyDescent="0.2">
      <c r="A542" t="str">
        <f>INDEX('ei names mapping'!$B$4:$BL$33,MATCH(B468,'ei names mapping'!$A$4:$A$33,0),MATCH(G542,'ei names mapping'!$B$3:$BL$3,0))</f>
        <v>treatment of brake wear emissions, passenger car</v>
      </c>
      <c r="B542" s="7">
        <f>INDEX('vehicles specifications'!$B$3:$CW$166,MATCH(B471,'vehicles specifications'!$A$3:$A$166,0),MATCH(G542,'vehicles specifications'!$B$2:$CW$2,0))*INDEX('ei names mapping'!$B$137:$BL$300,MATCH(B471,'ei names mapping'!$A$137:$A$300,0),MATCH(G542,'ei names mapping'!$B$136:$BL$136,0))</f>
        <v>-3.8893291895117198E-6</v>
      </c>
      <c r="C542" t="str">
        <f>INDEX('ei names mapping'!$B$38:$BL$67,MATCH(B468,'ei names mapping'!$A$4:$A$33,0),MATCH(G542,'ei names mapping'!$B$3:$BL$3,0))</f>
        <v>RER</v>
      </c>
      <c r="D542" t="str">
        <f>INDEX('ei names mapping'!$B$104:$BL$133,MATCH(B468,'ei names mapping'!$A$4:$A$33,0),MATCH(G542,'ei names mapping'!$B$3:$BL$3,0))</f>
        <v>kilogram</v>
      </c>
      <c r="F542" t="s">
        <v>89</v>
      </c>
      <c r="G542" t="s">
        <v>31</v>
      </c>
      <c r="H542" t="str">
        <f>INDEX('ei names mapping'!$B$71:$BL$100,MATCH(B468,'ei names mapping'!$A$4:$A$33,0),MATCH(G542,'ei names mapping'!$B$3:$BL$3,0))</f>
        <v>brake wear emissions, passenger car</v>
      </c>
    </row>
    <row r="544" spans="1:8" ht="16" x14ac:dyDescent="0.2">
      <c r="A544" s="10" t="s">
        <v>71</v>
      </c>
      <c r="B544" s="8" t="str">
        <f>"transport, "&amp;B546&amp;", "&amp;B548</f>
        <v>transport, Motorbike, gasoline, &gt;35kW, EURO-5, 2040</v>
      </c>
    </row>
    <row r="545" spans="1:2" x14ac:dyDescent="0.2">
      <c r="A545" t="s">
        <v>72</v>
      </c>
      <c r="B545" t="s">
        <v>37</v>
      </c>
    </row>
    <row r="546" spans="1:2" x14ac:dyDescent="0.2">
      <c r="A546" t="s">
        <v>86</v>
      </c>
      <c r="B546" t="s">
        <v>631</v>
      </c>
    </row>
    <row r="547" spans="1:2" x14ac:dyDescent="0.2">
      <c r="A547" t="s">
        <v>87</v>
      </c>
    </row>
    <row r="548" spans="1:2" x14ac:dyDescent="0.2">
      <c r="A548" t="s">
        <v>88</v>
      </c>
      <c r="B548">
        <v>2040</v>
      </c>
    </row>
    <row r="549" spans="1:2" x14ac:dyDescent="0.2">
      <c r="A549" t="s">
        <v>126</v>
      </c>
      <c r="B549" t="str">
        <f>B546&amp;" - "&amp;B548&amp;" - "&amp;B545</f>
        <v>Motorbike, gasoline, &gt;35kW, EURO-5 - 2040 - CH</v>
      </c>
    </row>
    <row r="550" spans="1:2" x14ac:dyDescent="0.2">
      <c r="A550" t="s">
        <v>73</v>
      </c>
      <c r="B550" t="str">
        <f>"transport, "&amp;B546</f>
        <v>transport, Motorbike, gasoline, &gt;35kW, EURO-5</v>
      </c>
    </row>
    <row r="551" spans="1:2" x14ac:dyDescent="0.2">
      <c r="A551" t="s">
        <v>74</v>
      </c>
      <c r="B551" t="s">
        <v>75</v>
      </c>
    </row>
    <row r="552" spans="1:2" x14ac:dyDescent="0.2">
      <c r="A552" t="s">
        <v>76</v>
      </c>
      <c r="B552" t="s">
        <v>166</v>
      </c>
    </row>
    <row r="553" spans="1:2" x14ac:dyDescent="0.2">
      <c r="A553" t="s">
        <v>78</v>
      </c>
      <c r="B553" t="s">
        <v>1143</v>
      </c>
    </row>
    <row r="554" spans="1:2" x14ac:dyDescent="0.2">
      <c r="A554" t="s">
        <v>127</v>
      </c>
      <c r="B554">
        <f>INDEX('vehicles specifications'!$B$3:$CW$166,MATCH(B549,'vehicles specifications'!$A$3:$A$166,0),MATCH("Lifetime [km]",'vehicles specifications'!$B$2:$CW$2,0))</f>
        <v>40500</v>
      </c>
    </row>
    <row r="555" spans="1:2" x14ac:dyDescent="0.2">
      <c r="A555" t="s">
        <v>128</v>
      </c>
      <c r="B555">
        <f>INDEX('vehicles specifications'!$B$3:$CW$166,MATCH(B549,'vehicles specifications'!$A$3:$A$166,0),MATCH("Passengers [unit]",'vehicles specifications'!$B$2:$CW$2,0))</f>
        <v>1.1000000000000001</v>
      </c>
    </row>
    <row r="556" spans="1:2" x14ac:dyDescent="0.2">
      <c r="A556" t="s">
        <v>129</v>
      </c>
      <c r="B556">
        <f>INDEX('vehicles specifications'!$B$3:$CW$166,MATCH(B549,'vehicles specifications'!$A$3:$A$166,0),MATCH("Servicing [unit]",'vehicles specifications'!$B$2:$CW$2,0))</f>
        <v>1.62</v>
      </c>
    </row>
    <row r="557" spans="1:2" x14ac:dyDescent="0.2">
      <c r="A557" t="s">
        <v>130</v>
      </c>
      <c r="B557">
        <f>INDEX('vehicles specifications'!$B$3:$CW$166,MATCH(B549,'vehicles specifications'!$A$3:$A$166,0),MATCH("Energy battery replacement [unit]",'vehicles specifications'!$B$2:$CW$2,0))</f>
        <v>0</v>
      </c>
    </row>
    <row r="558" spans="1:2" x14ac:dyDescent="0.2">
      <c r="A558" t="s">
        <v>131</v>
      </c>
      <c r="B558">
        <f>INDEX('vehicles specifications'!$B$3:$CW$166,MATCH(B549,'vehicles specifications'!$A$3:$A$166,0),MATCH("Annual kilometers [km]",'vehicles specifications'!$B$2:$CW$2,0))</f>
        <v>2896</v>
      </c>
    </row>
    <row r="559" spans="1:2" x14ac:dyDescent="0.2">
      <c r="A559" t="s">
        <v>132</v>
      </c>
      <c r="B559" s="2">
        <f>INDEX('vehicles specifications'!$B$3:$CW$166,MATCH(B549,'vehicles specifications'!$A$3:$A$166,0),MATCH("Curb mass [kg]",'vehicles specifications'!$B$2:$CW$2,0))</f>
        <v>250.97499999999999</v>
      </c>
    </row>
    <row r="560" spans="1:2" x14ac:dyDescent="0.2">
      <c r="A560" t="s">
        <v>133</v>
      </c>
      <c r="B560">
        <f>INDEX('vehicles specifications'!$B$3:$CW$166,MATCH(B549,'vehicles specifications'!$A$3:$A$166,0),MATCH("Power [kW]",'vehicles specifications'!$B$2:$CW$2,0))</f>
        <v>91</v>
      </c>
    </row>
    <row r="561" spans="1:8" x14ac:dyDescent="0.2">
      <c r="A561" t="s">
        <v>134</v>
      </c>
      <c r="B561" t="str">
        <f>INDEX('vehicles specifications'!$B$3:$CW$166,MATCH(B549,'vehicles specifications'!$A$3:$A$166,0),MATCH("Energy battery mass [kg]",'vehicles specifications'!$B$2:$CW$2,0))</f>
        <v/>
      </c>
    </row>
    <row r="562" spans="1:8" x14ac:dyDescent="0.2">
      <c r="A562" t="s">
        <v>135</v>
      </c>
      <c r="B562">
        <f>INDEX('vehicles specifications'!$B$3:$CW$166,MATCH(B549,'vehicles specifications'!$A$3:$A$166,0),MATCH("Electric energy available [kWh]",'vehicles specifications'!$B$2:$CW$2,0))</f>
        <v>0</v>
      </c>
    </row>
    <row r="563" spans="1:8" x14ac:dyDescent="0.2">
      <c r="A563" t="s">
        <v>138</v>
      </c>
      <c r="B563" s="2">
        <f>INDEX('vehicles specifications'!$B$3:$CW$166,MATCH(B549,'vehicles specifications'!$A$3:$A$166,0),MATCH("Oxydation energy stored [kWh]",'vehicles specifications'!$B$2:$CW$2,0))</f>
        <v>159.75</v>
      </c>
    </row>
    <row r="564" spans="1:8" x14ac:dyDescent="0.2">
      <c r="A564" t="s">
        <v>139</v>
      </c>
      <c r="B564">
        <f>INDEX('vehicles specifications'!$B$3:$CW$166,MATCH(B549,'vehicles specifications'!$A$3:$A$166,0),MATCH("Fuel mass [kg]",'vehicles specifications'!$B$2:$CW$2,0))</f>
        <v>13.5</v>
      </c>
    </row>
    <row r="565" spans="1:8" x14ac:dyDescent="0.2">
      <c r="A565" t="s">
        <v>136</v>
      </c>
      <c r="B565" s="2">
        <f>INDEX('vehicles specifications'!$B$3:$CW$166,MATCH(B549,'vehicles specifications'!$A$3:$A$166,0),MATCH("Range [km]",'vehicles specifications'!$B$2:$CW$2,0))</f>
        <v>303.34413419657068</v>
      </c>
    </row>
    <row r="566" spans="1:8" x14ac:dyDescent="0.2">
      <c r="A566" t="s">
        <v>137</v>
      </c>
      <c r="B566" t="str">
        <f>INDEX('vehicles specifications'!$B$3:$CW$166,MATCH(B549,'vehicles specifications'!$A$3:$A$166,0),MATCH("Emission standard",'vehicles specifications'!$B$2:$CW$2,0))</f>
        <v>EURO-5</v>
      </c>
    </row>
    <row r="567" spans="1:8" x14ac:dyDescent="0.2">
      <c r="A567" t="s">
        <v>1174</v>
      </c>
      <c r="B567" s="6">
        <f>INDEX('vehicles specifications'!$B$3:$CW$166,MATCH(B549,'vehicles specifications'!$A$3:$A$166,0),MATCH("Lightweighting rate [%]",'vehicles specifications'!$B$2:$CW$2,0))</f>
        <v>0.05</v>
      </c>
    </row>
    <row r="568" spans="1:8" x14ac:dyDescent="0.2">
      <c r="A568" t="s">
        <v>83</v>
      </c>
      <c r="B568"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91 kW. Lifetime: 40500 km. Annual kilometers: 2896 km. Number of passengers: 1.1. Curb mass: 251 kg. Lightweighting of glider: 5%. Emission standard: EURO-5. Service visits throughout lifetime: 1.6. Range: 303 km. Fuel tank capacity: 159.8 kWh. Fuel mass: 13.5 kg. Documentation: Life-cycle inventories for on-road vehicles, Sacchi R. (PSI), Bauer C. (PSI), 2021. Sacchi R., Bauer C. Life cycle inventories for on-road vehicles. Paul Scherrer Institut, 2021.</v>
      </c>
    </row>
    <row r="569" spans="1:8" ht="16" x14ac:dyDescent="0.2">
      <c r="A569" s="10" t="s">
        <v>79</v>
      </c>
    </row>
    <row r="570" spans="1:8" x14ac:dyDescent="0.2">
      <c r="A570" t="s">
        <v>80</v>
      </c>
      <c r="B570" t="s">
        <v>81</v>
      </c>
      <c r="C570" t="s">
        <v>72</v>
      </c>
      <c r="D570" t="s">
        <v>76</v>
      </c>
      <c r="E570" t="s">
        <v>82</v>
      </c>
      <c r="F570" t="s">
        <v>74</v>
      </c>
      <c r="G570" t="s">
        <v>83</v>
      </c>
      <c r="H570" t="s">
        <v>73</v>
      </c>
    </row>
    <row r="571" spans="1:8" x14ac:dyDescent="0.2">
      <c r="A571" t="str">
        <f>B544</f>
        <v>transport, Motorbike, gasoline, &gt;35kW, EURO-5, 2040</v>
      </c>
      <c r="B571">
        <v>1</v>
      </c>
      <c r="C571" t="str">
        <f>B545</f>
        <v>CH</v>
      </c>
      <c r="D571" t="s">
        <v>166</v>
      </c>
      <c r="F571" t="s">
        <v>84</v>
      </c>
      <c r="G571" t="s">
        <v>85</v>
      </c>
      <c r="H571" t="str">
        <f>B550</f>
        <v>transport, Motorbike, gasoline, &gt;35kW, EURO-5</v>
      </c>
    </row>
    <row r="572" spans="1:8" x14ac:dyDescent="0.2">
      <c r="A572" t="str">
        <f>RIGHT(A571,LEN(A571)-11)</f>
        <v>Motorbike, gasoline, &gt;35kW, EURO-5, 2040</v>
      </c>
      <c r="B572" s="7">
        <f>1/B554</f>
        <v>2.4691358024691357E-5</v>
      </c>
      <c r="C572" t="str">
        <f>B545</f>
        <v>CH</v>
      </c>
      <c r="D572" t="s">
        <v>76</v>
      </c>
      <c r="F572" t="s">
        <v>89</v>
      </c>
      <c r="H572" t="str">
        <f>RIGHT(H571,LEN(H571)-11)</f>
        <v>Motorbike, gasoline, &gt;35kW, EURO-5</v>
      </c>
    </row>
    <row r="573" spans="1:8" x14ac:dyDescent="0.2">
      <c r="A573" t="str">
        <f>INDEX('ei names mapping'!$B$4:$R$33,MATCH(B546,'ei names mapping'!$A$4:$A$33,0),MATCH(G573,'ei names mapping'!$B$3:$R$3,0))</f>
        <v>road construction</v>
      </c>
      <c r="B573" s="7">
        <f>INDEX('vehicles specifications'!$B$3:$CW$166,MATCH(B549,'vehicles specifications'!$A$3:$A$166,0),MATCH(G573,'vehicles specifications'!$B$2:$CW$2,0))*INDEX('ei names mapping'!$B$137:$BL$300,MATCH(B549,'ei names mapping'!$A$137:$A$300,0),MATCH(G573,'ei names mapping'!$B$136:$BL$136,0))</f>
        <v>1.8229807500000001E-4</v>
      </c>
      <c r="C573" t="str">
        <f>INDEX('ei names mapping'!$B$38:$R$67,MATCH(B546,'ei names mapping'!$A$4:$A$33,0),MATCH(G573,'ei names mapping'!$B$3:$R$3,0))</f>
        <v>CH</v>
      </c>
      <c r="D573" t="str">
        <f>INDEX('ei names mapping'!$B$104:$BL$133,MATCH(B546,'ei names mapping'!$A$4:$A$33,0),MATCH(G573,'ei names mapping'!$B$3:$BL$3,0))</f>
        <v>meter-year</v>
      </c>
      <c r="F573" t="s">
        <v>89</v>
      </c>
      <c r="G573" t="s">
        <v>105</v>
      </c>
      <c r="H573" t="str">
        <f>INDEX('ei names mapping'!$B$71:$BL$100,MATCH(B546,'ei names mapping'!$A$4:$A$33,0),MATCH(G573,'ei names mapping'!$B$3:$BL$3,0))</f>
        <v>road</v>
      </c>
    </row>
    <row r="574" spans="1:8" x14ac:dyDescent="0.2">
      <c r="A574" t="str">
        <f>INDEX('ei names mapping'!$B$4:$R$33,MATCH(B546,'ei names mapping'!$A$4:$A$33,0),MATCH(G574,'ei names mapping'!$B$3:$R$3,0))</f>
        <v>road maintenance</v>
      </c>
      <c r="B574" s="7">
        <f>INDEX('vehicles specifications'!$B$3:$CW$166,MATCH(B549,'vehicles specifications'!$A$3:$A$166,0),MATCH(G574,'vehicles specifications'!$B$2:$CW$2,0))*INDEX('ei names mapping'!$B$137:$BL$300,MATCH(B549,'ei names mapping'!$A$137:$A$300,0),MATCH(G574,'ei names mapping'!$B$136:$BL$136,0))</f>
        <v>1.2899999999999999E-3</v>
      </c>
      <c r="C574" t="str">
        <f>INDEX('ei names mapping'!$B$38:$R$67,MATCH(B546,'ei names mapping'!$A$4:$A$33,0),MATCH(G574,'ei names mapping'!$B$3:$R$3,0))</f>
        <v>CH</v>
      </c>
      <c r="D574" t="str">
        <f>INDEX('ei names mapping'!$B$104:$BL$133,MATCH(B546,'ei names mapping'!$A$4:$A$33,0),MATCH(G574,'ei names mapping'!$B$3:$BL$3,0))</f>
        <v>meter-year</v>
      </c>
      <c r="F574" t="s">
        <v>89</v>
      </c>
      <c r="G574" t="s">
        <v>112</v>
      </c>
      <c r="H574" t="str">
        <f>INDEX('ei names mapping'!$B$71:$BL$100,MATCH(B546,'ei names mapping'!$A$4:$A$33,0),MATCH(G574,'ei names mapping'!$B$3:$BL$3,0))</f>
        <v>road maintenance</v>
      </c>
    </row>
    <row r="575" spans="1:8" x14ac:dyDescent="0.2">
      <c r="A575" t="str">
        <f>INDEX('ei names mapping'!$B$4:$R$33,MATCH(B546,'ei names mapping'!$A$4:$A$33,0),MATCH(G575,'ei names mapping'!$B$3:$R$3,0))</f>
        <v>maintenance, motor scooter</v>
      </c>
      <c r="B575" s="7">
        <f>INDEX('vehicles specifications'!$B$3:$CW$166,MATCH(B549,'vehicles specifications'!$A$3:$A$166,0),MATCH(G575,'vehicles specifications'!$B$2:$CW$2,0))*INDEX('ei names mapping'!$B$137:$BL$300,MATCH(B549,'ei names mapping'!$A$137:$A$300,0),MATCH(G575,'ei names mapping'!$B$136:$BL$136,0))</f>
        <v>4.0000000000000003E-5</v>
      </c>
      <c r="C575" t="str">
        <f>INDEX('ei names mapping'!$B$38:$BL$67,MATCH(B546,'ei names mapping'!$A$4:$A$33,0),MATCH(G575,'ei names mapping'!$B$3:$BL$3,0))</f>
        <v>CH</v>
      </c>
      <c r="D575" t="str">
        <f>INDEX('ei names mapping'!$B$104:$BL$133,MATCH(B546,'ei names mapping'!$A$4:$A$33,0),MATCH(G575,'ei names mapping'!$B$3:$BL$3,0))</f>
        <v>unit</v>
      </c>
      <c r="F575" t="s">
        <v>89</v>
      </c>
      <c r="G575" t="s">
        <v>118</v>
      </c>
      <c r="H575" t="str">
        <f>INDEX('ei names mapping'!$B$71:$BL$100,MATCH(B546,'ei names mapping'!$A$4:$A$33,0),MATCH(G575,'ei names mapping'!$B$3:$BL$3,0))</f>
        <v>maintenance, motor scooter</v>
      </c>
    </row>
    <row r="576" spans="1:8" x14ac:dyDescent="0.2">
      <c r="A576" t="str">
        <f>INDEX('ei names mapping'!$B$4:$R$33,MATCH(B546,'ei names mapping'!$A$4:$A$33,0),MATCH(G576,'ei names mapping'!$B$3:$R$3,0))</f>
        <v>fuel supply for gasoline vehicles</v>
      </c>
      <c r="B576" s="7">
        <f>INDEX('vehicles specifications'!$B$3:$CW$166,MATCH(B549,'vehicles specifications'!$A$3:$A$166,0),MATCH(G576,'vehicles specifications'!$B$2:$CW$2,0))*INDEX('ei names mapping'!$B$137:$BL$300,MATCH(B549,'ei names mapping'!$A$137:$A$300,0),MATCH(G576,'ei names mapping'!$B$136:$BL$136,0))</f>
        <v>4.4503909844031575E-2</v>
      </c>
      <c r="C576" t="str">
        <f>INDEX('ei names mapping'!$B$38:$BL$67,MATCH(B546,'ei names mapping'!$A$4:$A$33,0),MATCH(G576,'ei names mapping'!$B$3:$BL$3,0))</f>
        <v>CH</v>
      </c>
      <c r="D576" t="str">
        <f>INDEX('ei names mapping'!$B$104:$BL$133,MATCH(B546,'ei names mapping'!$A$4:$A$33,0),MATCH(G576,'ei names mapping'!$B$3:$BL$3,0))</f>
        <v>kilogram</v>
      </c>
      <c r="F576" t="s">
        <v>89</v>
      </c>
      <c r="G576" t="s">
        <v>27</v>
      </c>
      <c r="H576" t="str">
        <f>INDEX('ei names mapping'!$B$71:$BL$100,MATCH(B546,'ei names mapping'!$A$4:$A$33,0),MATCH(G576,'ei names mapping'!$B$3:$BL$3,0))</f>
        <v>gasoline blend</v>
      </c>
    </row>
    <row r="577" spans="1:7" x14ac:dyDescent="0.2">
      <c r="A577" t="str">
        <f>INDEX('ei names mapping'!$B$4:$BL$33,MATCH(B546,'ei names mapping'!$A$4:$A$33,0),MATCH(G577,'ei names mapping'!$B$3:$BL$3,0))</f>
        <v>Carbon dioxide, fossil</v>
      </c>
      <c r="B577" s="7">
        <f>INDEX('vehicles specifications'!$B$3:$CW$166,MATCH(B549,'vehicles specifications'!$A$3:$A$166,0),MATCH(G577,'vehicles specifications'!$B$2:$CW$2,0))*INDEX('ei names mapping'!$B$137:$BL$300,MATCH(B549,'ei names mapping'!$A$137:$A$300,0),MATCH(G577,'ei names mapping'!$B$136:$BL$136,0))</f>
        <v>0.13806536958733606</v>
      </c>
      <c r="D577" t="str">
        <f>INDEX('ei names mapping'!$B$104:$BL$133,MATCH(B546,'ei names mapping'!$A$4:$A$33,0),MATCH(G577,'ei names mapping'!$B$3:$BL$3,0))</f>
        <v>kilogram</v>
      </c>
      <c r="E577" t="str">
        <f>INDEX('ei names mapping'!$B$305:$BL$335,MATCH(B546,'ei names mapping'!$A$4:$A$33,0),MATCH(G577,'ei names mapping'!$B$3:$BL$3,0))</f>
        <v>air::urban air close to ground</v>
      </c>
      <c r="F577" t="s">
        <v>167</v>
      </c>
      <c r="G577" t="s">
        <v>66</v>
      </c>
    </row>
    <row r="578" spans="1:7" x14ac:dyDescent="0.2">
      <c r="A578" t="str">
        <f>INDEX('ei names mapping'!$B$4:$BL$33,MATCH(B546,'ei names mapping'!$A$4:$A$33,0),MATCH(G578,'ei names mapping'!$B$3:$BL$3,0))</f>
        <v>Carbon dioxide, from soil or biomass stock</v>
      </c>
      <c r="B578" s="11">
        <f>INDEX('vehicles specifications'!$B$3:$CW$166,MATCH(B549,'vehicles specifications'!$A$3:$A$166,0),MATCH(G578,'vehicles specifications'!$B$2:$CW$2,0))*INDEX('ei names mapping'!$B$137:$BL$300,MATCH(B549,'ei names mapping'!$A$137:$A$300,0),MATCH(G578,'ei names mapping'!$B$136:$BL$136,0))</f>
        <v>1.6769073229231102E-3</v>
      </c>
      <c r="D578" t="str">
        <f>INDEX('ei names mapping'!$B$104:$BL$133,MATCH(B546,'ei names mapping'!$A$4:$A$33,0),MATCH(G578,'ei names mapping'!$B$3:$BL$3,0))</f>
        <v>kilogram</v>
      </c>
      <c r="E578" t="str">
        <f>INDEX('ei names mapping'!$B$305:$BL$335,MATCH(B546,'ei names mapping'!$A$4:$A$33,0),MATCH(G578,'ei names mapping'!$B$3:$BL$3,0))</f>
        <v>air::urban air close to ground</v>
      </c>
      <c r="F578" t="s">
        <v>167</v>
      </c>
      <c r="G578" t="s">
        <v>843</v>
      </c>
    </row>
    <row r="579" spans="1:7" x14ac:dyDescent="0.2">
      <c r="A579" t="str">
        <f>INDEX('ei names mapping'!$B$4:$BL$33,MATCH(B546,'ei names mapping'!$A$4:$A$33,0),MATCH(G579,'ei names mapping'!$B$3:$BL$3,0))</f>
        <v>Sulfur dioxide</v>
      </c>
      <c r="B579" s="7">
        <f>INDEX('vehicles specifications'!$B$3:$CW$166,MATCH(B549,'vehicles specifications'!$A$3:$A$166,0),MATCH(G579,'vehicles specifications'!$B$2:$CW$2,0))*INDEX('ei names mapping'!$B$137:$BL$300,MATCH(B549,'ei names mapping'!$A$137:$A$300,0),MATCH(G579,'ei names mapping'!$B$136:$BL$136,0))</f>
        <v>7.1206255750450526E-7</v>
      </c>
      <c r="D579" t="str">
        <f>INDEX('ei names mapping'!$B$104:$BL$133,MATCH(B546,'ei names mapping'!$A$4:$A$33,0),MATCH(G579,'ei names mapping'!$B$3:$BL$3,0))</f>
        <v>kilogram</v>
      </c>
      <c r="E579" t="str">
        <f>INDEX('ei names mapping'!$B$305:$BL$335,MATCH(B546,'ei names mapping'!$A$4:$A$33,0),MATCH(G579,'ei names mapping'!$B$3:$BL$3,0))</f>
        <v>air::urban air close to ground</v>
      </c>
      <c r="F579" t="s">
        <v>167</v>
      </c>
      <c r="G579" t="s">
        <v>67</v>
      </c>
    </row>
    <row r="580" spans="1:7" x14ac:dyDescent="0.2">
      <c r="A580" t="str">
        <f>INDEX('ei names mapping'!$B$4:$BL$33,MATCH(B546,'ei names mapping'!$A$4:$A$33,0),MATCH(G580,'ei names mapping'!$B$3:$BL$3,0))</f>
        <v>Benzene</v>
      </c>
      <c r="B580" s="7">
        <f>INDEX('vehicles specifications'!$B$3:$CW$166,MATCH(B549,'vehicles specifications'!$A$3:$A$166,0),MATCH(G580,'vehicles specifications'!$B$2:$CW$2,0))*INDEX('ei names mapping'!$B$137:$BL$300,MATCH(B549,'ei names mapping'!$A$137:$A$300,0),MATCH(G580,'ei names mapping'!$B$136:$BL$136,0))</f>
        <v>1.4446809563334003E-6</v>
      </c>
      <c r="D580" t="str">
        <f>INDEX('ei names mapping'!$B$104:$BL$133,MATCH(B546,'ei names mapping'!$A$4:$A$33,0),MATCH(G580,'ei names mapping'!$B$3:$BL$3,0))</f>
        <v>kilogram</v>
      </c>
      <c r="E580" t="str">
        <f>INDEX('ei names mapping'!$B$305:$BL$335,MATCH(B546,'ei names mapping'!$A$4:$A$33,0),MATCH(G580,'ei names mapping'!$B$3:$BL$3,0))</f>
        <v>air::urban air close to ground</v>
      </c>
      <c r="F580" t="s">
        <v>167</v>
      </c>
      <c r="G580" t="s">
        <v>55</v>
      </c>
    </row>
    <row r="581" spans="1:7" x14ac:dyDescent="0.2">
      <c r="A581" t="str">
        <f>INDEX('ei names mapping'!$B$4:$BL$33,MATCH(B546,'ei names mapping'!$A$4:$A$33,0),MATCH(G581,'ei names mapping'!$B$3:$BL$3,0))</f>
        <v>Methane, fossil</v>
      </c>
      <c r="B581" s="7">
        <f>INDEX('vehicles specifications'!$B$3:$CW$166,MATCH(B549,'vehicles specifications'!$A$3:$A$166,0),MATCH(G581,'vehicles specifications'!$B$2:$CW$2,0))*INDEX('ei names mapping'!$B$137:$BL$300,MATCH(B549,'ei names mapping'!$A$137:$A$300,0),MATCH(G581,'ei names mapping'!$B$136:$BL$136,0))</f>
        <v>2.0363598850840388E-5</v>
      </c>
      <c r="D581" t="str">
        <f>INDEX('ei names mapping'!$B$104:$BL$133,MATCH(B546,'ei names mapping'!$A$4:$A$33,0),MATCH(G581,'ei names mapping'!$B$3:$BL$3,0))</f>
        <v>kilogram</v>
      </c>
      <c r="E581" t="str">
        <f>INDEX('ei names mapping'!$B$305:$BL$335,MATCH(B546,'ei names mapping'!$A$4:$A$33,0),MATCH(G581,'ei names mapping'!$B$3:$BL$3,0))</f>
        <v>air::urban air close to ground</v>
      </c>
      <c r="F581" t="s">
        <v>167</v>
      </c>
      <c r="G581" t="s">
        <v>56</v>
      </c>
    </row>
    <row r="582" spans="1:7" x14ac:dyDescent="0.2">
      <c r="A582" t="str">
        <f>INDEX('ei names mapping'!$B$4:$BL$33,MATCH(B546,'ei names mapping'!$A$4:$A$33,0),MATCH(G582,'ei names mapping'!$B$3:$BL$3,0))</f>
        <v>Carbon monoxide, fossil</v>
      </c>
      <c r="B582" s="7">
        <f>INDEX('vehicles specifications'!$B$3:$CW$166,MATCH(B549,'vehicles specifications'!$A$3:$A$166,0),MATCH(G582,'vehicles specifications'!$B$2:$CW$2,0))*INDEX('ei names mapping'!$B$137:$BL$300,MATCH(B549,'ei names mapping'!$A$137:$A$300,0),MATCH(G582,'ei names mapping'!$B$136:$BL$136,0))</f>
        <v>1.5821783697967266E-4</v>
      </c>
      <c r="D582" t="str">
        <f>INDEX('ei names mapping'!$B$104:$BL$133,MATCH(B546,'ei names mapping'!$A$4:$A$33,0),MATCH(G582,'ei names mapping'!$B$3:$BL$3,0))</f>
        <v>kilogram</v>
      </c>
      <c r="E582" t="str">
        <f>INDEX('ei names mapping'!$B$305:$BL$335,MATCH(B546,'ei names mapping'!$A$4:$A$33,0),MATCH(G582,'ei names mapping'!$B$3:$BL$3,0))</f>
        <v>air::urban air close to ground</v>
      </c>
      <c r="F582" t="s">
        <v>167</v>
      </c>
      <c r="G582" t="s">
        <v>57</v>
      </c>
    </row>
    <row r="583" spans="1:7" x14ac:dyDescent="0.2">
      <c r="A583" t="str">
        <f>INDEX('ei names mapping'!$B$4:$BL$33,MATCH(B546,'ei names mapping'!$A$4:$A$33,0),MATCH(G583,'ei names mapping'!$B$3:$BL$3,0))</f>
        <v>Dinitrogen monoxide</v>
      </c>
      <c r="B583" s="7">
        <f>INDEX('vehicles specifications'!$B$3:$CW$166,MATCH(B549,'vehicles specifications'!$A$3:$A$166,0),MATCH(G583,'vehicles specifications'!$B$2:$CW$2,0))*INDEX('ei names mapping'!$B$137:$BL$300,MATCH(B549,'ei names mapping'!$A$137:$A$300,0),MATCH(G583,'ei names mapping'!$B$136:$BL$136,0))</f>
        <v>1.0717683605705466E-6</v>
      </c>
      <c r="D583" t="str">
        <f>INDEX('ei names mapping'!$B$104:$BL$133,MATCH(B546,'ei names mapping'!$A$4:$A$33,0),MATCH(G583,'ei names mapping'!$B$3:$BL$3,0))</f>
        <v>kilogram</v>
      </c>
      <c r="E583" t="str">
        <f>INDEX('ei names mapping'!$B$305:$BL$335,MATCH(B546,'ei names mapping'!$A$4:$A$33,0),MATCH(G583,'ei names mapping'!$B$3:$BL$3,0))</f>
        <v>air::urban air close to ground</v>
      </c>
      <c r="F583" t="s">
        <v>167</v>
      </c>
      <c r="G583" t="s">
        <v>58</v>
      </c>
    </row>
    <row r="584" spans="1:7" x14ac:dyDescent="0.2">
      <c r="A584" t="str">
        <f>INDEX('ei names mapping'!$B$4:$BL$33,MATCH(B546,'ei names mapping'!$A$4:$A$33,0),MATCH(G584,'ei names mapping'!$B$3:$BL$3,0))</f>
        <v>Ammonia</v>
      </c>
      <c r="B584" s="7">
        <f>INDEX('vehicles specifications'!$B$3:$CW$166,MATCH(B549,'vehicles specifications'!$A$3:$A$166,0),MATCH(G584,'vehicles specifications'!$B$2:$CW$2,0))*INDEX('ei names mapping'!$B$137:$BL$300,MATCH(B549,'ei names mapping'!$A$137:$A$300,0),MATCH(G584,'ei names mapping'!$B$136:$BL$136,0))</f>
        <v>1.0717683605705466E-6</v>
      </c>
      <c r="D584" t="str">
        <f>INDEX('ei names mapping'!$B$104:$BL$133,MATCH(B546,'ei names mapping'!$A$4:$A$33,0),MATCH(G584,'ei names mapping'!$B$3:$BL$3,0))</f>
        <v>kilogram</v>
      </c>
      <c r="E584" t="str">
        <f>INDEX('ei names mapping'!$B$305:$BL$335,MATCH(B546,'ei names mapping'!$A$4:$A$33,0),MATCH(G584,'ei names mapping'!$B$3:$BL$3,0))</f>
        <v>air::urban air close to ground</v>
      </c>
      <c r="F584" t="s">
        <v>167</v>
      </c>
      <c r="G584" t="s">
        <v>59</v>
      </c>
    </row>
    <row r="585" spans="1:7" x14ac:dyDescent="0.2">
      <c r="A585" t="str">
        <f>INDEX('ei names mapping'!$B$4:$BL$33,MATCH(B546,'ei names mapping'!$A$4:$A$33,0),MATCH(G585,'ei names mapping'!$B$3:$BL$3,0))</f>
        <v>Nitrogen oxides</v>
      </c>
      <c r="B585" s="7">
        <f>INDEX('vehicles specifications'!$B$3:$CW$166,MATCH(B549,'vehicles specifications'!$A$3:$A$166,0),MATCH(G585,'vehicles specifications'!$B$2:$CW$2,0))*INDEX('ei names mapping'!$B$137:$BL$300,MATCH(B549,'ei names mapping'!$A$137:$A$300,0),MATCH(G585,'ei names mapping'!$B$136:$BL$136,0))</f>
        <v>9.0208482435892366E-6</v>
      </c>
      <c r="D585" t="str">
        <f>INDEX('ei names mapping'!$B$104:$BL$133,MATCH(B546,'ei names mapping'!$A$4:$A$33,0),MATCH(G585,'ei names mapping'!$B$3:$BL$3,0))</f>
        <v>kilogram</v>
      </c>
      <c r="E585" t="str">
        <f>INDEX('ei names mapping'!$B$305:$BL$335,MATCH(B546,'ei names mapping'!$A$4:$A$33,0),MATCH(G585,'ei names mapping'!$B$3:$BL$3,0))</f>
        <v>air::urban air close to ground</v>
      </c>
      <c r="F585" t="s">
        <v>167</v>
      </c>
      <c r="G585" t="s">
        <v>60</v>
      </c>
    </row>
    <row r="586" spans="1:7" x14ac:dyDescent="0.2">
      <c r="A586" t="str">
        <f>INDEX('ei names mapping'!$B$4:$BL$33,MATCH(B546,'ei names mapping'!$A$4:$A$33,0),MATCH(G586,'ei names mapping'!$B$3:$BL$3,0))</f>
        <v>Particulates, &lt; 2.5 um</v>
      </c>
      <c r="B586" s="7">
        <f>INDEX('vehicles specifications'!$B$3:$CW$166,MATCH(B$549,'vehicles specifications'!$A$3:$A$166,0),MATCH(G586,'vehicles specifications'!$B$2:$CW$2,0))*INDEX('ei names mapping'!$B$137:$BL$300,MATCH(B$549,'ei names mapping'!$A$137:$A$300,0),MATCH(G586,'ei names mapping'!$B$136:$BL$136,0))</f>
        <v>2.6794209014263668E-6</v>
      </c>
      <c r="D586" t="str">
        <f>INDEX('ei names mapping'!$B$104:$BL$133,MATCH(B546,'ei names mapping'!$A$4:$A$33,0),MATCH(G586,'ei names mapping'!$B$3:$BL$3,0))</f>
        <v>kilogram</v>
      </c>
      <c r="E586" t="str">
        <f>INDEX('ei names mapping'!$B$305:$BL$335,MATCH(B546,'ei names mapping'!$A$4:$A$33,0),MATCH(G586,'ei names mapping'!$B$3:$BL$3,0))</f>
        <v>air::urban air close to ground</v>
      </c>
      <c r="F586" t="s">
        <v>167</v>
      </c>
      <c r="G586" t="s">
        <v>62</v>
      </c>
    </row>
    <row r="587" spans="1:7" x14ac:dyDescent="0.2">
      <c r="A587" t="str">
        <f>INDEX('ei names mapping'!$B$4:$BL$33,MATCH(B$234,'ei names mapping'!$A$4:$A$33,0),MATCH(G587,'ei names mapping'!$B$3:$BL$3,0))</f>
        <v>NMVOC, non-methane volatile organic compounds, unspecified origin</v>
      </c>
      <c r="B587" s="7">
        <f>INDEX('vehicles specifications'!$B$3:$CW$166,MATCH(B$549,'vehicles specifications'!$A$3:$A$166,0),MATCH(G587,'vehicles specifications'!$B$2:$CW$2,0))*INDEX('ei names mapping'!$B$137:$BL$300,MATCH(B$549,'ei names mapping'!$A$137:$A$300,0),MATCH(G587,'ei names mapping'!$B$136:$BL$136,0))</f>
        <v>1.1650154450004105E-5</v>
      </c>
      <c r="D587" t="str">
        <f>INDEX('ei names mapping'!$B$104:$BL$133,MATCH(B$234,'ei names mapping'!$A$4:$A$33,0),MATCH(G587,'ei names mapping'!$B$3:$BL$3,0))</f>
        <v>kilogram</v>
      </c>
      <c r="E587" t="str">
        <f>INDEX('ei names mapping'!$B$305:$BL$335,MATCH(B$234,'ei names mapping'!$A$4:$A$33,0),MATCH(G587,'ei names mapping'!$B$3:$BL$3,0))</f>
        <v>air::urban air close to ground</v>
      </c>
      <c r="F587" t="s">
        <v>167</v>
      </c>
      <c r="G587" t="s">
        <v>593</v>
      </c>
    </row>
    <row r="588" spans="1:7" x14ac:dyDescent="0.2">
      <c r="A588" t="str">
        <f>INDEX('ei names mapping'!$B$4:$BL$33,MATCH(B$234,'ei names mapping'!$A$4:$A$33,0),MATCH(G588,'ei names mapping'!$B$3:$BL$3,0))</f>
        <v>Ethane</v>
      </c>
      <c r="B588" s="7">
        <f>INDEX('vehicles specifications'!$B$3:$CW$166,MATCH(B$549,'vehicles specifications'!$A$3:$A$166,0),MATCH(G588,'vehicles specifications'!$B$2:$CW$2,0))*INDEX('ei names mapping'!$B$137:$BL$300,MATCH(B$549,'ei names mapping'!$A$137:$A$300,0),MATCH(G588,'ei names mapping'!$B$136:$BL$136,0))</f>
        <v>8.2148524967977661E-7</v>
      </c>
      <c r="D588" t="str">
        <f>INDEX('ei names mapping'!$B$104:$BL$133,MATCH(B$234,'ei names mapping'!$A$4:$A$33,0),MATCH(G588,'ei names mapping'!$B$3:$BL$3,0))</f>
        <v>kilogram</v>
      </c>
      <c r="E588" t="str">
        <f>INDEX('ei names mapping'!$B$305:$BL$335,MATCH(B$234,'ei names mapping'!$A$4:$A$33,0),MATCH(G588,'ei names mapping'!$B$3:$BL$3,0))</f>
        <v>air::urban air close to ground</v>
      </c>
      <c r="F588" t="s">
        <v>167</v>
      </c>
      <c r="G588" t="s">
        <v>541</v>
      </c>
    </row>
    <row r="589" spans="1:7" x14ac:dyDescent="0.2">
      <c r="A589" t="str">
        <f>INDEX('ei names mapping'!$B$4:$BL$33,MATCH(B$234,'ei names mapping'!$A$4:$A$33,0),MATCH(G589,'ei names mapping'!$B$3:$BL$3,0))</f>
        <v>Propane</v>
      </c>
      <c r="B589" s="7">
        <f>INDEX('vehicles specifications'!$B$3:$CW$166,MATCH(B$549,'vehicles specifications'!$A$3:$A$166,0),MATCH(G589,'vehicles specifications'!$B$2:$CW$2,0))*INDEX('ei names mapping'!$B$137:$BL$300,MATCH(B$549,'ei names mapping'!$A$137:$A$300,0),MATCH(G589,'ei names mapping'!$B$136:$BL$136,0))</f>
        <v>1.6738727658051873E-7</v>
      </c>
      <c r="D589" t="str">
        <f>INDEX('ei names mapping'!$B$104:$BL$133,MATCH(B$234,'ei names mapping'!$A$4:$A$33,0),MATCH(G589,'ei names mapping'!$B$3:$BL$3,0))</f>
        <v>kilogram</v>
      </c>
      <c r="E589" t="str">
        <f>INDEX('ei names mapping'!$B$305:$BL$335,MATCH(B$234,'ei names mapping'!$A$4:$A$33,0),MATCH(G589,'ei names mapping'!$B$3:$BL$3,0))</f>
        <v>air::urban air close to ground</v>
      </c>
      <c r="F589" t="s">
        <v>167</v>
      </c>
      <c r="G589" t="s">
        <v>542</v>
      </c>
    </row>
    <row r="590" spans="1:7" x14ac:dyDescent="0.2">
      <c r="A590" t="str">
        <f>INDEX('ei names mapping'!$B$4:$BL$33,MATCH(B$234,'ei names mapping'!$A$4:$A$33,0),MATCH(G590,'ei names mapping'!$B$3:$BL$3,0))</f>
        <v>Butane</v>
      </c>
      <c r="B590" s="7">
        <f>INDEX('vehicles specifications'!$B$3:$CW$166,MATCH(B$549,'vehicles specifications'!$A$3:$A$166,0),MATCH(G590,'vehicles specifications'!$B$2:$CW$2,0))*INDEX('ei names mapping'!$B$137:$BL$300,MATCH(B$549,'ei names mapping'!$A$137:$A$300,0),MATCH(G590,'ei names mapping'!$B$136:$BL$136,0))</f>
        <v>1.3493989681260279E-6</v>
      </c>
      <c r="D590" t="str">
        <f>INDEX('ei names mapping'!$B$104:$BL$133,MATCH(B$234,'ei names mapping'!$A$4:$A$33,0),MATCH(G590,'ei names mapping'!$B$3:$BL$3,0))</f>
        <v>kilogram</v>
      </c>
      <c r="E590" t="str">
        <f>INDEX('ei names mapping'!$B$305:$BL$335,MATCH(B$234,'ei names mapping'!$A$4:$A$33,0),MATCH(G590,'ei names mapping'!$B$3:$BL$3,0))</f>
        <v>air::urban air close to ground</v>
      </c>
      <c r="F590" t="s">
        <v>167</v>
      </c>
      <c r="G590" t="s">
        <v>543</v>
      </c>
    </row>
    <row r="591" spans="1:7" x14ac:dyDescent="0.2">
      <c r="A591" t="str">
        <f>INDEX('ei names mapping'!$B$4:$BL$33,MATCH(B$234,'ei names mapping'!$A$4:$A$33,0),MATCH(G591,'ei names mapping'!$B$3:$BL$3,0))</f>
        <v>Pentane</v>
      </c>
      <c r="B591" s="7">
        <f>INDEX('vehicles specifications'!$B$3:$CW$166,MATCH(B$549,'vehicles specifications'!$A$3:$A$166,0),MATCH(G591,'vehicles specifications'!$B$2:$CW$2,0))*INDEX('ei names mapping'!$B$137:$BL$300,MATCH(B$549,'ei names mapping'!$A$137:$A$300,0),MATCH(G591,'ei names mapping'!$B$136:$BL$136,0))</f>
        <v>5.5366560715094662E-7</v>
      </c>
      <c r="D591" t="str">
        <f>INDEX('ei names mapping'!$B$104:$BL$133,MATCH(B$234,'ei names mapping'!$A$4:$A$33,0),MATCH(G591,'ei names mapping'!$B$3:$BL$3,0))</f>
        <v>kilogram</v>
      </c>
      <c r="E591" t="str">
        <f>INDEX('ei names mapping'!$B$305:$BL$335,MATCH(B$234,'ei names mapping'!$A$4:$A$33,0),MATCH(G591,'ei names mapping'!$B$3:$BL$3,0))</f>
        <v>air::urban air close to ground</v>
      </c>
      <c r="F591" t="s">
        <v>167</v>
      </c>
      <c r="G591" t="s">
        <v>544</v>
      </c>
    </row>
    <row r="592" spans="1:7" x14ac:dyDescent="0.2">
      <c r="A592" t="str">
        <f>INDEX('ei names mapping'!$B$4:$BL$33,MATCH(B$234,'ei names mapping'!$A$4:$A$33,0),MATCH(G592,'ei names mapping'!$B$3:$BL$3,0))</f>
        <v>Hexane</v>
      </c>
      <c r="B592" s="7">
        <f>INDEX('vehicles specifications'!$B$3:$CW$166,MATCH(B$549,'vehicles specifications'!$A$3:$A$166,0),MATCH(G592,'vehicles specifications'!$B$2:$CW$2,0))*INDEX('ei names mapping'!$B$137:$BL$300,MATCH(B$549,'ei names mapping'!$A$137:$A$300,0),MATCH(G592,'ei names mapping'!$B$136:$BL$136,0))</f>
        <v>4.1460540814559257E-7</v>
      </c>
      <c r="D592" t="str">
        <f>INDEX('ei names mapping'!$B$104:$BL$133,MATCH(B$234,'ei names mapping'!$A$4:$A$33,0),MATCH(G592,'ei names mapping'!$B$3:$BL$3,0))</f>
        <v>kilogram</v>
      </c>
      <c r="E592" t="str">
        <f>INDEX('ei names mapping'!$B$305:$BL$335,MATCH(B$234,'ei names mapping'!$A$4:$A$33,0),MATCH(G592,'ei names mapping'!$B$3:$BL$3,0))</f>
        <v>air::urban air close to ground</v>
      </c>
      <c r="F592" t="s">
        <v>167</v>
      </c>
      <c r="G592" t="s">
        <v>545</v>
      </c>
    </row>
    <row r="593" spans="1:7" x14ac:dyDescent="0.2">
      <c r="A593" t="str">
        <f>INDEX('ei names mapping'!$B$4:$BL$33,MATCH(B$234,'ei names mapping'!$A$4:$A$33,0),MATCH(G593,'ei names mapping'!$B$3:$BL$3,0))</f>
        <v>Cyclohexane</v>
      </c>
      <c r="B593" s="7">
        <f>INDEX('vehicles specifications'!$B$3:$CW$166,MATCH(B$549,'vehicles specifications'!$A$3:$A$166,0),MATCH(G593,'vehicles specifications'!$B$2:$CW$2,0))*INDEX('ei names mapping'!$B$137:$BL$300,MATCH(B$549,'ei names mapping'!$A$137:$A$300,0),MATCH(G593,'ei names mapping'!$B$136:$BL$136,0))</f>
        <v>2.9357153123352523E-7</v>
      </c>
      <c r="D593" t="str">
        <f>INDEX('ei names mapping'!$B$104:$BL$133,MATCH(B$234,'ei names mapping'!$A$4:$A$33,0),MATCH(G593,'ei names mapping'!$B$3:$BL$3,0))</f>
        <v>kilogram</v>
      </c>
      <c r="E593" t="str">
        <f>INDEX('ei names mapping'!$B$305:$BL$335,MATCH(B$234,'ei names mapping'!$A$4:$A$33,0),MATCH(G593,'ei names mapping'!$B$3:$BL$3,0))</f>
        <v>air::urban air close to ground</v>
      </c>
      <c r="F593" t="s">
        <v>167</v>
      </c>
      <c r="G593" t="s">
        <v>546</v>
      </c>
    </row>
    <row r="594" spans="1:7" x14ac:dyDescent="0.2">
      <c r="A594" t="str">
        <f>INDEX('ei names mapping'!$B$4:$BL$33,MATCH(B$234,'ei names mapping'!$A$4:$A$33,0),MATCH(G594,'ei names mapping'!$B$3:$BL$3,0))</f>
        <v>Heptane</v>
      </c>
      <c r="B594" s="7">
        <f>INDEX('vehicles specifications'!$B$3:$CW$166,MATCH(B$549,'vehicles specifications'!$A$3:$A$166,0),MATCH(G594,'vehicles specifications'!$B$2:$CW$2,0))*INDEX('ei names mapping'!$B$137:$BL$300,MATCH(B$549,'ei names mapping'!$A$137:$A$300,0),MATCH(G594,'ei names mapping'!$B$136:$BL$136,0))</f>
        <v>1.9056397641474442E-7</v>
      </c>
      <c r="D594" t="str">
        <f>INDEX('ei names mapping'!$B$104:$BL$133,MATCH(B$234,'ei names mapping'!$A$4:$A$33,0),MATCH(G594,'ei names mapping'!$B$3:$BL$3,0))</f>
        <v>kilogram</v>
      </c>
      <c r="E594" t="str">
        <f>INDEX('ei names mapping'!$B$305:$BL$335,MATCH(B$234,'ei names mapping'!$A$4:$A$33,0),MATCH(G594,'ei names mapping'!$B$3:$BL$3,0))</f>
        <v>air::urban air close to ground</v>
      </c>
      <c r="F594" t="s">
        <v>167</v>
      </c>
      <c r="G594" t="s">
        <v>547</v>
      </c>
    </row>
    <row r="595" spans="1:7" x14ac:dyDescent="0.2">
      <c r="A595" t="str">
        <f>INDEX('ei names mapping'!$B$4:$BL$33,MATCH(B$234,'ei names mapping'!$A$4:$A$33,0),MATCH(G595,'ei names mapping'!$B$3:$BL$3,0))</f>
        <v>Ethene</v>
      </c>
      <c r="B595" s="7">
        <f>INDEX('vehicles specifications'!$B$3:$CW$166,MATCH(B$549,'vehicles specifications'!$A$3:$A$166,0),MATCH(G595,'vehicles specifications'!$B$2:$CW$2,0))*INDEX('ei names mapping'!$B$137:$BL$300,MATCH(B$549,'ei names mapping'!$A$137:$A$300,0),MATCH(G595,'ei names mapping'!$B$136:$BL$136,0))</f>
        <v>1.8798878754427487E-6</v>
      </c>
      <c r="D595" t="str">
        <f>INDEX('ei names mapping'!$B$104:$BL$133,MATCH(B$234,'ei names mapping'!$A$4:$A$33,0),MATCH(G595,'ei names mapping'!$B$3:$BL$3,0))</f>
        <v>kilogram</v>
      </c>
      <c r="E595" t="str">
        <f>INDEX('ei names mapping'!$B$305:$BL$335,MATCH(B$234,'ei names mapping'!$A$4:$A$33,0),MATCH(G595,'ei names mapping'!$B$3:$BL$3,0))</f>
        <v>air::urban air close to ground</v>
      </c>
      <c r="F595" t="s">
        <v>167</v>
      </c>
      <c r="G595" t="s">
        <v>548</v>
      </c>
    </row>
    <row r="596" spans="1:7" x14ac:dyDescent="0.2">
      <c r="A596" t="str">
        <f>INDEX('ei names mapping'!$B$4:$BL$33,MATCH(B$234,'ei names mapping'!$A$4:$A$33,0),MATCH(G596,'ei names mapping'!$B$3:$BL$3,0))</f>
        <v>Propene</v>
      </c>
      <c r="B596" s="7">
        <f>INDEX('vehicles specifications'!$B$3:$CW$166,MATCH(B$549,'vehicles specifications'!$A$3:$A$166,0),MATCH(G596,'vehicles specifications'!$B$2:$CW$2,0))*INDEX('ei names mapping'!$B$137:$BL$300,MATCH(B$549,'ei names mapping'!$A$137:$A$300,0),MATCH(G596,'ei names mapping'!$B$136:$BL$136,0))</f>
        <v>9.8372214851935643E-7</v>
      </c>
      <c r="D596" t="str">
        <f>INDEX('ei names mapping'!$B$104:$BL$133,MATCH(B$234,'ei names mapping'!$A$4:$A$33,0),MATCH(G596,'ei names mapping'!$B$3:$BL$3,0))</f>
        <v>kilogram</v>
      </c>
      <c r="E596" t="str">
        <f>INDEX('ei names mapping'!$B$305:$BL$335,MATCH(B$234,'ei names mapping'!$A$4:$A$33,0),MATCH(G596,'ei names mapping'!$B$3:$BL$3,0))</f>
        <v>air::urban air close to ground</v>
      </c>
      <c r="F596" t="s">
        <v>167</v>
      </c>
      <c r="G596" t="s">
        <v>549</v>
      </c>
    </row>
    <row r="597" spans="1:7" x14ac:dyDescent="0.2">
      <c r="A597" t="str">
        <f>INDEX('ei names mapping'!$B$4:$BL$33,MATCH(B$234,'ei names mapping'!$A$4:$A$33,0),MATCH(G597,'ei names mapping'!$B$3:$BL$3,0))</f>
        <v>1-Pentene</v>
      </c>
      <c r="B597" s="7">
        <f>INDEX('vehicles specifications'!$B$3:$CW$166,MATCH(B$549,'vehicles specifications'!$A$3:$A$166,0),MATCH(G597,'vehicles specifications'!$B$2:$CW$2,0))*INDEX('ei names mapping'!$B$137:$BL$300,MATCH(B$549,'ei names mapping'!$A$137:$A$300,0),MATCH(G597,'ei names mapping'!$B$136:$BL$136,0))</f>
        <v>2.8327077575164717E-8</v>
      </c>
      <c r="D597" t="str">
        <f>INDEX('ei names mapping'!$B$104:$BL$133,MATCH(B$234,'ei names mapping'!$A$4:$A$33,0),MATCH(G597,'ei names mapping'!$B$3:$BL$3,0))</f>
        <v>kilogram</v>
      </c>
      <c r="E597" t="str">
        <f>INDEX('ei names mapping'!$B$305:$BL$335,MATCH(B$234,'ei names mapping'!$A$4:$A$33,0),MATCH(G597,'ei names mapping'!$B$3:$BL$3,0))</f>
        <v>air::urban air close to ground</v>
      </c>
      <c r="F597" t="s">
        <v>167</v>
      </c>
      <c r="G597" t="s">
        <v>550</v>
      </c>
    </row>
    <row r="598" spans="1:7" x14ac:dyDescent="0.2">
      <c r="A598" t="str">
        <f>INDEX('ei names mapping'!$B$4:$BL$33,MATCH(B$234,'ei names mapping'!$A$4:$A$33,0),MATCH(G598,'ei names mapping'!$B$3:$BL$3,0))</f>
        <v>Toluene</v>
      </c>
      <c r="B598" s="7">
        <f>INDEX('vehicles specifications'!$B$3:$CW$166,MATCH(B$549,'vehicles specifications'!$A$3:$A$166,0),MATCH(G598,'vehicles specifications'!$B$2:$CW$2,0))*INDEX('ei names mapping'!$B$137:$BL$300,MATCH(B$549,'ei names mapping'!$A$137:$A$300,0),MATCH(G598,'ei names mapping'!$B$136:$BL$136,0))</f>
        <v>2.8275573797755318E-6</v>
      </c>
      <c r="D598" t="str">
        <f>INDEX('ei names mapping'!$B$104:$BL$133,MATCH(B$234,'ei names mapping'!$A$4:$A$33,0),MATCH(G598,'ei names mapping'!$B$3:$BL$3,0))</f>
        <v>kilogram</v>
      </c>
      <c r="E598" t="str">
        <f>INDEX('ei names mapping'!$B$305:$BL$335,MATCH(B$234,'ei names mapping'!$A$4:$A$33,0),MATCH(G598,'ei names mapping'!$B$3:$BL$3,0))</f>
        <v>air::urban air close to ground</v>
      </c>
      <c r="F598" t="s">
        <v>167</v>
      </c>
      <c r="G598" t="s">
        <v>551</v>
      </c>
    </row>
    <row r="599" spans="1:7" x14ac:dyDescent="0.2">
      <c r="A599" t="str">
        <f>INDEX('ei names mapping'!$B$4:$BL$33,MATCH(B$234,'ei names mapping'!$A$4:$A$33,0),MATCH(G599,'ei names mapping'!$B$3:$BL$3,0))</f>
        <v>m-Xylene</v>
      </c>
      <c r="B599" s="7">
        <f>INDEX('vehicles specifications'!$B$3:$CW$166,MATCH(B$549,'vehicles specifications'!$A$3:$A$166,0),MATCH(G599,'vehicles specifications'!$B$2:$CW$2,0))*INDEX('ei names mapping'!$B$137:$BL$300,MATCH(B$549,'ei names mapping'!$A$137:$A$300,0),MATCH(G599,'ei names mapping'!$B$136:$BL$136,0))</f>
        <v>1.3983275566649491E-6</v>
      </c>
      <c r="D599" t="str">
        <f>INDEX('ei names mapping'!$B$104:$BL$133,MATCH(B$234,'ei names mapping'!$A$4:$A$33,0),MATCH(G599,'ei names mapping'!$B$3:$BL$3,0))</f>
        <v>kilogram</v>
      </c>
      <c r="E599" t="str">
        <f>INDEX('ei names mapping'!$B$305:$BL$335,MATCH(B$234,'ei names mapping'!$A$4:$A$33,0),MATCH(G599,'ei names mapping'!$B$3:$BL$3,0))</f>
        <v>air::urban air close to ground</v>
      </c>
      <c r="F599" t="s">
        <v>167</v>
      </c>
      <c r="G599" t="s">
        <v>552</v>
      </c>
    </row>
    <row r="600" spans="1:7" x14ac:dyDescent="0.2">
      <c r="A600" t="str">
        <f>INDEX('ei names mapping'!$B$4:$BL$33,MATCH(B$234,'ei names mapping'!$A$4:$A$33,0),MATCH(G600,'ei names mapping'!$B$3:$BL$3,0))</f>
        <v>o-Xylene</v>
      </c>
      <c r="B600" s="7">
        <f>INDEX('vehicles specifications'!$B$3:$CW$166,MATCH(B$549,'vehicles specifications'!$A$3:$A$166,0),MATCH(G600,'vehicles specifications'!$B$2:$CW$2,0))*INDEX('ei names mapping'!$B$137:$BL$300,MATCH(B$549,'ei names mapping'!$A$137:$A$300,0),MATCH(G600,'ei names mapping'!$B$136:$BL$136,0))</f>
        <v>5.819926847261114E-7</v>
      </c>
      <c r="D600" t="str">
        <f>INDEX('ei names mapping'!$B$104:$BL$133,MATCH(B$234,'ei names mapping'!$A$4:$A$33,0),MATCH(G600,'ei names mapping'!$B$3:$BL$3,0))</f>
        <v>kilogram</v>
      </c>
      <c r="E600" t="str">
        <f>INDEX('ei names mapping'!$B$305:$BL$335,MATCH(B$234,'ei names mapping'!$A$4:$A$33,0),MATCH(G600,'ei names mapping'!$B$3:$BL$3,0))</f>
        <v>air::urban air close to ground</v>
      </c>
      <c r="F600" t="s">
        <v>167</v>
      </c>
      <c r="G600" t="s">
        <v>553</v>
      </c>
    </row>
    <row r="601" spans="1:7" x14ac:dyDescent="0.2">
      <c r="A601" t="str">
        <f>INDEX('ei names mapping'!$B$4:$BL$33,MATCH(B$234,'ei names mapping'!$A$4:$A$33,0),MATCH(G601,'ei names mapping'!$B$3:$BL$3,0))</f>
        <v>Formaldehyde</v>
      </c>
      <c r="B601" s="7">
        <f>INDEX('vehicles specifications'!$B$3:$CW$166,MATCH(B$549,'vehicles specifications'!$A$3:$A$166,0),MATCH(G601,'vehicles specifications'!$B$2:$CW$2,0))*INDEX('ei names mapping'!$B$137:$BL$300,MATCH(B$549,'ei names mapping'!$A$137:$A$300,0),MATCH(G601,'ei names mapping'!$B$136:$BL$136,0))</f>
        <v>4.3778210797981829E-7</v>
      </c>
      <c r="D601" t="str">
        <f>INDEX('ei names mapping'!$B$104:$BL$133,MATCH(B$234,'ei names mapping'!$A$4:$A$33,0),MATCH(G601,'ei names mapping'!$B$3:$BL$3,0))</f>
        <v>kilogram</v>
      </c>
      <c r="E601" t="str">
        <f>INDEX('ei names mapping'!$B$305:$BL$335,MATCH(B$234,'ei names mapping'!$A$4:$A$33,0),MATCH(G601,'ei names mapping'!$B$3:$BL$3,0))</f>
        <v>air::urban air close to ground</v>
      </c>
      <c r="F601" t="s">
        <v>167</v>
      </c>
      <c r="G601" t="s">
        <v>554</v>
      </c>
    </row>
    <row r="602" spans="1:7" x14ac:dyDescent="0.2">
      <c r="A602" t="str">
        <f>INDEX('ei names mapping'!$B$4:$BL$33,MATCH(B$234,'ei names mapping'!$A$4:$A$33,0),MATCH(G602,'ei names mapping'!$B$3:$BL$3,0))</f>
        <v>Acetaldehyde</v>
      </c>
      <c r="B602" s="7">
        <f>INDEX('vehicles specifications'!$B$3:$CW$166,MATCH(B$549,'vehicles specifications'!$A$3:$A$166,0),MATCH(G602,'vehicles specifications'!$B$2:$CW$2,0))*INDEX('ei names mapping'!$B$137:$BL$300,MATCH(B$549,'ei names mapping'!$A$137:$A$300,0),MATCH(G602,'ei names mapping'!$B$136:$BL$136,0))</f>
        <v>1.9313916528521392E-7</v>
      </c>
      <c r="D602" t="str">
        <f>INDEX('ei names mapping'!$B$104:$BL$133,MATCH(B$234,'ei names mapping'!$A$4:$A$33,0),MATCH(G602,'ei names mapping'!$B$3:$BL$3,0))</f>
        <v>kilogram</v>
      </c>
      <c r="E602" t="str">
        <f>INDEX('ei names mapping'!$B$305:$BL$335,MATCH(B$234,'ei names mapping'!$A$4:$A$33,0),MATCH(G602,'ei names mapping'!$B$3:$BL$3,0))</f>
        <v>air::urban air close to ground</v>
      </c>
      <c r="F602" t="s">
        <v>167</v>
      </c>
      <c r="G602" t="s">
        <v>555</v>
      </c>
    </row>
    <row r="603" spans="1:7" x14ac:dyDescent="0.2">
      <c r="A603" t="str">
        <f>INDEX('ei names mapping'!$B$4:$BL$33,MATCH(B$234,'ei names mapping'!$A$4:$A$33,0),MATCH(G603,'ei names mapping'!$B$3:$BL$3,0))</f>
        <v>Benzaldehyde</v>
      </c>
      <c r="B603" s="7">
        <f>INDEX('vehicles specifications'!$B$3:$CW$166,MATCH(B$549,'vehicles specifications'!$A$3:$A$166,0),MATCH(G603,'vehicles specifications'!$B$2:$CW$2,0))*INDEX('ei names mapping'!$B$137:$BL$300,MATCH(B$549,'ei names mapping'!$A$137:$A$300,0),MATCH(G603,'ei names mapping'!$B$136:$BL$136,0))</f>
        <v>5.6654155150329434E-8</v>
      </c>
      <c r="D603" t="str">
        <f>INDEX('ei names mapping'!$B$104:$BL$133,MATCH(B$234,'ei names mapping'!$A$4:$A$33,0),MATCH(G603,'ei names mapping'!$B$3:$BL$3,0))</f>
        <v>kilogram</v>
      </c>
      <c r="E603" t="str">
        <f>INDEX('ei names mapping'!$B$305:$BL$335,MATCH(B$234,'ei names mapping'!$A$4:$A$33,0),MATCH(G603,'ei names mapping'!$B$3:$BL$3,0))</f>
        <v>air::urban air close to ground</v>
      </c>
      <c r="F603" t="s">
        <v>167</v>
      </c>
      <c r="G603" t="s">
        <v>556</v>
      </c>
    </row>
    <row r="604" spans="1:7" x14ac:dyDescent="0.2">
      <c r="A604" t="str">
        <f>INDEX('ei names mapping'!$B$4:$BL$33,MATCH(B$234,'ei names mapping'!$A$4:$A$33,0),MATCH(G604,'ei names mapping'!$B$3:$BL$3,0))</f>
        <v>Acetone</v>
      </c>
      <c r="B604" s="7">
        <f>INDEX('vehicles specifications'!$B$3:$CW$166,MATCH(B$549,'vehicles specifications'!$A$3:$A$166,0),MATCH(G604,'vehicles specifications'!$B$2:$CW$2,0))*INDEX('ei names mapping'!$B$137:$BL$300,MATCH(B$549,'ei names mapping'!$A$137:$A$300,0),MATCH(G604,'ei names mapping'!$B$136:$BL$136,0))</f>
        <v>1.5708652109864066E-7</v>
      </c>
      <c r="D604" t="str">
        <f>INDEX('ei names mapping'!$B$104:$BL$133,MATCH(B$234,'ei names mapping'!$A$4:$A$33,0),MATCH(G604,'ei names mapping'!$B$3:$BL$3,0))</f>
        <v>kilogram</v>
      </c>
      <c r="E604" t="str">
        <f>INDEX('ei names mapping'!$B$305:$BL$335,MATCH(B$234,'ei names mapping'!$A$4:$A$33,0),MATCH(G604,'ei names mapping'!$B$3:$BL$3,0))</f>
        <v>air::urban air close to ground</v>
      </c>
      <c r="F604" t="s">
        <v>167</v>
      </c>
      <c r="G604" t="s">
        <v>557</v>
      </c>
    </row>
    <row r="605" spans="1:7" x14ac:dyDescent="0.2">
      <c r="A605" t="str">
        <f>INDEX('ei names mapping'!$B$4:$BL$33,MATCH(B$234,'ei names mapping'!$A$4:$A$33,0),MATCH(G605,'ei names mapping'!$B$3:$BL$3,0))</f>
        <v>Methyl ethyl ketone</v>
      </c>
      <c r="B605" s="7">
        <f>INDEX('vehicles specifications'!$B$3:$CW$166,MATCH(B$549,'vehicles specifications'!$A$3:$A$166,0),MATCH(G605,'vehicles specifications'!$B$2:$CW$2,0))*INDEX('ei names mapping'!$B$137:$BL$300,MATCH(B$549,'ei names mapping'!$A$137:$A$300,0),MATCH(G605,'ei names mapping'!$B$136:$BL$136,0))</f>
        <v>0</v>
      </c>
      <c r="D605" t="str">
        <f>INDEX('ei names mapping'!$B$104:$BL$133,MATCH(B$234,'ei names mapping'!$A$4:$A$33,0),MATCH(G605,'ei names mapping'!$B$3:$BL$3,0))</f>
        <v>kilogram</v>
      </c>
      <c r="E605" t="str">
        <f>INDEX('ei names mapping'!$B$305:$BL$335,MATCH(B$234,'ei names mapping'!$A$4:$A$33,0),MATCH(G605,'ei names mapping'!$B$3:$BL$3,0))</f>
        <v>air::urban air close to ground</v>
      </c>
      <c r="F605" t="s">
        <v>167</v>
      </c>
      <c r="G605" t="s">
        <v>560</v>
      </c>
    </row>
    <row r="606" spans="1:7" x14ac:dyDescent="0.2">
      <c r="A606" t="str">
        <f>INDEX('ei names mapping'!$B$4:$BL$33,MATCH(B$234,'ei names mapping'!$A$4:$A$33,0),MATCH(G606,'ei names mapping'!$B$3:$BL$3,0))</f>
        <v>Acrolein</v>
      </c>
      <c r="B606" s="7">
        <f>INDEX('vehicles specifications'!$B$3:$CW$166,MATCH(B$549,'vehicles specifications'!$A$3:$A$166,0),MATCH(G606,'vehicles specifications'!$B$2:$CW$2,0))*INDEX('ei names mapping'!$B$137:$BL$300,MATCH(B$549,'ei names mapping'!$A$137:$A$300,0),MATCH(G606,'ei names mapping'!$B$136:$BL$136,0))</f>
        <v>4.8928588538920863E-8</v>
      </c>
      <c r="D606" t="str">
        <f>INDEX('ei names mapping'!$B$104:$BL$133,MATCH(B$234,'ei names mapping'!$A$4:$A$33,0),MATCH(G606,'ei names mapping'!$B$3:$BL$3,0))</f>
        <v>kilogram</v>
      </c>
      <c r="E606" t="str">
        <f>INDEX('ei names mapping'!$B$305:$BL$335,MATCH(B$234,'ei names mapping'!$A$4:$A$33,0),MATCH(G606,'ei names mapping'!$B$3:$BL$3,0))</f>
        <v>air::urban air close to ground</v>
      </c>
      <c r="F606" t="s">
        <v>167</v>
      </c>
      <c r="G606" t="s">
        <v>558</v>
      </c>
    </row>
    <row r="607" spans="1:7" x14ac:dyDescent="0.2">
      <c r="A607" t="str">
        <f>INDEX('ei names mapping'!$B$4:$BL$33,MATCH(B$234,'ei names mapping'!$A$4:$A$33,0),MATCH(G607,'ei names mapping'!$B$3:$BL$3,0))</f>
        <v>Styrene</v>
      </c>
      <c r="B607" s="7">
        <f>INDEX('vehicles specifications'!$B$3:$CW$166,MATCH(B$549,'vehicles specifications'!$A$3:$A$166,0),MATCH(G607,'vehicles specifications'!$B$2:$CW$2,0))*INDEX('ei names mapping'!$B$137:$BL$300,MATCH(B$549,'ei names mapping'!$A$137:$A$300,0),MATCH(G607,'ei names mapping'!$B$136:$BL$136,0))</f>
        <v>2.6009407591742145E-7</v>
      </c>
      <c r="D607" t="str">
        <f>INDEX('ei names mapping'!$B$104:$BL$133,MATCH(B$234,'ei names mapping'!$A$4:$A$33,0),MATCH(G607,'ei names mapping'!$B$3:$BL$3,0))</f>
        <v>kilogram</v>
      </c>
      <c r="E607" t="str">
        <f>INDEX('ei names mapping'!$B$305:$BL$335,MATCH(B$234,'ei names mapping'!$A$4:$A$33,0),MATCH(G607,'ei names mapping'!$B$3:$BL$3,0))</f>
        <v>air::urban air close to ground</v>
      </c>
      <c r="F607" t="s">
        <v>167</v>
      </c>
      <c r="G607" t="s">
        <v>559</v>
      </c>
    </row>
    <row r="608" spans="1:7" x14ac:dyDescent="0.2">
      <c r="A608" t="str">
        <f>INDEX('ei names mapping'!$B$4:$BL$33,MATCH(B$234,'ei names mapping'!$A$4:$A$33,0),MATCH(G608,'ei names mapping'!$B$3:$BL$3,0))</f>
        <v>PAH, polycyclic aromatic hydrocarbons</v>
      </c>
      <c r="B608" s="7">
        <f>INDEX('vehicles specifications'!$B$3:$CW$166,MATCH(B$549,'vehicles specifications'!$A$3:$A$166,0),MATCH(G608,'vehicles specifications'!$B$2:$CW$2,0))*INDEX('ei names mapping'!$B$137:$BL$300,MATCH(B$549,'ei names mapping'!$A$137:$A$300,0),MATCH(G608,'ei names mapping'!$B$136:$BL$136,0))</f>
        <v>1.5523801474254103E-9</v>
      </c>
      <c r="D608" t="str">
        <f>INDEX('ei names mapping'!$B$104:$BL$133,MATCH(B$234,'ei names mapping'!$A$4:$A$33,0),MATCH(G608,'ei names mapping'!$B$3:$BL$3,0))</f>
        <v>kilogram</v>
      </c>
      <c r="E608" t="str">
        <f>INDEX('ei names mapping'!$B$305:$BL$335,MATCH(B$234,'ei names mapping'!$A$4:$A$33,0),MATCH(G608,'ei names mapping'!$B$3:$BL$3,0))</f>
        <v>air::urban air close to ground</v>
      </c>
      <c r="F608" t="s">
        <v>167</v>
      </c>
      <c r="G608" t="s">
        <v>561</v>
      </c>
    </row>
    <row r="609" spans="1:8" x14ac:dyDescent="0.2">
      <c r="A609" t="str">
        <f>INDEX('ei names mapping'!$B$4:$BL$33,MATCH(B$234,'ei names mapping'!$A$4:$A$33,0),MATCH(G609,'ei names mapping'!$B$3:$BL$3,0))</f>
        <v>Arsenic</v>
      </c>
      <c r="B609" s="7">
        <f>INDEX('vehicles specifications'!$B$3:$CW$166,MATCH(B$549,'vehicles specifications'!$A$3:$A$166,0),MATCH(G609,'vehicles specifications'!$B$2:$CW$2,0))*INDEX('ei names mapping'!$B$137:$BL$300,MATCH(B$549,'ei names mapping'!$A$137:$A$300,0),MATCH(G609,'ei names mapping'!$B$136:$BL$136,0))</f>
        <v>1.3382587477805262E-11</v>
      </c>
      <c r="D609" t="str">
        <f>INDEX('ei names mapping'!$B$104:$BL$133,MATCH(B$234,'ei names mapping'!$A$4:$A$33,0),MATCH(G609,'ei names mapping'!$B$3:$BL$3,0))</f>
        <v>kilogram</v>
      </c>
      <c r="E609" t="str">
        <f>INDEX('ei names mapping'!$B$305:$BL$335,MATCH(B$234,'ei names mapping'!$A$4:$A$33,0),MATCH(G609,'ei names mapping'!$B$3:$BL$3,0))</f>
        <v>air::urban air close to ground</v>
      </c>
      <c r="F609" t="s">
        <v>167</v>
      </c>
      <c r="G609" t="s">
        <v>562</v>
      </c>
    </row>
    <row r="610" spans="1:8" x14ac:dyDescent="0.2">
      <c r="A610" t="str">
        <f>INDEX('ei names mapping'!$B$4:$BL$33,MATCH(B$234,'ei names mapping'!$A$4:$A$33,0),MATCH(G610,'ei names mapping'!$B$3:$BL$3,0))</f>
        <v>Selenium</v>
      </c>
      <c r="B610" s="7">
        <f>INDEX('vehicles specifications'!$B$3:$CW$166,MATCH(B$549,'vehicles specifications'!$A$3:$A$166,0),MATCH(G610,'vehicles specifications'!$B$2:$CW$2,0))*INDEX('ei names mapping'!$B$137:$BL$300,MATCH(B$549,'ei names mapping'!$A$137:$A$300,0),MATCH(G610,'ei names mapping'!$B$136:$BL$136,0))</f>
        <v>8.9217249852035084E-12</v>
      </c>
      <c r="D610" t="str">
        <f>INDEX('ei names mapping'!$B$104:$BL$133,MATCH(B$234,'ei names mapping'!$A$4:$A$33,0),MATCH(G610,'ei names mapping'!$B$3:$BL$3,0))</f>
        <v>kilogram</v>
      </c>
      <c r="E610" t="str">
        <f>INDEX('ei names mapping'!$B$305:$BL$335,MATCH(B$234,'ei names mapping'!$A$4:$A$33,0),MATCH(G610,'ei names mapping'!$B$3:$BL$3,0))</f>
        <v>air::urban air close to ground</v>
      </c>
      <c r="F610" t="s">
        <v>167</v>
      </c>
      <c r="G610" t="s">
        <v>563</v>
      </c>
    </row>
    <row r="611" spans="1:8" x14ac:dyDescent="0.2">
      <c r="A611" t="str">
        <f>INDEX('ei names mapping'!$B$4:$BL$33,MATCH(B$234,'ei names mapping'!$A$4:$A$33,0),MATCH(G611,'ei names mapping'!$B$3:$BL$3,0))</f>
        <v>Zinc</v>
      </c>
      <c r="B611" s="7">
        <f>INDEX('vehicles specifications'!$B$3:$CW$166,MATCH(B$549,'vehicles specifications'!$A$3:$A$166,0),MATCH(G611,'vehicles specifications'!$B$2:$CW$2,0))*INDEX('ei names mapping'!$B$137:$BL$300,MATCH(B$549,'ei names mapping'!$A$137:$A$300,0),MATCH(G611,'ei names mapping'!$B$136:$BL$136,0))</f>
        <v>9.635462984019789E-8</v>
      </c>
      <c r="D611" t="str">
        <f>INDEX('ei names mapping'!$B$104:$BL$133,MATCH(B$234,'ei names mapping'!$A$4:$A$33,0),MATCH(G611,'ei names mapping'!$B$3:$BL$3,0))</f>
        <v>kilogram</v>
      </c>
      <c r="E611" t="str">
        <f>INDEX('ei names mapping'!$B$305:$BL$335,MATCH(B$234,'ei names mapping'!$A$4:$A$33,0),MATCH(G611,'ei names mapping'!$B$3:$BL$3,0))</f>
        <v>air::urban air close to ground</v>
      </c>
      <c r="F611" t="s">
        <v>167</v>
      </c>
      <c r="G611" t="s">
        <v>564</v>
      </c>
    </row>
    <row r="612" spans="1:8" x14ac:dyDescent="0.2">
      <c r="A612" t="str">
        <f>INDEX('ei names mapping'!$B$4:$BL$33,MATCH(B$234,'ei names mapping'!$A$4:$A$33,0),MATCH(G612,'ei names mapping'!$B$3:$BL$3,0))</f>
        <v>Copper</v>
      </c>
      <c r="B612" s="7">
        <f>INDEX('vehicles specifications'!$B$3:$CW$166,MATCH(B$549,'vehicles specifications'!$A$3:$A$166,0),MATCH(G612,'vehicles specifications'!$B$2:$CW$2,0))*INDEX('ei names mapping'!$B$137:$BL$300,MATCH(B$549,'ei names mapping'!$A$137:$A$300,0),MATCH(G612,'ei names mapping'!$B$136:$BL$136,0))</f>
        <v>1.8735622468927363E-9</v>
      </c>
      <c r="D612" t="str">
        <f>INDEX('ei names mapping'!$B$104:$BL$133,MATCH(B$234,'ei names mapping'!$A$4:$A$33,0),MATCH(G612,'ei names mapping'!$B$3:$BL$3,0))</f>
        <v>kilogram</v>
      </c>
      <c r="E612" t="str">
        <f>INDEX('ei names mapping'!$B$305:$BL$335,MATCH(B$234,'ei names mapping'!$A$4:$A$33,0),MATCH(G612,'ei names mapping'!$B$3:$BL$3,0))</f>
        <v>air::urban air close to ground</v>
      </c>
      <c r="F612" t="s">
        <v>167</v>
      </c>
      <c r="G612" t="s">
        <v>522</v>
      </c>
    </row>
    <row r="613" spans="1:8" x14ac:dyDescent="0.2">
      <c r="A613" t="str">
        <f>INDEX('ei names mapping'!$B$4:$BL$33,MATCH(B$234,'ei names mapping'!$A$4:$A$33,0),MATCH(G613,'ei names mapping'!$B$3:$BL$3,0))</f>
        <v>Nickel</v>
      </c>
      <c r="B613" s="7">
        <f>INDEX('vehicles specifications'!$B$3:$CW$166,MATCH(B$549,'vehicles specifications'!$A$3:$A$166,0),MATCH(G613,'vehicles specifications'!$B$2:$CW$2,0))*INDEX('ei names mapping'!$B$137:$BL$300,MATCH(B$549,'ei names mapping'!$A$137:$A$300,0),MATCH(G613,'ei names mapping'!$B$136:$BL$136,0))</f>
        <v>5.7991212403822797E-10</v>
      </c>
      <c r="D613" t="str">
        <f>INDEX('ei names mapping'!$B$104:$BL$133,MATCH(B$234,'ei names mapping'!$A$4:$A$33,0),MATCH(G613,'ei names mapping'!$B$3:$BL$3,0))</f>
        <v>kilogram</v>
      </c>
      <c r="E613" t="str">
        <f>INDEX('ei names mapping'!$B$305:$BL$335,MATCH(B$234,'ei names mapping'!$A$4:$A$33,0),MATCH(G613,'ei names mapping'!$B$3:$BL$3,0))</f>
        <v>air::urban air close to ground</v>
      </c>
      <c r="F613" t="s">
        <v>167</v>
      </c>
      <c r="G613" t="s">
        <v>524</v>
      </c>
    </row>
    <row r="614" spans="1:8" x14ac:dyDescent="0.2">
      <c r="A614" t="str">
        <f>INDEX('ei names mapping'!$B$4:$BL$33,MATCH(B$234,'ei names mapping'!$A$4:$A$33,0),MATCH(G614,'ei names mapping'!$B$3:$BL$3,0))</f>
        <v>Chromium</v>
      </c>
      <c r="B614" s="7">
        <f>INDEX('vehicles specifications'!$B$3:$CW$166,MATCH(B$549,'vehicles specifications'!$A$3:$A$166,0),MATCH(G614,'vehicles specifications'!$B$2:$CW$2,0))*INDEX('ei names mapping'!$B$137:$BL$300,MATCH(B$549,'ei names mapping'!$A$137:$A$300,0),MATCH(G614,'ei names mapping'!$B$136:$BL$136,0))</f>
        <v>7.137379988162807E-10</v>
      </c>
      <c r="D614" t="str">
        <f>INDEX('ei names mapping'!$B$104:$BL$133,MATCH(B$234,'ei names mapping'!$A$4:$A$33,0),MATCH(G614,'ei names mapping'!$B$3:$BL$3,0))</f>
        <v>kilogram</v>
      </c>
      <c r="E614" t="str">
        <f>INDEX('ei names mapping'!$B$305:$BL$335,MATCH(B$234,'ei names mapping'!$A$4:$A$33,0),MATCH(G614,'ei names mapping'!$B$3:$BL$3,0))</f>
        <v>air::urban air close to ground</v>
      </c>
      <c r="F614" t="s">
        <v>167</v>
      </c>
      <c r="G614" t="s">
        <v>523</v>
      </c>
    </row>
    <row r="615" spans="1:8" x14ac:dyDescent="0.2">
      <c r="A615" t="str">
        <f>INDEX('ei names mapping'!$B$4:$BL$33,MATCH(B$234,'ei names mapping'!$A$4:$A$33,0),MATCH(G615,'ei names mapping'!$B$3:$BL$3,0))</f>
        <v>Chromium VI</v>
      </c>
      <c r="B615" s="7">
        <f>INDEX('vehicles specifications'!$B$3:$CW$166,MATCH(B$549,'vehicles specifications'!$A$3:$A$166,0),MATCH(G615,'vehicles specifications'!$B$2:$CW$2,0))*INDEX('ei names mapping'!$B$137:$BL$300,MATCH(B$549,'ei names mapping'!$A$137:$A$300,0),MATCH(G615,'ei names mapping'!$B$136:$BL$136,0))</f>
        <v>1.427475997632561E-12</v>
      </c>
      <c r="D615" t="str">
        <f>INDEX('ei names mapping'!$B$104:$BL$133,MATCH(B$234,'ei names mapping'!$A$4:$A$33,0),MATCH(G615,'ei names mapping'!$B$3:$BL$3,0))</f>
        <v>kilogram</v>
      </c>
      <c r="E615" t="str">
        <f>INDEX('ei names mapping'!$B$305:$BL$335,MATCH(B$234,'ei names mapping'!$A$4:$A$33,0),MATCH(G615,'ei names mapping'!$B$3:$BL$3,0))</f>
        <v>air::urban air close to ground</v>
      </c>
      <c r="F615" t="s">
        <v>167</v>
      </c>
      <c r="G615" t="s">
        <v>567</v>
      </c>
    </row>
    <row r="616" spans="1:8" x14ac:dyDescent="0.2">
      <c r="A616" t="str">
        <f>INDEX('ei names mapping'!$B$4:$BL$33,MATCH(B$234,'ei names mapping'!$A$4:$A$33,0),MATCH(G616,'ei names mapping'!$B$3:$BL$3,0))</f>
        <v>Mercury</v>
      </c>
      <c r="B616" s="7">
        <f>INDEX('vehicles specifications'!$B$3:$CW$166,MATCH(B$549,'vehicles specifications'!$A$3:$A$166,0),MATCH(G616,'vehicles specifications'!$B$2:$CW$2,0))*INDEX('ei names mapping'!$B$137:$BL$300,MATCH(B$549,'ei names mapping'!$A$137:$A$300,0),MATCH(G616,'ei names mapping'!$B$136:$BL$136,0))</f>
        <v>3.8809503685635257E-10</v>
      </c>
      <c r="D616" t="str">
        <f>INDEX('ei names mapping'!$B$104:$BL$133,MATCH(B$234,'ei names mapping'!$A$4:$A$33,0),MATCH(G616,'ei names mapping'!$B$3:$BL$3,0))</f>
        <v>kilogram</v>
      </c>
      <c r="E616" t="str">
        <f>INDEX('ei names mapping'!$B$305:$BL$335,MATCH(B$234,'ei names mapping'!$A$4:$A$33,0),MATCH(G616,'ei names mapping'!$B$3:$BL$3,0))</f>
        <v>air::urban air close to ground</v>
      </c>
      <c r="F616" t="s">
        <v>167</v>
      </c>
      <c r="G616" t="s">
        <v>565</v>
      </c>
    </row>
    <row r="617" spans="1:8" x14ac:dyDescent="0.2">
      <c r="A617" t="str">
        <f>INDEX('ei names mapping'!$B$4:$BL$33,MATCH(B$234,'ei names mapping'!$A$4:$A$33,0),MATCH(G617,'ei names mapping'!$B$3:$BL$3,0))</f>
        <v>Cadmium</v>
      </c>
      <c r="B617" s="7">
        <f>INDEX('vehicles specifications'!$B$3:$CW$166,MATCH(B$549,'vehicles specifications'!$A$3:$A$166,0),MATCH(G617,'vehicles specifications'!$B$2:$CW$2,0))*INDEX('ei names mapping'!$B$137:$BL$300,MATCH(B$549,'ei names mapping'!$A$137:$A$300,0),MATCH(G617,'ei names mapping'!$B$136:$BL$136,0))</f>
        <v>4.8177314920098949E-10</v>
      </c>
      <c r="D617" t="str">
        <f>INDEX('ei names mapping'!$B$104:$BL$133,MATCH(B$234,'ei names mapping'!$A$4:$A$33,0),MATCH(G617,'ei names mapping'!$B$3:$BL$3,0))</f>
        <v>kilogram</v>
      </c>
      <c r="E617" t="str">
        <f>INDEX('ei names mapping'!$B$305:$BL$335,MATCH(B$234,'ei names mapping'!$A$4:$A$33,0),MATCH(G617,'ei names mapping'!$B$3:$BL$3,0))</f>
        <v>air::urban air close to ground</v>
      </c>
      <c r="F617" t="s">
        <v>167</v>
      </c>
      <c r="G617" t="s">
        <v>566</v>
      </c>
    </row>
    <row r="618" spans="1:8" x14ac:dyDescent="0.2">
      <c r="A618" t="str">
        <f>INDEX('ei names mapping'!$B$4:$BL$33,MATCH(B546,'ei names mapping'!$A$4:$A$33,0),MATCH(G618,'ei names mapping'!$B$3:$BL$3,0))</f>
        <v>treatment of road wear emissions, passenger car</v>
      </c>
      <c r="B618" s="7">
        <f>INDEX('vehicles specifications'!$B$3:$CW$166,MATCH(B549,'vehicles specifications'!$A$3:$A$166,0),MATCH(G618,'vehicles specifications'!$B$2:$CW$2,0))*INDEX('ei names mapping'!$B$137:$BL$300,MATCH(B549,'ei names mapping'!$A$137:$A$300,0),MATCH(G618,'ei names mapping'!$B$136:$BL$136,0))</f>
        <v>-1.1105636978500829E-5</v>
      </c>
      <c r="C618" t="str">
        <f>INDEX('ei names mapping'!$B$38:$BL$67,MATCH(B546,'ei names mapping'!$A$4:$A$33,0),MATCH(G618,'ei names mapping'!$B$3:$BL$3,0))</f>
        <v>RER</v>
      </c>
      <c r="D618" t="str">
        <f>INDEX('ei names mapping'!$B$104:$BL$133,MATCH(B546,'ei names mapping'!$A$4:$A$33,0),MATCH(G618,'ei names mapping'!$B$3:$BL$3,0))</f>
        <v>kilogram</v>
      </c>
      <c r="F618" t="s">
        <v>89</v>
      </c>
      <c r="G618" t="s">
        <v>29</v>
      </c>
      <c r="H618" t="str">
        <f>INDEX('ei names mapping'!$B$71:$BL$100,MATCH(B546,'ei names mapping'!$A$4:$A$33,0),MATCH(G618,'ei names mapping'!$B$3:$BL$3,0))</f>
        <v>road wear emissions, passenger car</v>
      </c>
    </row>
    <row r="619" spans="1:8" x14ac:dyDescent="0.2">
      <c r="A619" t="str">
        <f>INDEX('ei names mapping'!$B$4:$BL$33,MATCH(B546,'ei names mapping'!$A$4:$A$33,0),MATCH(G619,'ei names mapping'!$B$3:$BL$3,0))</f>
        <v>treatment of tyre wear emissions, passenger car</v>
      </c>
      <c r="B619" s="7">
        <f>INDEX('vehicles specifications'!$B$3:$CW$166,MATCH(B549,'vehicles specifications'!$A$3:$A$166,0),MATCH(G619,'vehicles specifications'!$B$2:$CW$2,0))*INDEX('ei names mapping'!$B$137:$BL$300,MATCH(B549,'ei names mapping'!$A$137:$A$300,0),MATCH(G619,'ei names mapping'!$B$136:$BL$136,0))</f>
        <v>-6.6977579661906636E-6</v>
      </c>
      <c r="C619" t="str">
        <f>INDEX('ei names mapping'!$B$38:$BL$67,MATCH(B546,'ei names mapping'!$A$4:$A$33,0),MATCH(G619,'ei names mapping'!$B$3:$BL$3,0))</f>
        <v>RER</v>
      </c>
      <c r="D619" t="str">
        <f>INDEX('ei names mapping'!$B$104:$BL$133,MATCH(B546,'ei names mapping'!$A$4:$A$33,0),MATCH(G619,'ei names mapping'!$B$3:$BL$3,0))</f>
        <v>kilogram</v>
      </c>
      <c r="F619" t="s">
        <v>89</v>
      </c>
      <c r="G619" t="s">
        <v>30</v>
      </c>
      <c r="H619" t="str">
        <f>INDEX('ei names mapping'!$B$71:$BL$100,MATCH(B546,'ei names mapping'!$A$4:$A$33,0),MATCH(G619,'ei names mapping'!$B$3:$BL$3,0))</f>
        <v>tyre wear emissions, passenger car</v>
      </c>
    </row>
    <row r="620" spans="1:8" x14ac:dyDescent="0.2">
      <c r="A620" t="str">
        <f>INDEX('ei names mapping'!$B$4:$BL$33,MATCH(B546,'ei names mapping'!$A$4:$A$33,0),MATCH(G620,'ei names mapping'!$B$3:$BL$3,0))</f>
        <v>treatment of brake wear emissions, passenger car</v>
      </c>
      <c r="B620" s="7">
        <f>INDEX('vehicles specifications'!$B$3:$CW$166,MATCH(B549,'vehicles specifications'!$A$3:$A$166,0),MATCH(G620,'vehicles specifications'!$B$2:$CW$2,0))*INDEX('ei names mapping'!$B$137:$BL$300,MATCH(B549,'ei names mapping'!$A$137:$A$300,0),MATCH(G620,'ei names mapping'!$B$136:$BL$136,0))</f>
        <v>-3.8735829277859865E-6</v>
      </c>
      <c r="C620" t="str">
        <f>INDEX('ei names mapping'!$B$38:$BL$67,MATCH(B546,'ei names mapping'!$A$4:$A$33,0),MATCH(G620,'ei names mapping'!$B$3:$BL$3,0))</f>
        <v>RER</v>
      </c>
      <c r="D620" t="str">
        <f>INDEX('ei names mapping'!$B$104:$BL$133,MATCH(B546,'ei names mapping'!$A$4:$A$33,0),MATCH(G620,'ei names mapping'!$B$3:$BL$3,0))</f>
        <v>kilogram</v>
      </c>
      <c r="F620" t="s">
        <v>89</v>
      </c>
      <c r="G620" t="s">
        <v>31</v>
      </c>
      <c r="H620" t="str">
        <f>INDEX('ei names mapping'!$B$71:$BL$100,MATCH(B546,'ei names mapping'!$A$4:$A$33,0),MATCH(G620,'ei names mapping'!$B$3:$BL$3,0))</f>
        <v>brake wear emissions, passenger car</v>
      </c>
    </row>
    <row r="622" spans="1:8" ht="16" x14ac:dyDescent="0.2">
      <c r="A622" s="10" t="s">
        <v>71</v>
      </c>
      <c r="B622" s="8" t="str">
        <f>"transport, "&amp;B624&amp;", "&amp;B626</f>
        <v>transport, Motorbike, gasoline, &gt;35kW, EURO-5, 2050</v>
      </c>
    </row>
    <row r="623" spans="1:8" x14ac:dyDescent="0.2">
      <c r="A623" t="s">
        <v>72</v>
      </c>
      <c r="B623" t="s">
        <v>37</v>
      </c>
    </row>
    <row r="624" spans="1:8" x14ac:dyDescent="0.2">
      <c r="A624" t="s">
        <v>86</v>
      </c>
      <c r="B624" t="s">
        <v>631</v>
      </c>
    </row>
    <row r="625" spans="1:2" x14ac:dyDescent="0.2">
      <c r="A625" t="s">
        <v>87</v>
      </c>
    </row>
    <row r="626" spans="1:2" x14ac:dyDescent="0.2">
      <c r="A626" t="s">
        <v>88</v>
      </c>
      <c r="B626">
        <v>2050</v>
      </c>
    </row>
    <row r="627" spans="1:2" x14ac:dyDescent="0.2">
      <c r="A627" t="s">
        <v>126</v>
      </c>
      <c r="B627" t="str">
        <f>B624&amp;" - "&amp;B626&amp;" - "&amp;B623</f>
        <v>Motorbike, gasoline, &gt;35kW, EURO-5 - 2050 - CH</v>
      </c>
    </row>
    <row r="628" spans="1:2" x14ac:dyDescent="0.2">
      <c r="A628" t="s">
        <v>73</v>
      </c>
      <c r="B628" t="str">
        <f>"transport, "&amp;B624</f>
        <v>transport, Motorbike, gasoline, &gt;35kW, EURO-5</v>
      </c>
    </row>
    <row r="629" spans="1:2" x14ac:dyDescent="0.2">
      <c r="A629" t="s">
        <v>74</v>
      </c>
      <c r="B629" t="s">
        <v>75</v>
      </c>
    </row>
    <row r="630" spans="1:2" x14ac:dyDescent="0.2">
      <c r="A630" t="s">
        <v>76</v>
      </c>
      <c r="B630" t="s">
        <v>166</v>
      </c>
    </row>
    <row r="631" spans="1:2" x14ac:dyDescent="0.2">
      <c r="A631" t="s">
        <v>78</v>
      </c>
      <c r="B631" t="s">
        <v>1143</v>
      </c>
    </row>
    <row r="632" spans="1:2" x14ac:dyDescent="0.2">
      <c r="A632" t="s">
        <v>127</v>
      </c>
      <c r="B632">
        <f>INDEX('vehicles specifications'!$B$3:$CW$166,MATCH(B627,'vehicles specifications'!$A$3:$A$166,0),MATCH("Lifetime [km]",'vehicles specifications'!$B$2:$CW$2,0))</f>
        <v>40500</v>
      </c>
    </row>
    <row r="633" spans="1:2" x14ac:dyDescent="0.2">
      <c r="A633" t="s">
        <v>128</v>
      </c>
      <c r="B633">
        <f>INDEX('vehicles specifications'!$B$3:$CW$166,MATCH(B627,'vehicles specifications'!$A$3:$A$166,0),MATCH("Passengers [unit]",'vehicles specifications'!$B$2:$CW$2,0))</f>
        <v>1.1000000000000001</v>
      </c>
    </row>
    <row r="634" spans="1:2" x14ac:dyDescent="0.2">
      <c r="A634" t="s">
        <v>129</v>
      </c>
      <c r="B634">
        <f>INDEX('vehicles specifications'!$B$3:$CW$166,MATCH(B627,'vehicles specifications'!$A$3:$A$166,0),MATCH("Servicing [unit]",'vehicles specifications'!$B$2:$CW$2,0))</f>
        <v>1.62</v>
      </c>
    </row>
    <row r="635" spans="1:2" x14ac:dyDescent="0.2">
      <c r="A635" t="s">
        <v>130</v>
      </c>
      <c r="B635">
        <f>INDEX('vehicles specifications'!$B$3:$CW$166,MATCH(B627,'vehicles specifications'!$A$3:$A$166,0),MATCH("Energy battery replacement [unit]",'vehicles specifications'!$B$2:$CW$2,0))</f>
        <v>0</v>
      </c>
    </row>
    <row r="636" spans="1:2" x14ac:dyDescent="0.2">
      <c r="A636" t="s">
        <v>131</v>
      </c>
      <c r="B636">
        <f>INDEX('vehicles specifications'!$B$3:$CW$166,MATCH(B627,'vehicles specifications'!$A$3:$A$166,0),MATCH("Annual kilometers [km]",'vehicles specifications'!$B$2:$CW$2,0))</f>
        <v>2896</v>
      </c>
    </row>
    <row r="637" spans="1:2" x14ac:dyDescent="0.2">
      <c r="A637" t="s">
        <v>132</v>
      </c>
      <c r="B637" s="2">
        <f>INDEX('vehicles specifications'!$B$3:$CW$166,MATCH(B627,'vehicles specifications'!$A$3:$A$166,0),MATCH("Curb mass [kg]",'vehicles specifications'!$B$2:$CW$2,0))</f>
        <v>248.755</v>
      </c>
    </row>
    <row r="638" spans="1:2" x14ac:dyDescent="0.2">
      <c r="A638" t="s">
        <v>133</v>
      </c>
      <c r="B638">
        <f>INDEX('vehicles specifications'!$B$3:$CW$166,MATCH(B627,'vehicles specifications'!$A$3:$A$166,0),MATCH("Power [kW]",'vehicles specifications'!$B$2:$CW$2,0))</f>
        <v>91</v>
      </c>
    </row>
    <row r="639" spans="1:2" x14ac:dyDescent="0.2">
      <c r="A639" t="s">
        <v>134</v>
      </c>
      <c r="B639" t="str">
        <f>INDEX('vehicles specifications'!$B$3:$CW$166,MATCH(B627,'vehicles specifications'!$A$3:$A$166,0),MATCH("Energy battery mass [kg]",'vehicles specifications'!$B$2:$CW$2,0))</f>
        <v/>
      </c>
    </row>
    <row r="640" spans="1:2" x14ac:dyDescent="0.2">
      <c r="A640" t="s">
        <v>135</v>
      </c>
      <c r="B640">
        <f>INDEX('vehicles specifications'!$B$3:$CW$166,MATCH(B627,'vehicles specifications'!$A$3:$A$166,0),MATCH("Electric energy available [kWh]",'vehicles specifications'!$B$2:$CW$2,0))</f>
        <v>0</v>
      </c>
    </row>
    <row r="641" spans="1:8" x14ac:dyDescent="0.2">
      <c r="A641" t="s">
        <v>138</v>
      </c>
      <c r="B641" s="2">
        <f>INDEX('vehicles specifications'!$B$3:$CW$166,MATCH(B627,'vehicles specifications'!$A$3:$A$166,0),MATCH("Oxydation energy stored [kWh]",'vehicles specifications'!$B$2:$CW$2,0))</f>
        <v>159.75</v>
      </c>
    </row>
    <row r="642" spans="1:8" x14ac:dyDescent="0.2">
      <c r="A642" t="s">
        <v>139</v>
      </c>
      <c r="B642">
        <f>INDEX('vehicles specifications'!$B$3:$CW$166,MATCH(B627,'vehicles specifications'!$A$3:$A$166,0),MATCH("Fuel mass [kg]",'vehicles specifications'!$B$2:$CW$2,0))</f>
        <v>13.5</v>
      </c>
    </row>
    <row r="643" spans="1:8" x14ac:dyDescent="0.2">
      <c r="A643" t="s">
        <v>136</v>
      </c>
      <c r="B643" s="2">
        <f>INDEX('vehicles specifications'!$B$3:$CW$166,MATCH(B627,'vehicles specifications'!$A$3:$A$166,0),MATCH("Range [km]",'vehicles specifications'!$B$2:$CW$2,0))</f>
        <v>306.40821636017245</v>
      </c>
    </row>
    <row r="644" spans="1:8" x14ac:dyDescent="0.2">
      <c r="A644" t="s">
        <v>137</v>
      </c>
      <c r="B644" t="str">
        <f>INDEX('vehicles specifications'!$B$3:$CW$166,MATCH(B627,'vehicles specifications'!$A$3:$A$166,0),MATCH("Emission standard",'vehicles specifications'!$B$2:$CW$2,0))</f>
        <v>EURO-5</v>
      </c>
    </row>
    <row r="645" spans="1:8" x14ac:dyDescent="0.2">
      <c r="A645" t="s">
        <v>1174</v>
      </c>
      <c r="B645" s="6">
        <f>INDEX('vehicles specifications'!$B$3:$CW$166,MATCH(B627,'vehicles specifications'!$A$3:$A$166,0),MATCH("Lightweighting rate [%]",'vehicles specifications'!$B$2:$CW$2,0))</f>
        <v>7.0000000000000007E-2</v>
      </c>
    </row>
    <row r="646" spans="1:8" x14ac:dyDescent="0.2">
      <c r="A646" t="s">
        <v>83</v>
      </c>
      <c r="B646"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91 kW. Lifetime: 40500 km. Annual kilometers: 2896 km. Number of passengers: 1.1. Curb mass: 248.8 kg. Lightweighting of glider: 7%. Emission standard: EURO-5. Service visits throughout lifetime: 1.6. Range: 306 km. Fuel tank capacity: 159.8 kWh. Fuel mass: 13.5 kg. Documentation: Life-cycle inventories for on-road vehicles, Sacchi R. (PSI), Bauer C. (PSI), 2021. Sacchi R., Bauer C. Life cycle inventories for on-road vehicles. Paul Scherrer Institut, 2021.</v>
      </c>
    </row>
    <row r="647" spans="1:8" ht="16" x14ac:dyDescent="0.2">
      <c r="A647" s="10" t="s">
        <v>79</v>
      </c>
    </row>
    <row r="648" spans="1:8" x14ac:dyDescent="0.2">
      <c r="A648" t="s">
        <v>80</v>
      </c>
      <c r="B648" t="s">
        <v>81</v>
      </c>
      <c r="C648" t="s">
        <v>72</v>
      </c>
      <c r="D648" t="s">
        <v>76</v>
      </c>
      <c r="E648" t="s">
        <v>82</v>
      </c>
      <c r="F648" t="s">
        <v>74</v>
      </c>
      <c r="G648" t="s">
        <v>83</v>
      </c>
      <c r="H648" t="s">
        <v>73</v>
      </c>
    </row>
    <row r="649" spans="1:8" x14ac:dyDescent="0.2">
      <c r="A649" t="str">
        <f>B622</f>
        <v>transport, Motorbike, gasoline, &gt;35kW, EURO-5, 2050</v>
      </c>
      <c r="B649">
        <v>1</v>
      </c>
      <c r="C649" t="str">
        <f>B623</f>
        <v>CH</v>
      </c>
      <c r="D649" t="s">
        <v>166</v>
      </c>
      <c r="F649" t="s">
        <v>84</v>
      </c>
      <c r="G649" t="s">
        <v>85</v>
      </c>
      <c r="H649" t="str">
        <f>B628</f>
        <v>transport, Motorbike, gasoline, &gt;35kW, EURO-5</v>
      </c>
    </row>
    <row r="650" spans="1:8" x14ac:dyDescent="0.2">
      <c r="A650" t="str">
        <f>RIGHT(A649,LEN(A649)-11)</f>
        <v>Motorbike, gasoline, &gt;35kW, EURO-5, 2050</v>
      </c>
      <c r="B650" s="7">
        <f>1/B632</f>
        <v>2.4691358024691357E-5</v>
      </c>
      <c r="C650" t="str">
        <f>B623</f>
        <v>CH</v>
      </c>
      <c r="D650" t="s">
        <v>76</v>
      </c>
      <c r="F650" t="s">
        <v>89</v>
      </c>
      <c r="H650" t="str">
        <f>RIGHT(H649,LEN(H649)-11)</f>
        <v>Motorbike, gasoline, &gt;35kW, EURO-5</v>
      </c>
    </row>
    <row r="651" spans="1:8" x14ac:dyDescent="0.2">
      <c r="A651" t="str">
        <f>INDEX('ei names mapping'!$B$4:$R$33,MATCH(B624,'ei names mapping'!$A$4:$A$33,0),MATCH(G651,'ei names mapping'!$B$3:$R$3,0))</f>
        <v>road construction</v>
      </c>
      <c r="B651" s="7">
        <f>INDEX('vehicles specifications'!$B$3:$CW$166,MATCH(B627,'vehicles specifications'!$A$3:$A$166,0),MATCH(G651,'vehicles specifications'!$B$2:$CW$2,0))*INDEX('ei names mapping'!$B$137:$BL$300,MATCH(B627,'ei names mapping'!$A$137:$A$300,0),MATCH(G651,'ei names mapping'!$B$136:$BL$136,0))</f>
        <v>1.8110593499999999E-4</v>
      </c>
      <c r="C651" t="str">
        <f>INDEX('ei names mapping'!$B$38:$R$67,MATCH(B624,'ei names mapping'!$A$4:$A$33,0),MATCH(G651,'ei names mapping'!$B$3:$R$3,0))</f>
        <v>CH</v>
      </c>
      <c r="D651" t="str">
        <f>INDEX('ei names mapping'!$B$104:$BL$133,MATCH(B624,'ei names mapping'!$A$4:$A$33,0),MATCH(G651,'ei names mapping'!$B$3:$BL$3,0))</f>
        <v>meter-year</v>
      </c>
      <c r="F651" t="s">
        <v>89</v>
      </c>
      <c r="G651" t="s">
        <v>105</v>
      </c>
      <c r="H651" t="str">
        <f>INDEX('ei names mapping'!$B$71:$BL$100,MATCH(B624,'ei names mapping'!$A$4:$A$33,0),MATCH(G651,'ei names mapping'!$B$3:$BL$3,0))</f>
        <v>road</v>
      </c>
    </row>
    <row r="652" spans="1:8" x14ac:dyDescent="0.2">
      <c r="A652" t="str">
        <f>INDEX('ei names mapping'!$B$4:$R$33,MATCH(B624,'ei names mapping'!$A$4:$A$33,0),MATCH(G652,'ei names mapping'!$B$3:$R$3,0))</f>
        <v>road maintenance</v>
      </c>
      <c r="B652" s="7">
        <f>INDEX('vehicles specifications'!$B$3:$CW$166,MATCH(B627,'vehicles specifications'!$A$3:$A$166,0),MATCH(G652,'vehicles specifications'!$B$2:$CW$2,0))*INDEX('ei names mapping'!$B$137:$BL$300,MATCH(B627,'ei names mapping'!$A$137:$A$300,0),MATCH(G652,'ei names mapping'!$B$136:$BL$136,0))</f>
        <v>1.2899999999999999E-3</v>
      </c>
      <c r="C652" t="str">
        <f>INDEX('ei names mapping'!$B$38:$R$67,MATCH(B624,'ei names mapping'!$A$4:$A$33,0),MATCH(G652,'ei names mapping'!$B$3:$R$3,0))</f>
        <v>CH</v>
      </c>
      <c r="D652" t="str">
        <f>INDEX('ei names mapping'!$B$104:$BL$133,MATCH(B624,'ei names mapping'!$A$4:$A$33,0),MATCH(G652,'ei names mapping'!$B$3:$BL$3,0))</f>
        <v>meter-year</v>
      </c>
      <c r="F652" t="s">
        <v>89</v>
      </c>
      <c r="G652" t="s">
        <v>112</v>
      </c>
      <c r="H652" t="str">
        <f>INDEX('ei names mapping'!$B$71:$BL$100,MATCH(B624,'ei names mapping'!$A$4:$A$33,0),MATCH(G652,'ei names mapping'!$B$3:$BL$3,0))</f>
        <v>road maintenance</v>
      </c>
    </row>
    <row r="653" spans="1:8" x14ac:dyDescent="0.2">
      <c r="A653" t="str">
        <f>INDEX('ei names mapping'!$B$4:$R$33,MATCH(B624,'ei names mapping'!$A$4:$A$33,0),MATCH(G653,'ei names mapping'!$B$3:$R$3,0))</f>
        <v>maintenance, motor scooter</v>
      </c>
      <c r="B653" s="7">
        <f>INDEX('vehicles specifications'!$B$3:$CW$166,MATCH(B627,'vehicles specifications'!$A$3:$A$166,0),MATCH(G653,'vehicles specifications'!$B$2:$CW$2,0))*INDEX('ei names mapping'!$B$137:$BL$300,MATCH(B627,'ei names mapping'!$A$137:$A$300,0),MATCH(G653,'ei names mapping'!$B$136:$BL$136,0))</f>
        <v>4.0000000000000003E-5</v>
      </c>
      <c r="C653" t="str">
        <f>INDEX('ei names mapping'!$B$38:$BL$67,MATCH(B624,'ei names mapping'!$A$4:$A$33,0),MATCH(G653,'ei names mapping'!$B$3:$BL$3,0))</f>
        <v>CH</v>
      </c>
      <c r="D653" t="str">
        <f>INDEX('ei names mapping'!$B$104:$BL$133,MATCH(B624,'ei names mapping'!$A$4:$A$33,0),MATCH(G653,'ei names mapping'!$B$3:$BL$3,0))</f>
        <v>unit</v>
      </c>
      <c r="F653" t="s">
        <v>89</v>
      </c>
      <c r="G653" t="s">
        <v>118</v>
      </c>
      <c r="H653" t="str">
        <f>INDEX('ei names mapping'!$B$71:$BL$100,MATCH(B624,'ei names mapping'!$A$4:$A$33,0),MATCH(G653,'ei names mapping'!$B$3:$BL$3,0))</f>
        <v>maintenance, motor scooter</v>
      </c>
    </row>
    <row r="654" spans="1:8" x14ac:dyDescent="0.2">
      <c r="A654" t="str">
        <f>INDEX('ei names mapping'!$B$4:$R$33,MATCH(B624,'ei names mapping'!$A$4:$A$33,0),MATCH(G654,'ei names mapping'!$B$3:$R$3,0))</f>
        <v>fuel supply for gasoline vehicles</v>
      </c>
      <c r="B654" s="7">
        <f>INDEX('vehicles specifications'!$B$3:$CW$166,MATCH(B627,'vehicles specifications'!$A$3:$A$166,0),MATCH(G654,'vehicles specifications'!$B$2:$CW$2,0))*INDEX('ei names mapping'!$B$137:$BL$300,MATCH(B627,'ei names mapping'!$A$137:$A$300,0),MATCH(G654,'ei names mapping'!$B$136:$BL$136,0))</f>
        <v>4.4058870745591262E-2</v>
      </c>
      <c r="C654" t="str">
        <f>INDEX('ei names mapping'!$B$38:$BL$67,MATCH(B624,'ei names mapping'!$A$4:$A$33,0),MATCH(G654,'ei names mapping'!$B$3:$BL$3,0))</f>
        <v>CH</v>
      </c>
      <c r="D654" t="str">
        <f>INDEX('ei names mapping'!$B$104:$BL$133,MATCH(B624,'ei names mapping'!$A$4:$A$33,0),MATCH(G654,'ei names mapping'!$B$3:$BL$3,0))</f>
        <v>kilogram</v>
      </c>
      <c r="F654" t="s">
        <v>89</v>
      </c>
      <c r="G654" t="s">
        <v>27</v>
      </c>
      <c r="H654" t="str">
        <f>INDEX('ei names mapping'!$B$71:$BL$100,MATCH(B624,'ei names mapping'!$A$4:$A$33,0),MATCH(G654,'ei names mapping'!$B$3:$BL$3,0))</f>
        <v>gasoline blend</v>
      </c>
    </row>
    <row r="655" spans="1:8" x14ac:dyDescent="0.2">
      <c r="A655" t="str">
        <f>INDEX('ei names mapping'!$B$4:$BL$33,MATCH(B624,'ei names mapping'!$A$4:$A$33,0),MATCH(G655,'ei names mapping'!$B$3:$BL$3,0))</f>
        <v>Carbon dioxide, fossil</v>
      </c>
      <c r="B655" s="7">
        <f>INDEX('vehicles specifications'!$B$3:$CW$166,MATCH(B627,'vehicles specifications'!$A$3:$A$166,0),MATCH(G655,'vehicles specifications'!$B$2:$CW$2,0))*INDEX('ei names mapping'!$B$137:$BL$300,MATCH(B627,'ei names mapping'!$A$137:$A$300,0),MATCH(G655,'ei names mapping'!$B$136:$BL$136,0))</f>
        <v>0.13668471589146269</v>
      </c>
      <c r="D655" t="str">
        <f>INDEX('ei names mapping'!$B$104:$BL$133,MATCH(B624,'ei names mapping'!$A$4:$A$33,0),MATCH(G655,'ei names mapping'!$B$3:$BL$3,0))</f>
        <v>kilogram</v>
      </c>
      <c r="E655" t="str">
        <f>INDEX('ei names mapping'!$B$305:$BL$335,MATCH(B624,'ei names mapping'!$A$4:$A$33,0),MATCH(G655,'ei names mapping'!$B$3:$BL$3,0))</f>
        <v>air::urban air close to ground</v>
      </c>
      <c r="F655" t="s">
        <v>167</v>
      </c>
      <c r="G655" t="s">
        <v>66</v>
      </c>
    </row>
    <row r="656" spans="1:8" x14ac:dyDescent="0.2">
      <c r="A656" t="str">
        <f>INDEX('ei names mapping'!$B$4:$BL$33,MATCH(B624,'ei names mapping'!$A$4:$A$33,0),MATCH(G656,'ei names mapping'!$B$3:$BL$3,0))</f>
        <v>Carbon dioxide, from soil or biomass stock</v>
      </c>
      <c r="B656" s="11">
        <f>INDEX('vehicles specifications'!$B$3:$CW$166,MATCH(B627,'vehicles specifications'!$A$3:$A$166,0),MATCH(G656,'vehicles specifications'!$B$2:$CW$2,0))*INDEX('ei names mapping'!$B$137:$BL$300,MATCH(B627,'ei names mapping'!$A$137:$A$300,0),MATCH(G656,'ei names mapping'!$B$136:$BL$136,0))</f>
        <v>1.6601382496938789E-3</v>
      </c>
      <c r="D656" t="str">
        <f>INDEX('ei names mapping'!$B$104:$BL$133,MATCH(B624,'ei names mapping'!$A$4:$A$33,0),MATCH(G656,'ei names mapping'!$B$3:$BL$3,0))</f>
        <v>kilogram</v>
      </c>
      <c r="E656" t="str">
        <f>INDEX('ei names mapping'!$B$305:$BL$335,MATCH(B624,'ei names mapping'!$A$4:$A$33,0),MATCH(G656,'ei names mapping'!$B$3:$BL$3,0))</f>
        <v>air::urban air close to ground</v>
      </c>
      <c r="F656" t="s">
        <v>167</v>
      </c>
      <c r="G656" t="s">
        <v>843</v>
      </c>
    </row>
    <row r="657" spans="1:7" x14ac:dyDescent="0.2">
      <c r="A657" t="str">
        <f>INDEX('ei names mapping'!$B$4:$BL$33,MATCH(B624,'ei names mapping'!$A$4:$A$33,0),MATCH(G657,'ei names mapping'!$B$3:$BL$3,0))</f>
        <v>Sulfur dioxide</v>
      </c>
      <c r="B657" s="7">
        <f>INDEX('vehicles specifications'!$B$3:$CW$166,MATCH(B627,'vehicles specifications'!$A$3:$A$166,0),MATCH(G657,'vehicles specifications'!$B$2:$CW$2,0))*INDEX('ei names mapping'!$B$137:$BL$300,MATCH(B627,'ei names mapping'!$A$137:$A$300,0),MATCH(G657,'ei names mapping'!$B$136:$BL$136,0))</f>
        <v>7.0494193192946013E-7</v>
      </c>
      <c r="D657" t="str">
        <f>INDEX('ei names mapping'!$B$104:$BL$133,MATCH(B624,'ei names mapping'!$A$4:$A$33,0),MATCH(G657,'ei names mapping'!$B$3:$BL$3,0))</f>
        <v>kilogram</v>
      </c>
      <c r="E657" t="str">
        <f>INDEX('ei names mapping'!$B$305:$BL$335,MATCH(B624,'ei names mapping'!$A$4:$A$33,0),MATCH(G657,'ei names mapping'!$B$3:$BL$3,0))</f>
        <v>air::urban air close to ground</v>
      </c>
      <c r="F657" t="s">
        <v>167</v>
      </c>
      <c r="G657" t="s">
        <v>67</v>
      </c>
    </row>
    <row r="658" spans="1:7" x14ac:dyDescent="0.2">
      <c r="A658" t="str">
        <f>INDEX('ei names mapping'!$B$4:$BL$33,MATCH(B624,'ei names mapping'!$A$4:$A$33,0),MATCH(G658,'ei names mapping'!$B$3:$BL$3,0))</f>
        <v>Benzene</v>
      </c>
      <c r="B658" s="7">
        <f>INDEX('vehicles specifications'!$B$3:$CW$166,MATCH(B627,'vehicles specifications'!$A$3:$A$166,0),MATCH(G658,'vehicles specifications'!$B$2:$CW$2,0))*INDEX('ei names mapping'!$B$137:$BL$300,MATCH(B627,'ei names mapping'!$A$137:$A$300,0),MATCH(G658,'ei names mapping'!$B$136:$BL$136,0))</f>
        <v>1.4302341467700663E-6</v>
      </c>
      <c r="D658" t="str">
        <f>INDEX('ei names mapping'!$B$104:$BL$133,MATCH(B624,'ei names mapping'!$A$4:$A$33,0),MATCH(G658,'ei names mapping'!$B$3:$BL$3,0))</f>
        <v>kilogram</v>
      </c>
      <c r="E658" t="str">
        <f>INDEX('ei names mapping'!$B$305:$BL$335,MATCH(B624,'ei names mapping'!$A$4:$A$33,0),MATCH(G658,'ei names mapping'!$B$3:$BL$3,0))</f>
        <v>air::urban air close to ground</v>
      </c>
      <c r="F658" t="s">
        <v>167</v>
      </c>
      <c r="G658" t="s">
        <v>55</v>
      </c>
    </row>
    <row r="659" spans="1:7" x14ac:dyDescent="0.2">
      <c r="A659" t="str">
        <f>INDEX('ei names mapping'!$B$4:$BL$33,MATCH(B624,'ei names mapping'!$A$4:$A$33,0),MATCH(G659,'ei names mapping'!$B$3:$BL$3,0))</f>
        <v>Methane, fossil</v>
      </c>
      <c r="B659" s="7">
        <f>INDEX('vehicles specifications'!$B$3:$CW$166,MATCH(B627,'vehicles specifications'!$A$3:$A$166,0),MATCH(G659,'vehicles specifications'!$B$2:$CW$2,0))*INDEX('ei names mapping'!$B$137:$BL$300,MATCH(B627,'ei names mapping'!$A$137:$A$300,0),MATCH(G659,'ei names mapping'!$B$136:$BL$136,0))</f>
        <v>2.0159962862331985E-5</v>
      </c>
      <c r="D659" t="str">
        <f>INDEX('ei names mapping'!$B$104:$BL$133,MATCH(B624,'ei names mapping'!$A$4:$A$33,0),MATCH(G659,'ei names mapping'!$B$3:$BL$3,0))</f>
        <v>kilogram</v>
      </c>
      <c r="E659" t="str">
        <f>INDEX('ei names mapping'!$B$305:$BL$335,MATCH(B624,'ei names mapping'!$A$4:$A$33,0),MATCH(G659,'ei names mapping'!$B$3:$BL$3,0))</f>
        <v>air::urban air close to ground</v>
      </c>
      <c r="F659" t="s">
        <v>167</v>
      </c>
      <c r="G659" t="s">
        <v>56</v>
      </c>
    </row>
    <row r="660" spans="1:7" x14ac:dyDescent="0.2">
      <c r="A660" t="str">
        <f>INDEX('ei names mapping'!$B$4:$BL$33,MATCH(B624,'ei names mapping'!$A$4:$A$33,0),MATCH(G660,'ei names mapping'!$B$3:$BL$3,0))</f>
        <v>Carbon monoxide, fossil</v>
      </c>
      <c r="B660" s="7">
        <f>INDEX('vehicles specifications'!$B$3:$CW$166,MATCH(B627,'vehicles specifications'!$A$3:$A$166,0),MATCH(G660,'vehicles specifications'!$B$2:$CW$2,0))*INDEX('ei names mapping'!$B$137:$BL$300,MATCH(B627,'ei names mapping'!$A$137:$A$300,0),MATCH(G660,'ei names mapping'!$B$136:$BL$136,0))</f>
        <v>1.5663565860987594E-4</v>
      </c>
      <c r="D660" t="str">
        <f>INDEX('ei names mapping'!$B$104:$BL$133,MATCH(B624,'ei names mapping'!$A$4:$A$33,0),MATCH(G660,'ei names mapping'!$B$3:$BL$3,0))</f>
        <v>kilogram</v>
      </c>
      <c r="E660" t="str">
        <f>INDEX('ei names mapping'!$B$305:$BL$335,MATCH(B624,'ei names mapping'!$A$4:$A$33,0),MATCH(G660,'ei names mapping'!$B$3:$BL$3,0))</f>
        <v>air::urban air close to ground</v>
      </c>
      <c r="F660" t="s">
        <v>167</v>
      </c>
      <c r="G660" t="s">
        <v>57</v>
      </c>
    </row>
    <row r="661" spans="1:7" x14ac:dyDescent="0.2">
      <c r="A661" t="str">
        <f>INDEX('ei names mapping'!$B$4:$BL$33,MATCH(B624,'ei names mapping'!$A$4:$A$33,0),MATCH(G661,'ei names mapping'!$B$3:$BL$3,0))</f>
        <v>Dinitrogen monoxide</v>
      </c>
      <c r="B661" s="7">
        <f>INDEX('vehicles specifications'!$B$3:$CW$166,MATCH(B627,'vehicles specifications'!$A$3:$A$166,0),MATCH(G661,'vehicles specifications'!$B$2:$CW$2,0))*INDEX('ei names mapping'!$B$137:$BL$300,MATCH(B627,'ei names mapping'!$A$137:$A$300,0),MATCH(G661,'ei names mapping'!$B$136:$BL$136,0))</f>
        <v>1.0610506769648412E-6</v>
      </c>
      <c r="D661" t="str">
        <f>INDEX('ei names mapping'!$B$104:$BL$133,MATCH(B624,'ei names mapping'!$A$4:$A$33,0),MATCH(G661,'ei names mapping'!$B$3:$BL$3,0))</f>
        <v>kilogram</v>
      </c>
      <c r="E661" t="str">
        <f>INDEX('ei names mapping'!$B$305:$BL$335,MATCH(B624,'ei names mapping'!$A$4:$A$33,0),MATCH(G661,'ei names mapping'!$B$3:$BL$3,0))</f>
        <v>air::urban air close to ground</v>
      </c>
      <c r="F661" t="s">
        <v>167</v>
      </c>
      <c r="G661" t="s">
        <v>58</v>
      </c>
    </row>
    <row r="662" spans="1:7" x14ac:dyDescent="0.2">
      <c r="A662" t="str">
        <f>INDEX('ei names mapping'!$B$4:$BL$33,MATCH(B624,'ei names mapping'!$A$4:$A$33,0),MATCH(G662,'ei names mapping'!$B$3:$BL$3,0))</f>
        <v>Ammonia</v>
      </c>
      <c r="B662" s="7">
        <f>INDEX('vehicles specifications'!$B$3:$CW$166,MATCH(B627,'vehicles specifications'!$A$3:$A$166,0),MATCH(G662,'vehicles specifications'!$B$2:$CW$2,0))*INDEX('ei names mapping'!$B$137:$BL$300,MATCH(B627,'ei names mapping'!$A$137:$A$300,0),MATCH(G662,'ei names mapping'!$B$136:$BL$136,0))</f>
        <v>1.0610506769648412E-6</v>
      </c>
      <c r="D662" t="str">
        <f>INDEX('ei names mapping'!$B$104:$BL$133,MATCH(B624,'ei names mapping'!$A$4:$A$33,0),MATCH(G662,'ei names mapping'!$B$3:$BL$3,0))</f>
        <v>kilogram</v>
      </c>
      <c r="E662" t="str">
        <f>INDEX('ei names mapping'!$B$305:$BL$335,MATCH(B624,'ei names mapping'!$A$4:$A$33,0),MATCH(G662,'ei names mapping'!$B$3:$BL$3,0))</f>
        <v>air::urban air close to ground</v>
      </c>
      <c r="F662" t="s">
        <v>167</v>
      </c>
      <c r="G662" t="s">
        <v>59</v>
      </c>
    </row>
    <row r="663" spans="1:7" x14ac:dyDescent="0.2">
      <c r="A663" t="str">
        <f>INDEX('ei names mapping'!$B$4:$BL$33,MATCH(B624,'ei names mapping'!$A$4:$A$33,0),MATCH(G663,'ei names mapping'!$B$3:$BL$3,0))</f>
        <v>Nitrogen oxides</v>
      </c>
      <c r="B663" s="7">
        <f>INDEX('vehicles specifications'!$B$3:$CW$166,MATCH(B627,'vehicles specifications'!$A$3:$A$166,0),MATCH(G663,'vehicles specifications'!$B$2:$CW$2,0))*INDEX('ei names mapping'!$B$137:$BL$300,MATCH(B627,'ei names mapping'!$A$137:$A$300,0),MATCH(G663,'ei names mapping'!$B$136:$BL$136,0))</f>
        <v>8.9306397611533445E-6</v>
      </c>
      <c r="D663" t="str">
        <f>INDEX('ei names mapping'!$B$104:$BL$133,MATCH(B624,'ei names mapping'!$A$4:$A$33,0),MATCH(G663,'ei names mapping'!$B$3:$BL$3,0))</f>
        <v>kilogram</v>
      </c>
      <c r="E663" t="str">
        <f>INDEX('ei names mapping'!$B$305:$BL$335,MATCH(B624,'ei names mapping'!$A$4:$A$33,0),MATCH(G663,'ei names mapping'!$B$3:$BL$3,0))</f>
        <v>air::urban air close to ground</v>
      </c>
      <c r="F663" t="s">
        <v>167</v>
      </c>
      <c r="G663" t="s">
        <v>60</v>
      </c>
    </row>
    <row r="664" spans="1:7" x14ac:dyDescent="0.2">
      <c r="A664" t="str">
        <f>INDEX('ei names mapping'!$B$4:$BL$33,MATCH(B624,'ei names mapping'!$A$4:$A$33,0),MATCH(G664,'ei names mapping'!$B$3:$BL$3,0))</f>
        <v>Particulates, &lt; 2.5 um</v>
      </c>
      <c r="B664" s="7">
        <f>INDEX('vehicles specifications'!$B$3:$CW$166,MATCH(B$627,'vehicles specifications'!$A$3:$A$166,0),MATCH(G664,'vehicles specifications'!$B$2:$CW$2,0))*INDEX('ei names mapping'!$B$137:$BL$300,MATCH(B$627,'ei names mapping'!$A$137:$A$300,0),MATCH(G664,'ei names mapping'!$B$136:$BL$136,0))</f>
        <v>2.6526266924121032E-6</v>
      </c>
      <c r="D664" t="str">
        <f>INDEX('ei names mapping'!$B$104:$BL$133,MATCH(B624,'ei names mapping'!$A$4:$A$33,0),MATCH(G664,'ei names mapping'!$B$3:$BL$3,0))</f>
        <v>kilogram</v>
      </c>
      <c r="E664" t="str">
        <f>INDEX('ei names mapping'!$B$305:$BL$335,MATCH(B624,'ei names mapping'!$A$4:$A$33,0),MATCH(G664,'ei names mapping'!$B$3:$BL$3,0))</f>
        <v>air::urban air close to ground</v>
      </c>
      <c r="F664" t="s">
        <v>167</v>
      </c>
      <c r="G664" t="s">
        <v>62</v>
      </c>
    </row>
    <row r="665" spans="1:7" x14ac:dyDescent="0.2">
      <c r="A665" t="str">
        <f>INDEX('ei names mapping'!$B$4:$BL$33,MATCH(B$234,'ei names mapping'!$A$4:$A$33,0),MATCH(G665,'ei names mapping'!$B$3:$BL$3,0))</f>
        <v>NMVOC, non-methane volatile organic compounds, unspecified origin</v>
      </c>
      <c r="B665" s="7">
        <f>INDEX('vehicles specifications'!$B$3:$CW$166,MATCH(B$627,'vehicles specifications'!$A$3:$A$166,0),MATCH(G665,'vehicles specifications'!$B$2:$CW$2,0))*INDEX('ei names mapping'!$B$137:$BL$300,MATCH(B$627,'ei names mapping'!$A$137:$A$300,0),MATCH(G665,'ei names mapping'!$B$136:$BL$136,0))</f>
        <v>1.1533652905504065E-5</v>
      </c>
      <c r="D665" t="str">
        <f>INDEX('ei names mapping'!$B$104:$BL$133,MATCH(B$234,'ei names mapping'!$A$4:$A$33,0),MATCH(G665,'ei names mapping'!$B$3:$BL$3,0))</f>
        <v>kilogram</v>
      </c>
      <c r="E665" t="str">
        <f>INDEX('ei names mapping'!$B$305:$BL$335,MATCH(B$234,'ei names mapping'!$A$4:$A$33,0),MATCH(G665,'ei names mapping'!$B$3:$BL$3,0))</f>
        <v>air::urban air close to ground</v>
      </c>
      <c r="F665" t="s">
        <v>167</v>
      </c>
      <c r="G665" t="s">
        <v>593</v>
      </c>
    </row>
    <row r="666" spans="1:7" x14ac:dyDescent="0.2">
      <c r="A666" t="str">
        <f>INDEX('ei names mapping'!$B$4:$BL$33,MATCH(B$234,'ei names mapping'!$A$4:$A$33,0),MATCH(G666,'ei names mapping'!$B$3:$BL$3,0))</f>
        <v>Ethane</v>
      </c>
      <c r="B666" s="7">
        <f>INDEX('vehicles specifications'!$B$3:$CW$166,MATCH(B$627,'vehicles specifications'!$A$3:$A$166,0),MATCH(G666,'vehicles specifications'!$B$2:$CW$2,0))*INDEX('ei names mapping'!$B$137:$BL$300,MATCH(B$627,'ei names mapping'!$A$137:$A$300,0),MATCH(G666,'ei names mapping'!$B$136:$BL$136,0))</f>
        <v>8.132703971829788E-7</v>
      </c>
      <c r="D666" t="str">
        <f>INDEX('ei names mapping'!$B$104:$BL$133,MATCH(B$234,'ei names mapping'!$A$4:$A$33,0),MATCH(G666,'ei names mapping'!$B$3:$BL$3,0))</f>
        <v>kilogram</v>
      </c>
      <c r="E666" t="str">
        <f>INDEX('ei names mapping'!$B$305:$BL$335,MATCH(B$234,'ei names mapping'!$A$4:$A$33,0),MATCH(G666,'ei names mapping'!$B$3:$BL$3,0))</f>
        <v>air::urban air close to ground</v>
      </c>
      <c r="F666" t="s">
        <v>167</v>
      </c>
      <c r="G666" t="s">
        <v>541</v>
      </c>
    </row>
    <row r="667" spans="1:7" x14ac:dyDescent="0.2">
      <c r="A667" t="str">
        <f>INDEX('ei names mapping'!$B$4:$BL$33,MATCH(B$234,'ei names mapping'!$A$4:$A$33,0),MATCH(G667,'ei names mapping'!$B$3:$BL$3,0))</f>
        <v>Propane</v>
      </c>
      <c r="B667" s="7">
        <f>INDEX('vehicles specifications'!$B$3:$CW$166,MATCH(B$627,'vehicles specifications'!$A$3:$A$166,0),MATCH(G667,'vehicles specifications'!$B$2:$CW$2,0))*INDEX('ei names mapping'!$B$137:$BL$300,MATCH(B$627,'ei names mapping'!$A$137:$A$300,0),MATCH(G667,'ei names mapping'!$B$136:$BL$136,0))</f>
        <v>1.6571340381471356E-7</v>
      </c>
      <c r="D667" t="str">
        <f>INDEX('ei names mapping'!$B$104:$BL$133,MATCH(B$234,'ei names mapping'!$A$4:$A$33,0),MATCH(G667,'ei names mapping'!$B$3:$BL$3,0))</f>
        <v>kilogram</v>
      </c>
      <c r="E667" t="str">
        <f>INDEX('ei names mapping'!$B$305:$BL$335,MATCH(B$234,'ei names mapping'!$A$4:$A$33,0),MATCH(G667,'ei names mapping'!$B$3:$BL$3,0))</f>
        <v>air::urban air close to ground</v>
      </c>
      <c r="F667" t="s">
        <v>167</v>
      </c>
      <c r="G667" t="s">
        <v>542</v>
      </c>
    </row>
    <row r="668" spans="1:7" x14ac:dyDescent="0.2">
      <c r="A668" t="str">
        <f>INDEX('ei names mapping'!$B$4:$BL$33,MATCH(B$234,'ei names mapping'!$A$4:$A$33,0),MATCH(G668,'ei names mapping'!$B$3:$BL$3,0))</f>
        <v>Butane</v>
      </c>
      <c r="B668" s="7">
        <f>INDEX('vehicles specifications'!$B$3:$CW$166,MATCH(B$627,'vehicles specifications'!$A$3:$A$166,0),MATCH(G668,'vehicles specifications'!$B$2:$CW$2,0))*INDEX('ei names mapping'!$B$137:$BL$300,MATCH(B$627,'ei names mapping'!$A$137:$A$300,0),MATCH(G668,'ei names mapping'!$B$136:$BL$136,0))</f>
        <v>1.3359049784447677E-6</v>
      </c>
      <c r="D668" t="str">
        <f>INDEX('ei names mapping'!$B$104:$BL$133,MATCH(B$234,'ei names mapping'!$A$4:$A$33,0),MATCH(G668,'ei names mapping'!$B$3:$BL$3,0))</f>
        <v>kilogram</v>
      </c>
      <c r="E668" t="str">
        <f>INDEX('ei names mapping'!$B$305:$BL$335,MATCH(B$234,'ei names mapping'!$A$4:$A$33,0),MATCH(G668,'ei names mapping'!$B$3:$BL$3,0))</f>
        <v>air::urban air close to ground</v>
      </c>
      <c r="F668" t="s">
        <v>167</v>
      </c>
      <c r="G668" t="s">
        <v>543</v>
      </c>
    </row>
    <row r="669" spans="1:7" x14ac:dyDescent="0.2">
      <c r="A669" t="str">
        <f>INDEX('ei names mapping'!$B$4:$BL$33,MATCH(B$234,'ei names mapping'!$A$4:$A$33,0),MATCH(G669,'ei names mapping'!$B$3:$BL$3,0))</f>
        <v>Pentane</v>
      </c>
      <c r="B669" s="7">
        <f>INDEX('vehicles specifications'!$B$3:$CW$166,MATCH(B$627,'vehicles specifications'!$A$3:$A$166,0),MATCH(G669,'vehicles specifications'!$B$2:$CW$2,0))*INDEX('ei names mapping'!$B$137:$BL$300,MATCH(B$627,'ei names mapping'!$A$137:$A$300,0),MATCH(G669,'ei names mapping'!$B$136:$BL$136,0))</f>
        <v>5.4812895107943716E-7</v>
      </c>
      <c r="D669" t="str">
        <f>INDEX('ei names mapping'!$B$104:$BL$133,MATCH(B$234,'ei names mapping'!$A$4:$A$33,0),MATCH(G669,'ei names mapping'!$B$3:$BL$3,0))</f>
        <v>kilogram</v>
      </c>
      <c r="E669" t="str">
        <f>INDEX('ei names mapping'!$B$305:$BL$335,MATCH(B$234,'ei names mapping'!$A$4:$A$33,0),MATCH(G669,'ei names mapping'!$B$3:$BL$3,0))</f>
        <v>air::urban air close to ground</v>
      </c>
      <c r="F669" t="s">
        <v>167</v>
      </c>
      <c r="G669" t="s">
        <v>544</v>
      </c>
    </row>
    <row r="670" spans="1:7" x14ac:dyDescent="0.2">
      <c r="A670" t="str">
        <f>INDEX('ei names mapping'!$B$4:$BL$33,MATCH(B$234,'ei names mapping'!$A$4:$A$33,0),MATCH(G670,'ei names mapping'!$B$3:$BL$3,0))</f>
        <v>Hexane</v>
      </c>
      <c r="B670" s="7">
        <f>INDEX('vehicles specifications'!$B$3:$CW$166,MATCH(B$627,'vehicles specifications'!$A$3:$A$166,0),MATCH(G670,'vehicles specifications'!$B$2:$CW$2,0))*INDEX('ei names mapping'!$B$137:$BL$300,MATCH(B$627,'ei names mapping'!$A$137:$A$300,0),MATCH(G670,'ei names mapping'!$B$136:$BL$136,0))</f>
        <v>4.1045935406413667E-7</v>
      </c>
      <c r="D670" t="str">
        <f>INDEX('ei names mapping'!$B$104:$BL$133,MATCH(B$234,'ei names mapping'!$A$4:$A$33,0),MATCH(G670,'ei names mapping'!$B$3:$BL$3,0))</f>
        <v>kilogram</v>
      </c>
      <c r="E670" t="str">
        <f>INDEX('ei names mapping'!$B$305:$BL$335,MATCH(B$234,'ei names mapping'!$A$4:$A$33,0),MATCH(G670,'ei names mapping'!$B$3:$BL$3,0))</f>
        <v>air::urban air close to ground</v>
      </c>
      <c r="F670" t="s">
        <v>167</v>
      </c>
      <c r="G670" t="s">
        <v>545</v>
      </c>
    </row>
    <row r="671" spans="1:7" x14ac:dyDescent="0.2">
      <c r="A671" t="str">
        <f>INDEX('ei names mapping'!$B$4:$BL$33,MATCH(B$234,'ei names mapping'!$A$4:$A$33,0),MATCH(G671,'ei names mapping'!$B$3:$BL$3,0))</f>
        <v>Cyclohexane</v>
      </c>
      <c r="B671" s="7">
        <f>INDEX('vehicles specifications'!$B$3:$CW$166,MATCH(B$627,'vehicles specifications'!$A$3:$A$166,0),MATCH(G671,'vehicles specifications'!$B$2:$CW$2,0))*INDEX('ei names mapping'!$B$137:$BL$300,MATCH(B$627,'ei names mapping'!$A$137:$A$300,0),MATCH(G671,'ei names mapping'!$B$136:$BL$136,0))</f>
        <v>2.9063581592118997E-7</v>
      </c>
      <c r="D671" t="str">
        <f>INDEX('ei names mapping'!$B$104:$BL$133,MATCH(B$234,'ei names mapping'!$A$4:$A$33,0),MATCH(G671,'ei names mapping'!$B$3:$BL$3,0))</f>
        <v>kilogram</v>
      </c>
      <c r="E671" t="str">
        <f>INDEX('ei names mapping'!$B$305:$BL$335,MATCH(B$234,'ei names mapping'!$A$4:$A$33,0),MATCH(G671,'ei names mapping'!$B$3:$BL$3,0))</f>
        <v>air::urban air close to ground</v>
      </c>
      <c r="F671" t="s">
        <v>167</v>
      </c>
      <c r="G671" t="s">
        <v>546</v>
      </c>
    </row>
    <row r="672" spans="1:7" x14ac:dyDescent="0.2">
      <c r="A672" t="str">
        <f>INDEX('ei names mapping'!$B$4:$BL$33,MATCH(B$234,'ei names mapping'!$A$4:$A$33,0),MATCH(G672,'ei names mapping'!$B$3:$BL$3,0))</f>
        <v>Heptane</v>
      </c>
      <c r="B672" s="7">
        <f>INDEX('vehicles specifications'!$B$3:$CW$166,MATCH(B$627,'vehicles specifications'!$A$3:$A$166,0),MATCH(G672,'vehicles specifications'!$B$2:$CW$2,0))*INDEX('ei names mapping'!$B$137:$BL$300,MATCH(B$627,'ei names mapping'!$A$137:$A$300,0),MATCH(G672,'ei names mapping'!$B$136:$BL$136,0))</f>
        <v>1.8865833665059698E-7</v>
      </c>
      <c r="D672" t="str">
        <f>INDEX('ei names mapping'!$B$104:$BL$133,MATCH(B$234,'ei names mapping'!$A$4:$A$33,0),MATCH(G672,'ei names mapping'!$B$3:$BL$3,0))</f>
        <v>kilogram</v>
      </c>
      <c r="E672" t="str">
        <f>INDEX('ei names mapping'!$B$305:$BL$335,MATCH(B$234,'ei names mapping'!$A$4:$A$33,0),MATCH(G672,'ei names mapping'!$B$3:$BL$3,0))</f>
        <v>air::urban air close to ground</v>
      </c>
      <c r="F672" t="s">
        <v>167</v>
      </c>
      <c r="G672" t="s">
        <v>547</v>
      </c>
    </row>
    <row r="673" spans="1:7" x14ac:dyDescent="0.2">
      <c r="A673" t="str">
        <f>INDEX('ei names mapping'!$B$4:$BL$33,MATCH(B$234,'ei names mapping'!$A$4:$A$33,0),MATCH(G673,'ei names mapping'!$B$3:$BL$3,0))</f>
        <v>Ethene</v>
      </c>
      <c r="B673" s="7">
        <f>INDEX('vehicles specifications'!$B$3:$CW$166,MATCH(B$627,'vehicles specifications'!$A$3:$A$166,0),MATCH(G673,'vehicles specifications'!$B$2:$CW$2,0))*INDEX('ei names mapping'!$B$137:$BL$300,MATCH(B$627,'ei names mapping'!$A$137:$A$300,0),MATCH(G673,'ei names mapping'!$B$136:$BL$136,0))</f>
        <v>1.8610889966883214E-6</v>
      </c>
      <c r="D673" t="str">
        <f>INDEX('ei names mapping'!$B$104:$BL$133,MATCH(B$234,'ei names mapping'!$A$4:$A$33,0),MATCH(G673,'ei names mapping'!$B$3:$BL$3,0))</f>
        <v>kilogram</v>
      </c>
      <c r="E673" t="str">
        <f>INDEX('ei names mapping'!$B$305:$BL$335,MATCH(B$234,'ei names mapping'!$A$4:$A$33,0),MATCH(G673,'ei names mapping'!$B$3:$BL$3,0))</f>
        <v>air::urban air close to ground</v>
      </c>
      <c r="F673" t="s">
        <v>167</v>
      </c>
      <c r="G673" t="s">
        <v>548</v>
      </c>
    </row>
    <row r="674" spans="1:7" x14ac:dyDescent="0.2">
      <c r="A674" t="str">
        <f>INDEX('ei names mapping'!$B$4:$BL$33,MATCH(B$234,'ei names mapping'!$A$4:$A$33,0),MATCH(G674,'ei names mapping'!$B$3:$BL$3,0))</f>
        <v>Propene</v>
      </c>
      <c r="B674" s="7">
        <f>INDEX('vehicles specifications'!$B$3:$CW$166,MATCH(B$627,'vehicles specifications'!$A$3:$A$166,0),MATCH(G674,'vehicles specifications'!$B$2:$CW$2,0))*INDEX('ei names mapping'!$B$137:$BL$300,MATCH(B$627,'ei names mapping'!$A$137:$A$300,0),MATCH(G674,'ei names mapping'!$B$136:$BL$136,0))</f>
        <v>9.7388492703416292E-7</v>
      </c>
      <c r="D674" t="str">
        <f>INDEX('ei names mapping'!$B$104:$BL$133,MATCH(B$234,'ei names mapping'!$A$4:$A$33,0),MATCH(G674,'ei names mapping'!$B$3:$BL$3,0))</f>
        <v>kilogram</v>
      </c>
      <c r="E674" t="str">
        <f>INDEX('ei names mapping'!$B$305:$BL$335,MATCH(B$234,'ei names mapping'!$A$4:$A$33,0),MATCH(G674,'ei names mapping'!$B$3:$BL$3,0))</f>
        <v>air::urban air close to ground</v>
      </c>
      <c r="F674" t="s">
        <v>167</v>
      </c>
      <c r="G674" t="s">
        <v>549</v>
      </c>
    </row>
    <row r="675" spans="1:7" x14ac:dyDescent="0.2">
      <c r="A675" t="str">
        <f>INDEX('ei names mapping'!$B$4:$BL$33,MATCH(B$234,'ei names mapping'!$A$4:$A$33,0),MATCH(G675,'ei names mapping'!$B$3:$BL$3,0))</f>
        <v>1-Pentene</v>
      </c>
      <c r="B675" s="7">
        <f>INDEX('vehicles specifications'!$B$3:$CW$166,MATCH(B$627,'vehicles specifications'!$A$3:$A$166,0),MATCH(G675,'vehicles specifications'!$B$2:$CW$2,0))*INDEX('ei names mapping'!$B$137:$BL$300,MATCH(B$627,'ei names mapping'!$A$137:$A$300,0),MATCH(G675,'ei names mapping'!$B$136:$BL$136,0))</f>
        <v>2.804380679941307E-8</v>
      </c>
      <c r="D675" t="str">
        <f>INDEX('ei names mapping'!$B$104:$BL$133,MATCH(B$234,'ei names mapping'!$A$4:$A$33,0),MATCH(G675,'ei names mapping'!$B$3:$BL$3,0))</f>
        <v>kilogram</v>
      </c>
      <c r="E675" t="str">
        <f>INDEX('ei names mapping'!$B$305:$BL$335,MATCH(B$234,'ei names mapping'!$A$4:$A$33,0),MATCH(G675,'ei names mapping'!$B$3:$BL$3,0))</f>
        <v>air::urban air close to ground</v>
      </c>
      <c r="F675" t="s">
        <v>167</v>
      </c>
      <c r="G675" t="s">
        <v>550</v>
      </c>
    </row>
    <row r="676" spans="1:7" x14ac:dyDescent="0.2">
      <c r="A676" t="str">
        <f>INDEX('ei names mapping'!$B$4:$BL$33,MATCH(B$234,'ei names mapping'!$A$4:$A$33,0),MATCH(G676,'ei names mapping'!$B$3:$BL$3,0))</f>
        <v>Toluene</v>
      </c>
      <c r="B676" s="7">
        <f>INDEX('vehicles specifications'!$B$3:$CW$166,MATCH(B$627,'vehicles specifications'!$A$3:$A$166,0),MATCH(G676,'vehicles specifications'!$B$2:$CW$2,0))*INDEX('ei names mapping'!$B$137:$BL$300,MATCH(B$627,'ei names mapping'!$A$137:$A$300,0),MATCH(G676,'ei names mapping'!$B$136:$BL$136,0))</f>
        <v>2.7992818059777767E-6</v>
      </c>
      <c r="D676" t="str">
        <f>INDEX('ei names mapping'!$B$104:$BL$133,MATCH(B$234,'ei names mapping'!$A$4:$A$33,0),MATCH(G676,'ei names mapping'!$B$3:$BL$3,0))</f>
        <v>kilogram</v>
      </c>
      <c r="E676" t="str">
        <f>INDEX('ei names mapping'!$B$305:$BL$335,MATCH(B$234,'ei names mapping'!$A$4:$A$33,0),MATCH(G676,'ei names mapping'!$B$3:$BL$3,0))</f>
        <v>air::urban air close to ground</v>
      </c>
      <c r="F676" t="s">
        <v>167</v>
      </c>
      <c r="G676" t="s">
        <v>551</v>
      </c>
    </row>
    <row r="677" spans="1:7" x14ac:dyDescent="0.2">
      <c r="A677" t="str">
        <f>INDEX('ei names mapping'!$B$4:$BL$33,MATCH(B$234,'ei names mapping'!$A$4:$A$33,0),MATCH(G677,'ei names mapping'!$B$3:$BL$3,0))</f>
        <v>m-Xylene</v>
      </c>
      <c r="B677" s="7">
        <f>INDEX('vehicles specifications'!$B$3:$CW$166,MATCH(B$627,'vehicles specifications'!$A$3:$A$166,0),MATCH(G677,'vehicles specifications'!$B$2:$CW$2,0))*INDEX('ei names mapping'!$B$137:$BL$300,MATCH(B$627,'ei names mapping'!$A$137:$A$300,0),MATCH(G677,'ei names mapping'!$B$136:$BL$136,0))</f>
        <v>1.3843442810982995E-6</v>
      </c>
      <c r="D677" t="str">
        <f>INDEX('ei names mapping'!$B$104:$BL$133,MATCH(B$234,'ei names mapping'!$A$4:$A$33,0),MATCH(G677,'ei names mapping'!$B$3:$BL$3,0))</f>
        <v>kilogram</v>
      </c>
      <c r="E677" t="str">
        <f>INDEX('ei names mapping'!$B$305:$BL$335,MATCH(B$234,'ei names mapping'!$A$4:$A$33,0),MATCH(G677,'ei names mapping'!$B$3:$BL$3,0))</f>
        <v>air::urban air close to ground</v>
      </c>
      <c r="F677" t="s">
        <v>167</v>
      </c>
      <c r="G677" t="s">
        <v>552</v>
      </c>
    </row>
    <row r="678" spans="1:7" x14ac:dyDescent="0.2">
      <c r="A678" t="str">
        <f>INDEX('ei names mapping'!$B$4:$BL$33,MATCH(B$234,'ei names mapping'!$A$4:$A$33,0),MATCH(G678,'ei names mapping'!$B$3:$BL$3,0))</f>
        <v>o-Xylene</v>
      </c>
      <c r="B678" s="7">
        <f>INDEX('vehicles specifications'!$B$3:$CW$166,MATCH(B$627,'vehicles specifications'!$A$3:$A$166,0),MATCH(G678,'vehicles specifications'!$B$2:$CW$2,0))*INDEX('ei names mapping'!$B$137:$BL$300,MATCH(B$627,'ei names mapping'!$A$137:$A$300,0),MATCH(G678,'ei names mapping'!$B$136:$BL$136,0))</f>
        <v>5.761727578788502E-7</v>
      </c>
      <c r="D678" t="str">
        <f>INDEX('ei names mapping'!$B$104:$BL$133,MATCH(B$234,'ei names mapping'!$A$4:$A$33,0),MATCH(G678,'ei names mapping'!$B$3:$BL$3,0))</f>
        <v>kilogram</v>
      </c>
      <c r="E678" t="str">
        <f>INDEX('ei names mapping'!$B$305:$BL$335,MATCH(B$234,'ei names mapping'!$A$4:$A$33,0),MATCH(G678,'ei names mapping'!$B$3:$BL$3,0))</f>
        <v>air::urban air close to ground</v>
      </c>
      <c r="F678" t="s">
        <v>167</v>
      </c>
      <c r="G678" t="s">
        <v>553</v>
      </c>
    </row>
    <row r="679" spans="1:7" x14ac:dyDescent="0.2">
      <c r="A679" t="str">
        <f>INDEX('ei names mapping'!$B$4:$BL$33,MATCH(B$234,'ei names mapping'!$A$4:$A$33,0),MATCH(G679,'ei names mapping'!$B$3:$BL$3,0))</f>
        <v>Formaldehyde</v>
      </c>
      <c r="B679" s="7">
        <f>INDEX('vehicles specifications'!$B$3:$CW$166,MATCH(B$627,'vehicles specifications'!$A$3:$A$166,0),MATCH(G679,'vehicles specifications'!$B$2:$CW$2,0))*INDEX('ei names mapping'!$B$137:$BL$300,MATCH(B$627,'ei names mapping'!$A$137:$A$300,0),MATCH(G679,'ei names mapping'!$B$136:$BL$136,0))</f>
        <v>4.3340428690002014E-7</v>
      </c>
      <c r="D679" t="str">
        <f>INDEX('ei names mapping'!$B$104:$BL$133,MATCH(B$234,'ei names mapping'!$A$4:$A$33,0),MATCH(G679,'ei names mapping'!$B$3:$BL$3,0))</f>
        <v>kilogram</v>
      </c>
      <c r="E679" t="str">
        <f>INDEX('ei names mapping'!$B$305:$BL$335,MATCH(B$234,'ei names mapping'!$A$4:$A$33,0),MATCH(G679,'ei names mapping'!$B$3:$BL$3,0))</f>
        <v>air::urban air close to ground</v>
      </c>
      <c r="F679" t="s">
        <v>167</v>
      </c>
      <c r="G679" t="s">
        <v>554</v>
      </c>
    </row>
    <row r="680" spans="1:7" x14ac:dyDescent="0.2">
      <c r="A680" t="str">
        <f>INDEX('ei names mapping'!$B$4:$BL$33,MATCH(B$234,'ei names mapping'!$A$4:$A$33,0),MATCH(G680,'ei names mapping'!$B$3:$BL$3,0))</f>
        <v>Acetaldehyde</v>
      </c>
      <c r="B680" s="7">
        <f>INDEX('vehicles specifications'!$B$3:$CW$166,MATCH(B$627,'vehicles specifications'!$A$3:$A$166,0),MATCH(G680,'vehicles specifications'!$B$2:$CW$2,0))*INDEX('ei names mapping'!$B$137:$BL$300,MATCH(B$627,'ei names mapping'!$A$137:$A$300,0),MATCH(G680,'ei names mapping'!$B$136:$BL$136,0))</f>
        <v>1.9120777363236179E-7</v>
      </c>
      <c r="D680" t="str">
        <f>INDEX('ei names mapping'!$B$104:$BL$133,MATCH(B$234,'ei names mapping'!$A$4:$A$33,0),MATCH(G680,'ei names mapping'!$B$3:$BL$3,0))</f>
        <v>kilogram</v>
      </c>
      <c r="E680" t="str">
        <f>INDEX('ei names mapping'!$B$305:$BL$335,MATCH(B$234,'ei names mapping'!$A$4:$A$33,0),MATCH(G680,'ei names mapping'!$B$3:$BL$3,0))</f>
        <v>air::urban air close to ground</v>
      </c>
      <c r="F680" t="s">
        <v>167</v>
      </c>
      <c r="G680" t="s">
        <v>555</v>
      </c>
    </row>
    <row r="681" spans="1:7" x14ac:dyDescent="0.2">
      <c r="A681" t="str">
        <f>INDEX('ei names mapping'!$B$4:$BL$33,MATCH(B$234,'ei names mapping'!$A$4:$A$33,0),MATCH(G681,'ei names mapping'!$B$3:$BL$3,0))</f>
        <v>Benzaldehyde</v>
      </c>
      <c r="B681" s="7">
        <f>INDEX('vehicles specifications'!$B$3:$CW$166,MATCH(B$627,'vehicles specifications'!$A$3:$A$166,0),MATCH(G681,'vehicles specifications'!$B$2:$CW$2,0))*INDEX('ei names mapping'!$B$137:$BL$300,MATCH(B$627,'ei names mapping'!$A$137:$A$300,0),MATCH(G681,'ei names mapping'!$B$136:$BL$136,0))</f>
        <v>5.608761359882614E-8</v>
      </c>
      <c r="D681" t="str">
        <f>INDEX('ei names mapping'!$B$104:$BL$133,MATCH(B$234,'ei names mapping'!$A$4:$A$33,0),MATCH(G681,'ei names mapping'!$B$3:$BL$3,0))</f>
        <v>kilogram</v>
      </c>
      <c r="E681" t="str">
        <f>INDEX('ei names mapping'!$B$305:$BL$335,MATCH(B$234,'ei names mapping'!$A$4:$A$33,0),MATCH(G681,'ei names mapping'!$B$3:$BL$3,0))</f>
        <v>air::urban air close to ground</v>
      </c>
      <c r="F681" t="s">
        <v>167</v>
      </c>
      <c r="G681" t="s">
        <v>556</v>
      </c>
    </row>
    <row r="682" spans="1:7" x14ac:dyDescent="0.2">
      <c r="A682" t="str">
        <f>INDEX('ei names mapping'!$B$4:$BL$33,MATCH(B$234,'ei names mapping'!$A$4:$A$33,0),MATCH(G682,'ei names mapping'!$B$3:$BL$3,0))</f>
        <v>Acetone</v>
      </c>
      <c r="B682" s="7">
        <f>INDEX('vehicles specifications'!$B$3:$CW$166,MATCH(B$627,'vehicles specifications'!$A$3:$A$166,0),MATCH(G682,'vehicles specifications'!$B$2:$CW$2,0))*INDEX('ei names mapping'!$B$137:$BL$300,MATCH(B$627,'ei names mapping'!$A$137:$A$300,0),MATCH(G682,'ei names mapping'!$B$136:$BL$136,0))</f>
        <v>1.5551565588765426E-7</v>
      </c>
      <c r="D682" t="str">
        <f>INDEX('ei names mapping'!$B$104:$BL$133,MATCH(B$234,'ei names mapping'!$A$4:$A$33,0),MATCH(G682,'ei names mapping'!$B$3:$BL$3,0))</f>
        <v>kilogram</v>
      </c>
      <c r="E682" t="str">
        <f>INDEX('ei names mapping'!$B$305:$BL$335,MATCH(B$234,'ei names mapping'!$A$4:$A$33,0),MATCH(G682,'ei names mapping'!$B$3:$BL$3,0))</f>
        <v>air::urban air close to ground</v>
      </c>
      <c r="F682" t="s">
        <v>167</v>
      </c>
      <c r="G682" t="s">
        <v>557</v>
      </c>
    </row>
    <row r="683" spans="1:7" x14ac:dyDescent="0.2">
      <c r="A683" t="str">
        <f>INDEX('ei names mapping'!$B$4:$BL$33,MATCH(B$234,'ei names mapping'!$A$4:$A$33,0),MATCH(G683,'ei names mapping'!$B$3:$BL$3,0))</f>
        <v>Methyl ethyl ketone</v>
      </c>
      <c r="B683" s="7">
        <f>INDEX('vehicles specifications'!$B$3:$CW$166,MATCH(B$627,'vehicles specifications'!$A$3:$A$166,0),MATCH(G683,'vehicles specifications'!$B$2:$CW$2,0))*INDEX('ei names mapping'!$B$137:$BL$300,MATCH(B$627,'ei names mapping'!$A$137:$A$300,0),MATCH(G683,'ei names mapping'!$B$136:$BL$136,0))</f>
        <v>0</v>
      </c>
      <c r="D683" t="str">
        <f>INDEX('ei names mapping'!$B$104:$BL$133,MATCH(B$234,'ei names mapping'!$A$4:$A$33,0),MATCH(G683,'ei names mapping'!$B$3:$BL$3,0))</f>
        <v>kilogram</v>
      </c>
      <c r="E683" t="str">
        <f>INDEX('ei names mapping'!$B$305:$BL$335,MATCH(B$234,'ei names mapping'!$A$4:$A$33,0),MATCH(G683,'ei names mapping'!$B$3:$BL$3,0))</f>
        <v>air::urban air close to ground</v>
      </c>
      <c r="F683" t="s">
        <v>167</v>
      </c>
      <c r="G683" t="s">
        <v>560</v>
      </c>
    </row>
    <row r="684" spans="1:7" x14ac:dyDescent="0.2">
      <c r="A684" t="str">
        <f>INDEX('ei names mapping'!$B$4:$BL$33,MATCH(B$234,'ei names mapping'!$A$4:$A$33,0),MATCH(G684,'ei names mapping'!$B$3:$BL$3,0))</f>
        <v>Acrolein</v>
      </c>
      <c r="B684" s="7">
        <f>INDEX('vehicles specifications'!$B$3:$CW$166,MATCH(B$627,'vehicles specifications'!$A$3:$A$166,0),MATCH(G684,'vehicles specifications'!$B$2:$CW$2,0))*INDEX('ei names mapping'!$B$137:$BL$300,MATCH(B$627,'ei names mapping'!$A$137:$A$300,0),MATCH(G684,'ei names mapping'!$B$136:$BL$136,0))</f>
        <v>4.843930265353165E-8</v>
      </c>
      <c r="D684" t="str">
        <f>INDEX('ei names mapping'!$B$104:$BL$133,MATCH(B$234,'ei names mapping'!$A$4:$A$33,0),MATCH(G684,'ei names mapping'!$B$3:$BL$3,0))</f>
        <v>kilogram</v>
      </c>
      <c r="E684" t="str">
        <f>INDEX('ei names mapping'!$B$305:$BL$335,MATCH(B$234,'ei names mapping'!$A$4:$A$33,0),MATCH(G684,'ei names mapping'!$B$3:$BL$3,0))</f>
        <v>air::urban air close to ground</v>
      </c>
      <c r="F684" t="s">
        <v>167</v>
      </c>
      <c r="G684" t="s">
        <v>558</v>
      </c>
    </row>
    <row r="685" spans="1:7" x14ac:dyDescent="0.2">
      <c r="A685" t="str">
        <f>INDEX('ei names mapping'!$B$4:$BL$33,MATCH(B$234,'ei names mapping'!$A$4:$A$33,0),MATCH(G685,'ei names mapping'!$B$3:$BL$3,0))</f>
        <v>Styrene</v>
      </c>
      <c r="B685" s="7">
        <f>INDEX('vehicles specifications'!$B$3:$CW$166,MATCH(B$627,'vehicles specifications'!$A$3:$A$166,0),MATCH(G685,'vehicles specifications'!$B$2:$CW$2,0))*INDEX('ei names mapping'!$B$137:$BL$300,MATCH(B$627,'ei names mapping'!$A$137:$A$300,0),MATCH(G685,'ei names mapping'!$B$136:$BL$136,0))</f>
        <v>2.5749313515824725E-7</v>
      </c>
      <c r="D685" t="str">
        <f>INDEX('ei names mapping'!$B$104:$BL$133,MATCH(B$234,'ei names mapping'!$A$4:$A$33,0),MATCH(G685,'ei names mapping'!$B$3:$BL$3,0))</f>
        <v>kilogram</v>
      </c>
      <c r="E685" t="str">
        <f>INDEX('ei names mapping'!$B$305:$BL$335,MATCH(B$234,'ei names mapping'!$A$4:$A$33,0),MATCH(G685,'ei names mapping'!$B$3:$BL$3,0))</f>
        <v>air::urban air close to ground</v>
      </c>
      <c r="F685" t="s">
        <v>167</v>
      </c>
      <c r="G685" t="s">
        <v>559</v>
      </c>
    </row>
    <row r="686" spans="1:7" x14ac:dyDescent="0.2">
      <c r="A686" t="str">
        <f>INDEX('ei names mapping'!$B$4:$BL$33,MATCH(B$234,'ei names mapping'!$A$4:$A$33,0),MATCH(G686,'ei names mapping'!$B$3:$BL$3,0))</f>
        <v>PAH, polycyclic aromatic hydrocarbons</v>
      </c>
      <c r="B686" s="7">
        <f>INDEX('vehicles specifications'!$B$3:$CW$166,MATCH(B$627,'vehicles specifications'!$A$3:$A$166,0),MATCH(G686,'vehicles specifications'!$B$2:$CW$2,0))*INDEX('ei names mapping'!$B$137:$BL$300,MATCH(B$627,'ei names mapping'!$A$137:$A$300,0),MATCH(G686,'ei names mapping'!$B$136:$BL$136,0))</f>
        <v>1.5368563459511563E-9</v>
      </c>
      <c r="D686" t="str">
        <f>INDEX('ei names mapping'!$B$104:$BL$133,MATCH(B$234,'ei names mapping'!$A$4:$A$33,0),MATCH(G686,'ei names mapping'!$B$3:$BL$3,0))</f>
        <v>kilogram</v>
      </c>
      <c r="E686" t="str">
        <f>INDEX('ei names mapping'!$B$305:$BL$335,MATCH(B$234,'ei names mapping'!$A$4:$A$33,0),MATCH(G686,'ei names mapping'!$B$3:$BL$3,0))</f>
        <v>air::urban air close to ground</v>
      </c>
      <c r="F686" t="s">
        <v>167</v>
      </c>
      <c r="G686" t="s">
        <v>561</v>
      </c>
    </row>
    <row r="687" spans="1:7" x14ac:dyDescent="0.2">
      <c r="A687" t="str">
        <f>INDEX('ei names mapping'!$B$4:$BL$33,MATCH(B$234,'ei names mapping'!$A$4:$A$33,0),MATCH(G687,'ei names mapping'!$B$3:$BL$3,0))</f>
        <v>Arsenic</v>
      </c>
      <c r="B687" s="7">
        <f>INDEX('vehicles specifications'!$B$3:$CW$166,MATCH(B$627,'vehicles specifications'!$A$3:$A$166,0),MATCH(G687,'vehicles specifications'!$B$2:$CW$2,0))*INDEX('ei names mapping'!$B$137:$BL$300,MATCH(B$627,'ei names mapping'!$A$137:$A$300,0),MATCH(G687,'ei names mapping'!$B$136:$BL$136,0))</f>
        <v>1.324876160302721E-11</v>
      </c>
      <c r="D687" t="str">
        <f>INDEX('ei names mapping'!$B$104:$BL$133,MATCH(B$234,'ei names mapping'!$A$4:$A$33,0),MATCH(G687,'ei names mapping'!$B$3:$BL$3,0))</f>
        <v>kilogram</v>
      </c>
      <c r="E687" t="str">
        <f>INDEX('ei names mapping'!$B$305:$BL$335,MATCH(B$234,'ei names mapping'!$A$4:$A$33,0),MATCH(G687,'ei names mapping'!$B$3:$BL$3,0))</f>
        <v>air::urban air close to ground</v>
      </c>
      <c r="F687" t="s">
        <v>167</v>
      </c>
      <c r="G687" t="s">
        <v>562</v>
      </c>
    </row>
    <row r="688" spans="1:7" x14ac:dyDescent="0.2">
      <c r="A688" t="str">
        <f>INDEX('ei names mapping'!$B$4:$BL$33,MATCH(B$234,'ei names mapping'!$A$4:$A$33,0),MATCH(G688,'ei names mapping'!$B$3:$BL$3,0))</f>
        <v>Selenium</v>
      </c>
      <c r="B688" s="7">
        <f>INDEX('vehicles specifications'!$B$3:$CW$166,MATCH(B$627,'vehicles specifications'!$A$3:$A$166,0),MATCH(G688,'vehicles specifications'!$B$2:$CW$2,0))*INDEX('ei names mapping'!$B$137:$BL$300,MATCH(B$627,'ei names mapping'!$A$137:$A$300,0),MATCH(G688,'ei names mapping'!$B$136:$BL$136,0))</f>
        <v>8.8325077353514733E-12</v>
      </c>
      <c r="D688" t="str">
        <f>INDEX('ei names mapping'!$B$104:$BL$133,MATCH(B$234,'ei names mapping'!$A$4:$A$33,0),MATCH(G688,'ei names mapping'!$B$3:$BL$3,0))</f>
        <v>kilogram</v>
      </c>
      <c r="E688" t="str">
        <f>INDEX('ei names mapping'!$B$305:$BL$335,MATCH(B$234,'ei names mapping'!$A$4:$A$33,0),MATCH(G688,'ei names mapping'!$B$3:$BL$3,0))</f>
        <v>air::urban air close to ground</v>
      </c>
      <c r="F688" t="s">
        <v>167</v>
      </c>
      <c r="G688" t="s">
        <v>563</v>
      </c>
    </row>
    <row r="689" spans="1:8" x14ac:dyDescent="0.2">
      <c r="A689" t="str">
        <f>INDEX('ei names mapping'!$B$4:$BL$33,MATCH(B$234,'ei names mapping'!$A$4:$A$33,0),MATCH(G689,'ei names mapping'!$B$3:$BL$3,0))</f>
        <v>Zinc</v>
      </c>
      <c r="B689" s="7">
        <f>INDEX('vehicles specifications'!$B$3:$CW$166,MATCH(B$627,'vehicles specifications'!$A$3:$A$166,0),MATCH(G689,'vehicles specifications'!$B$2:$CW$2,0))*INDEX('ei names mapping'!$B$137:$BL$300,MATCH(B$627,'ei names mapping'!$A$137:$A$300,0),MATCH(G689,'ei names mapping'!$B$136:$BL$136,0))</f>
        <v>9.539108354179591E-8</v>
      </c>
      <c r="D689" t="str">
        <f>INDEX('ei names mapping'!$B$104:$BL$133,MATCH(B$234,'ei names mapping'!$A$4:$A$33,0),MATCH(G689,'ei names mapping'!$B$3:$BL$3,0))</f>
        <v>kilogram</v>
      </c>
      <c r="E689" t="str">
        <f>INDEX('ei names mapping'!$B$305:$BL$335,MATCH(B$234,'ei names mapping'!$A$4:$A$33,0),MATCH(G689,'ei names mapping'!$B$3:$BL$3,0))</f>
        <v>air::urban air close to ground</v>
      </c>
      <c r="F689" t="s">
        <v>167</v>
      </c>
      <c r="G689" t="s">
        <v>564</v>
      </c>
    </row>
    <row r="690" spans="1:8" x14ac:dyDescent="0.2">
      <c r="A690" t="str">
        <f>INDEX('ei names mapping'!$B$4:$BL$33,MATCH(B$234,'ei names mapping'!$A$4:$A$33,0),MATCH(G690,'ei names mapping'!$B$3:$BL$3,0))</f>
        <v>Copper</v>
      </c>
      <c r="B690" s="7">
        <f>INDEX('vehicles specifications'!$B$3:$CW$166,MATCH(B$627,'vehicles specifications'!$A$3:$A$166,0),MATCH(G690,'vehicles specifications'!$B$2:$CW$2,0))*INDEX('ei names mapping'!$B$137:$BL$300,MATCH(B$627,'ei names mapping'!$A$137:$A$300,0),MATCH(G690,'ei names mapping'!$B$136:$BL$136,0))</f>
        <v>1.854826624423809E-9</v>
      </c>
      <c r="D690" t="str">
        <f>INDEX('ei names mapping'!$B$104:$BL$133,MATCH(B$234,'ei names mapping'!$A$4:$A$33,0),MATCH(G690,'ei names mapping'!$B$3:$BL$3,0))</f>
        <v>kilogram</v>
      </c>
      <c r="E690" t="str">
        <f>INDEX('ei names mapping'!$B$305:$BL$335,MATCH(B$234,'ei names mapping'!$A$4:$A$33,0),MATCH(G690,'ei names mapping'!$B$3:$BL$3,0))</f>
        <v>air::urban air close to ground</v>
      </c>
      <c r="F690" t="s">
        <v>167</v>
      </c>
      <c r="G690" t="s">
        <v>522</v>
      </c>
    </row>
    <row r="691" spans="1:8" x14ac:dyDescent="0.2">
      <c r="A691" t="str">
        <f>INDEX('ei names mapping'!$B$4:$BL$33,MATCH(B$234,'ei names mapping'!$A$4:$A$33,0),MATCH(G691,'ei names mapping'!$B$3:$BL$3,0))</f>
        <v>Nickel</v>
      </c>
      <c r="B691" s="7">
        <f>INDEX('vehicles specifications'!$B$3:$CW$166,MATCH(B$627,'vehicles specifications'!$A$3:$A$166,0),MATCH(G691,'vehicles specifications'!$B$2:$CW$2,0))*INDEX('ei names mapping'!$B$137:$BL$300,MATCH(B$627,'ei names mapping'!$A$137:$A$300,0),MATCH(G691,'ei names mapping'!$B$136:$BL$136,0))</f>
        <v>5.741130027978458E-10</v>
      </c>
      <c r="D691" t="str">
        <f>INDEX('ei names mapping'!$B$104:$BL$133,MATCH(B$234,'ei names mapping'!$A$4:$A$33,0),MATCH(G691,'ei names mapping'!$B$3:$BL$3,0))</f>
        <v>kilogram</v>
      </c>
      <c r="E691" t="str">
        <f>INDEX('ei names mapping'!$B$305:$BL$335,MATCH(B$234,'ei names mapping'!$A$4:$A$33,0),MATCH(G691,'ei names mapping'!$B$3:$BL$3,0))</f>
        <v>air::urban air close to ground</v>
      </c>
      <c r="F691" t="s">
        <v>167</v>
      </c>
      <c r="G691" t="s">
        <v>524</v>
      </c>
    </row>
    <row r="692" spans="1:8" x14ac:dyDescent="0.2">
      <c r="A692" t="str">
        <f>INDEX('ei names mapping'!$B$4:$BL$33,MATCH(B$234,'ei names mapping'!$A$4:$A$33,0),MATCH(G692,'ei names mapping'!$B$3:$BL$3,0))</f>
        <v>Chromium</v>
      </c>
      <c r="B692" s="7">
        <f>INDEX('vehicles specifications'!$B$3:$CW$166,MATCH(B$627,'vehicles specifications'!$A$3:$A$166,0),MATCH(G692,'vehicles specifications'!$B$2:$CW$2,0))*INDEX('ei names mapping'!$B$137:$BL$300,MATCH(B$627,'ei names mapping'!$A$137:$A$300,0),MATCH(G692,'ei names mapping'!$B$136:$BL$136,0))</f>
        <v>7.0660061882811791E-10</v>
      </c>
      <c r="D692" t="str">
        <f>INDEX('ei names mapping'!$B$104:$BL$133,MATCH(B$234,'ei names mapping'!$A$4:$A$33,0),MATCH(G692,'ei names mapping'!$B$3:$BL$3,0))</f>
        <v>kilogram</v>
      </c>
      <c r="E692" t="str">
        <f>INDEX('ei names mapping'!$B$305:$BL$335,MATCH(B$234,'ei names mapping'!$A$4:$A$33,0),MATCH(G692,'ei names mapping'!$B$3:$BL$3,0))</f>
        <v>air::urban air close to ground</v>
      </c>
      <c r="F692" t="s">
        <v>167</v>
      </c>
      <c r="G692" t="s">
        <v>523</v>
      </c>
    </row>
    <row r="693" spans="1:8" x14ac:dyDescent="0.2">
      <c r="A693" t="str">
        <f>INDEX('ei names mapping'!$B$4:$BL$33,MATCH(B$234,'ei names mapping'!$A$4:$A$33,0),MATCH(G693,'ei names mapping'!$B$3:$BL$3,0))</f>
        <v>Chromium VI</v>
      </c>
      <c r="B693" s="7">
        <f>INDEX('vehicles specifications'!$B$3:$CW$166,MATCH(B$627,'vehicles specifications'!$A$3:$A$166,0),MATCH(G693,'vehicles specifications'!$B$2:$CW$2,0))*INDEX('ei names mapping'!$B$137:$BL$300,MATCH(B$627,'ei names mapping'!$A$137:$A$300,0),MATCH(G693,'ei names mapping'!$B$136:$BL$136,0))</f>
        <v>1.4132012376562355E-12</v>
      </c>
      <c r="D693" t="str">
        <f>INDEX('ei names mapping'!$B$104:$BL$133,MATCH(B$234,'ei names mapping'!$A$4:$A$33,0),MATCH(G693,'ei names mapping'!$B$3:$BL$3,0))</f>
        <v>kilogram</v>
      </c>
      <c r="E693" t="str">
        <f>INDEX('ei names mapping'!$B$305:$BL$335,MATCH(B$234,'ei names mapping'!$A$4:$A$33,0),MATCH(G693,'ei names mapping'!$B$3:$BL$3,0))</f>
        <v>air::urban air close to ground</v>
      </c>
      <c r="F693" t="s">
        <v>167</v>
      </c>
      <c r="G693" t="s">
        <v>567</v>
      </c>
    </row>
    <row r="694" spans="1:8" x14ac:dyDescent="0.2">
      <c r="A694" t="str">
        <f>INDEX('ei names mapping'!$B$4:$BL$33,MATCH(B$234,'ei names mapping'!$A$4:$A$33,0),MATCH(G694,'ei names mapping'!$B$3:$BL$3,0))</f>
        <v>Mercury</v>
      </c>
      <c r="B694" s="7">
        <f>INDEX('vehicles specifications'!$B$3:$CW$166,MATCH(B$627,'vehicles specifications'!$A$3:$A$166,0),MATCH(G694,'vehicles specifications'!$B$2:$CW$2,0))*INDEX('ei names mapping'!$B$137:$BL$300,MATCH(B$627,'ei names mapping'!$A$137:$A$300,0),MATCH(G694,'ei names mapping'!$B$136:$BL$136,0))</f>
        <v>3.8421408648778908E-10</v>
      </c>
      <c r="D694" t="str">
        <f>INDEX('ei names mapping'!$B$104:$BL$133,MATCH(B$234,'ei names mapping'!$A$4:$A$33,0),MATCH(G694,'ei names mapping'!$B$3:$BL$3,0))</f>
        <v>kilogram</v>
      </c>
      <c r="E694" t="str">
        <f>INDEX('ei names mapping'!$B$305:$BL$335,MATCH(B$234,'ei names mapping'!$A$4:$A$33,0),MATCH(G694,'ei names mapping'!$B$3:$BL$3,0))</f>
        <v>air::urban air close to ground</v>
      </c>
      <c r="F694" t="s">
        <v>167</v>
      </c>
      <c r="G694" t="s">
        <v>565</v>
      </c>
    </row>
    <row r="695" spans="1:8" x14ac:dyDescent="0.2">
      <c r="A695" t="str">
        <f>INDEX('ei names mapping'!$B$4:$BL$33,MATCH(B$234,'ei names mapping'!$A$4:$A$33,0),MATCH(G695,'ei names mapping'!$B$3:$BL$3,0))</f>
        <v>Cadmium</v>
      </c>
      <c r="B695" s="7">
        <f>INDEX('vehicles specifications'!$B$3:$CW$166,MATCH(B$627,'vehicles specifications'!$A$3:$A$166,0),MATCH(G695,'vehicles specifications'!$B$2:$CW$2,0))*INDEX('ei names mapping'!$B$137:$BL$300,MATCH(B$627,'ei names mapping'!$A$137:$A$300,0),MATCH(G695,'ei names mapping'!$B$136:$BL$136,0))</f>
        <v>4.7695541770897962E-10</v>
      </c>
      <c r="D695" t="str">
        <f>INDEX('ei names mapping'!$B$104:$BL$133,MATCH(B$234,'ei names mapping'!$A$4:$A$33,0),MATCH(G695,'ei names mapping'!$B$3:$BL$3,0))</f>
        <v>kilogram</v>
      </c>
      <c r="E695" t="str">
        <f>INDEX('ei names mapping'!$B$305:$BL$335,MATCH(B$234,'ei names mapping'!$A$4:$A$33,0),MATCH(G695,'ei names mapping'!$B$3:$BL$3,0))</f>
        <v>air::urban air close to ground</v>
      </c>
      <c r="F695" t="s">
        <v>167</v>
      </c>
      <c r="G695" t="s">
        <v>566</v>
      </c>
    </row>
    <row r="696" spans="1:8" x14ac:dyDescent="0.2">
      <c r="A696" t="str">
        <f>INDEX('ei names mapping'!$B$4:$BL$33,MATCH(B624,'ei names mapping'!$A$4:$A$33,0),MATCH(G696,'ei names mapping'!$B$3:$BL$3,0))</f>
        <v>treatment of road wear emissions, passenger car</v>
      </c>
      <c r="B696" s="7">
        <f>INDEX('vehicles specifications'!$B$3:$CW$166,MATCH(B627,'vehicles specifications'!$A$3:$A$166,0),MATCH(G696,'vehicles specifications'!$B$2:$CW$2,0))*INDEX('ei names mapping'!$B$137:$BL$300,MATCH(B627,'ei names mapping'!$A$137:$A$300,0),MATCH(G696,'ei names mapping'!$B$136:$BL$136,0))</f>
        <v>-1.104744846368179E-5</v>
      </c>
      <c r="C696" t="str">
        <f>INDEX('ei names mapping'!$B$38:$BL$67,MATCH(B624,'ei names mapping'!$A$4:$A$33,0),MATCH(G696,'ei names mapping'!$B$3:$BL$3,0))</f>
        <v>RER</v>
      </c>
      <c r="D696" t="str">
        <f>INDEX('ei names mapping'!$B$104:$BL$133,MATCH(B624,'ei names mapping'!$A$4:$A$33,0),MATCH(G696,'ei names mapping'!$B$3:$BL$3,0))</f>
        <v>kilogram</v>
      </c>
      <c r="F696" t="s">
        <v>89</v>
      </c>
      <c r="G696" t="s">
        <v>29</v>
      </c>
      <c r="H696" t="str">
        <f>INDEX('ei names mapping'!$B$71:$BL$100,MATCH(B624,'ei names mapping'!$A$4:$A$33,0),MATCH(G696,'ei names mapping'!$B$3:$BL$3,0))</f>
        <v>road wear emissions, passenger car</v>
      </c>
    </row>
    <row r="697" spans="1:8" x14ac:dyDescent="0.2">
      <c r="A697" t="str">
        <f>INDEX('ei names mapping'!$B$4:$BL$33,MATCH(B624,'ei names mapping'!$A$4:$A$33,0),MATCH(G697,'ei names mapping'!$B$3:$BL$3,0))</f>
        <v>treatment of tyre wear emissions, passenger car</v>
      </c>
      <c r="B697" s="7">
        <f>INDEX('vehicles specifications'!$B$3:$CW$166,MATCH(B627,'vehicles specifications'!$A$3:$A$166,0),MATCH(G697,'vehicles specifications'!$B$2:$CW$2,0))*INDEX('ei names mapping'!$B$137:$BL$300,MATCH(B627,'ei names mapping'!$A$137:$A$300,0),MATCH(G697,'ei names mapping'!$B$136:$BL$136,0))</f>
        <v>-6.6761103597457815E-6</v>
      </c>
      <c r="C697" t="str">
        <f>INDEX('ei names mapping'!$B$38:$BL$67,MATCH(B624,'ei names mapping'!$A$4:$A$33,0),MATCH(G697,'ei names mapping'!$B$3:$BL$3,0))</f>
        <v>RER</v>
      </c>
      <c r="D697" t="str">
        <f>INDEX('ei names mapping'!$B$104:$BL$133,MATCH(B624,'ei names mapping'!$A$4:$A$33,0),MATCH(G697,'ei names mapping'!$B$3:$BL$3,0))</f>
        <v>kilogram</v>
      </c>
      <c r="F697" t="s">
        <v>89</v>
      </c>
      <c r="G697" t="s">
        <v>30</v>
      </c>
      <c r="H697" t="str">
        <f>INDEX('ei names mapping'!$B$71:$BL$100,MATCH(B624,'ei names mapping'!$A$4:$A$33,0),MATCH(G697,'ei names mapping'!$B$3:$BL$3,0))</f>
        <v>tyre wear emissions, passenger car</v>
      </c>
    </row>
    <row r="698" spans="1:8" x14ac:dyDescent="0.2">
      <c r="A698" t="str">
        <f>INDEX('ei names mapping'!$B$4:$BL$33,MATCH(B624,'ei names mapping'!$A$4:$A$33,0),MATCH(G698,'ei names mapping'!$B$3:$BL$3,0))</f>
        <v>treatment of brake wear emissions, passenger car</v>
      </c>
      <c r="B698" s="7">
        <f>INDEX('vehicles specifications'!$B$3:$CW$166,MATCH(B627,'vehicles specifications'!$A$3:$A$166,0),MATCH(G698,'vehicles specifications'!$B$2:$CW$2,0))*INDEX('ei names mapping'!$B$137:$BL$300,MATCH(B627,'ei names mapping'!$A$137:$A$300,0),MATCH(G698,'ei names mapping'!$B$136:$BL$136,0))</f>
        <v>-3.8577889860910961E-6</v>
      </c>
      <c r="C698" t="str">
        <f>INDEX('ei names mapping'!$B$38:$BL$67,MATCH(B624,'ei names mapping'!$A$4:$A$33,0),MATCH(G698,'ei names mapping'!$B$3:$BL$3,0))</f>
        <v>RER</v>
      </c>
      <c r="D698" t="str">
        <f>INDEX('ei names mapping'!$B$104:$BL$133,MATCH(B624,'ei names mapping'!$A$4:$A$33,0),MATCH(G698,'ei names mapping'!$B$3:$BL$3,0))</f>
        <v>kilogram</v>
      </c>
      <c r="F698" t="s">
        <v>89</v>
      </c>
      <c r="G698" t="s">
        <v>31</v>
      </c>
      <c r="H698" t="str">
        <f>INDEX('ei names mapping'!$B$71:$BL$100,MATCH(B624,'ei names mapping'!$A$4:$A$33,0),MATCH(G698,'ei names mapping'!$B$3:$BL$3,0))</f>
        <v>brake wear emissions, passenger car</v>
      </c>
    </row>
    <row r="702" spans="1:8" x14ac:dyDescent="0.2">
      <c r="B702" s="11"/>
    </row>
    <row r="703" spans="1:8" x14ac:dyDescent="0.2">
      <c r="B703" s="12"/>
    </row>
    <row r="704" spans="1:8" x14ac:dyDescent="0.2">
      <c r="B704" s="11"/>
    </row>
    <row r="706" spans="1:2" ht="16" x14ac:dyDescent="0.2">
      <c r="A706" s="10"/>
      <c r="B706" s="8"/>
    </row>
    <row r="729" spans="1:2" x14ac:dyDescent="0.2">
      <c r="B729" s="6"/>
    </row>
    <row r="731" spans="1:2" ht="16" x14ac:dyDescent="0.2">
      <c r="A731" s="10"/>
    </row>
    <row r="735" spans="1:2" x14ac:dyDescent="0.2">
      <c r="B735" s="11"/>
    </row>
    <row r="736" spans="1:2" x14ac:dyDescent="0.2">
      <c r="B736" s="12"/>
    </row>
    <row r="737" spans="1:2" x14ac:dyDescent="0.2">
      <c r="B737" s="11"/>
    </row>
    <row r="739" spans="1:2" ht="16" x14ac:dyDescent="0.2">
      <c r="A739" s="10"/>
      <c r="B739" s="8"/>
    </row>
    <row r="762" spans="1:2" x14ac:dyDescent="0.2">
      <c r="B762" s="6"/>
    </row>
    <row r="764" spans="1:2" ht="16" x14ac:dyDescent="0.2">
      <c r="A764" s="10"/>
    </row>
    <row r="768" spans="1:2" x14ac:dyDescent="0.2">
      <c r="B768" s="11"/>
    </row>
    <row r="769" spans="2:2" x14ac:dyDescent="0.2">
      <c r="B769" s="12"/>
    </row>
    <row r="770" spans="2:2" x14ac:dyDescent="0.2">
      <c r="B770" s="11"/>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770"/>
  <sheetViews>
    <sheetView topLeftCell="A235" workbookViewId="0">
      <selection activeCell="B261" sqref="B261"/>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Scooter, gasoline, &lt;4kW, EURO-3, 2006</v>
      </c>
    </row>
    <row r="2" spans="1:2" x14ac:dyDescent="0.2">
      <c r="A2" t="s">
        <v>72</v>
      </c>
      <c r="B2" t="s">
        <v>37</v>
      </c>
    </row>
    <row r="3" spans="1:2" x14ac:dyDescent="0.2">
      <c r="A3" t="s">
        <v>86</v>
      </c>
      <c r="B3" t="s">
        <v>609</v>
      </c>
    </row>
    <row r="4" spans="1:2" x14ac:dyDescent="0.2">
      <c r="A4" t="s">
        <v>87</v>
      </c>
    </row>
    <row r="5" spans="1:2" x14ac:dyDescent="0.2">
      <c r="A5" t="s">
        <v>88</v>
      </c>
      <c r="B5">
        <v>2006</v>
      </c>
    </row>
    <row r="6" spans="1:2" x14ac:dyDescent="0.2">
      <c r="A6" t="s">
        <v>126</v>
      </c>
      <c r="B6" t="str">
        <f>B3&amp;" - "&amp;B5&amp;" - "&amp;B2</f>
        <v>Scooter, gasoline, &lt;4kW, EURO-3 - 2006 - CH</v>
      </c>
    </row>
    <row r="7" spans="1:2" x14ac:dyDescent="0.2">
      <c r="A7" t="s">
        <v>73</v>
      </c>
      <c r="B7" t="str">
        <f>B3</f>
        <v>Scooter, gasoline, &lt;4kW,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93.6875</v>
      </c>
    </row>
    <row r="17" spans="1:8" x14ac:dyDescent="0.2">
      <c r="A17" t="s">
        <v>133</v>
      </c>
      <c r="B17">
        <f>INDEX('vehicles specifications'!$B$3:$CW$166,MATCH(B6,'vehicles specifications'!$A$3:$A$166,0),MATCH("Power [kW]",'vehicles specifications'!$B$2:$CW$2,0))</f>
        <v>2.8</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62.125</v>
      </c>
    </row>
    <row r="21" spans="1:8" x14ac:dyDescent="0.2">
      <c r="A21" t="s">
        <v>139</v>
      </c>
      <c r="B21">
        <f>INDEX('vehicles specifications'!$B$3:$CW$166,MATCH(B6,'vehicles specifications'!$A$3:$A$166,0),MATCH("Fuel mass [kg]",'vehicles specifications'!$B$2:$CW$2,0))</f>
        <v>5.25</v>
      </c>
    </row>
    <row r="22" spans="1:8" x14ac:dyDescent="0.2">
      <c r="A22" t="s">
        <v>136</v>
      </c>
      <c r="B22" s="2">
        <f>INDEX('vehicles specifications'!$B$3:$CW$166,MATCH(B6,'vehicles specifications'!$A$3:$A$166,0),MATCH("Range [km]",'vehicles specifications'!$B$2:$CW$2,0))</f>
        <v>162.107934058469</v>
      </c>
    </row>
    <row r="23" spans="1:8" x14ac:dyDescent="0.2">
      <c r="A23" t="s">
        <v>137</v>
      </c>
      <c r="B23" t="str">
        <f>INDEX('vehicles specifications'!$B$3:$CW$166,MATCH(B6,'vehicles specifications'!$A$3:$A$166,0),MATCH("Emission standard",'vehicles specifications'!$B$2:$CW$2,0))</f>
        <v>EURO-5</v>
      </c>
    </row>
    <row r="24" spans="1:8"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Scooter, gasoline, &lt;4kW, EURO-3, 2006</v>
      </c>
      <c r="B31">
        <v>1</v>
      </c>
      <c r="C31" t="str">
        <f>B2</f>
        <v>CH</v>
      </c>
      <c r="D31" t="str">
        <f>B9</f>
        <v>unit</v>
      </c>
      <c r="F31" t="s">
        <v>84</v>
      </c>
      <c r="G31" t="s">
        <v>85</v>
      </c>
      <c r="H31" t="str">
        <f>B3</f>
        <v>Scooter, gasoline, &lt;4kW, EURO-3</v>
      </c>
    </row>
    <row r="32" spans="1:8" x14ac:dyDescent="0.2">
      <c r="A32" t="str">
        <f>INDEX('ei names mapping'!$B$4:$R$33,MATCH(B3,'ei names mapping'!$A$4:$A$33,0),MATCH(G32,'ei names mapping'!$B$3:$R$3,0))</f>
        <v>motor scooter production</v>
      </c>
      <c r="B32" s="11">
        <f>INDEX('vehicles specifications'!$B$3:$CW$166,MATCH(B6,'vehicles specifications'!$A$3:$A$166,0),MATCH(G32,'vehicles specifications'!$B$2:$CW$2,0))*INDEX('ei names mapping'!$B$137:$BL$300,MATCH(B6,'ei names mapping'!$A$137:$A$300,0),MATCH(G32,'ei names mapping'!$B$136:$BL$136,0))</f>
        <v>0.58888888888888891</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11">
        <f>INDEX('vehicles specifications'!$B$3:$CW$166,MATCH(B6,'vehicles specifications'!$A$3:$A$166,0),MATCH(G33,'vehicles specifications'!$B$2:$CW$2,0))*INDEX('ei names mapping'!$B$137:$BL$300,MATCH(B6,'ei names mapping'!$A$137:$A$300,0),MATCH(G33,'ei names mapping'!$B$136:$BL$136,0))</f>
        <v>0.35555555555555557</v>
      </c>
      <c r="C33" t="str">
        <f>INDEX('ei names mapping'!$B$38:$R$67,MATCH(B3,'ei names mapping'!$A$4:$A$33,0),MATCH(G33,'ei names mapping'!$B$3:$R$3,0))</f>
        <v>RER</v>
      </c>
      <c r="D33" t="str">
        <f>INDEX('ei names mapping'!$B$104:$R$133,MATCH($B$3,'ei names mapping'!$A$4:$A$33,0),MATCH(G33,'ei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11">
        <f>INDEX('vehicles specifications'!$B$3:$CW$166,MATCH(B6,'vehicles specifications'!$A$3:$A$166,0),MATCH(G34,'vehicles specifications'!$B$2:$CW$2,0))*INDEX('ei names mapping'!$B$137:$BL$300,MATCH(B6,'ei names mapping'!$A$137:$A$300,0),MATCH(G34,'ei names mapping'!$B$136:$BL$136,0))</f>
        <v>0.78749999999999998</v>
      </c>
      <c r="C34" t="str">
        <f>INDEX('ei names mapping'!$B$38:$R$67,MATCH(B3,'ei names mapping'!$A$4:$A$33,0),MATCH(G34,'ei names mapping'!$B$3:$R$3,0))</f>
        <v>RER</v>
      </c>
      <c r="D34" t="str">
        <f>INDEX('ei names mapping'!$B$104:$R$133,MATCH($B$3,'ei names mapping'!$A$4:$A$33,0),MATCH(G34,'ei names mapping'!$B$3:$R$3,0))</f>
        <v>kilogram</v>
      </c>
      <c r="F34" t="s">
        <v>89</v>
      </c>
      <c r="G34" t="s">
        <v>24</v>
      </c>
      <c r="H34" t="str">
        <f>INDEX('ei names mapping'!$B$71:$R$100,MATCH(B3,'ei names mapping'!$A$4:$A$33,0),MATCH(G34,'ei names mapping'!$B$3:$R$3,0))</f>
        <v>polyethylene, high density, granulate</v>
      </c>
    </row>
    <row r="35" spans="1:8" x14ac:dyDescent="0.2">
      <c r="A35" t="s">
        <v>282</v>
      </c>
      <c r="B35" s="11">
        <f>B34/0.994</f>
        <v>0.79225352112676051</v>
      </c>
      <c r="C35" t="s">
        <v>92</v>
      </c>
      <c r="D35" t="s">
        <v>77</v>
      </c>
      <c r="F35" t="s">
        <v>89</v>
      </c>
      <c r="G35" t="s">
        <v>647</v>
      </c>
      <c r="H35" t="s">
        <v>282</v>
      </c>
    </row>
    <row r="36" spans="1:8" x14ac:dyDescent="0.2">
      <c r="A36" s="13" t="s">
        <v>840</v>
      </c>
      <c r="B36">
        <f>(B16/1000)*B27</f>
        <v>93.6875</v>
      </c>
      <c r="C36" t="s">
        <v>92</v>
      </c>
      <c r="D36" t="s">
        <v>233</v>
      </c>
      <c r="F36" t="s">
        <v>89</v>
      </c>
      <c r="H36" s="13" t="s">
        <v>841</v>
      </c>
    </row>
    <row r="37" spans="1:8" x14ac:dyDescent="0.2">
      <c r="A37" s="13" t="s">
        <v>441</v>
      </c>
      <c r="B37" s="2">
        <f>(B16/1000)*B26</f>
        <v>1489.6312500000001</v>
      </c>
      <c r="C37" t="s">
        <v>95</v>
      </c>
      <c r="D37" t="s">
        <v>233</v>
      </c>
      <c r="F37" t="s">
        <v>89</v>
      </c>
      <c r="H37" s="13" t="s">
        <v>441</v>
      </c>
    </row>
    <row r="38" spans="1:8" x14ac:dyDescent="0.2">
      <c r="B38" s="11"/>
    </row>
    <row r="39" spans="1:8" ht="16" x14ac:dyDescent="0.2">
      <c r="A39" s="10" t="s">
        <v>71</v>
      </c>
      <c r="B39" s="8" t="str">
        <f>B41&amp;", "&amp;B43</f>
        <v>Scooter, gasoline, &lt;4kW, EURO-4, 2016</v>
      </c>
    </row>
    <row r="40" spans="1:8" x14ac:dyDescent="0.2">
      <c r="A40" t="s">
        <v>72</v>
      </c>
      <c r="B40" t="s">
        <v>37</v>
      </c>
    </row>
    <row r="41" spans="1:8" x14ac:dyDescent="0.2">
      <c r="A41" t="s">
        <v>86</v>
      </c>
      <c r="B41" t="s">
        <v>610</v>
      </c>
    </row>
    <row r="42" spans="1:8" x14ac:dyDescent="0.2">
      <c r="A42" t="s">
        <v>87</v>
      </c>
    </row>
    <row r="43" spans="1:8" x14ac:dyDescent="0.2">
      <c r="A43" t="s">
        <v>88</v>
      </c>
      <c r="B43">
        <v>2016</v>
      </c>
    </row>
    <row r="44" spans="1:8" x14ac:dyDescent="0.2">
      <c r="A44" t="s">
        <v>126</v>
      </c>
      <c r="B44" t="str">
        <f>B41&amp;" - "&amp;B43&amp;" - "&amp;B40</f>
        <v>Scooter, gasoline, &lt;4kW, EURO-4 - 2016 - CH</v>
      </c>
    </row>
    <row r="45" spans="1:8" x14ac:dyDescent="0.2">
      <c r="A45" t="s">
        <v>73</v>
      </c>
      <c r="B45" t="str">
        <f>B41</f>
        <v>Scooter, gasoline, &lt;4kW, EURO-4</v>
      </c>
    </row>
    <row r="46" spans="1:8" x14ac:dyDescent="0.2">
      <c r="A46" t="s">
        <v>74</v>
      </c>
      <c r="B46" t="s">
        <v>75</v>
      </c>
    </row>
    <row r="47" spans="1:8" x14ac:dyDescent="0.2">
      <c r="A47" t="s">
        <v>76</v>
      </c>
      <c r="B47" t="s">
        <v>76</v>
      </c>
    </row>
    <row r="48" spans="1:8" x14ac:dyDescent="0.2">
      <c r="A48" t="s">
        <v>78</v>
      </c>
      <c r="B48" t="s">
        <v>1143</v>
      </c>
    </row>
    <row r="49" spans="1:2" x14ac:dyDescent="0.2">
      <c r="A49" t="s">
        <v>127</v>
      </c>
      <c r="B49">
        <f>INDEX('vehicles specifications'!$B$3:$CW$166,MATCH(B44,'vehicles specifications'!$A$3:$A$166,0),MATCH("Lifetime [km]",'vehicles specifications'!$B$2:$CW$2,0))</f>
        <v>25000</v>
      </c>
    </row>
    <row r="50" spans="1:2" x14ac:dyDescent="0.2">
      <c r="A50" t="s">
        <v>128</v>
      </c>
      <c r="B50">
        <f>INDEX('vehicles specifications'!$B$3:$CW$166,MATCH(B44,'vehicles specifications'!$A$3:$A$166,0),MATCH("Passengers [unit]",'vehicles specifications'!$B$2:$CW$2,0))</f>
        <v>1</v>
      </c>
    </row>
    <row r="51" spans="1:2" x14ac:dyDescent="0.2">
      <c r="A51" t="s">
        <v>129</v>
      </c>
      <c r="B51">
        <f>INDEX('vehicles specifications'!$B$3:$CW$166,MATCH(B44,'vehicles specifications'!$A$3:$A$166,0),MATCH("Servicing [unit]",'vehicles specifications'!$B$2:$CW$2,0))</f>
        <v>1</v>
      </c>
    </row>
    <row r="52" spans="1:2" x14ac:dyDescent="0.2">
      <c r="A52" t="s">
        <v>130</v>
      </c>
      <c r="B52">
        <f>INDEX('vehicles specifications'!$B$3:$CW$166,MATCH(B44,'vehicles specifications'!$A$3:$A$166,0),MATCH("Energy battery replacement [unit]",'vehicles specifications'!$B$2:$CW$2,0))</f>
        <v>0</v>
      </c>
    </row>
    <row r="53" spans="1:2" x14ac:dyDescent="0.2">
      <c r="A53" t="s">
        <v>131</v>
      </c>
      <c r="B53">
        <f>INDEX('vehicles specifications'!$B$3:$CW$166,MATCH(B44,'vehicles specifications'!$A$3:$A$166,0),MATCH("Annual kilometers [km]",'vehicles specifications'!$B$2:$CW$2,0))</f>
        <v>1570</v>
      </c>
    </row>
    <row r="54" spans="1:2" x14ac:dyDescent="0.2">
      <c r="A54" t="s">
        <v>132</v>
      </c>
      <c r="B54" s="2">
        <f>INDEX('vehicles specifications'!$B$3:$CW$166,MATCH(B44,'vehicles specifications'!$A$3:$A$166,0),MATCH("Curb mass [kg]",'vehicles specifications'!$B$2:$CW$2,0))</f>
        <v>92.097499999999997</v>
      </c>
    </row>
    <row r="55" spans="1:2" x14ac:dyDescent="0.2">
      <c r="A55" t="s">
        <v>133</v>
      </c>
      <c r="B55">
        <f>INDEX('vehicles specifications'!$B$3:$CW$166,MATCH(B44,'vehicles specifications'!$A$3:$A$166,0),MATCH("Power [kW]",'vehicles specifications'!$B$2:$CW$2,0))</f>
        <v>2.8</v>
      </c>
    </row>
    <row r="56" spans="1:2" x14ac:dyDescent="0.2">
      <c r="A56" t="s">
        <v>134</v>
      </c>
      <c r="B56" t="str">
        <f>INDEX('vehicles specifications'!$B$3:$CW$166,MATCH(B44,'vehicles specifications'!$A$3:$A$166,0),MATCH("Energy battery mass [kg]",'vehicles specifications'!$B$2:$CW$2,0))</f>
        <v/>
      </c>
    </row>
    <row r="57" spans="1:2" x14ac:dyDescent="0.2">
      <c r="A57" t="s">
        <v>135</v>
      </c>
      <c r="B57">
        <f>INDEX('vehicles specifications'!$B$3:$CW$166,MATCH(B44,'vehicles specifications'!$A$3:$A$166,0),MATCH("Electric energy available [kWh]",'vehicles specifications'!$B$2:$CW$2,0))</f>
        <v>0</v>
      </c>
    </row>
    <row r="58" spans="1:2" x14ac:dyDescent="0.2">
      <c r="A58" t="s">
        <v>138</v>
      </c>
      <c r="B58" s="2">
        <f>INDEX('vehicles specifications'!$B$3:$CW$166,MATCH(B44,'vehicles specifications'!$A$3:$A$166,0),MATCH("Oxydation energy stored [kWh]",'vehicles specifications'!$B$2:$CW$2,0))</f>
        <v>62.125</v>
      </c>
    </row>
    <row r="59" spans="1:2" x14ac:dyDescent="0.2">
      <c r="A59" t="s">
        <v>139</v>
      </c>
      <c r="B59">
        <f>INDEX('vehicles specifications'!$B$3:$CW$166,MATCH(B44,'vehicles specifications'!$A$3:$A$166,0),MATCH("Fuel mass [kg]",'vehicles specifications'!$B$2:$CW$2,0))</f>
        <v>5.25</v>
      </c>
    </row>
    <row r="60" spans="1:2" x14ac:dyDescent="0.2">
      <c r="A60" t="s">
        <v>136</v>
      </c>
      <c r="B60" s="2">
        <f>INDEX('vehicles specifications'!$B$3:$CW$166,MATCH(B44,'vehicles specifications'!$A$3:$A$166,0),MATCH("Range [km]",'vehicles specifications'!$B$2:$CW$2,0))</f>
        <v>171.83441010197717</v>
      </c>
    </row>
    <row r="61" spans="1:2" x14ac:dyDescent="0.2">
      <c r="A61" t="s">
        <v>137</v>
      </c>
      <c r="B61" t="str">
        <f>INDEX('vehicles specifications'!$B$3:$CW$166,MATCH(B44,'vehicles specifications'!$A$3:$A$166,0),MATCH("Emission standard",'vehicles specifications'!$B$2:$CW$2,0))</f>
        <v>EURO-4</v>
      </c>
    </row>
    <row r="62" spans="1:2" x14ac:dyDescent="0.2">
      <c r="A62" t="s">
        <v>1174</v>
      </c>
      <c r="B62" s="6">
        <f>INDEX('vehicles specifications'!$B$3:$CW$166,MATCH(B44,'vehicles specifications'!$A$3:$A$166,0),MATCH("Lightweighting rate [%]",'vehicles specifications'!$B$2:$CW$2,0))</f>
        <v>-0.02</v>
      </c>
    </row>
    <row r="63" spans="1:2" x14ac:dyDescent="0.2">
      <c r="A63" t="s">
        <v>485</v>
      </c>
      <c r="B63" s="6" t="s">
        <v>486</v>
      </c>
    </row>
    <row r="64" spans="1:2" x14ac:dyDescent="0.2">
      <c r="A64" t="s">
        <v>487</v>
      </c>
      <c r="B64" s="2">
        <v>15900</v>
      </c>
    </row>
    <row r="65" spans="1:8" x14ac:dyDescent="0.2">
      <c r="A65" t="s">
        <v>488</v>
      </c>
      <c r="B65" s="2">
        <v>1000</v>
      </c>
    </row>
    <row r="66" spans="1:8" x14ac:dyDescent="0.2">
      <c r="A66" t="s">
        <v>83</v>
      </c>
      <c r="B66"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tr">
        <f>B39</f>
        <v>Scooter, gasoline, &lt;4kW, EURO-4, 2016</v>
      </c>
      <c r="B69">
        <v>1</v>
      </c>
      <c r="C69" t="str">
        <f>B40</f>
        <v>CH</v>
      </c>
      <c r="D69" t="str">
        <f>B47</f>
        <v>unit</v>
      </c>
      <c r="F69" t="s">
        <v>84</v>
      </c>
      <c r="G69" t="s">
        <v>85</v>
      </c>
      <c r="H69" t="str">
        <f>B41</f>
        <v>Scooter, gasoline, &lt;4kW, EURO-4</v>
      </c>
    </row>
    <row r="70" spans="1:8" x14ac:dyDescent="0.2">
      <c r="A70" t="str">
        <f>INDEX('ei names mapping'!$B$4:$R$33,MATCH(B41,'ei names mapping'!$A$4:$A$33,0),MATCH(G70,'ei names mapping'!$B$3:$R$3,0))</f>
        <v>motor scooter production</v>
      </c>
      <c r="B70" s="11">
        <f>INDEX('vehicles specifications'!$B$3:$CW$166,MATCH(B44,'vehicles specifications'!$A$3:$A$166,0),MATCH(G70,'vehicles specifications'!$B$2:$CW$2,0))*INDEX('ei names mapping'!$B$137:$BL$300,MATCH(B44,'ei names mapping'!$A$137:$A$300,0),MATCH(G70,'ei names mapping'!$B$136:$BL$136,0))</f>
        <v>0.58888888888888891</v>
      </c>
      <c r="C70" t="str">
        <f>INDEX('ei names mapping'!$B$38:$R$67,MATCH(B41,'ei names mapping'!$A$4:$A$33,0),MATCH(G70,'ei names mapping'!$B$3:$R$3,0))</f>
        <v>RER</v>
      </c>
      <c r="D70" t="str">
        <f>INDEX('ei names mapping'!$B$104:$R$133,MATCH($B$3,'ei names mapping'!$A$4:$A$33,0),MATCH(G70,'ei names mapping'!$B$3:$R$3,0))</f>
        <v>unit</v>
      </c>
      <c r="F70" t="s">
        <v>89</v>
      </c>
      <c r="G70" t="s">
        <v>15</v>
      </c>
      <c r="H70" t="str">
        <f>INDEX('ei names mapping'!$B$71:$R$100,MATCH(B41,'ei names mapping'!$A$4:$A$33,0),MATCH(G70,'ei names mapping'!$B$3:$R$3,0))</f>
        <v>motor scooter, 50 cubic cm engine</v>
      </c>
    </row>
    <row r="71" spans="1:8" x14ac:dyDescent="0.2">
      <c r="A71" t="str">
        <f>INDEX('ei names mapping'!$B$4:$R$33,MATCH(B41,'ei names mapping'!$A$4:$A$33,0),MATCH(G71,'ei names mapping'!$B$3:$R$3,0))</f>
        <v>motor scooter production</v>
      </c>
      <c r="B71" s="11">
        <f>INDEX('vehicles specifications'!$B$3:$CW$166,MATCH(B44,'vehicles specifications'!$A$3:$A$166,0),MATCH(G71,'vehicles specifications'!$B$2:$CW$2,0))*INDEX('ei names mapping'!$B$137:$BL$300,MATCH(B44,'ei names mapping'!$A$137:$A$300,0),MATCH(G71,'ei names mapping'!$B$136:$BL$136,0))</f>
        <v>0.35555555555555557</v>
      </c>
      <c r="C71" t="str">
        <f>INDEX('ei names mapping'!$B$38:$R$67,MATCH(B41,'ei names mapping'!$A$4:$A$33,0),MATCH(G71,'ei names mapping'!$B$3:$R$3,0))</f>
        <v>RER</v>
      </c>
      <c r="D71" t="str">
        <f>INDEX('ei names mapping'!$B$104:$R$133,MATCH($B$3,'ei names mapping'!$A$4:$A$33,0),MATCH(G71,'ei names mapping'!$B$3:$R$3,0))</f>
        <v>unit</v>
      </c>
      <c r="F71" t="s">
        <v>89</v>
      </c>
      <c r="G71" t="s">
        <v>16</v>
      </c>
      <c r="H71" t="str">
        <f>INDEX('ei names mapping'!$B$71:$R$100,MATCH(B41,'ei names mapping'!$A$4:$A$33,0),MATCH(G71,'ei names mapping'!$B$3:$R$3,0))</f>
        <v>motor scooter, 50 cubic cm engine</v>
      </c>
    </row>
    <row r="72" spans="1:8" x14ac:dyDescent="0.2">
      <c r="A72" t="str">
        <f>INDEX('ei names mapping'!$B$4:$R$33,MATCH(B41,'ei names mapping'!$A$4:$A$33,0),MATCH(G72,'ei names mapping'!$B$3:$R$3,0))</f>
        <v>polyethylene production, high density, granulate</v>
      </c>
      <c r="B72" s="11">
        <f>INDEX('vehicles specifications'!$B$3:$CW$166,MATCH(B44,'vehicles specifications'!$A$3:$A$166,0),MATCH(G72,'vehicles specifications'!$B$2:$CW$2,0))*INDEX('ei names mapping'!$B$137:$BL$300,MATCH(B44,'ei names mapping'!$A$137:$A$300,0),MATCH(G72,'ei names mapping'!$B$136:$BL$136,0))</f>
        <v>0.78749999999999998</v>
      </c>
      <c r="C72" t="str">
        <f>INDEX('ei names mapping'!$B$38:$R$67,MATCH(B41,'ei names mapping'!$A$4:$A$33,0),MATCH(G72,'ei names mapping'!$B$3:$R$3,0))</f>
        <v>RER</v>
      </c>
      <c r="D72" t="str">
        <f>INDEX('ei names mapping'!$B$104:$R$133,MATCH($B$3,'ei names mapping'!$A$4:$A$33,0),MATCH(G72,'ei names mapping'!$B$3:$R$3,0))</f>
        <v>kilogram</v>
      </c>
      <c r="F72" t="s">
        <v>89</v>
      </c>
      <c r="G72" t="s">
        <v>24</v>
      </c>
      <c r="H72" t="str">
        <f>INDEX('ei names mapping'!$B$71:$R$100,MATCH(B41,'ei names mapping'!$A$4:$A$33,0),MATCH(G72,'ei names mapping'!$B$3:$R$3,0))</f>
        <v>polyethylene, high density, granulate</v>
      </c>
    </row>
    <row r="73" spans="1:8" x14ac:dyDescent="0.2">
      <c r="A73" t="s">
        <v>282</v>
      </c>
      <c r="B73" s="11">
        <f>B72/0.994</f>
        <v>0.79225352112676051</v>
      </c>
      <c r="C73" t="s">
        <v>92</v>
      </c>
      <c r="D73" t="s">
        <v>77</v>
      </c>
      <c r="F73" t="s">
        <v>89</v>
      </c>
      <c r="G73" t="s">
        <v>647</v>
      </c>
      <c r="H73" t="s">
        <v>282</v>
      </c>
    </row>
    <row r="74" spans="1:8" x14ac:dyDescent="0.2">
      <c r="A74" s="13" t="s">
        <v>840</v>
      </c>
      <c r="B74">
        <f>(B54/1000)*B65</f>
        <v>92.097499999999997</v>
      </c>
      <c r="C74" t="s">
        <v>92</v>
      </c>
      <c r="D74" t="s">
        <v>233</v>
      </c>
      <c r="F74" t="s">
        <v>89</v>
      </c>
      <c r="H74" s="13" t="s">
        <v>841</v>
      </c>
    </row>
    <row r="75" spans="1:8" x14ac:dyDescent="0.2">
      <c r="A75" s="13" t="s">
        <v>441</v>
      </c>
      <c r="B75" s="2">
        <f>(B54/1000)*B64</f>
        <v>1464.35025</v>
      </c>
      <c r="C75" t="s">
        <v>95</v>
      </c>
      <c r="D75" t="s">
        <v>233</v>
      </c>
      <c r="F75" t="s">
        <v>89</v>
      </c>
      <c r="H75" s="13" t="s">
        <v>441</v>
      </c>
    </row>
    <row r="77" spans="1:8" ht="16" x14ac:dyDescent="0.2">
      <c r="A77" s="10" t="s">
        <v>71</v>
      </c>
      <c r="B77" s="8" t="str">
        <f>B79&amp;", "&amp;B81</f>
        <v>Scooter, gasoline, &lt;4kW, EURO-5, 2020</v>
      </c>
    </row>
    <row r="78" spans="1:8" x14ac:dyDescent="0.2">
      <c r="A78" t="s">
        <v>72</v>
      </c>
      <c r="B78" t="s">
        <v>37</v>
      </c>
    </row>
    <row r="79" spans="1:8" x14ac:dyDescent="0.2">
      <c r="A79" t="s">
        <v>86</v>
      </c>
      <c r="B79" t="s">
        <v>611</v>
      </c>
    </row>
    <row r="80" spans="1:8" x14ac:dyDescent="0.2">
      <c r="A80" t="s">
        <v>87</v>
      </c>
    </row>
    <row r="81" spans="1:2" x14ac:dyDescent="0.2">
      <c r="A81" t="s">
        <v>88</v>
      </c>
      <c r="B81">
        <v>2020</v>
      </c>
    </row>
    <row r="82" spans="1:2" x14ac:dyDescent="0.2">
      <c r="A82" t="s">
        <v>126</v>
      </c>
      <c r="B82" t="str">
        <f>B79&amp;" - "&amp;B81&amp;" - "&amp;B78</f>
        <v>Scooter, gasoline, &lt;4kW, EURO-5 - 2020 - CH</v>
      </c>
    </row>
    <row r="83" spans="1:2" x14ac:dyDescent="0.2">
      <c r="A83" t="s">
        <v>73</v>
      </c>
      <c r="B83" t="str">
        <f>B79</f>
        <v>Scooter, gasoline, &lt;4kW, EURO-5</v>
      </c>
    </row>
    <row r="84" spans="1:2" x14ac:dyDescent="0.2">
      <c r="A84" t="s">
        <v>74</v>
      </c>
      <c r="B84" t="s">
        <v>75</v>
      </c>
    </row>
    <row r="85" spans="1:2" x14ac:dyDescent="0.2">
      <c r="A85" t="s">
        <v>76</v>
      </c>
      <c r="B85" t="s">
        <v>76</v>
      </c>
    </row>
    <row r="86" spans="1:2" x14ac:dyDescent="0.2">
      <c r="A86" t="s">
        <v>78</v>
      </c>
      <c r="B86" t="s">
        <v>1143</v>
      </c>
    </row>
    <row r="87" spans="1:2" x14ac:dyDescent="0.2">
      <c r="A87" t="s">
        <v>127</v>
      </c>
      <c r="B87">
        <f>INDEX('vehicles specifications'!$B$3:$CW$166,MATCH(B82,'vehicles specifications'!$A$3:$A$166,0),MATCH("Lifetime [km]",'vehicles specifications'!$B$2:$CW$2,0))</f>
        <v>25000</v>
      </c>
    </row>
    <row r="88" spans="1:2" x14ac:dyDescent="0.2">
      <c r="A88" t="s">
        <v>128</v>
      </c>
      <c r="B88">
        <f>INDEX('vehicles specifications'!$B$3:$CW$166,MATCH(B82,'vehicles specifications'!$A$3:$A$166,0),MATCH("Passengers [unit]",'vehicles specifications'!$B$2:$CW$2,0))</f>
        <v>1</v>
      </c>
    </row>
    <row r="89" spans="1:2" x14ac:dyDescent="0.2">
      <c r="A89" t="s">
        <v>129</v>
      </c>
      <c r="B89">
        <f>INDEX('vehicles specifications'!$B$3:$CW$166,MATCH(B82,'vehicles specifications'!$A$3:$A$166,0),MATCH("Servicing [unit]",'vehicles specifications'!$B$2:$CW$2,0))</f>
        <v>1</v>
      </c>
    </row>
    <row r="90" spans="1:2" x14ac:dyDescent="0.2">
      <c r="A90" t="s">
        <v>130</v>
      </c>
      <c r="B90">
        <f>INDEX('vehicles specifications'!$B$3:$CW$166,MATCH(B82,'vehicles specifications'!$A$3:$A$166,0),MATCH("Energy battery replacement [unit]",'vehicles specifications'!$B$2:$CW$2,0))</f>
        <v>0</v>
      </c>
    </row>
    <row r="91" spans="1:2" x14ac:dyDescent="0.2">
      <c r="A91" t="s">
        <v>131</v>
      </c>
      <c r="B91">
        <f>INDEX('vehicles specifications'!$B$3:$CW$166,MATCH(B82,'vehicles specifications'!$A$3:$A$166,0),MATCH("Annual kilometers [km]",'vehicles specifications'!$B$2:$CW$2,0))</f>
        <v>1570</v>
      </c>
    </row>
    <row r="92" spans="1:2" x14ac:dyDescent="0.2">
      <c r="A92" t="s">
        <v>132</v>
      </c>
      <c r="B92" s="2">
        <f>INDEX('vehicles specifications'!$B$3:$CW$166,MATCH(B82,'vehicles specifications'!$A$3:$A$166,0),MATCH("Curb mass [kg]",'vehicles specifications'!$B$2:$CW$2,0))</f>
        <v>91.037499999999994</v>
      </c>
    </row>
    <row r="93" spans="1:2" x14ac:dyDescent="0.2">
      <c r="A93" t="s">
        <v>133</v>
      </c>
      <c r="B93">
        <f>INDEX('vehicles specifications'!$B$3:$CW$166,MATCH(B82,'vehicles specifications'!$A$3:$A$166,0),MATCH("Power [kW]",'vehicles specifications'!$B$2:$CW$2,0))</f>
        <v>2.8</v>
      </c>
    </row>
    <row r="94" spans="1:2" x14ac:dyDescent="0.2">
      <c r="A94" t="s">
        <v>134</v>
      </c>
      <c r="B94" t="str">
        <f>INDEX('vehicles specifications'!$B$3:$CW$166,MATCH(B82,'vehicles specifications'!$A$3:$A$166,0),MATCH("Energy battery mass [kg]",'vehicles specifications'!$B$2:$CW$2,0))</f>
        <v/>
      </c>
    </row>
    <row r="95" spans="1:2" x14ac:dyDescent="0.2">
      <c r="A95" t="s">
        <v>135</v>
      </c>
      <c r="B95">
        <f>INDEX('vehicles specifications'!$B$3:$CW$166,MATCH(B82,'vehicles specifications'!$A$3:$A$166,0),MATCH("Electric energy available [kWh]",'vehicles specifications'!$B$2:$CW$2,0))</f>
        <v>0</v>
      </c>
    </row>
    <row r="96" spans="1:2" x14ac:dyDescent="0.2">
      <c r="A96" t="s">
        <v>138</v>
      </c>
      <c r="B96" s="2">
        <f>INDEX('vehicles specifications'!$B$3:$CW$166,MATCH(B82,'vehicles specifications'!$A$3:$A$166,0),MATCH("Oxydation energy stored [kWh]",'vehicles specifications'!$B$2:$CW$2,0))</f>
        <v>62.125</v>
      </c>
    </row>
    <row r="97" spans="1:8" x14ac:dyDescent="0.2">
      <c r="A97" t="s">
        <v>139</v>
      </c>
      <c r="B97">
        <f>INDEX('vehicles specifications'!$B$3:$CW$166,MATCH(B82,'vehicles specifications'!$A$3:$A$166,0),MATCH("Fuel mass [kg]",'vehicles specifications'!$B$2:$CW$2,0))</f>
        <v>5.25</v>
      </c>
    </row>
    <row r="98" spans="1:8" x14ac:dyDescent="0.2">
      <c r="A98" t="s">
        <v>136</v>
      </c>
      <c r="B98" s="2">
        <f>INDEX('vehicles specifications'!$B$3:$CW$166,MATCH(B82,'vehicles specifications'!$A$3:$A$166,0),MATCH("Range [km]",'vehicles specifications'!$B$2:$CW$2,0))</f>
        <v>173.57011121411836</v>
      </c>
    </row>
    <row r="99" spans="1:8" x14ac:dyDescent="0.2">
      <c r="A99" t="s">
        <v>137</v>
      </c>
      <c r="B99" t="str">
        <f>INDEX('vehicles specifications'!$B$3:$CW$166,MATCH(B82,'vehicles specifications'!$A$3:$A$166,0),MATCH("Emission standard",'vehicles specifications'!$B$2:$CW$2,0))</f>
        <v>EURO-5</v>
      </c>
    </row>
    <row r="100" spans="1:8" x14ac:dyDescent="0.2">
      <c r="A100" t="s">
        <v>1174</v>
      </c>
      <c r="B100" s="6">
        <f>INDEX('vehicles specifications'!$B$3:$CW$166,MATCH(B82,'vehicles specifications'!$A$3:$A$166,0),MATCH("Lightweighting rate [%]",'vehicles specifications'!$B$2:$CW$2,0))</f>
        <v>0</v>
      </c>
    </row>
    <row r="101" spans="1:8" x14ac:dyDescent="0.2">
      <c r="A101" t="s">
        <v>485</v>
      </c>
      <c r="B101" s="6" t="s">
        <v>486</v>
      </c>
    </row>
    <row r="102" spans="1:8" x14ac:dyDescent="0.2">
      <c r="A102" t="s">
        <v>487</v>
      </c>
      <c r="B102" s="2">
        <v>15900</v>
      </c>
    </row>
    <row r="103" spans="1:8" x14ac:dyDescent="0.2">
      <c r="A103" t="s">
        <v>488</v>
      </c>
      <c r="B103" s="2">
        <v>1000</v>
      </c>
    </row>
    <row r="104" spans="1:8" x14ac:dyDescent="0.2">
      <c r="A104" t="s">
        <v>83</v>
      </c>
      <c r="B104"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tr">
        <f>B77</f>
        <v>Scooter, gasoline, &lt;4kW, EURO-5, 2020</v>
      </c>
      <c r="B107">
        <v>1</v>
      </c>
      <c r="C107" t="str">
        <f>B78</f>
        <v>CH</v>
      </c>
      <c r="D107" t="str">
        <f>B85</f>
        <v>unit</v>
      </c>
      <c r="F107" t="s">
        <v>84</v>
      </c>
      <c r="G107" t="s">
        <v>85</v>
      </c>
      <c r="H107" t="str">
        <f>B79</f>
        <v>Scooter, gasoline, &lt;4kW, EURO-5</v>
      </c>
    </row>
    <row r="108" spans="1:8" x14ac:dyDescent="0.2">
      <c r="A108" t="str">
        <f>INDEX('ei names mapping'!$B$4:$R$33,MATCH(B79,'ei names mapping'!$A$4:$A$33,0),MATCH(G108,'ei names mapping'!$B$3:$R$3,0))</f>
        <v>motor scooter production</v>
      </c>
      <c r="B108" s="11">
        <f>INDEX('vehicles specifications'!$B$3:$CW$166,MATCH(B82,'vehicles specifications'!$A$3:$A$166,0),MATCH(G108,'vehicles specifications'!$B$2:$CW$2,0))*INDEX('ei names mapping'!$B$137:$BL$300,MATCH(B82,'ei names mapping'!$A$137:$A$300,0),MATCH(G108,'ei names mapping'!$B$136:$BL$136,0))</f>
        <v>0.58888888888888891</v>
      </c>
      <c r="C108" t="str">
        <f>INDEX('ei names mapping'!$B$38:$R$67,MATCH(B79,'ei names mapping'!$A$4:$A$33,0),MATCH(G108,'ei names mapping'!$B$3:$R$3,0))</f>
        <v>RER</v>
      </c>
      <c r="D108" t="str">
        <f>INDEX('ei names mapping'!$B$104:$R$133,MATCH($B$3,'ei names mapping'!$A$4:$A$33,0),MATCH(G108,'ei names mapping'!$B$3:$R$3,0))</f>
        <v>unit</v>
      </c>
      <c r="F108" t="s">
        <v>89</v>
      </c>
      <c r="G108" t="s">
        <v>15</v>
      </c>
      <c r="H108" t="str">
        <f>INDEX('ei names mapping'!$B$71:$R$100,MATCH(B79,'ei names mapping'!$A$4:$A$33,0),MATCH(G108,'ei names mapping'!$B$3:$R$3,0))</f>
        <v>motor scooter, 50 cubic cm engine</v>
      </c>
    </row>
    <row r="109" spans="1:8" x14ac:dyDescent="0.2">
      <c r="A109" t="str">
        <f>INDEX('ei names mapping'!$B$4:$R$33,MATCH(B79,'ei names mapping'!$A$4:$A$33,0),MATCH(G109,'ei names mapping'!$B$3:$R$3,0))</f>
        <v>motor scooter production</v>
      </c>
      <c r="B109" s="11">
        <f>INDEX('vehicles specifications'!$B$3:$CW$166,MATCH(B82,'vehicles specifications'!$A$3:$A$166,0),MATCH(G109,'vehicles specifications'!$B$2:$CW$2,0))*INDEX('ei names mapping'!$B$137:$BL$300,MATCH(B82,'ei names mapping'!$A$137:$A$300,0),MATCH(G109,'ei names mapping'!$B$136:$BL$136,0))</f>
        <v>0.35555555555555557</v>
      </c>
      <c r="C109" t="str">
        <f>INDEX('ei names mapping'!$B$38:$R$67,MATCH(B79,'ei names mapping'!$A$4:$A$33,0),MATCH(G109,'ei names mapping'!$B$3:$R$3,0))</f>
        <v>RER</v>
      </c>
      <c r="D109" t="str">
        <f>INDEX('ei names mapping'!$B$104:$R$133,MATCH($B$3,'ei names mapping'!$A$4:$A$33,0),MATCH(G109,'ei names mapping'!$B$3:$R$3,0))</f>
        <v>unit</v>
      </c>
      <c r="F109" t="s">
        <v>89</v>
      </c>
      <c r="G109" t="s">
        <v>16</v>
      </c>
      <c r="H109" t="str">
        <f>INDEX('ei names mapping'!$B$71:$R$100,MATCH(B79,'ei names mapping'!$A$4:$A$33,0),MATCH(G109,'ei names mapping'!$B$3:$R$3,0))</f>
        <v>motor scooter, 50 cubic cm engine</v>
      </c>
    </row>
    <row r="110" spans="1:8" x14ac:dyDescent="0.2">
      <c r="A110" t="str">
        <f>INDEX('ei names mapping'!$B$4:$R$33,MATCH(B79,'ei names mapping'!$A$4:$A$33,0),MATCH(G110,'ei names mapping'!$B$3:$R$3,0))</f>
        <v>polyethylene production, high density, granulate</v>
      </c>
      <c r="B110" s="11">
        <f>INDEX('vehicles specifications'!$B$3:$CW$166,MATCH(B82,'vehicles specifications'!$A$3:$A$166,0),MATCH(G110,'vehicles specifications'!$B$2:$CW$2,0))*INDEX('ei names mapping'!$B$137:$BL$300,MATCH(B82,'ei names mapping'!$A$137:$A$300,0),MATCH(G110,'ei names mapping'!$B$136:$BL$136,0))</f>
        <v>0.78749999999999998</v>
      </c>
      <c r="C110" t="str">
        <f>INDEX('ei names mapping'!$B$38:$R$67,MATCH(B79,'ei names mapping'!$A$4:$A$33,0),MATCH(G110,'ei names mapping'!$B$3:$R$3,0))</f>
        <v>RER</v>
      </c>
      <c r="D110" t="str">
        <f>INDEX('ei names mapping'!$B$104:$R$133,MATCH($B$3,'ei names mapping'!$A$4:$A$33,0),MATCH(G110,'ei names mapping'!$B$3:$R$3,0))</f>
        <v>kilogram</v>
      </c>
      <c r="F110" t="s">
        <v>89</v>
      </c>
      <c r="G110" t="s">
        <v>24</v>
      </c>
      <c r="H110" t="str">
        <f>INDEX('ei names mapping'!$B$71:$R$100,MATCH(B79,'ei names mapping'!$A$4:$A$33,0),MATCH(G110,'ei names mapping'!$B$3:$R$3,0))</f>
        <v>polyethylene, high density, granulate</v>
      </c>
    </row>
    <row r="111" spans="1:8" x14ac:dyDescent="0.2">
      <c r="A111" t="s">
        <v>282</v>
      </c>
      <c r="B111" s="11">
        <f>B110/0.994</f>
        <v>0.79225352112676051</v>
      </c>
      <c r="C111" t="s">
        <v>92</v>
      </c>
      <c r="D111" t="s">
        <v>77</v>
      </c>
      <c r="F111" t="s">
        <v>89</v>
      </c>
      <c r="G111" t="s">
        <v>647</v>
      </c>
      <c r="H111" t="s">
        <v>282</v>
      </c>
    </row>
    <row r="112" spans="1:8" x14ac:dyDescent="0.2">
      <c r="A112" s="13" t="s">
        <v>840</v>
      </c>
      <c r="B112">
        <f>(B92/1000)*B103</f>
        <v>91.037499999999994</v>
      </c>
      <c r="C112" t="s">
        <v>92</v>
      </c>
      <c r="D112" t="s">
        <v>233</v>
      </c>
      <c r="F112" t="s">
        <v>89</v>
      </c>
      <c r="H112" s="13" t="s">
        <v>841</v>
      </c>
    </row>
    <row r="113" spans="1:8" x14ac:dyDescent="0.2">
      <c r="A113" s="13" t="s">
        <v>441</v>
      </c>
      <c r="B113" s="2">
        <f>(B92/1000)*B102</f>
        <v>1447.4962499999999</v>
      </c>
      <c r="C113" t="s">
        <v>95</v>
      </c>
      <c r="D113" t="s">
        <v>233</v>
      </c>
      <c r="F113" t="s">
        <v>89</v>
      </c>
      <c r="H113" s="13" t="s">
        <v>441</v>
      </c>
    </row>
    <row r="115" spans="1:8" ht="16" x14ac:dyDescent="0.2">
      <c r="A115" s="10" t="s">
        <v>71</v>
      </c>
      <c r="B115" s="8" t="str">
        <f>B117&amp;", "&amp;B119</f>
        <v>Scooter, gasoline, &lt;4kW, EURO-5, 2030</v>
      </c>
    </row>
    <row r="116" spans="1:8" x14ac:dyDescent="0.2">
      <c r="A116" t="s">
        <v>72</v>
      </c>
      <c r="B116" t="s">
        <v>37</v>
      </c>
    </row>
    <row r="117" spans="1:8" x14ac:dyDescent="0.2">
      <c r="A117" t="s">
        <v>86</v>
      </c>
      <c r="B117" t="s">
        <v>611</v>
      </c>
    </row>
    <row r="118" spans="1:8" x14ac:dyDescent="0.2">
      <c r="A118" t="s">
        <v>87</v>
      </c>
    </row>
    <row r="119" spans="1:8" x14ac:dyDescent="0.2">
      <c r="A119" t="s">
        <v>88</v>
      </c>
      <c r="B119">
        <v>2030</v>
      </c>
    </row>
    <row r="120" spans="1:8" x14ac:dyDescent="0.2">
      <c r="A120" t="s">
        <v>126</v>
      </c>
      <c r="B120" t="str">
        <f>B117&amp;" - "&amp;B119&amp;" - "&amp;B116</f>
        <v>Scooter, gasoline, &lt;4kW, EURO-5 - 2030 - CH</v>
      </c>
    </row>
    <row r="121" spans="1:8" x14ac:dyDescent="0.2">
      <c r="A121" t="s">
        <v>73</v>
      </c>
      <c r="B121" t="str">
        <f>B117</f>
        <v>Scooter, gasoline, &lt;4kW, EURO-5</v>
      </c>
    </row>
    <row r="122" spans="1:8" x14ac:dyDescent="0.2">
      <c r="A122" t="s">
        <v>74</v>
      </c>
      <c r="B122" t="s">
        <v>75</v>
      </c>
    </row>
    <row r="123" spans="1:8" x14ac:dyDescent="0.2">
      <c r="A123" t="s">
        <v>76</v>
      </c>
      <c r="B123" t="s">
        <v>76</v>
      </c>
    </row>
    <row r="124" spans="1:8" x14ac:dyDescent="0.2">
      <c r="A124" t="s">
        <v>78</v>
      </c>
      <c r="B124" t="s">
        <v>1143</v>
      </c>
    </row>
    <row r="125" spans="1:8" x14ac:dyDescent="0.2">
      <c r="A125" t="s">
        <v>127</v>
      </c>
      <c r="B125">
        <f>INDEX('vehicles specifications'!$B$3:$CW$166,MATCH(B120,'vehicles specifications'!$A$3:$A$166,0),MATCH("Lifetime [km]",'vehicles specifications'!$B$2:$CW$2,0))</f>
        <v>25000</v>
      </c>
    </row>
    <row r="126" spans="1:8" x14ac:dyDescent="0.2">
      <c r="A126" t="s">
        <v>128</v>
      </c>
      <c r="B126">
        <f>INDEX('vehicles specifications'!$B$3:$CW$166,MATCH(B120,'vehicles specifications'!$A$3:$A$166,0),MATCH("Passengers [unit]",'vehicles specifications'!$B$2:$CW$2,0))</f>
        <v>1</v>
      </c>
    </row>
    <row r="127" spans="1:8" x14ac:dyDescent="0.2">
      <c r="A127" t="s">
        <v>129</v>
      </c>
      <c r="B127">
        <f>INDEX('vehicles specifications'!$B$3:$CW$166,MATCH(B120,'vehicles specifications'!$A$3:$A$166,0),MATCH("Servicing [unit]",'vehicles specifications'!$B$2:$CW$2,0))</f>
        <v>1</v>
      </c>
    </row>
    <row r="128" spans="1:8" x14ac:dyDescent="0.2">
      <c r="A128" t="s">
        <v>130</v>
      </c>
      <c r="B128">
        <f>INDEX('vehicles specifications'!$B$3:$CW$166,MATCH(B120,'vehicles specifications'!$A$3:$A$166,0),MATCH("Energy battery replacement [unit]",'vehicles specifications'!$B$2:$CW$2,0))</f>
        <v>0</v>
      </c>
    </row>
    <row r="129" spans="1:8" x14ac:dyDescent="0.2">
      <c r="A129" t="s">
        <v>131</v>
      </c>
      <c r="B129">
        <f>INDEX('vehicles specifications'!$B$3:$CW$166,MATCH(B120,'vehicles specifications'!$A$3:$A$166,0),MATCH("Annual kilometers [km]",'vehicles specifications'!$B$2:$CW$2,0))</f>
        <v>1570</v>
      </c>
    </row>
    <row r="130" spans="1:8" x14ac:dyDescent="0.2">
      <c r="A130" t="s">
        <v>132</v>
      </c>
      <c r="B130" s="2">
        <f>INDEX('vehicles specifications'!$B$3:$CW$166,MATCH(B120,'vehicles specifications'!$A$3:$A$166,0),MATCH("Curb mass [kg]",'vehicles specifications'!$B$2:$CW$2,0))</f>
        <v>88.447499999999991</v>
      </c>
    </row>
    <row r="131" spans="1:8" x14ac:dyDescent="0.2">
      <c r="A131" t="s">
        <v>133</v>
      </c>
      <c r="B131">
        <f>INDEX('vehicles specifications'!$B$3:$CW$166,MATCH(B120,'vehicles specifications'!$A$3:$A$166,0),MATCH("Power [kW]",'vehicles specifications'!$B$2:$CW$2,0))</f>
        <v>2.8</v>
      </c>
    </row>
    <row r="132" spans="1:8" x14ac:dyDescent="0.2">
      <c r="A132" t="s">
        <v>134</v>
      </c>
      <c r="B132" t="str">
        <f>INDEX('vehicles specifications'!$B$3:$CW$166,MATCH(B120,'vehicles specifications'!$A$3:$A$166,0),MATCH("Energy battery mass [kg]",'vehicles specifications'!$B$2:$CW$2,0))</f>
        <v/>
      </c>
    </row>
    <row r="133" spans="1:8" x14ac:dyDescent="0.2">
      <c r="A133" t="s">
        <v>135</v>
      </c>
      <c r="B133">
        <f>INDEX('vehicles specifications'!$B$3:$CW$166,MATCH(B120,'vehicles specifications'!$A$3:$A$166,0),MATCH("Electric energy available [kWh]",'vehicles specifications'!$B$2:$CW$2,0))</f>
        <v>0</v>
      </c>
    </row>
    <row r="134" spans="1:8" x14ac:dyDescent="0.2">
      <c r="A134" t="s">
        <v>138</v>
      </c>
      <c r="B134" s="2">
        <f>INDEX('vehicles specifications'!$B$3:$CW$166,MATCH(B120,'vehicles specifications'!$A$3:$A$166,0),MATCH("Oxydation energy stored [kWh]",'vehicles specifications'!$B$2:$CW$2,0))</f>
        <v>62.125</v>
      </c>
    </row>
    <row r="135" spans="1:8" x14ac:dyDescent="0.2">
      <c r="A135" t="s">
        <v>139</v>
      </c>
      <c r="B135">
        <f>INDEX('vehicles specifications'!$B$3:$CW$166,MATCH(B120,'vehicles specifications'!$A$3:$A$166,0),MATCH("Fuel mass [kg]",'vehicles specifications'!$B$2:$CW$2,0))</f>
        <v>5.25</v>
      </c>
    </row>
    <row r="136" spans="1:8" x14ac:dyDescent="0.2">
      <c r="A136" t="s">
        <v>136</v>
      </c>
      <c r="B136" s="2">
        <f>INDEX('vehicles specifications'!$B$3:$CW$166,MATCH(B120,'vehicles specifications'!$A$3:$A$166,0),MATCH("Range [km]",'vehicles specifications'!$B$2:$CW$2,0))</f>
        <v>175.32334466072561</v>
      </c>
    </row>
    <row r="137" spans="1:8" x14ac:dyDescent="0.2">
      <c r="A137" t="s">
        <v>137</v>
      </c>
      <c r="B137" t="str">
        <f>INDEX('vehicles specifications'!$B$3:$CW$166,MATCH(B120,'vehicles specifications'!$A$3:$A$166,0),MATCH("Emission standard",'vehicles specifications'!$B$2:$CW$2,0))</f>
        <v>EURO-5</v>
      </c>
    </row>
    <row r="138" spans="1:8" x14ac:dyDescent="0.2">
      <c r="A138" t="s">
        <v>1174</v>
      </c>
      <c r="B138" s="6">
        <f>INDEX('vehicles specifications'!$B$3:$CW$166,MATCH(B120,'vehicles specifications'!$A$3:$A$166,0),MATCH("Lightweighting rate [%]",'vehicles specifications'!$B$2:$CW$2,0))</f>
        <v>0.03</v>
      </c>
    </row>
    <row r="139" spans="1:8" x14ac:dyDescent="0.2">
      <c r="A139" t="s">
        <v>485</v>
      </c>
      <c r="B139" s="6" t="s">
        <v>486</v>
      </c>
    </row>
    <row r="140" spans="1:8" x14ac:dyDescent="0.2">
      <c r="A140" t="s">
        <v>487</v>
      </c>
      <c r="B140" s="2">
        <v>15900</v>
      </c>
    </row>
    <row r="141" spans="1:8" x14ac:dyDescent="0.2">
      <c r="A141" t="s">
        <v>488</v>
      </c>
      <c r="B141" s="2">
        <v>1000</v>
      </c>
    </row>
    <row r="142" spans="1:8" x14ac:dyDescent="0.2">
      <c r="A142" t="s">
        <v>83</v>
      </c>
      <c r="B142"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2.8 kW. Lifetime: 25000 km. Annual kilometers: 1570 km. Number of passengers: 1. Curb mass: 88.4 kg. Lightweighting of glider: 3%. Emission standard: EURO-5. Service visits throughout lifetime: 1. Range: 175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6" x14ac:dyDescent="0.2">
      <c r="A143" s="10" t="s">
        <v>79</v>
      </c>
    </row>
    <row r="144" spans="1:8" x14ac:dyDescent="0.2">
      <c r="A144" t="s">
        <v>80</v>
      </c>
      <c r="B144" t="s">
        <v>81</v>
      </c>
      <c r="C144" t="s">
        <v>72</v>
      </c>
      <c r="D144" t="s">
        <v>76</v>
      </c>
      <c r="E144" t="s">
        <v>82</v>
      </c>
      <c r="F144" t="s">
        <v>74</v>
      </c>
      <c r="G144" t="s">
        <v>83</v>
      </c>
      <c r="H144" t="s">
        <v>73</v>
      </c>
    </row>
    <row r="145" spans="1:8" x14ac:dyDescent="0.2">
      <c r="A145" t="str">
        <f>B115</f>
        <v>Scooter, gasoline, &lt;4kW, EURO-5, 2030</v>
      </c>
      <c r="B145">
        <v>1</v>
      </c>
      <c r="C145" t="str">
        <f>B116</f>
        <v>CH</v>
      </c>
      <c r="D145" t="str">
        <f>B123</f>
        <v>unit</v>
      </c>
      <c r="F145" t="s">
        <v>84</v>
      </c>
      <c r="G145" t="s">
        <v>85</v>
      </c>
      <c r="H145" t="str">
        <f>B117</f>
        <v>Scooter, gasoline, &lt;4kW, EURO-5</v>
      </c>
    </row>
    <row r="146" spans="1:8" x14ac:dyDescent="0.2">
      <c r="A146" t="str">
        <f>INDEX('ei names mapping'!$B$4:$R$33,MATCH(B117,'ei names mapping'!$A$4:$A$33,0),MATCH(G146,'ei names mapping'!$B$3:$R$3,0))</f>
        <v>motor scooter production</v>
      </c>
      <c r="B146" s="11">
        <f>INDEX('vehicles specifications'!$B$3:$CW$166,MATCH(B120,'vehicles specifications'!$A$3:$A$166,0),MATCH(G146,'vehicles specifications'!$B$2:$CW$2,0))*INDEX('ei names mapping'!$B$137:$BL$300,MATCH(B120,'ei names mapping'!$A$137:$A$300,0),MATCH(G146,'ei names mapping'!$B$136:$BL$136,0))</f>
        <v>0.58888888888888891</v>
      </c>
      <c r="C146" t="str">
        <f>INDEX('ei names mapping'!$B$38:$R$67,MATCH(B117,'ei names mapping'!$A$4:$A$33,0),MATCH(G146,'ei names mapping'!$B$3:$R$3,0))</f>
        <v>RER</v>
      </c>
      <c r="D146" t="str">
        <f>INDEX('ei names mapping'!$B$104:$R$133,MATCH($B$3,'ei names mapping'!$A$4:$A$33,0),MATCH(G146,'ei names mapping'!$B$3:$R$3,0))</f>
        <v>unit</v>
      </c>
      <c r="F146" t="s">
        <v>89</v>
      </c>
      <c r="G146" t="s">
        <v>15</v>
      </c>
      <c r="H146" t="str">
        <f>INDEX('ei names mapping'!$B$71:$R$100,MATCH(B117,'ei names mapping'!$A$4:$A$33,0),MATCH(G146,'ei names mapping'!$B$3:$R$3,0))</f>
        <v>motor scooter, 50 cubic cm engine</v>
      </c>
    </row>
    <row r="147" spans="1:8" x14ac:dyDescent="0.2">
      <c r="A147" t="str">
        <f>INDEX('ei names mapping'!$B$4:$R$33,MATCH(B117,'ei names mapping'!$A$4:$A$33,0),MATCH(G147,'ei names mapping'!$B$3:$R$3,0))</f>
        <v>motor scooter production</v>
      </c>
      <c r="B147" s="11">
        <f>INDEX('vehicles specifications'!$B$3:$CW$166,MATCH(B120,'vehicles specifications'!$A$3:$A$166,0),MATCH(G147,'vehicles specifications'!$B$2:$CW$2,0))*INDEX('ei names mapping'!$B$137:$BL$300,MATCH(B120,'ei names mapping'!$A$137:$A$300,0),MATCH(G147,'ei names mapping'!$B$136:$BL$136,0))</f>
        <v>0.34444444444444444</v>
      </c>
      <c r="C147" t="str">
        <f>INDEX('ei names mapping'!$B$38:$R$67,MATCH(B117,'ei names mapping'!$A$4:$A$33,0),MATCH(G147,'ei names mapping'!$B$3:$R$3,0))</f>
        <v>RER</v>
      </c>
      <c r="D147" t="str">
        <f>INDEX('ei names mapping'!$B$104:$R$133,MATCH($B$3,'ei names mapping'!$A$4:$A$33,0),MATCH(G147,'ei names mapping'!$B$3:$R$3,0))</f>
        <v>unit</v>
      </c>
      <c r="F147" t="s">
        <v>89</v>
      </c>
      <c r="G147" t="s">
        <v>16</v>
      </c>
      <c r="H147" t="str">
        <f>INDEX('ei names mapping'!$B$71:$R$100,MATCH(B117,'ei names mapping'!$A$4:$A$33,0),MATCH(G147,'ei names mapping'!$B$3:$R$3,0))</f>
        <v>motor scooter, 50 cubic cm engine</v>
      </c>
    </row>
    <row r="148" spans="1:8" x14ac:dyDescent="0.2">
      <c r="A148" t="str">
        <f>INDEX('ei names mapping'!$B$4:$R$33,MATCH(B117,'ei names mapping'!$A$4:$A$33,0),MATCH(G148,'ei names mapping'!$B$3:$R$3,0))</f>
        <v>Glider lightweighting</v>
      </c>
      <c r="B148" s="11">
        <f>INDEX('vehicles specifications'!$B$3:$CW$166,MATCH(B120,'vehicles specifications'!$A$3:$A$166,0),MATCH(G148,'vehicles specifications'!$B$2:$CW$2,0))*INDEX('ei names mapping'!$B$137:$BL$300,MATCH(B120,'ei names mapping'!$A$137:$A$300,0),MATCH(G148,'ei names mapping'!$B$136:$BL$136,0))</f>
        <v>1.5899999999999999</v>
      </c>
      <c r="C148" t="str">
        <f>INDEX('ei names mapping'!$B$38:$R$67,MATCH(B117,'ei names mapping'!$A$4:$A$33,0),MATCH(G148,'ei names mapping'!$B$3:$R$3,0))</f>
        <v>GLO</v>
      </c>
      <c r="D148" t="str">
        <f>INDEX('ei names mapping'!$B$104:$R$133,MATCH(B117,'ei names mapping'!$A$4:$A$33,0),MATCH(G148,'ei names mapping'!$B$3:$R$3,0))</f>
        <v>kilogram</v>
      </c>
      <c r="F148" t="s">
        <v>89</v>
      </c>
      <c r="G148" t="s">
        <v>14</v>
      </c>
      <c r="H148" t="str">
        <f>INDEX('ei names mapping'!$B$71:$R$100,MATCH(B117,'ei names mapping'!$A$4:$A$33,0),MATCH(G148,'ei names mapping'!$B$3:$R$3,0))</f>
        <v>Glider lightweighting</v>
      </c>
    </row>
    <row r="149" spans="1:8" x14ac:dyDescent="0.2">
      <c r="A149" t="str">
        <f>INDEX('ei names mapping'!$B$4:$R$33,MATCH(B117,'ei names mapping'!$A$4:$A$33,0),MATCH(G149,'ei names mapping'!$B$3:$R$3,0))</f>
        <v>polyethylene production, high density, granulate</v>
      </c>
      <c r="B149" s="11">
        <f>INDEX('vehicles specifications'!$B$3:$CW$166,MATCH(B120,'vehicles specifications'!$A$3:$A$166,0),MATCH(G149,'vehicles specifications'!$B$2:$CW$2,0))*INDEX('ei names mapping'!$B$137:$BL$300,MATCH(B120,'ei names mapping'!$A$137:$A$300,0),MATCH(G149,'ei names mapping'!$B$136:$BL$136,0))</f>
        <v>0.78749999999999998</v>
      </c>
      <c r="C149" t="str">
        <f>INDEX('ei names mapping'!$B$38:$R$67,MATCH(B117,'ei names mapping'!$A$4:$A$33,0),MATCH(G149,'ei names mapping'!$B$3:$R$3,0))</f>
        <v>RER</v>
      </c>
      <c r="D149" t="str">
        <f>INDEX('ei names mapping'!$B$104:$R$133,MATCH($B$3,'ei names mapping'!$A$4:$A$33,0),MATCH(G149,'ei names mapping'!$B$3:$R$3,0))</f>
        <v>kilogram</v>
      </c>
      <c r="F149" t="s">
        <v>89</v>
      </c>
      <c r="G149" t="s">
        <v>24</v>
      </c>
      <c r="H149" t="str">
        <f>INDEX('ei names mapping'!$B$71:$R$100,MATCH(B117,'ei names mapping'!$A$4:$A$33,0),MATCH(G149,'ei names mapping'!$B$3:$R$3,0))</f>
        <v>polyethylene, high density, granulate</v>
      </c>
    </row>
    <row r="150" spans="1:8" x14ac:dyDescent="0.2">
      <c r="A150" t="s">
        <v>282</v>
      </c>
      <c r="B150" s="11">
        <f>B149/0.994</f>
        <v>0.79225352112676051</v>
      </c>
      <c r="C150" t="s">
        <v>92</v>
      </c>
      <c r="D150" t="s">
        <v>77</v>
      </c>
      <c r="F150" t="s">
        <v>89</v>
      </c>
      <c r="G150" t="s">
        <v>647</v>
      </c>
      <c r="H150" t="s">
        <v>282</v>
      </c>
    </row>
    <row r="151" spans="1:8" x14ac:dyDescent="0.2">
      <c r="A151" s="13" t="s">
        <v>840</v>
      </c>
      <c r="B151">
        <f>(B130/1000)*B141</f>
        <v>88.447499999999991</v>
      </c>
      <c r="C151" t="s">
        <v>92</v>
      </c>
      <c r="D151" t="s">
        <v>233</v>
      </c>
      <c r="F151" t="s">
        <v>89</v>
      </c>
      <c r="H151" s="13" t="s">
        <v>841</v>
      </c>
    </row>
    <row r="152" spans="1:8" x14ac:dyDescent="0.2">
      <c r="A152" s="13" t="s">
        <v>441</v>
      </c>
      <c r="B152" s="2">
        <f>(B130/1000)*B140</f>
        <v>1406.3152499999997</v>
      </c>
      <c r="C152" t="s">
        <v>95</v>
      </c>
      <c r="D152" t="s">
        <v>233</v>
      </c>
      <c r="F152" t="s">
        <v>89</v>
      </c>
      <c r="H152" s="13" t="s">
        <v>441</v>
      </c>
    </row>
    <row r="154" spans="1:8" ht="16" x14ac:dyDescent="0.2">
      <c r="A154" s="10" t="s">
        <v>71</v>
      </c>
      <c r="B154" s="8" t="str">
        <f>B156&amp;", "&amp;B158</f>
        <v>Scooter, gasoline, &lt;4kW, EURO-5, 2040</v>
      </c>
    </row>
    <row r="155" spans="1:8" x14ac:dyDescent="0.2">
      <c r="A155" t="s">
        <v>72</v>
      </c>
      <c r="B155" t="s">
        <v>37</v>
      </c>
    </row>
    <row r="156" spans="1:8" x14ac:dyDescent="0.2">
      <c r="A156" t="s">
        <v>86</v>
      </c>
      <c r="B156" t="s">
        <v>611</v>
      </c>
    </row>
    <row r="157" spans="1:8" x14ac:dyDescent="0.2">
      <c r="A157" t="s">
        <v>87</v>
      </c>
    </row>
    <row r="158" spans="1:8" x14ac:dyDescent="0.2">
      <c r="A158" t="s">
        <v>88</v>
      </c>
      <c r="B158">
        <v>2040</v>
      </c>
    </row>
    <row r="159" spans="1:8" x14ac:dyDescent="0.2">
      <c r="A159" t="s">
        <v>126</v>
      </c>
      <c r="B159" t="str">
        <f>B156&amp;" - "&amp;B158&amp;" - "&amp;B155</f>
        <v>Scooter, gasoline, &lt;4kW, EURO-5 - 2040 - CH</v>
      </c>
    </row>
    <row r="160" spans="1:8" x14ac:dyDescent="0.2">
      <c r="A160" t="s">
        <v>73</v>
      </c>
      <c r="B160" t="str">
        <f>B156</f>
        <v>Scooter, gasoline, &lt;4kW, EURO-5</v>
      </c>
    </row>
    <row r="161" spans="1:2" x14ac:dyDescent="0.2">
      <c r="A161" t="s">
        <v>74</v>
      </c>
      <c r="B161" t="s">
        <v>75</v>
      </c>
    </row>
    <row r="162" spans="1:2" x14ac:dyDescent="0.2">
      <c r="A162" t="s">
        <v>76</v>
      </c>
      <c r="B162" t="s">
        <v>76</v>
      </c>
    </row>
    <row r="163" spans="1:2" x14ac:dyDescent="0.2">
      <c r="A163" t="s">
        <v>78</v>
      </c>
      <c r="B163" t="s">
        <v>1143</v>
      </c>
    </row>
    <row r="164" spans="1:2" x14ac:dyDescent="0.2">
      <c r="A164" t="s">
        <v>127</v>
      </c>
      <c r="B164">
        <f>INDEX('vehicles specifications'!$B$3:$CW$166,MATCH(B159,'vehicles specifications'!$A$3:$A$166,0),MATCH("Lifetime [km]",'vehicles specifications'!$B$2:$CW$2,0))</f>
        <v>25000</v>
      </c>
    </row>
    <row r="165" spans="1:2" x14ac:dyDescent="0.2">
      <c r="A165" t="s">
        <v>128</v>
      </c>
      <c r="B165">
        <f>INDEX('vehicles specifications'!$B$3:$CW$166,MATCH(B159,'vehicles specifications'!$A$3:$A$166,0),MATCH("Passengers [unit]",'vehicles specifications'!$B$2:$CW$2,0))</f>
        <v>1</v>
      </c>
    </row>
    <row r="166" spans="1:2" x14ac:dyDescent="0.2">
      <c r="A166" t="s">
        <v>129</v>
      </c>
      <c r="B166">
        <f>INDEX('vehicles specifications'!$B$3:$CW$166,MATCH(B159,'vehicles specifications'!$A$3:$A$166,0),MATCH("Servicing [unit]",'vehicles specifications'!$B$2:$CW$2,0))</f>
        <v>1</v>
      </c>
    </row>
    <row r="167" spans="1:2" x14ac:dyDescent="0.2">
      <c r="A167" t="s">
        <v>130</v>
      </c>
      <c r="B167">
        <f>INDEX('vehicles specifications'!$B$3:$CW$166,MATCH(B159,'vehicles specifications'!$A$3:$A$166,0),MATCH("Energy battery replacement [unit]",'vehicles specifications'!$B$2:$CW$2,0))</f>
        <v>0</v>
      </c>
    </row>
    <row r="168" spans="1:2" x14ac:dyDescent="0.2">
      <c r="A168" t="s">
        <v>131</v>
      </c>
      <c r="B168">
        <f>INDEX('vehicles specifications'!$B$3:$CW$166,MATCH(B159,'vehicles specifications'!$A$3:$A$166,0),MATCH("Annual kilometers [km]",'vehicles specifications'!$B$2:$CW$2,0))</f>
        <v>1570</v>
      </c>
    </row>
    <row r="169" spans="1:2" x14ac:dyDescent="0.2">
      <c r="A169" t="s">
        <v>132</v>
      </c>
      <c r="B169" s="2">
        <f>INDEX('vehicles specifications'!$B$3:$CW$166,MATCH(B159,'vehicles specifications'!$A$3:$A$166,0),MATCH("Curb mass [kg]",'vehicles specifications'!$B$2:$CW$2,0))</f>
        <v>86.487499999999983</v>
      </c>
    </row>
    <row r="170" spans="1:2" x14ac:dyDescent="0.2">
      <c r="A170" t="s">
        <v>133</v>
      </c>
      <c r="B170">
        <f>INDEX('vehicles specifications'!$B$3:$CW$166,MATCH(B159,'vehicles specifications'!$A$3:$A$166,0),MATCH("Power [kW]",'vehicles specifications'!$B$2:$CW$2,0))</f>
        <v>2.8</v>
      </c>
    </row>
    <row r="171" spans="1:2" x14ac:dyDescent="0.2">
      <c r="A171" t="s">
        <v>134</v>
      </c>
      <c r="B171" t="str">
        <f>INDEX('vehicles specifications'!$B$3:$CW$166,MATCH(B159,'vehicles specifications'!$A$3:$A$166,0),MATCH("Energy battery mass [kg]",'vehicles specifications'!$B$2:$CW$2,0))</f>
        <v/>
      </c>
    </row>
    <row r="172" spans="1:2" x14ac:dyDescent="0.2">
      <c r="A172" t="s">
        <v>135</v>
      </c>
      <c r="B172">
        <f>INDEX('vehicles specifications'!$B$3:$CW$166,MATCH(B159,'vehicles specifications'!$A$3:$A$166,0),MATCH("Electric energy available [kWh]",'vehicles specifications'!$B$2:$CW$2,0))</f>
        <v>0</v>
      </c>
    </row>
    <row r="173" spans="1:2" x14ac:dyDescent="0.2">
      <c r="A173" t="s">
        <v>138</v>
      </c>
      <c r="B173" s="2">
        <f>INDEX('vehicles specifications'!$B$3:$CW$166,MATCH(B159,'vehicles specifications'!$A$3:$A$166,0),MATCH("Oxydation energy stored [kWh]",'vehicles specifications'!$B$2:$CW$2,0))</f>
        <v>62.125</v>
      </c>
    </row>
    <row r="174" spans="1:2" x14ac:dyDescent="0.2">
      <c r="A174" t="s">
        <v>139</v>
      </c>
      <c r="B174">
        <f>INDEX('vehicles specifications'!$B$3:$CW$166,MATCH(B159,'vehicles specifications'!$A$3:$A$166,0),MATCH("Fuel mass [kg]",'vehicles specifications'!$B$2:$CW$2,0))</f>
        <v>5.25</v>
      </c>
    </row>
    <row r="175" spans="1:2" x14ac:dyDescent="0.2">
      <c r="A175" t="s">
        <v>136</v>
      </c>
      <c r="B175" s="2">
        <f>INDEX('vehicles specifications'!$B$3:$CW$166,MATCH(B159,'vehicles specifications'!$A$3:$A$166,0),MATCH("Range [km]",'vehicles specifications'!$B$2:$CW$2,0))</f>
        <v>177.09428753608648</v>
      </c>
    </row>
    <row r="176" spans="1:2" x14ac:dyDescent="0.2">
      <c r="A176" t="s">
        <v>137</v>
      </c>
      <c r="B176" t="str">
        <f>INDEX('vehicles specifications'!$B$3:$CW$166,MATCH(B159,'vehicles specifications'!$A$3:$A$166,0),MATCH("Emission standard",'vehicles specifications'!$B$2:$CW$2,0))</f>
        <v>EURO-5</v>
      </c>
    </row>
    <row r="177" spans="1:8" x14ac:dyDescent="0.2">
      <c r="A177" t="s">
        <v>1174</v>
      </c>
      <c r="B177" s="6">
        <f>INDEX('vehicles specifications'!$B$3:$CW$166,MATCH(B159,'vehicles specifications'!$A$3:$A$166,0),MATCH("Lightweighting rate [%]",'vehicles specifications'!$B$2:$CW$2,0))</f>
        <v>0.05</v>
      </c>
    </row>
    <row r="178" spans="1:8" x14ac:dyDescent="0.2">
      <c r="A178" t="s">
        <v>485</v>
      </c>
      <c r="B178" s="6" t="s">
        <v>486</v>
      </c>
    </row>
    <row r="179" spans="1:8" x14ac:dyDescent="0.2">
      <c r="A179" t="s">
        <v>487</v>
      </c>
      <c r="B179" s="2">
        <v>15900</v>
      </c>
    </row>
    <row r="180" spans="1:8" x14ac:dyDescent="0.2">
      <c r="A180" t="s">
        <v>488</v>
      </c>
      <c r="B180" s="2">
        <v>1000</v>
      </c>
    </row>
    <row r="181" spans="1:8" x14ac:dyDescent="0.2">
      <c r="A181" t="s">
        <v>83</v>
      </c>
      <c r="B18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2.8 kW. Lifetime: 25000 km. Annual kilometers: 1570 km. Number of passengers: 1. Curb mass: 86.5 kg. Lightweighting of glider: 5%. Emission standard: EURO-5. Service visits throughout lifetime: 1. Range: 177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6" x14ac:dyDescent="0.2">
      <c r="A182" s="10" t="s">
        <v>79</v>
      </c>
    </row>
    <row r="183" spans="1:8" x14ac:dyDescent="0.2">
      <c r="A183" t="s">
        <v>80</v>
      </c>
      <c r="B183" t="s">
        <v>81</v>
      </c>
      <c r="C183" t="s">
        <v>72</v>
      </c>
      <c r="D183" t="s">
        <v>76</v>
      </c>
      <c r="E183" t="s">
        <v>82</v>
      </c>
      <c r="F183" t="s">
        <v>74</v>
      </c>
      <c r="G183" t="s">
        <v>83</v>
      </c>
      <c r="H183" t="s">
        <v>73</v>
      </c>
    </row>
    <row r="184" spans="1:8" x14ac:dyDescent="0.2">
      <c r="A184" t="str">
        <f>B154</f>
        <v>Scooter, gasoline, &lt;4kW, EURO-5, 2040</v>
      </c>
      <c r="B184">
        <v>1</v>
      </c>
      <c r="C184" t="str">
        <f>B155</f>
        <v>CH</v>
      </c>
      <c r="D184" t="str">
        <f>B162</f>
        <v>unit</v>
      </c>
      <c r="F184" t="s">
        <v>84</v>
      </c>
      <c r="G184" t="s">
        <v>85</v>
      </c>
      <c r="H184" t="str">
        <f>B156</f>
        <v>Scooter, gasoline, &lt;4kW, EURO-5</v>
      </c>
    </row>
    <row r="185" spans="1:8" x14ac:dyDescent="0.2">
      <c r="A185" t="str">
        <f>INDEX('ei names mapping'!$B$4:$R$33,MATCH(B156,'ei names mapping'!$A$4:$A$33,0),MATCH(G185,'ei names mapping'!$B$3:$R$3,0))</f>
        <v>motor scooter production</v>
      </c>
      <c r="B185" s="11">
        <f>INDEX('vehicles specifications'!$B$3:$CW$166,MATCH(B159,'vehicles specifications'!$A$3:$A$166,0),MATCH(G185,'vehicles specifications'!$B$2:$CW$2,0))*INDEX('ei names mapping'!$B$137:$BL$300,MATCH(B159,'ei names mapping'!$A$137:$A$300,0),MATCH(G185,'ei names mapping'!$B$136:$BL$136,0))</f>
        <v>0.58888888888888891</v>
      </c>
      <c r="C185" t="str">
        <f>INDEX('ei names mapping'!$B$38:$R$67,MATCH(B156,'ei names mapping'!$A$4:$A$33,0),MATCH(G185,'ei names mapping'!$B$3:$R$3,0))</f>
        <v>RER</v>
      </c>
      <c r="D185" t="str">
        <f>INDEX('ei names mapping'!$B$104:$R$133,MATCH($B$3,'ei names mapping'!$A$4:$A$33,0),MATCH(G185,'ei names mapping'!$B$3:$R$3,0))</f>
        <v>unit</v>
      </c>
      <c r="F185" t="s">
        <v>89</v>
      </c>
      <c r="G185" t="s">
        <v>15</v>
      </c>
      <c r="H185" t="str">
        <f>INDEX('ei names mapping'!$B$71:$R$100,MATCH(B156,'ei names mapping'!$A$4:$A$33,0),MATCH(G185,'ei names mapping'!$B$3:$R$3,0))</f>
        <v>motor scooter, 50 cubic cm engine</v>
      </c>
    </row>
    <row r="186" spans="1:8" x14ac:dyDescent="0.2">
      <c r="A186" t="str">
        <f>INDEX('ei names mapping'!$B$4:$R$33,MATCH(B156,'ei names mapping'!$A$4:$A$33,0),MATCH(G186,'ei names mapping'!$B$3:$R$3,0))</f>
        <v>motor scooter production</v>
      </c>
      <c r="B186" s="11">
        <f>INDEX('vehicles specifications'!$B$3:$CW$166,MATCH(B159,'vehicles specifications'!$A$3:$A$166,0),MATCH(G186,'vehicles specifications'!$B$2:$CW$2,0))*INDEX('ei names mapping'!$B$137:$BL$300,MATCH(B159,'ei names mapping'!$A$137:$A$300,0),MATCH(G186,'ei names mapping'!$B$136:$BL$136,0))</f>
        <v>0.33444444444444449</v>
      </c>
      <c r="C186" t="str">
        <f>INDEX('ei names mapping'!$B$38:$R$67,MATCH(B156,'ei names mapping'!$A$4:$A$33,0),MATCH(G186,'ei names mapping'!$B$3:$R$3,0))</f>
        <v>RER</v>
      </c>
      <c r="D186" t="str">
        <f>INDEX('ei names mapping'!$B$104:$R$133,MATCH($B$3,'ei names mapping'!$A$4:$A$33,0),MATCH(G186,'ei names mapping'!$B$3:$R$3,0))</f>
        <v>unit</v>
      </c>
      <c r="F186" t="s">
        <v>89</v>
      </c>
      <c r="G186" t="s">
        <v>16</v>
      </c>
      <c r="H186" t="str">
        <f>INDEX('ei names mapping'!$B$71:$R$100,MATCH(B156,'ei names mapping'!$A$4:$A$33,0),MATCH(G186,'ei names mapping'!$B$3:$R$3,0))</f>
        <v>motor scooter, 50 cubic cm engine</v>
      </c>
    </row>
    <row r="187" spans="1:8" x14ac:dyDescent="0.2">
      <c r="A187" t="str">
        <f>INDEX('ei names mapping'!$B$4:$R$33,MATCH(B156,'ei names mapping'!$A$4:$A$33,0),MATCH(G187,'ei names mapping'!$B$3:$R$3,0))</f>
        <v>Glider lightweighting</v>
      </c>
      <c r="B187" s="11">
        <f>INDEX('vehicles specifications'!$B$3:$CW$166,MATCH(B159,'vehicles specifications'!$A$3:$A$166,0),MATCH(G187,'vehicles specifications'!$B$2:$CW$2,0))*INDEX('ei names mapping'!$B$137:$BL$300,MATCH(B159,'ei names mapping'!$A$137:$A$300,0),MATCH(G187,'ei names mapping'!$B$136:$BL$136,0))</f>
        <v>2.6500000000000004</v>
      </c>
      <c r="C187" t="str">
        <f>INDEX('ei names mapping'!$B$38:$R$67,MATCH(B156,'ei names mapping'!$A$4:$A$33,0),MATCH(G187,'ei names mapping'!$B$3:$R$3,0))</f>
        <v>GLO</v>
      </c>
      <c r="D187" t="str">
        <f>INDEX('ei names mapping'!$B$104:$R$133,MATCH(B156,'ei names mapping'!$A$4:$A$33,0),MATCH(G187,'ei names mapping'!$B$3:$R$3,0))</f>
        <v>kilogram</v>
      </c>
      <c r="F187" t="s">
        <v>89</v>
      </c>
      <c r="G187" t="s">
        <v>14</v>
      </c>
      <c r="H187" t="str">
        <f>INDEX('ei names mapping'!$B$71:$R$100,MATCH(B156,'ei names mapping'!$A$4:$A$33,0),MATCH(G187,'ei names mapping'!$B$3:$R$3,0))</f>
        <v>Glider lightweighting</v>
      </c>
    </row>
    <row r="188" spans="1:8" x14ac:dyDescent="0.2">
      <c r="A188" t="str">
        <f>INDEX('ei names mapping'!$B$4:$R$33,MATCH(B156,'ei names mapping'!$A$4:$A$33,0),MATCH(G188,'ei names mapping'!$B$3:$R$3,0))</f>
        <v>polyethylene production, high density, granulate</v>
      </c>
      <c r="B188" s="11">
        <f>INDEX('vehicles specifications'!$B$3:$CW$166,MATCH(B159,'vehicles specifications'!$A$3:$A$166,0),MATCH(G188,'vehicles specifications'!$B$2:$CW$2,0))*INDEX('ei names mapping'!$B$137:$BL$300,MATCH(B159,'ei names mapping'!$A$137:$A$300,0),MATCH(G188,'ei names mapping'!$B$136:$BL$136,0))</f>
        <v>0.78749999999999998</v>
      </c>
      <c r="C188" t="str">
        <f>INDEX('ei names mapping'!$B$38:$R$67,MATCH(B156,'ei names mapping'!$A$4:$A$33,0),MATCH(G188,'ei names mapping'!$B$3:$R$3,0))</f>
        <v>RER</v>
      </c>
      <c r="D188" t="str">
        <f>INDEX('ei names mapping'!$B$104:$R$133,MATCH($B$3,'ei names mapping'!$A$4:$A$33,0),MATCH(G188,'ei names mapping'!$B$3:$R$3,0))</f>
        <v>kilogram</v>
      </c>
      <c r="F188" t="s">
        <v>89</v>
      </c>
      <c r="G188" t="s">
        <v>24</v>
      </c>
      <c r="H188" t="str">
        <f>INDEX('ei names mapping'!$B$71:$R$100,MATCH(B156,'ei names mapping'!$A$4:$A$33,0),MATCH(G188,'ei names mapping'!$B$3:$R$3,0))</f>
        <v>polyethylene, high density, granulate</v>
      </c>
    </row>
    <row r="189" spans="1:8" x14ac:dyDescent="0.2">
      <c r="A189" t="s">
        <v>282</v>
      </c>
      <c r="B189" s="11">
        <f>B188/0.994</f>
        <v>0.79225352112676051</v>
      </c>
      <c r="C189" t="s">
        <v>92</v>
      </c>
      <c r="D189" t="s">
        <v>77</v>
      </c>
      <c r="F189" t="s">
        <v>89</v>
      </c>
      <c r="G189" t="s">
        <v>647</v>
      </c>
      <c r="H189" t="s">
        <v>282</v>
      </c>
    </row>
    <row r="190" spans="1:8" x14ac:dyDescent="0.2">
      <c r="A190" s="13" t="s">
        <v>840</v>
      </c>
      <c r="B190">
        <f>(B169/1000)*B180</f>
        <v>86.487499999999983</v>
      </c>
      <c r="C190" t="s">
        <v>92</v>
      </c>
      <c r="D190" t="s">
        <v>233</v>
      </c>
      <c r="F190" t="s">
        <v>89</v>
      </c>
      <c r="H190" s="13" t="s">
        <v>841</v>
      </c>
    </row>
    <row r="191" spans="1:8" x14ac:dyDescent="0.2">
      <c r="A191" s="13" t="s">
        <v>441</v>
      </c>
      <c r="B191" s="2">
        <f>(B169/1000)*B179</f>
        <v>1375.1512499999997</v>
      </c>
      <c r="C191" t="s">
        <v>95</v>
      </c>
      <c r="D191" t="s">
        <v>233</v>
      </c>
      <c r="F191" t="s">
        <v>89</v>
      </c>
      <c r="H191" s="13" t="s">
        <v>441</v>
      </c>
    </row>
    <row r="193" spans="1:2" ht="16" x14ac:dyDescent="0.2">
      <c r="A193" s="10" t="s">
        <v>71</v>
      </c>
      <c r="B193" s="8" t="str">
        <f>B195&amp;", "&amp;B197</f>
        <v>Scooter, gasoline, &lt;4kW, EURO-5, 2050</v>
      </c>
    </row>
    <row r="194" spans="1:2" x14ac:dyDescent="0.2">
      <c r="A194" t="s">
        <v>72</v>
      </c>
      <c r="B194" t="s">
        <v>37</v>
      </c>
    </row>
    <row r="195" spans="1:2" x14ac:dyDescent="0.2">
      <c r="A195" t="s">
        <v>86</v>
      </c>
      <c r="B195" t="s">
        <v>611</v>
      </c>
    </row>
    <row r="196" spans="1:2" x14ac:dyDescent="0.2">
      <c r="A196" t="s">
        <v>87</v>
      </c>
    </row>
    <row r="197" spans="1:2" x14ac:dyDescent="0.2">
      <c r="A197" t="s">
        <v>88</v>
      </c>
      <c r="B197">
        <v>2050</v>
      </c>
    </row>
    <row r="198" spans="1:2" x14ac:dyDescent="0.2">
      <c r="A198" t="s">
        <v>126</v>
      </c>
      <c r="B198" t="str">
        <f>B195&amp;" - "&amp;B197&amp;" - "&amp;B194</f>
        <v>Scooter, gasoline, &lt;4kW, EURO-5 - 2050 - CH</v>
      </c>
    </row>
    <row r="199" spans="1:2" x14ac:dyDescent="0.2">
      <c r="A199" t="s">
        <v>73</v>
      </c>
      <c r="B199" t="str">
        <f>B195</f>
        <v>Scooter, gasoline, &lt;4kW, EURO-5</v>
      </c>
    </row>
    <row r="200" spans="1:2" x14ac:dyDescent="0.2">
      <c r="A200" t="s">
        <v>74</v>
      </c>
      <c r="B200" t="s">
        <v>75</v>
      </c>
    </row>
    <row r="201" spans="1:2" x14ac:dyDescent="0.2">
      <c r="A201" t="s">
        <v>76</v>
      </c>
      <c r="B201" t="s">
        <v>76</v>
      </c>
    </row>
    <row r="202" spans="1:2" x14ac:dyDescent="0.2">
      <c r="A202" t="s">
        <v>78</v>
      </c>
      <c r="B202" t="s">
        <v>1143</v>
      </c>
    </row>
    <row r="203" spans="1:2" x14ac:dyDescent="0.2">
      <c r="A203" t="s">
        <v>127</v>
      </c>
      <c r="B203">
        <f>INDEX('vehicles specifications'!$B$3:$CW$166,MATCH(B198,'vehicles specifications'!$A$3:$A$166,0),MATCH("Lifetime [km]",'vehicles specifications'!$B$2:$CW$2,0))</f>
        <v>25000</v>
      </c>
    </row>
    <row r="204" spans="1:2" x14ac:dyDescent="0.2">
      <c r="A204" t="s">
        <v>128</v>
      </c>
      <c r="B204">
        <f>INDEX('vehicles specifications'!$B$3:$CW$166,MATCH(B198,'vehicles specifications'!$A$3:$A$166,0),MATCH("Passengers [unit]",'vehicles specifications'!$B$2:$CW$2,0))</f>
        <v>1</v>
      </c>
    </row>
    <row r="205" spans="1:2" x14ac:dyDescent="0.2">
      <c r="A205" t="s">
        <v>129</v>
      </c>
      <c r="B205">
        <f>INDEX('vehicles specifications'!$B$3:$CW$166,MATCH(B198,'vehicles specifications'!$A$3:$A$166,0),MATCH("Servicing [unit]",'vehicles specifications'!$B$2:$CW$2,0))</f>
        <v>1</v>
      </c>
    </row>
    <row r="206" spans="1:2" x14ac:dyDescent="0.2">
      <c r="A206" t="s">
        <v>130</v>
      </c>
      <c r="B206">
        <f>INDEX('vehicles specifications'!$B$3:$CW$166,MATCH(B198,'vehicles specifications'!$A$3:$A$166,0),MATCH("Energy battery replacement [unit]",'vehicles specifications'!$B$2:$CW$2,0))</f>
        <v>0</v>
      </c>
    </row>
    <row r="207" spans="1:2" x14ac:dyDescent="0.2">
      <c r="A207" t="s">
        <v>131</v>
      </c>
      <c r="B207">
        <f>INDEX('vehicles specifications'!$B$3:$CW$166,MATCH(B198,'vehicles specifications'!$A$3:$A$166,0),MATCH("Annual kilometers [km]",'vehicles specifications'!$B$2:$CW$2,0))</f>
        <v>1570</v>
      </c>
    </row>
    <row r="208" spans="1:2" x14ac:dyDescent="0.2">
      <c r="A208" t="s">
        <v>132</v>
      </c>
      <c r="B208" s="2">
        <f>INDEX('vehicles specifications'!$B$3:$CW$166,MATCH(B198,'vehicles specifications'!$A$3:$A$166,0),MATCH("Curb mass [kg]",'vehicles specifications'!$B$2:$CW$2,0))</f>
        <v>84.527499999999989</v>
      </c>
    </row>
    <row r="209" spans="1:8" x14ac:dyDescent="0.2">
      <c r="A209" t="s">
        <v>133</v>
      </c>
      <c r="B209">
        <f>INDEX('vehicles specifications'!$B$3:$CW$166,MATCH(B198,'vehicles specifications'!$A$3:$A$166,0),MATCH("Power [kW]",'vehicles specifications'!$B$2:$CW$2,0))</f>
        <v>2.8</v>
      </c>
    </row>
    <row r="210" spans="1:8" x14ac:dyDescent="0.2">
      <c r="A210" t="s">
        <v>134</v>
      </c>
      <c r="B210" t="str">
        <f>INDEX('vehicles specifications'!$B$3:$CW$166,MATCH(B198,'vehicles specifications'!$A$3:$A$166,0),MATCH("Energy battery mass [kg]",'vehicles specifications'!$B$2:$CW$2,0))</f>
        <v/>
      </c>
    </row>
    <row r="211" spans="1:8" x14ac:dyDescent="0.2">
      <c r="A211" t="s">
        <v>135</v>
      </c>
      <c r="B211">
        <f>INDEX('vehicles specifications'!$B$3:$CW$166,MATCH(B198,'vehicles specifications'!$A$3:$A$166,0),MATCH("Electric energy available [kWh]",'vehicles specifications'!$B$2:$CW$2,0))</f>
        <v>0</v>
      </c>
    </row>
    <row r="212" spans="1:8" x14ac:dyDescent="0.2">
      <c r="A212" t="s">
        <v>138</v>
      </c>
      <c r="B212" s="2">
        <f>INDEX('vehicles specifications'!$B$3:$CW$166,MATCH(B198,'vehicles specifications'!$A$3:$A$166,0),MATCH("Oxydation energy stored [kWh]",'vehicles specifications'!$B$2:$CW$2,0))</f>
        <v>62.125</v>
      </c>
    </row>
    <row r="213" spans="1:8" x14ac:dyDescent="0.2">
      <c r="A213" t="s">
        <v>139</v>
      </c>
      <c r="B213">
        <f>INDEX('vehicles specifications'!$B$3:$CW$166,MATCH(B198,'vehicles specifications'!$A$3:$A$166,0),MATCH("Fuel mass [kg]",'vehicles specifications'!$B$2:$CW$2,0))</f>
        <v>5.25</v>
      </c>
    </row>
    <row r="214" spans="1:8" x14ac:dyDescent="0.2">
      <c r="A214" t="s">
        <v>136</v>
      </c>
      <c r="B214" s="2">
        <f>INDEX('vehicles specifications'!$B$3:$CW$166,MATCH(B198,'vehicles specifications'!$A$3:$A$166,0),MATCH("Range [km]",'vehicles specifications'!$B$2:$CW$2,0))</f>
        <v>178.88311872331968</v>
      </c>
    </row>
    <row r="215" spans="1:8" x14ac:dyDescent="0.2">
      <c r="A215" t="s">
        <v>137</v>
      </c>
      <c r="B215" t="str">
        <f>INDEX('vehicles specifications'!$B$3:$CW$166,MATCH(B198,'vehicles specifications'!$A$3:$A$166,0),MATCH("Emission standard",'vehicles specifications'!$B$2:$CW$2,0))</f>
        <v>EURO-5</v>
      </c>
    </row>
    <row r="216" spans="1:8" x14ac:dyDescent="0.2">
      <c r="A216" t="s">
        <v>1174</v>
      </c>
      <c r="B216" s="6">
        <f>INDEX('vehicles specifications'!$B$3:$CW$166,MATCH(B198,'vehicles specifications'!$A$3:$A$166,0),MATCH("Lightweighting rate [%]",'vehicles specifications'!$B$2:$CW$2,0))</f>
        <v>7.0000000000000007E-2</v>
      </c>
    </row>
    <row r="217" spans="1:8" x14ac:dyDescent="0.2">
      <c r="A217" t="s">
        <v>485</v>
      </c>
      <c r="B217" s="6" t="s">
        <v>486</v>
      </c>
    </row>
    <row r="218" spans="1:8" x14ac:dyDescent="0.2">
      <c r="A218" t="s">
        <v>487</v>
      </c>
      <c r="B218" s="2">
        <v>15900</v>
      </c>
    </row>
    <row r="219" spans="1:8" x14ac:dyDescent="0.2">
      <c r="A219" t="s">
        <v>488</v>
      </c>
      <c r="B219" s="2">
        <v>1000</v>
      </c>
    </row>
    <row r="220" spans="1:8" x14ac:dyDescent="0.2">
      <c r="A220" t="s">
        <v>83</v>
      </c>
      <c r="B220"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2.8 kW. Lifetime: 25000 km. Annual kilometers: 1570 km. Number of passengers: 1. Curb mass: 84.5 kg. Lightweighting of glider: 7%. Emission standard: EURO-5. Service visits throughout lifetime: 1. Range: 179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6" x14ac:dyDescent="0.2">
      <c r="A221" s="10" t="s">
        <v>79</v>
      </c>
    </row>
    <row r="222" spans="1:8" x14ac:dyDescent="0.2">
      <c r="A222" t="s">
        <v>80</v>
      </c>
      <c r="B222" t="s">
        <v>81</v>
      </c>
      <c r="C222" t="s">
        <v>72</v>
      </c>
      <c r="D222" t="s">
        <v>76</v>
      </c>
      <c r="E222" t="s">
        <v>82</v>
      </c>
      <c r="F222" t="s">
        <v>74</v>
      </c>
      <c r="G222" t="s">
        <v>83</v>
      </c>
      <c r="H222" t="s">
        <v>73</v>
      </c>
    </row>
    <row r="223" spans="1:8" x14ac:dyDescent="0.2">
      <c r="A223" t="str">
        <f>B193</f>
        <v>Scooter, gasoline, &lt;4kW, EURO-5, 2050</v>
      </c>
      <c r="B223">
        <v>1</v>
      </c>
      <c r="C223" t="str">
        <f>B194</f>
        <v>CH</v>
      </c>
      <c r="D223" t="str">
        <f>B201</f>
        <v>unit</v>
      </c>
      <c r="F223" t="s">
        <v>84</v>
      </c>
      <c r="G223" t="s">
        <v>85</v>
      </c>
      <c r="H223" t="str">
        <f>B195</f>
        <v>Scooter, gasoline, &lt;4kW, EURO-5</v>
      </c>
    </row>
    <row r="224" spans="1:8" x14ac:dyDescent="0.2">
      <c r="A224" t="str">
        <f>INDEX('ei names mapping'!$B$4:$R$33,MATCH(B195,'ei names mapping'!$A$4:$A$33,0),MATCH(G224,'ei names mapping'!$B$3:$R$3,0))</f>
        <v>motor scooter production</v>
      </c>
      <c r="B224" s="11">
        <f>INDEX('vehicles specifications'!$B$3:$CW$166,MATCH(B198,'vehicles specifications'!$A$3:$A$166,0),MATCH(G224,'vehicles specifications'!$B$2:$CW$2,0))*INDEX('ei names mapping'!$B$137:$BL$300,MATCH(B198,'ei names mapping'!$A$137:$A$300,0),MATCH(G224,'ei names mapping'!$B$136:$BL$136,0))</f>
        <v>0.58888888888888891</v>
      </c>
      <c r="C224" t="str">
        <f>INDEX('ei names mapping'!$B$38:$R$67,MATCH(B195,'ei names mapping'!$A$4:$A$33,0),MATCH(G224,'ei names mapping'!$B$3:$R$3,0))</f>
        <v>RER</v>
      </c>
      <c r="D224" t="str">
        <f>INDEX('ei names mapping'!$B$104:$R$133,MATCH($B$3,'ei names mapping'!$A$4:$A$33,0),MATCH(G224,'ei names mapping'!$B$3:$R$3,0))</f>
        <v>unit</v>
      </c>
      <c r="F224" t="s">
        <v>89</v>
      </c>
      <c r="G224" t="s">
        <v>15</v>
      </c>
      <c r="H224" t="str">
        <f>INDEX('ei names mapping'!$B$71:$R$100,MATCH(B195,'ei names mapping'!$A$4:$A$33,0),MATCH(G224,'ei names mapping'!$B$3:$R$3,0))</f>
        <v>motor scooter, 50 cubic cm engine</v>
      </c>
    </row>
    <row r="225" spans="1:8" x14ac:dyDescent="0.2">
      <c r="A225" t="str">
        <f>INDEX('ei names mapping'!$B$4:$R$33,MATCH(B195,'ei names mapping'!$A$4:$A$33,0),MATCH(G225,'ei names mapping'!$B$3:$R$3,0))</f>
        <v>motor scooter production</v>
      </c>
      <c r="B225" s="11">
        <f>INDEX('vehicles specifications'!$B$3:$CW$166,MATCH(B198,'vehicles specifications'!$A$3:$A$166,0),MATCH(G225,'vehicles specifications'!$B$2:$CW$2,0))*INDEX('ei names mapping'!$B$137:$BL$300,MATCH(B198,'ei names mapping'!$A$137:$A$300,0),MATCH(G225,'ei names mapping'!$B$136:$BL$136,0))</f>
        <v>0.32444444444444442</v>
      </c>
      <c r="C225" t="str">
        <f>INDEX('ei names mapping'!$B$38:$R$67,MATCH(B195,'ei names mapping'!$A$4:$A$33,0),MATCH(G225,'ei names mapping'!$B$3:$R$3,0))</f>
        <v>RER</v>
      </c>
      <c r="D225" t="str">
        <f>INDEX('ei names mapping'!$B$104:$R$133,MATCH($B$3,'ei names mapping'!$A$4:$A$33,0),MATCH(G225,'ei names mapping'!$B$3:$R$3,0))</f>
        <v>unit</v>
      </c>
      <c r="F225" t="s">
        <v>89</v>
      </c>
      <c r="G225" t="s">
        <v>16</v>
      </c>
      <c r="H225" t="str">
        <f>INDEX('ei names mapping'!$B$71:$R$100,MATCH(B195,'ei names mapping'!$A$4:$A$33,0),MATCH(G225,'ei names mapping'!$B$3:$R$3,0))</f>
        <v>motor scooter, 50 cubic cm engine</v>
      </c>
    </row>
    <row r="226" spans="1:8" x14ac:dyDescent="0.2">
      <c r="A226" t="str">
        <f>INDEX('ei names mapping'!$B$4:$R$33,MATCH(B195,'ei names mapping'!$A$4:$A$33,0),MATCH(G226,'ei names mapping'!$B$3:$R$3,0))</f>
        <v>Glider lightweighting</v>
      </c>
      <c r="B226" s="11">
        <f>INDEX('vehicles specifications'!$B$3:$CW$166,MATCH(B198,'vehicles specifications'!$A$3:$A$166,0),MATCH(G226,'vehicles specifications'!$B$2:$CW$2,0))*INDEX('ei names mapping'!$B$137:$BL$300,MATCH(B198,'ei names mapping'!$A$137:$A$300,0),MATCH(G226,'ei names mapping'!$B$136:$BL$136,0))</f>
        <v>3.7100000000000004</v>
      </c>
      <c r="C226" t="str">
        <f>INDEX('ei names mapping'!$B$38:$R$67,MATCH(B195,'ei names mapping'!$A$4:$A$33,0),MATCH(G226,'ei names mapping'!$B$3:$R$3,0))</f>
        <v>GLO</v>
      </c>
      <c r="D226" t="str">
        <f>INDEX('ei names mapping'!$B$104:$R$133,MATCH(B195,'ei names mapping'!$A$4:$A$33,0),MATCH(G226,'ei names mapping'!$B$3:$R$3,0))</f>
        <v>kilogram</v>
      </c>
      <c r="F226" t="s">
        <v>89</v>
      </c>
      <c r="G226" t="s">
        <v>14</v>
      </c>
      <c r="H226" t="str">
        <f>INDEX('ei names mapping'!$B$71:$R$100,MATCH(B195,'ei names mapping'!$A$4:$A$33,0),MATCH(G226,'ei names mapping'!$B$3:$R$3,0))</f>
        <v>Glider lightweighting</v>
      </c>
    </row>
    <row r="227" spans="1:8" x14ac:dyDescent="0.2">
      <c r="A227" t="str">
        <f>INDEX('ei names mapping'!$B$4:$R$33,MATCH(B195,'ei names mapping'!$A$4:$A$33,0),MATCH(G227,'ei names mapping'!$B$3:$R$3,0))</f>
        <v>polyethylene production, high density, granulate</v>
      </c>
      <c r="B227" s="11">
        <f>INDEX('vehicles specifications'!$B$3:$CW$166,MATCH(B198,'vehicles specifications'!$A$3:$A$166,0),MATCH(G227,'vehicles specifications'!$B$2:$CW$2,0))*INDEX('ei names mapping'!$B$137:$BL$300,MATCH(B198,'ei names mapping'!$A$137:$A$300,0),MATCH(G227,'ei names mapping'!$B$136:$BL$136,0))</f>
        <v>0.78749999999999998</v>
      </c>
      <c r="C227" t="str">
        <f>INDEX('ei names mapping'!$B$38:$R$67,MATCH(B195,'ei names mapping'!$A$4:$A$33,0),MATCH(G227,'ei names mapping'!$B$3:$R$3,0))</f>
        <v>RER</v>
      </c>
      <c r="D227" t="str">
        <f>INDEX('ei names mapping'!$B$104:$R$133,MATCH($B$3,'ei names mapping'!$A$4:$A$33,0),MATCH(G227,'ei names mapping'!$B$3:$R$3,0))</f>
        <v>kilogram</v>
      </c>
      <c r="F227" t="s">
        <v>89</v>
      </c>
      <c r="G227" t="s">
        <v>24</v>
      </c>
      <c r="H227" t="str">
        <f>INDEX('ei names mapping'!$B$71:$R$100,MATCH(B195,'ei names mapping'!$A$4:$A$33,0),MATCH(G227,'ei names mapping'!$B$3:$R$3,0))</f>
        <v>polyethylene, high density, granulate</v>
      </c>
    </row>
    <row r="228" spans="1:8" x14ac:dyDescent="0.2">
      <c r="A228" t="s">
        <v>282</v>
      </c>
      <c r="B228" s="11">
        <f>B227/0.994</f>
        <v>0.79225352112676051</v>
      </c>
      <c r="C228" t="s">
        <v>92</v>
      </c>
      <c r="D228" t="s">
        <v>77</v>
      </c>
      <c r="F228" t="s">
        <v>89</v>
      </c>
      <c r="G228" t="s">
        <v>647</v>
      </c>
      <c r="H228" t="s">
        <v>282</v>
      </c>
    </row>
    <row r="229" spans="1:8" x14ac:dyDescent="0.2">
      <c r="A229" s="13" t="s">
        <v>840</v>
      </c>
      <c r="B229">
        <f>(B208/1000)*B219</f>
        <v>84.527499999999989</v>
      </c>
      <c r="C229" t="s">
        <v>92</v>
      </c>
      <c r="D229" t="s">
        <v>233</v>
      </c>
      <c r="F229" t="s">
        <v>89</v>
      </c>
      <c r="H229" s="13" t="s">
        <v>841</v>
      </c>
    </row>
    <row r="230" spans="1:8" x14ac:dyDescent="0.2">
      <c r="A230" s="13" t="s">
        <v>441</v>
      </c>
      <c r="B230" s="2">
        <f>(B208/1000)*B218</f>
        <v>1343.9872499999999</v>
      </c>
      <c r="C230" t="s">
        <v>95</v>
      </c>
      <c r="D230" t="s">
        <v>233</v>
      </c>
      <c r="F230" t="s">
        <v>89</v>
      </c>
      <c r="H230" s="13" t="s">
        <v>441</v>
      </c>
    </row>
    <row r="232" spans="1:8" ht="16" x14ac:dyDescent="0.2">
      <c r="A232" s="10" t="s">
        <v>71</v>
      </c>
      <c r="B232" s="8" t="str">
        <f>"transport, "&amp;B234&amp;", "&amp;B236</f>
        <v>transport, Scooter, gasoline, &lt;4kW, EURO-3, 2006</v>
      </c>
    </row>
    <row r="233" spans="1:8" x14ac:dyDescent="0.2">
      <c r="A233" t="s">
        <v>72</v>
      </c>
      <c r="B233" t="s">
        <v>37</v>
      </c>
    </row>
    <row r="234" spans="1:8" x14ac:dyDescent="0.2">
      <c r="A234" t="s">
        <v>86</v>
      </c>
      <c r="B234" t="s">
        <v>609</v>
      </c>
    </row>
    <row r="235" spans="1:8" x14ac:dyDescent="0.2">
      <c r="A235" t="s">
        <v>87</v>
      </c>
    </row>
    <row r="236" spans="1:8" x14ac:dyDescent="0.2">
      <c r="A236" t="s">
        <v>88</v>
      </c>
      <c r="B236">
        <v>2006</v>
      </c>
    </row>
    <row r="237" spans="1:8" x14ac:dyDescent="0.2">
      <c r="A237" t="s">
        <v>126</v>
      </c>
      <c r="B237" t="str">
        <f>B234&amp;" - "&amp;B236&amp;" - "&amp;B233</f>
        <v>Scooter, gasoline, &lt;4kW, EURO-3 - 2006 - CH</v>
      </c>
    </row>
    <row r="238" spans="1:8" x14ac:dyDescent="0.2">
      <c r="A238" t="s">
        <v>73</v>
      </c>
      <c r="B238" t="str">
        <f>"transport, "&amp;B234</f>
        <v>transport, Scooter, gasoline, &lt;4kW, EURO-3</v>
      </c>
    </row>
    <row r="239" spans="1:8" x14ac:dyDescent="0.2">
      <c r="A239" t="s">
        <v>74</v>
      </c>
      <c r="B239" t="s">
        <v>75</v>
      </c>
    </row>
    <row r="240" spans="1:8" x14ac:dyDescent="0.2">
      <c r="A240" t="s">
        <v>76</v>
      </c>
      <c r="B240" t="s">
        <v>166</v>
      </c>
    </row>
    <row r="241" spans="1:2" x14ac:dyDescent="0.2">
      <c r="A241" t="s">
        <v>78</v>
      </c>
      <c r="B241" t="s">
        <v>1143</v>
      </c>
    </row>
    <row r="242" spans="1:2" x14ac:dyDescent="0.2">
      <c r="A242" t="s">
        <v>127</v>
      </c>
      <c r="B242">
        <f>INDEX('vehicles specifications'!$B$3:$CW$166,MATCH(B237,'vehicles specifications'!$A$3:$A$166,0),MATCH("Lifetime [km]",'vehicles specifications'!$B$2:$CW$2,0))</f>
        <v>25000</v>
      </c>
    </row>
    <row r="243" spans="1:2" x14ac:dyDescent="0.2">
      <c r="A243" t="s">
        <v>128</v>
      </c>
      <c r="B243">
        <f>INDEX('vehicles specifications'!$B$3:$CW$166,MATCH(B237,'vehicles specifications'!$A$3:$A$166,0),MATCH("Passengers [unit]",'vehicles specifications'!$B$2:$CW$2,0))</f>
        <v>1</v>
      </c>
    </row>
    <row r="244" spans="1:2" x14ac:dyDescent="0.2">
      <c r="A244" t="s">
        <v>129</v>
      </c>
      <c r="B244">
        <f>INDEX('vehicles specifications'!$B$3:$CW$166,MATCH(B237,'vehicles specifications'!$A$3:$A$166,0),MATCH("Servicing [unit]",'vehicles specifications'!$B$2:$CW$2,0))</f>
        <v>1</v>
      </c>
    </row>
    <row r="245" spans="1:2" x14ac:dyDescent="0.2">
      <c r="A245" t="s">
        <v>130</v>
      </c>
      <c r="B245">
        <f>INDEX('vehicles specifications'!$B$3:$CW$166,MATCH(B237,'vehicles specifications'!$A$3:$A$166,0),MATCH("Energy battery replacement [unit]",'vehicles specifications'!$B$2:$CW$2,0))</f>
        <v>0</v>
      </c>
    </row>
    <row r="246" spans="1:2" x14ac:dyDescent="0.2">
      <c r="A246" t="s">
        <v>131</v>
      </c>
      <c r="B246">
        <f>INDEX('vehicles specifications'!$B$3:$CW$166,MATCH(B237,'vehicles specifications'!$A$3:$A$166,0),MATCH("Annual kilometers [km]",'vehicles specifications'!$B$2:$CW$2,0))</f>
        <v>1570</v>
      </c>
    </row>
    <row r="247" spans="1:2" x14ac:dyDescent="0.2">
      <c r="A247" t="s">
        <v>132</v>
      </c>
      <c r="B247" s="2">
        <f>INDEX('vehicles specifications'!$B$3:$CW$166,MATCH(B237,'vehicles specifications'!$A$3:$A$166,0),MATCH("Curb mass [kg]",'vehicles specifications'!$B$2:$CW$2,0))</f>
        <v>93.6875</v>
      </c>
    </row>
    <row r="248" spans="1:2" x14ac:dyDescent="0.2">
      <c r="A248" t="s">
        <v>133</v>
      </c>
      <c r="B248">
        <f>INDEX('vehicles specifications'!$B$3:$CW$166,MATCH(B237,'vehicles specifications'!$A$3:$A$166,0),MATCH("Power [kW]",'vehicles specifications'!$B$2:$CW$2,0))</f>
        <v>2.8</v>
      </c>
    </row>
    <row r="249" spans="1:2" x14ac:dyDescent="0.2">
      <c r="A249" t="s">
        <v>134</v>
      </c>
      <c r="B249" t="str">
        <f>INDEX('vehicles specifications'!$B$3:$CW$166,MATCH(B237,'vehicles specifications'!$A$3:$A$166,0),MATCH("Energy battery mass [kg]",'vehicles specifications'!$B$2:$CW$2,0))</f>
        <v/>
      </c>
    </row>
    <row r="250" spans="1:2" x14ac:dyDescent="0.2">
      <c r="A250" t="s">
        <v>135</v>
      </c>
      <c r="B250">
        <f>INDEX('vehicles specifications'!$B$3:$CW$166,MATCH(B237,'vehicles specifications'!$A$3:$A$166,0),MATCH("Electric energy available [kWh]",'vehicles specifications'!$B$2:$CW$2,0))</f>
        <v>0</v>
      </c>
    </row>
    <row r="251" spans="1:2" x14ac:dyDescent="0.2">
      <c r="A251" t="s">
        <v>138</v>
      </c>
      <c r="B251" s="2">
        <f>INDEX('vehicles specifications'!$B$3:$CW$166,MATCH(B237,'vehicles specifications'!$A$3:$A$166,0),MATCH("Oxydation energy stored [kWh]",'vehicles specifications'!$B$2:$CW$2,0))</f>
        <v>62.125</v>
      </c>
    </row>
    <row r="252" spans="1:2" x14ac:dyDescent="0.2">
      <c r="A252" t="s">
        <v>139</v>
      </c>
      <c r="B252">
        <f>INDEX('vehicles specifications'!$B$3:$CW$166,MATCH(B237,'vehicles specifications'!$A$3:$A$166,0),MATCH("Fuel mass [kg]",'vehicles specifications'!$B$2:$CW$2,0))</f>
        <v>5.25</v>
      </c>
    </row>
    <row r="253" spans="1:2" x14ac:dyDescent="0.2">
      <c r="A253" t="s">
        <v>136</v>
      </c>
      <c r="B253" s="2">
        <f>INDEX('vehicles specifications'!$B$3:$CW$166,MATCH(B237,'vehicles specifications'!$A$3:$A$166,0),MATCH("Range [km]",'vehicles specifications'!$B$2:$CW$2,0))</f>
        <v>162.107934058469</v>
      </c>
    </row>
    <row r="254" spans="1:2" x14ac:dyDescent="0.2">
      <c r="A254" t="s">
        <v>137</v>
      </c>
      <c r="B254" t="str">
        <f>INDEX('vehicles specifications'!$B$3:$CW$166,MATCH(B237,'vehicles specifications'!$A$3:$A$166,0),MATCH("Emission standard",'vehicles specifications'!$B$2:$CW$2,0))</f>
        <v>EURO-5</v>
      </c>
    </row>
    <row r="255" spans="1:2" x14ac:dyDescent="0.2">
      <c r="A255" t="s">
        <v>1174</v>
      </c>
      <c r="B255" s="6">
        <f>INDEX('vehicles specifications'!$B$3:$CW$166,MATCH(B237,'vehicles specifications'!$A$3:$A$166,0),MATCH("Lightweighting rate [%]",'vehicles specifications'!$B$2:$CW$2,0))</f>
        <v>-0.05</v>
      </c>
    </row>
    <row r="256" spans="1:2" x14ac:dyDescent="0.2">
      <c r="A256" t="s">
        <v>83</v>
      </c>
      <c r="B256"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v>
      </c>
    </row>
    <row r="257" spans="1:8" ht="16" x14ac:dyDescent="0.2">
      <c r="A257" s="10" t="s">
        <v>79</v>
      </c>
    </row>
    <row r="258" spans="1:8" x14ac:dyDescent="0.2">
      <c r="A258" t="s">
        <v>80</v>
      </c>
      <c r="B258" t="s">
        <v>81</v>
      </c>
      <c r="C258" t="s">
        <v>72</v>
      </c>
      <c r="D258" t="s">
        <v>76</v>
      </c>
      <c r="E258" t="s">
        <v>82</v>
      </c>
      <c r="F258" t="s">
        <v>74</v>
      </c>
      <c r="G258" t="s">
        <v>83</v>
      </c>
      <c r="H258" t="s">
        <v>73</v>
      </c>
    </row>
    <row r="259" spans="1:8" x14ac:dyDescent="0.2">
      <c r="A259" t="str">
        <f>B232</f>
        <v>transport, Scooter, gasoline, &lt;4kW, EURO-3, 2006</v>
      </c>
      <c r="B259">
        <v>1</v>
      </c>
      <c r="C259" t="str">
        <f>B233</f>
        <v>CH</v>
      </c>
      <c r="D259" t="s">
        <v>166</v>
      </c>
      <c r="F259" t="s">
        <v>84</v>
      </c>
      <c r="G259" t="s">
        <v>85</v>
      </c>
      <c r="H259" t="str">
        <f>B238</f>
        <v>transport, Scooter, gasoline, &lt;4kW, EURO-3</v>
      </c>
    </row>
    <row r="260" spans="1:8" x14ac:dyDescent="0.2">
      <c r="A260" t="str">
        <f>RIGHT(A259,LEN(A259)-11)</f>
        <v>Scooter, gasoline, &lt;4kW, EURO-3, 2006</v>
      </c>
      <c r="B260" s="7">
        <f>1/B242</f>
        <v>4.0000000000000003E-5</v>
      </c>
      <c r="C260" t="str">
        <f>B233</f>
        <v>CH</v>
      </c>
      <c r="D260" t="s">
        <v>76</v>
      </c>
      <c r="F260" t="s">
        <v>89</v>
      </c>
      <c r="H260" t="str">
        <f>RIGHT(H259,LEN(H259)-11)</f>
        <v>Scooter, gasoline, &lt;4kW, EURO-3</v>
      </c>
    </row>
    <row r="261" spans="1:8" x14ac:dyDescent="0.2">
      <c r="A261" t="str">
        <f>INDEX('ei names mapping'!$B$4:$R$33,MATCH(B234,'ei names mapping'!$A$4:$A$33,0),MATCH(G261,'ei names mapping'!$B$3:$R$3,0))</f>
        <v>road construction</v>
      </c>
      <c r="B261" s="7">
        <f>INDEX('vehicles specifications'!$B$3:$CW$166,MATCH(B237,'vehicles specifications'!$A$3:$A$166,0),MATCH(G261,'vehicles specifications'!$B$2:$CW$2,0))*INDEX('ei names mapping'!$B$137:$BL$300,MATCH(B237,'ei names mapping'!$A$137:$A$300,0),MATCH(G261,'ei names mapping'!$B$136:$BL$136,0))</f>
        <v>9.2733187500000004E-5</v>
      </c>
      <c r="C261" t="str">
        <f>INDEX('ei names mapping'!$B$38:$R$67,MATCH(B234,'ei names mapping'!$A$4:$A$33,0),MATCH(G261,'ei names mapping'!$B$3:$R$3,0))</f>
        <v>CH</v>
      </c>
      <c r="D261" t="str">
        <f>INDEX('ei names mapping'!$B$104:$BL$133,MATCH(B234,'ei names mapping'!$A$4:$A$33,0),MATCH(G261,'ei names mapping'!$B$3:$BL$3,0))</f>
        <v>meter-year</v>
      </c>
      <c r="F261" t="s">
        <v>89</v>
      </c>
      <c r="G261" t="s">
        <v>105</v>
      </c>
      <c r="H261" t="str">
        <f>INDEX('ei names mapping'!$B$71:$BL$100,MATCH(B234,'ei names mapping'!$A$4:$A$33,0),MATCH(G261,'ei names mapping'!$B$3:$BL$3,0))</f>
        <v>road</v>
      </c>
    </row>
    <row r="262" spans="1:8" x14ac:dyDescent="0.2">
      <c r="A262" t="str">
        <f>INDEX('ei names mapping'!$B$4:$R$33,MATCH(B234,'ei names mapping'!$A$4:$A$33,0),MATCH(G262,'ei names mapping'!$B$3:$R$3,0))</f>
        <v>road maintenance</v>
      </c>
      <c r="B262" s="7">
        <f>INDEX('vehicles specifications'!$B$3:$CW$166,MATCH(B237,'vehicles specifications'!$A$3:$A$166,0),MATCH(G262,'vehicles specifications'!$B$2:$CW$2,0))*INDEX('ei names mapping'!$B$137:$BL$300,MATCH(B237,'ei names mapping'!$A$137:$A$300,0),MATCH(G262,'ei names mapping'!$B$136:$BL$136,0))</f>
        <v>1.2899999999999999E-3</v>
      </c>
      <c r="C262" t="str">
        <f>INDEX('ei names mapping'!$B$38:$R$67,MATCH(B234,'ei names mapping'!$A$4:$A$33,0),MATCH(G262,'ei names mapping'!$B$3:$R$3,0))</f>
        <v>CH</v>
      </c>
      <c r="D262" t="str">
        <f>INDEX('ei names mapping'!$B$104:$BL$133,MATCH(B234,'ei names mapping'!$A$4:$A$33,0),MATCH(G262,'ei names mapping'!$B$3:$BL$3,0))</f>
        <v>meter-year</v>
      </c>
      <c r="F262" t="s">
        <v>89</v>
      </c>
      <c r="G262" t="s">
        <v>112</v>
      </c>
      <c r="H262" t="str">
        <f>INDEX('ei names mapping'!$B$71:$BL$100,MATCH(B234,'ei names mapping'!$A$4:$A$33,0),MATCH(G262,'ei names mapping'!$B$3:$BL$3,0))</f>
        <v>road maintenance</v>
      </c>
    </row>
    <row r="263" spans="1:8" x14ac:dyDescent="0.2">
      <c r="A263" t="str">
        <f>INDEX('ei names mapping'!$B$4:$R$33,MATCH(B234,'ei names mapping'!$A$4:$A$33,0),MATCH(G263,'ei names mapping'!$B$3:$R$3,0))</f>
        <v>maintenance, motor scooter</v>
      </c>
      <c r="B263" s="7">
        <f>INDEX('vehicles specifications'!$B$3:$CW$166,MATCH(B237,'vehicles specifications'!$A$3:$A$166,0),MATCH(G263,'vehicles specifications'!$B$2:$CW$2,0))*INDEX('ei names mapping'!$B$137:$BL$300,MATCH(B237,'ei names mapping'!$A$137:$A$300,0),MATCH(G263,'ei names mapping'!$B$136:$BL$136,0))</f>
        <v>4.0000000000000003E-5</v>
      </c>
      <c r="C263" t="str">
        <f>INDEX('ei names mapping'!$B$38:$BL$67,MATCH(B234,'ei names mapping'!$A$4:$A$33,0),MATCH(G263,'ei names mapping'!$B$3:$BL$3,0))</f>
        <v>CH</v>
      </c>
      <c r="D263" t="str">
        <f>INDEX('ei names mapping'!$B$104:$BL$133,MATCH(B234,'ei names mapping'!$A$4:$A$33,0),MATCH(G263,'ei names mapping'!$B$3:$BL$3,0))</f>
        <v>unit</v>
      </c>
      <c r="F263" t="s">
        <v>89</v>
      </c>
      <c r="G263" t="s">
        <v>118</v>
      </c>
      <c r="H263" t="str">
        <f>INDEX('ei names mapping'!$B$71:$BL$100,MATCH(B234,'ei names mapping'!$A$4:$A$33,0),MATCH(G263,'ei names mapping'!$B$3:$BL$3,0))</f>
        <v>maintenance, motor scooter</v>
      </c>
    </row>
    <row r="264" spans="1:8" x14ac:dyDescent="0.2">
      <c r="A264" t="str">
        <f>INDEX('ei names mapping'!$B$4:$R$33,MATCH(B234,'ei names mapping'!$A$4:$A$33,0),MATCH(G264,'ei names mapping'!$B$3:$R$3,0))</f>
        <v>petrol blending for two-stroke engines</v>
      </c>
      <c r="B264" s="7">
        <f>INDEX('vehicles specifications'!$B$3:$CW$166,MATCH(B237,'vehicles specifications'!$A$3:$A$166,0),MATCH(G264,'vehicles specifications'!$B$2:$CW$2,0))*INDEX('ei names mapping'!$B$137:$BL$300,MATCH(B237,'ei names mapping'!$A$137:$A$300,0),MATCH(G264,'ei names mapping'!$B$136:$BL$136,0))</f>
        <v>3.2385830036588042E-2</v>
      </c>
      <c r="C264" t="str">
        <f>INDEX('ei names mapping'!$B$38:$BL$67,MATCH(B234,'ei names mapping'!$A$4:$A$33,0),MATCH(G264,'ei names mapping'!$B$3:$BL$3,0))</f>
        <v>CH</v>
      </c>
      <c r="D264" t="str">
        <f>INDEX('ei names mapping'!$B$104:$BL$133,MATCH(B234,'ei names mapping'!$A$4:$A$33,0),MATCH(G264,'ei names mapping'!$B$3:$BL$3,0))</f>
        <v>kilogram</v>
      </c>
      <c r="F264" t="s">
        <v>89</v>
      </c>
      <c r="G264" t="s">
        <v>27</v>
      </c>
      <c r="H264" t="str">
        <f>INDEX('ei names mapping'!$B$71:$BL$100,MATCH(B234,'ei names mapping'!$A$4:$A$33,0),MATCH(G264,'ei names mapping'!$B$3:$BL$3,0))</f>
        <v>petrol, two-stroke blend</v>
      </c>
    </row>
    <row r="265" spans="1:8" x14ac:dyDescent="0.2">
      <c r="A265" t="str">
        <f>INDEX('ei names mapping'!$B$4:$BL$33,MATCH(B234,'ei names mapping'!$A$4:$A$33,0),MATCH(G265,'ei names mapping'!$B$3:$BL$3,0))</f>
        <v>Carbon dioxide, fossil</v>
      </c>
      <c r="B265" s="11">
        <f>INDEX('vehicles specifications'!$B$3:$CW$166,MATCH(B237,'vehicles specifications'!$A$3:$A$166,0),MATCH(G265,'vehicles specifications'!$B$2:$CW$2,0))*INDEX('ei names mapping'!$B$137:$BL$300,MATCH(B237,'ei names mapping'!$A$137:$A$300,0),MATCH(G265,'ei names mapping'!$B$136:$BL$136,0))</f>
        <v>0.10169150631488645</v>
      </c>
      <c r="D265" t="str">
        <f>INDEX('ei names mapping'!$B$104:$BL$133,MATCH(B234,'ei names mapping'!$A$4:$A$33,0),MATCH(G265,'ei names mapping'!$B$3:$BL$3,0))</f>
        <v>kilogram</v>
      </c>
      <c r="E265" t="str">
        <f>INDEX('ei names mapping'!$B$305:$BL$335,MATCH(B234,'ei names mapping'!$A$4:$A$33,0),MATCH(G265,'ei names mapping'!$B$3:$BL$3,0))</f>
        <v>air::urban air close to ground</v>
      </c>
      <c r="F265" t="s">
        <v>167</v>
      </c>
      <c r="G265" t="s">
        <v>66</v>
      </c>
    </row>
    <row r="266" spans="1:8" x14ac:dyDescent="0.2">
      <c r="A266" t="str">
        <f>INDEX('ei names mapping'!$B$4:$BL$33,MATCH(B234,'ei names mapping'!$A$4:$A$33,0),MATCH(G266,'ei names mapping'!$B$3:$BL$3,0))</f>
        <v>Carbon dioxide, from soil or biomass stock</v>
      </c>
      <c r="B266" s="11">
        <f>INDEX('vehicles specifications'!$B$3:$CW$166,MATCH(B237,'vehicles specifications'!$A$3:$A$166,0),MATCH(G266,'vehicles specifications'!$B$2:$CW$2,0))*INDEX('ei names mapping'!$B$137:$BL$300,MATCH(B237,'ei names mapping'!$A$137:$A$300,0),MATCH(G266,'ei names mapping'!$B$136:$BL$136,0))</f>
        <v>0</v>
      </c>
      <c r="D266" t="str">
        <f>INDEX('ei names mapping'!$B$104:$BL$133,MATCH(B234,'ei names mapping'!$A$4:$A$33,0),MATCH(G266,'ei names mapping'!$B$3:$BL$3,0))</f>
        <v>kilogram</v>
      </c>
      <c r="E266" t="str">
        <f>INDEX('ei names mapping'!$B$305:$BL$335,MATCH(B234,'ei names mapping'!$A$4:$A$33,0),MATCH(G266,'ei names mapping'!$B$3:$BL$3,0))</f>
        <v>air::urban air close to ground</v>
      </c>
      <c r="F266" t="s">
        <v>167</v>
      </c>
      <c r="G266" t="s">
        <v>843</v>
      </c>
    </row>
    <row r="267" spans="1:8" x14ac:dyDescent="0.2">
      <c r="A267" t="str">
        <f>INDEX('ei names mapping'!$B$4:$BL$33,MATCH(B234,'ei names mapping'!$A$4:$A$33,0),MATCH(G267,'ei names mapping'!$B$3:$BL$3,0))</f>
        <v>Sulfur dioxide</v>
      </c>
      <c r="B267" s="7">
        <f>INDEX('vehicles specifications'!$B$3:$CW$166,MATCH(B237,'vehicles specifications'!$A$3:$A$166,0),MATCH(G267,'vehicles specifications'!$B$2:$CW$2,0))*INDEX('ei names mapping'!$B$137:$BL$300,MATCH(B237,'ei names mapping'!$A$137:$A$300,0),MATCH(G267,'ei names mapping'!$B$136:$BL$136,0))</f>
        <v>5.1817328058540864E-7</v>
      </c>
      <c r="D267" t="str">
        <f>INDEX('ei names mapping'!$B$104:$BL$133,MATCH(B234,'ei names mapping'!$A$4:$A$33,0),MATCH(G267,'ei names mapping'!$B$3:$BL$3,0))</f>
        <v>kilogram</v>
      </c>
      <c r="E267" t="str">
        <f>INDEX('ei names mapping'!$B$305:$BL$335,MATCH(B234,'ei names mapping'!$A$4:$A$33,0),MATCH(G267,'ei names mapping'!$B$3:$BL$3,0))</f>
        <v>air::urban air close to ground</v>
      </c>
      <c r="F267" t="s">
        <v>167</v>
      </c>
      <c r="G267" t="s">
        <v>67</v>
      </c>
    </row>
    <row r="268" spans="1:8" x14ac:dyDescent="0.2">
      <c r="A268" t="str">
        <f>INDEX('ei names mapping'!$B$4:$BL$33,MATCH(B234,'ei names mapping'!$A$4:$A$33,0),MATCH(G268,'ei names mapping'!$B$3:$BL$3,0))</f>
        <v>Benzene</v>
      </c>
      <c r="B268" s="7">
        <f>INDEX('vehicles specifications'!$B$3:$CW$166,MATCH(B237,'vehicles specifications'!$A$3:$A$166,0),MATCH(G268,'vehicles specifications'!$B$2:$CW$2,0))*INDEX('ei names mapping'!$B$137:$BL$300,MATCH(B237,'ei names mapping'!$A$137:$A$300,0),MATCH(G268,'ei names mapping'!$B$136:$BL$136,0))</f>
        <v>8.3884891813930333E-5</v>
      </c>
      <c r="D268" t="str">
        <f>INDEX('ei names mapping'!$B$104:$BL$133,MATCH(B234,'ei names mapping'!$A$4:$A$33,0),MATCH(G268,'ei names mapping'!$B$3:$BL$3,0))</f>
        <v>kilogram</v>
      </c>
      <c r="E268" t="str">
        <f>INDEX('ei names mapping'!$B$305:$BL$335,MATCH(B234,'ei names mapping'!$A$4:$A$33,0),MATCH(G268,'ei names mapping'!$B$3:$BL$3,0))</f>
        <v>air::urban air close to ground</v>
      </c>
      <c r="F268" t="s">
        <v>167</v>
      </c>
      <c r="G268" t="s">
        <v>55</v>
      </c>
    </row>
    <row r="269" spans="1:8" x14ac:dyDescent="0.2">
      <c r="A269" t="str">
        <f>INDEX('ei names mapping'!$B$4:$BL$33,MATCH(B234,'ei names mapping'!$A$4:$A$33,0),MATCH(G269,'ei names mapping'!$B$3:$BL$3,0))</f>
        <v>Methane, fossil</v>
      </c>
      <c r="B269" s="7">
        <f>INDEX('vehicles specifications'!$B$3:$CW$166,MATCH(B237,'vehicles specifications'!$A$3:$A$166,0),MATCH(G269,'vehicles specifications'!$B$2:$CW$2,0))*INDEX('ei names mapping'!$B$137:$BL$300,MATCH(B237,'ei names mapping'!$A$137:$A$300,0),MATCH(G269,'ei names mapping'!$B$136:$BL$136,0))</f>
        <v>3.8035897892412742E-5</v>
      </c>
      <c r="D269" t="str">
        <f>INDEX('ei names mapping'!$B$104:$BL$133,MATCH(B234,'ei names mapping'!$A$4:$A$33,0),MATCH(G269,'ei names mapping'!$B$3:$BL$3,0))</f>
        <v>kilogram</v>
      </c>
      <c r="E269" t="str">
        <f>INDEX('ei names mapping'!$B$305:$BL$335,MATCH(B234,'ei names mapping'!$A$4:$A$33,0),MATCH(G269,'ei names mapping'!$B$3:$BL$3,0))</f>
        <v>air::urban air close to ground</v>
      </c>
      <c r="F269" t="s">
        <v>167</v>
      </c>
      <c r="G269" t="s">
        <v>56</v>
      </c>
    </row>
    <row r="270" spans="1:8" x14ac:dyDescent="0.2">
      <c r="A270" t="str">
        <f>INDEX('ei names mapping'!$B$4:$BL$33,MATCH(B234,'ei names mapping'!$A$4:$A$33,0),MATCH(G270,'ei names mapping'!$B$3:$BL$3,0))</f>
        <v>Carbon monoxide, fossil</v>
      </c>
      <c r="B270" s="7">
        <f>INDEX('vehicles specifications'!$B$3:$CW$166,MATCH(B237,'vehicles specifications'!$A$3:$A$166,0),MATCH(G270,'vehicles specifications'!$B$2:$CW$2,0))*INDEX('ei names mapping'!$B$137:$BL$300,MATCH(B237,'ei names mapping'!$A$137:$A$300,0),MATCH(G270,'ei names mapping'!$B$136:$BL$136,0))</f>
        <v>4.0219096360171094E-3</v>
      </c>
      <c r="D270" t="str">
        <f>INDEX('ei names mapping'!$B$104:$BL$133,MATCH(B234,'ei names mapping'!$A$4:$A$33,0),MATCH(G270,'ei names mapping'!$B$3:$BL$3,0))</f>
        <v>kilogram</v>
      </c>
      <c r="E270" t="str">
        <f>INDEX('ei names mapping'!$B$305:$BL$335,MATCH(B234,'ei names mapping'!$A$4:$A$33,0),MATCH(G270,'ei names mapping'!$B$3:$BL$3,0))</f>
        <v>air::urban air close to ground</v>
      </c>
      <c r="F270" t="s">
        <v>167</v>
      </c>
      <c r="G270" t="s">
        <v>57</v>
      </c>
    </row>
    <row r="271" spans="1:8" x14ac:dyDescent="0.2">
      <c r="A271" t="str">
        <f>INDEX('ei names mapping'!$B$4:$BL$33,MATCH(B234,'ei names mapping'!$A$4:$A$33,0),MATCH(G271,'ei names mapping'!$B$3:$BL$3,0))</f>
        <v>Dinitrogen monoxide</v>
      </c>
      <c r="B271" s="7">
        <f>INDEX('vehicles specifications'!$B$3:$CW$166,MATCH(B237,'vehicles specifications'!$A$3:$A$166,0),MATCH(G271,'vehicles specifications'!$B$2:$CW$2,0))*INDEX('ei names mapping'!$B$137:$BL$300,MATCH(B237,'ei names mapping'!$A$137:$A$300,0),MATCH(G271,'ei names mapping'!$B$136:$BL$136,0))</f>
        <v>1.9297766561345895E-6</v>
      </c>
      <c r="D271" t="str">
        <f>INDEX('ei names mapping'!$B$104:$BL$133,MATCH(B234,'ei names mapping'!$A$4:$A$33,0),MATCH(G271,'ei names mapping'!$B$3:$BL$3,0))</f>
        <v>kilogram</v>
      </c>
      <c r="E271" t="str">
        <f>INDEX('ei names mapping'!$B$305:$BL$335,MATCH(B234,'ei names mapping'!$A$4:$A$33,0),MATCH(G271,'ei names mapping'!$B$3:$BL$3,0))</f>
        <v>air::urban air close to ground</v>
      </c>
      <c r="F271" t="s">
        <v>167</v>
      </c>
      <c r="G271" t="s">
        <v>58</v>
      </c>
    </row>
    <row r="272" spans="1:8" x14ac:dyDescent="0.2">
      <c r="A272" t="str">
        <f>INDEX('ei names mapping'!$B$4:$BL$33,MATCH(B234,'ei names mapping'!$A$4:$A$33,0),MATCH(G272,'ei names mapping'!$B$3:$BL$3,0))</f>
        <v>Ammonia</v>
      </c>
      <c r="B272" s="7">
        <f>INDEX('vehicles specifications'!$B$3:$CW$166,MATCH(B237,'vehicles specifications'!$A$3:$A$166,0),MATCH(G272,'vehicles specifications'!$B$2:$CW$2,0))*INDEX('ei names mapping'!$B$137:$BL$300,MATCH(B237,'ei names mapping'!$A$137:$A$300,0),MATCH(G272,'ei names mapping'!$B$136:$BL$136,0))</f>
        <v>1.9297766561345895E-6</v>
      </c>
      <c r="D272" t="str">
        <f>INDEX('ei names mapping'!$B$104:$BL$133,MATCH(B234,'ei names mapping'!$A$4:$A$33,0),MATCH(G272,'ei names mapping'!$B$3:$BL$3,0))</f>
        <v>kilogram</v>
      </c>
      <c r="E272" t="str">
        <f>INDEX('ei names mapping'!$B$305:$BL$335,MATCH(B234,'ei names mapping'!$A$4:$A$33,0),MATCH(G272,'ei names mapping'!$B$3:$BL$3,0))</f>
        <v>air::urban air close to ground</v>
      </c>
      <c r="F272" t="s">
        <v>167</v>
      </c>
      <c r="G272" t="s">
        <v>59</v>
      </c>
    </row>
    <row r="273" spans="1:7" x14ac:dyDescent="0.2">
      <c r="A273" t="str">
        <f>INDEX('ei names mapping'!$B$4:$BL$33,MATCH(B234,'ei names mapping'!$A$4:$A$33,0),MATCH(G273,'ei names mapping'!$B$3:$BL$3,0))</f>
        <v>Nitrogen oxides</v>
      </c>
      <c r="B273" s="7">
        <f>INDEX('vehicles specifications'!$B$3:$CW$166,MATCH(B237,'vehicles specifications'!$A$3:$A$166,0),MATCH(G273,'vehicles specifications'!$B$2:$CW$2,0))*INDEX('ei names mapping'!$B$137:$BL$300,MATCH(B237,'ei names mapping'!$A$137:$A$300,0),MATCH(G273,'ei names mapping'!$B$136:$BL$136,0))</f>
        <v>1.4471531938501332E-4</v>
      </c>
      <c r="D273" t="str">
        <f>INDEX('ei names mapping'!$B$104:$BL$133,MATCH(B234,'ei names mapping'!$A$4:$A$33,0),MATCH(G273,'ei names mapping'!$B$3:$BL$3,0))</f>
        <v>kilogram</v>
      </c>
      <c r="E273" t="str">
        <f>INDEX('ei names mapping'!$B$305:$BL$335,MATCH(B234,'ei names mapping'!$A$4:$A$33,0),MATCH(G273,'ei names mapping'!$B$3:$BL$3,0))</f>
        <v>air::urban air close to ground</v>
      </c>
      <c r="F273" t="s">
        <v>167</v>
      </c>
      <c r="G273" t="s">
        <v>60</v>
      </c>
    </row>
    <row r="274" spans="1:7" x14ac:dyDescent="0.2">
      <c r="A274" t="str">
        <f>INDEX('ei names mapping'!$B$4:$BL$33,MATCH(B234,'ei names mapping'!$A$4:$A$33,0),MATCH(G274,'ei names mapping'!$B$3:$BL$3,0))</f>
        <v>Particulates, &lt; 2.5 um</v>
      </c>
      <c r="B274" s="7">
        <f>INDEX('vehicles specifications'!$B$3:$CW$166,MATCH(B$237,'vehicles specifications'!$A$3:$A$166,0),MATCH(G274,'vehicles specifications'!$B$2:$CW$2,0))*INDEX('ei names mapping'!$B$137:$BL$300,MATCH(B$237,'ei names mapping'!$A$137:$A$300,0),MATCH(G274,'ei names mapping'!$B$136:$BL$136,0))</f>
        <v>1.1082707336180945E-5</v>
      </c>
      <c r="D274" t="str">
        <f>INDEX('ei names mapping'!$B$104:$BL$133,MATCH(B234,'ei names mapping'!$A$4:$A$33,0),MATCH(G274,'ei names mapping'!$B$3:$BL$3,0))</f>
        <v>kilogram</v>
      </c>
      <c r="E274" t="str">
        <f>INDEX('ei names mapping'!$B$305:$BL$335,MATCH(B234,'ei names mapping'!$A$4:$A$33,0),MATCH(G274,'ei names mapping'!$B$3:$BL$3,0))</f>
        <v>air::urban air close to ground</v>
      </c>
      <c r="F274" t="s">
        <v>167</v>
      </c>
      <c r="G274" t="s">
        <v>62</v>
      </c>
    </row>
    <row r="275" spans="1:7" x14ac:dyDescent="0.2">
      <c r="A275" t="str">
        <f>INDEX('ei names mapping'!$B$4:$BL$33,MATCH(B$234,'ei names mapping'!$A$4:$A$33,0),MATCH(G275,'ei names mapping'!$B$3:$BL$3,0))</f>
        <v>NMVOC, non-methane volatile organic compounds, unspecified origin</v>
      </c>
      <c r="B275" s="7">
        <f>INDEX('vehicles specifications'!$B$3:$CW$166,MATCH(B$237,'vehicles specifications'!$A$3:$A$166,0),MATCH(G275,'vehicles specifications'!$B$2:$CW$2,0))*INDEX('ei names mapping'!$B$137:$BL$300,MATCH(B$237,'ei names mapping'!$A$137:$A$300,0),MATCH(G275,'ei names mapping'!$B$136:$BL$136,0))</f>
        <v>6.764621222214276E-4</v>
      </c>
      <c r="D275" t="str">
        <f>INDEX('ei names mapping'!$B$104:$BL$133,MATCH(B$234,'ei names mapping'!$A$4:$A$33,0),MATCH(G275,'ei names mapping'!$B$3:$BL$3,0))</f>
        <v>kilogram</v>
      </c>
      <c r="E275" t="str">
        <f>INDEX('ei names mapping'!$B$305:$BL$335,MATCH(B$234,'ei names mapping'!$A$4:$A$33,0),MATCH(G275,'ei names mapping'!$B$3:$BL$3,0))</f>
        <v>air::urban air close to ground</v>
      </c>
      <c r="F275" t="s">
        <v>167</v>
      </c>
      <c r="G275" t="s">
        <v>593</v>
      </c>
    </row>
    <row r="276" spans="1:7" x14ac:dyDescent="0.2">
      <c r="A276" t="str">
        <f>INDEX('ei names mapping'!$B$4:$BL$33,MATCH(B$234,'ei names mapping'!$A$4:$A$33,0),MATCH(G276,'ei names mapping'!$B$3:$BL$3,0))</f>
        <v>Ethane</v>
      </c>
      <c r="B276" s="7">
        <f>INDEX('vehicles specifications'!$B$3:$CW$166,MATCH(B$237,'vehicles specifications'!$A$3:$A$166,0),MATCH(G276,'vehicles specifications'!$B$2:$CW$2,0))*INDEX('ei names mapping'!$B$137:$BL$300,MATCH(B$237,'ei names mapping'!$A$137:$A$300,0),MATCH(G276,'ei names mapping'!$B$136:$BL$136,0))</f>
        <v>4.7699252207921172E-5</v>
      </c>
      <c r="D276" t="str">
        <f>INDEX('ei names mapping'!$B$104:$BL$133,MATCH(B$234,'ei names mapping'!$A$4:$A$33,0),MATCH(G276,'ei names mapping'!$B$3:$BL$3,0))</f>
        <v>kilogram</v>
      </c>
      <c r="E276" t="str">
        <f>INDEX('ei names mapping'!$B$305:$BL$335,MATCH(B$234,'ei names mapping'!$A$4:$A$33,0),MATCH(G276,'ei names mapping'!$B$3:$BL$3,0))</f>
        <v>air::urban air close to ground</v>
      </c>
      <c r="F276" t="s">
        <v>167</v>
      </c>
      <c r="G276" t="s">
        <v>541</v>
      </c>
    </row>
    <row r="277" spans="1:7" x14ac:dyDescent="0.2">
      <c r="A277" t="str">
        <f>INDEX('ei names mapping'!$B$4:$BL$33,MATCH(B$234,'ei names mapping'!$A$4:$A$33,0),MATCH(G277,'ei names mapping'!$B$3:$BL$3,0))</f>
        <v>Propane</v>
      </c>
      <c r="B277" s="7">
        <f>INDEX('vehicles specifications'!$B$3:$CW$166,MATCH(B$237,'vehicles specifications'!$A$3:$A$166,0),MATCH(G277,'vehicles specifications'!$B$2:$CW$2,0))*INDEX('ei names mapping'!$B$137:$BL$300,MATCH(B$237,'ei names mapping'!$A$137:$A$300,0),MATCH(G277,'ei names mapping'!$B$136:$BL$136,0))</f>
        <v>9.7192833652503956E-6</v>
      </c>
      <c r="D277" t="str">
        <f>INDEX('ei names mapping'!$B$104:$BL$133,MATCH(B$234,'ei names mapping'!$A$4:$A$33,0),MATCH(G277,'ei names mapping'!$B$3:$BL$3,0))</f>
        <v>kilogram</v>
      </c>
      <c r="E277" t="str">
        <f>INDEX('ei names mapping'!$B$305:$BL$335,MATCH(B$234,'ei names mapping'!$A$4:$A$33,0),MATCH(G277,'ei names mapping'!$B$3:$BL$3,0))</f>
        <v>air::urban air close to ground</v>
      </c>
      <c r="F277" t="s">
        <v>167</v>
      </c>
      <c r="G277" t="s">
        <v>542</v>
      </c>
    </row>
    <row r="278" spans="1:7" x14ac:dyDescent="0.2">
      <c r="A278" t="str">
        <f>INDEX('ei names mapping'!$B$4:$BL$33,MATCH(B$234,'ei names mapping'!$A$4:$A$33,0),MATCH(G278,'ei names mapping'!$B$3:$BL$3,0))</f>
        <v>Butane</v>
      </c>
      <c r="B278" s="7">
        <f>INDEX('vehicles specifications'!$B$3:$CW$166,MATCH(B$237,'vehicles specifications'!$A$3:$A$166,0),MATCH(G278,'vehicles specifications'!$B$2:$CW$2,0))*INDEX('ei names mapping'!$B$137:$BL$300,MATCH(B$237,'ei names mapping'!$A$137:$A$300,0),MATCH(G278,'ei names mapping'!$B$136:$BL$136,0))</f>
        <v>7.8352376667557047E-5</v>
      </c>
      <c r="D278" t="str">
        <f>INDEX('ei names mapping'!$B$104:$BL$133,MATCH(B$234,'ei names mapping'!$A$4:$A$33,0),MATCH(G278,'ei names mapping'!$B$3:$BL$3,0))</f>
        <v>kilogram</v>
      </c>
      <c r="E278" t="str">
        <f>INDEX('ei names mapping'!$B$305:$BL$335,MATCH(B$234,'ei names mapping'!$A$4:$A$33,0),MATCH(G278,'ei names mapping'!$B$3:$BL$3,0))</f>
        <v>air::urban air close to ground</v>
      </c>
      <c r="F278" t="s">
        <v>167</v>
      </c>
      <c r="G278" t="s">
        <v>543</v>
      </c>
    </row>
    <row r="279" spans="1:7" x14ac:dyDescent="0.2">
      <c r="A279" t="str">
        <f>INDEX('ei names mapping'!$B$4:$BL$33,MATCH(B$234,'ei names mapping'!$A$4:$A$33,0),MATCH(G279,'ei names mapping'!$B$3:$BL$3,0))</f>
        <v>Pentane</v>
      </c>
      <c r="B279" s="7">
        <f>INDEX('vehicles specifications'!$B$3:$CW$166,MATCH(B$237,'vehicles specifications'!$A$3:$A$166,0),MATCH(G279,'vehicles specifications'!$B$2:$CW$2,0))*INDEX('ei names mapping'!$B$137:$BL$300,MATCH(B$237,'ei names mapping'!$A$137:$A$300,0),MATCH(G279,'ei names mapping'!$B$136:$BL$136,0))</f>
        <v>3.2148398823520539E-5</v>
      </c>
      <c r="D279" t="str">
        <f>INDEX('ei names mapping'!$B$104:$BL$133,MATCH(B$234,'ei names mapping'!$A$4:$A$33,0),MATCH(G279,'ei names mapping'!$B$3:$BL$3,0))</f>
        <v>kilogram</v>
      </c>
      <c r="E279" t="str">
        <f>INDEX('ei names mapping'!$B$305:$BL$335,MATCH(B$234,'ei names mapping'!$A$4:$A$33,0),MATCH(G279,'ei names mapping'!$B$3:$BL$3,0))</f>
        <v>air::urban air close to ground</v>
      </c>
      <c r="F279" t="s">
        <v>167</v>
      </c>
      <c r="G279" t="s">
        <v>544</v>
      </c>
    </row>
    <row r="280" spans="1:7" x14ac:dyDescent="0.2">
      <c r="A280" t="str">
        <f>INDEX('ei names mapping'!$B$4:$BL$33,MATCH(B$234,'ei names mapping'!$A$4:$A$33,0),MATCH(G280,'ei names mapping'!$B$3:$BL$3,0))</f>
        <v>Hexane</v>
      </c>
      <c r="B280" s="7">
        <f>INDEX('vehicles specifications'!$B$3:$CW$166,MATCH(B$237,'vehicles specifications'!$A$3:$A$166,0),MATCH(G280,'vehicles specifications'!$B$2:$CW$2,0))*INDEX('ei names mapping'!$B$137:$BL$300,MATCH(B$237,'ei names mapping'!$A$137:$A$300,0),MATCH(G280,'ei names mapping'!$B$136:$BL$136,0))</f>
        <v>2.4073917258543288E-5</v>
      </c>
      <c r="D280" t="str">
        <f>INDEX('ei names mapping'!$B$104:$BL$133,MATCH(B$234,'ei names mapping'!$A$4:$A$33,0),MATCH(G280,'ei names mapping'!$B$3:$BL$3,0))</f>
        <v>kilogram</v>
      </c>
      <c r="E280" t="str">
        <f>INDEX('ei names mapping'!$B$305:$BL$335,MATCH(B$234,'ei names mapping'!$A$4:$A$33,0),MATCH(G280,'ei names mapping'!$B$3:$BL$3,0))</f>
        <v>air::urban air close to ground</v>
      </c>
      <c r="F280" t="s">
        <v>167</v>
      </c>
      <c r="G280" t="s">
        <v>545</v>
      </c>
    </row>
    <row r="281" spans="1:7" x14ac:dyDescent="0.2">
      <c r="A281" t="str">
        <f>INDEX('ei names mapping'!$B$4:$BL$33,MATCH(B$234,'ei names mapping'!$A$4:$A$33,0),MATCH(G281,'ei names mapping'!$B$3:$BL$3,0))</f>
        <v>Cyclohexane</v>
      </c>
      <c r="B281" s="7">
        <f>INDEX('vehicles specifications'!$B$3:$CW$166,MATCH(B$237,'vehicles specifications'!$A$3:$A$166,0),MATCH(G281,'vehicles specifications'!$B$2:$CW$2,0))*INDEX('ei names mapping'!$B$137:$BL$300,MATCH(B$237,'ei names mapping'!$A$137:$A$300,0),MATCH(G281,'ei names mapping'!$B$136:$BL$136,0))</f>
        <v>1.7046127748285311E-5</v>
      </c>
      <c r="D281" t="str">
        <f>INDEX('ei names mapping'!$B$104:$BL$133,MATCH(B$234,'ei names mapping'!$A$4:$A$33,0),MATCH(G281,'ei names mapping'!$B$3:$BL$3,0))</f>
        <v>kilogram</v>
      </c>
      <c r="E281" t="str">
        <f>INDEX('ei names mapping'!$B$305:$BL$335,MATCH(B$234,'ei names mapping'!$A$4:$A$33,0),MATCH(G281,'ei names mapping'!$B$3:$BL$3,0))</f>
        <v>air::urban air close to ground</v>
      </c>
      <c r="F281" t="s">
        <v>167</v>
      </c>
      <c r="G281" t="s">
        <v>546</v>
      </c>
    </row>
    <row r="282" spans="1:7" x14ac:dyDescent="0.2">
      <c r="A282" t="str">
        <f>INDEX('ei names mapping'!$B$4:$BL$33,MATCH(B$234,'ei names mapping'!$A$4:$A$33,0),MATCH(G282,'ei names mapping'!$B$3:$BL$3,0))</f>
        <v>Heptane</v>
      </c>
      <c r="B282" s="7">
        <f>INDEX('vehicles specifications'!$B$3:$CW$166,MATCH(B$237,'vehicles specifications'!$A$3:$A$166,0),MATCH(G282,'vehicles specifications'!$B$2:$CW$2,0))*INDEX('ei names mapping'!$B$137:$BL$300,MATCH(B$237,'ei names mapping'!$A$137:$A$300,0),MATCH(G282,'ei names mapping'!$B$136:$BL$136,0))</f>
        <v>1.1065030292746605E-5</v>
      </c>
      <c r="D282" t="str">
        <f>INDEX('ei names mapping'!$B$104:$BL$133,MATCH(B$234,'ei names mapping'!$A$4:$A$33,0),MATCH(G282,'ei names mapping'!$B$3:$BL$3,0))</f>
        <v>kilogram</v>
      </c>
      <c r="E282" t="str">
        <f>INDEX('ei names mapping'!$B$305:$BL$335,MATCH(B$234,'ei names mapping'!$A$4:$A$33,0),MATCH(G282,'ei names mapping'!$B$3:$BL$3,0))</f>
        <v>air::urban air close to ground</v>
      </c>
      <c r="F282" t="s">
        <v>167</v>
      </c>
      <c r="G282" t="s">
        <v>547</v>
      </c>
    </row>
    <row r="283" spans="1:7" x14ac:dyDescent="0.2">
      <c r="A283" t="str">
        <f>INDEX('ei names mapping'!$B$4:$BL$33,MATCH(B$234,'ei names mapping'!$A$4:$A$33,0),MATCH(G283,'ei names mapping'!$B$3:$BL$3,0))</f>
        <v>Ethene</v>
      </c>
      <c r="B283" s="7">
        <f>INDEX('vehicles specifications'!$B$3:$CW$166,MATCH(B$237,'vehicles specifications'!$A$3:$A$166,0),MATCH(G283,'vehicles specifications'!$B$2:$CW$2,0))*INDEX('ei names mapping'!$B$137:$BL$300,MATCH(B$237,'ei names mapping'!$A$137:$A$300,0),MATCH(G283,'ei names mapping'!$B$136:$BL$136,0))</f>
        <v>1.0915502856358137E-4</v>
      </c>
      <c r="D283" t="str">
        <f>INDEX('ei names mapping'!$B$104:$BL$133,MATCH(B$234,'ei names mapping'!$A$4:$A$33,0),MATCH(G283,'ei names mapping'!$B$3:$BL$3,0))</f>
        <v>kilogram</v>
      </c>
      <c r="E283" t="str">
        <f>INDEX('ei names mapping'!$B$305:$BL$335,MATCH(B$234,'ei names mapping'!$A$4:$A$33,0),MATCH(G283,'ei names mapping'!$B$3:$BL$3,0))</f>
        <v>air::urban air close to ground</v>
      </c>
      <c r="F283" t="s">
        <v>167</v>
      </c>
      <c r="G283" t="s">
        <v>548</v>
      </c>
    </row>
    <row r="284" spans="1:7" x14ac:dyDescent="0.2">
      <c r="A284" t="str">
        <f>INDEX('ei names mapping'!$B$4:$BL$33,MATCH(B$234,'ei names mapping'!$A$4:$A$33,0),MATCH(G284,'ei names mapping'!$B$3:$BL$3,0))</f>
        <v>Propene</v>
      </c>
      <c r="B284" s="7">
        <f>INDEX('vehicles specifications'!$B$3:$CW$166,MATCH(B$237,'vehicles specifications'!$A$3:$A$166,0),MATCH(G284,'vehicles specifications'!$B$2:$CW$2,0))*INDEX('ei names mapping'!$B$137:$BL$300,MATCH(B$237,'ei names mapping'!$A$137:$A$300,0),MATCH(G284,'ei names mapping'!$B$136:$BL$136,0))</f>
        <v>5.711948070039463E-5</v>
      </c>
      <c r="D284" t="str">
        <f>INDEX('ei names mapping'!$B$104:$BL$133,MATCH(B$234,'ei names mapping'!$A$4:$A$33,0),MATCH(G284,'ei names mapping'!$B$3:$BL$3,0))</f>
        <v>kilogram</v>
      </c>
      <c r="E284" t="str">
        <f>INDEX('ei names mapping'!$B$305:$BL$335,MATCH(B$234,'ei names mapping'!$A$4:$A$33,0),MATCH(G284,'ei names mapping'!$B$3:$BL$3,0))</f>
        <v>air::urban air close to ground</v>
      </c>
      <c r="F284" t="s">
        <v>167</v>
      </c>
      <c r="G284" t="s">
        <v>549</v>
      </c>
    </row>
    <row r="285" spans="1:7" x14ac:dyDescent="0.2">
      <c r="A285" t="str">
        <f>INDEX('ei names mapping'!$B$4:$BL$33,MATCH(B$234,'ei names mapping'!$A$4:$A$33,0),MATCH(G285,'ei names mapping'!$B$3:$BL$3,0))</f>
        <v>1-Pentene</v>
      </c>
      <c r="B285" s="7">
        <f>INDEX('vehicles specifications'!$B$3:$CW$166,MATCH(B$237,'vehicles specifications'!$A$3:$A$166,0),MATCH(G285,'vehicles specifications'!$B$2:$CW$2,0))*INDEX('ei names mapping'!$B$137:$BL$300,MATCH(B$237,'ei names mapping'!$A$137:$A$300,0),MATCH(G285,'ei names mapping'!$B$136:$BL$136,0))</f>
        <v>1.6448018002731441E-6</v>
      </c>
      <c r="D285" t="str">
        <f>INDEX('ei names mapping'!$B$104:$BL$133,MATCH(B$234,'ei names mapping'!$A$4:$A$33,0),MATCH(G285,'ei names mapping'!$B$3:$BL$3,0))</f>
        <v>kilogram</v>
      </c>
      <c r="E285" t="str">
        <f>INDEX('ei names mapping'!$B$305:$BL$335,MATCH(B$234,'ei names mapping'!$A$4:$A$33,0),MATCH(G285,'ei names mapping'!$B$3:$BL$3,0))</f>
        <v>air::urban air close to ground</v>
      </c>
      <c r="F285" t="s">
        <v>167</v>
      </c>
      <c r="G285" t="s">
        <v>550</v>
      </c>
    </row>
    <row r="286" spans="1:7" x14ac:dyDescent="0.2">
      <c r="A286" t="str">
        <f>INDEX('ei names mapping'!$B$4:$BL$33,MATCH(B$234,'ei names mapping'!$A$4:$A$33,0),MATCH(G286,'ei names mapping'!$B$3:$BL$3,0))</f>
        <v>Toluene</v>
      </c>
      <c r="B286" s="7">
        <f>INDEX('vehicles specifications'!$B$3:$CW$166,MATCH(B$237,'vehicles specifications'!$A$3:$A$166,0),MATCH(G286,'vehicles specifications'!$B$2:$CW$2,0))*INDEX('ei names mapping'!$B$137:$BL$300,MATCH(B$237,'ei names mapping'!$A$137:$A$300,0),MATCH(G286,'ei names mapping'!$B$136:$BL$136,0))</f>
        <v>1.6418112515453746E-4</v>
      </c>
      <c r="D286" t="str">
        <f>INDEX('ei names mapping'!$B$104:$BL$133,MATCH(B$234,'ei names mapping'!$A$4:$A$33,0),MATCH(G286,'ei names mapping'!$B$3:$BL$3,0))</f>
        <v>kilogram</v>
      </c>
      <c r="E286" t="str">
        <f>INDEX('ei names mapping'!$B$305:$BL$335,MATCH(B$234,'ei names mapping'!$A$4:$A$33,0),MATCH(G286,'ei names mapping'!$B$3:$BL$3,0))</f>
        <v>air::urban air close to ground</v>
      </c>
      <c r="F286" t="s">
        <v>167</v>
      </c>
      <c r="G286" t="s">
        <v>551</v>
      </c>
    </row>
    <row r="287" spans="1:7" x14ac:dyDescent="0.2">
      <c r="A287" t="str">
        <f>INDEX('ei names mapping'!$B$4:$BL$33,MATCH(B$234,'ei names mapping'!$A$4:$A$33,0),MATCH(G287,'ei names mapping'!$B$3:$BL$3,0))</f>
        <v>m-Xylene</v>
      </c>
      <c r="B287" s="7">
        <f>INDEX('vehicles specifications'!$B$3:$CW$166,MATCH(B$237,'vehicles specifications'!$A$3:$A$166,0),MATCH(G287,'vehicles specifications'!$B$2:$CW$2,0))*INDEX('ei names mapping'!$B$137:$BL$300,MATCH(B$237,'ei names mapping'!$A$137:$A$300,0),MATCH(G287,'ei names mapping'!$B$136:$BL$136,0))</f>
        <v>8.1193397958937932E-5</v>
      </c>
      <c r="D287" t="str">
        <f>INDEX('ei names mapping'!$B$104:$BL$133,MATCH(B$234,'ei names mapping'!$A$4:$A$33,0),MATCH(G287,'ei names mapping'!$B$3:$BL$3,0))</f>
        <v>kilogram</v>
      </c>
      <c r="E287" t="str">
        <f>INDEX('ei names mapping'!$B$305:$BL$335,MATCH(B$234,'ei names mapping'!$A$4:$A$33,0),MATCH(G287,'ei names mapping'!$B$3:$BL$3,0))</f>
        <v>air::urban air close to ground</v>
      </c>
      <c r="F287" t="s">
        <v>167</v>
      </c>
      <c r="G287" t="s">
        <v>552</v>
      </c>
    </row>
    <row r="288" spans="1:7" x14ac:dyDescent="0.2">
      <c r="A288" t="str">
        <f>INDEX('ei names mapping'!$B$4:$BL$33,MATCH(B$234,'ei names mapping'!$A$4:$A$33,0),MATCH(G288,'ei names mapping'!$B$3:$BL$3,0))</f>
        <v>o-Xylene</v>
      </c>
      <c r="B288" s="7">
        <f>INDEX('vehicles specifications'!$B$3:$CW$166,MATCH(B$237,'vehicles specifications'!$A$3:$A$166,0),MATCH(G288,'vehicles specifications'!$B$2:$CW$2,0))*INDEX('ei names mapping'!$B$137:$BL$300,MATCH(B$237,'ei names mapping'!$A$137:$A$300,0),MATCH(G288,'ei names mapping'!$B$136:$BL$136,0))</f>
        <v>3.3793200623793681E-5</v>
      </c>
      <c r="D288" t="str">
        <f>INDEX('ei names mapping'!$B$104:$BL$133,MATCH(B$234,'ei names mapping'!$A$4:$A$33,0),MATCH(G288,'ei names mapping'!$B$3:$BL$3,0))</f>
        <v>kilogram</v>
      </c>
      <c r="E288" t="str">
        <f>INDEX('ei names mapping'!$B$305:$BL$335,MATCH(B$234,'ei names mapping'!$A$4:$A$33,0),MATCH(G288,'ei names mapping'!$B$3:$BL$3,0))</f>
        <v>air::urban air close to ground</v>
      </c>
      <c r="F288" t="s">
        <v>167</v>
      </c>
      <c r="G288" t="s">
        <v>553</v>
      </c>
    </row>
    <row r="289" spans="1:7" x14ac:dyDescent="0.2">
      <c r="A289" t="str">
        <f>INDEX('ei names mapping'!$B$4:$BL$33,MATCH(B$234,'ei names mapping'!$A$4:$A$33,0),MATCH(G289,'ei names mapping'!$B$3:$BL$3,0))</f>
        <v>Formaldehyde</v>
      </c>
      <c r="B289" s="7">
        <f>INDEX('vehicles specifications'!$B$3:$CW$166,MATCH(B$237,'vehicles specifications'!$A$3:$A$166,0),MATCH(G289,'vehicles specifications'!$B$2:$CW$2,0))*INDEX('ei names mapping'!$B$137:$BL$300,MATCH(B$237,'ei names mapping'!$A$137:$A$300,0),MATCH(G289,'ei names mapping'!$B$136:$BL$136,0))</f>
        <v>2.5419664186039499E-5</v>
      </c>
      <c r="D289" t="str">
        <f>INDEX('ei names mapping'!$B$104:$BL$133,MATCH(B$234,'ei names mapping'!$A$4:$A$33,0),MATCH(G289,'ei names mapping'!$B$3:$BL$3,0))</f>
        <v>kilogram</v>
      </c>
      <c r="E289" t="str">
        <f>INDEX('ei names mapping'!$B$305:$BL$335,MATCH(B$234,'ei names mapping'!$A$4:$A$33,0),MATCH(G289,'ei names mapping'!$B$3:$BL$3,0))</f>
        <v>air::urban air close to ground</v>
      </c>
      <c r="F289" t="s">
        <v>167</v>
      </c>
      <c r="G289" t="s">
        <v>554</v>
      </c>
    </row>
    <row r="290" spans="1:7" x14ac:dyDescent="0.2">
      <c r="A290" t="str">
        <f>INDEX('ei names mapping'!$B$4:$BL$33,MATCH(B$234,'ei names mapping'!$A$4:$A$33,0),MATCH(G290,'ei names mapping'!$B$3:$BL$3,0))</f>
        <v>Acetaldehyde</v>
      </c>
      <c r="B290" s="7">
        <f>INDEX('vehicles specifications'!$B$3:$CW$166,MATCH(B$237,'vehicles specifications'!$A$3:$A$166,0),MATCH(G290,'vehicles specifications'!$B$2:$CW$2,0))*INDEX('ei names mapping'!$B$137:$BL$300,MATCH(B$237,'ei names mapping'!$A$137:$A$300,0),MATCH(G290,'ei names mapping'!$B$136:$BL$136,0))</f>
        <v>1.1214557729135072E-5</v>
      </c>
      <c r="D290" t="str">
        <f>INDEX('ei names mapping'!$B$104:$BL$133,MATCH(B$234,'ei names mapping'!$A$4:$A$33,0),MATCH(G290,'ei names mapping'!$B$3:$BL$3,0))</f>
        <v>kilogram</v>
      </c>
      <c r="E290" t="str">
        <f>INDEX('ei names mapping'!$B$305:$BL$335,MATCH(B$234,'ei names mapping'!$A$4:$A$33,0),MATCH(G290,'ei names mapping'!$B$3:$BL$3,0))</f>
        <v>air::urban air close to ground</v>
      </c>
      <c r="F290" t="s">
        <v>167</v>
      </c>
      <c r="G290" t="s">
        <v>555</v>
      </c>
    </row>
    <row r="291" spans="1:7" x14ac:dyDescent="0.2">
      <c r="A291" t="str">
        <f>INDEX('ei names mapping'!$B$4:$BL$33,MATCH(B$234,'ei names mapping'!$A$4:$A$33,0),MATCH(G291,'ei names mapping'!$B$3:$BL$3,0))</f>
        <v>Benzaldehyde</v>
      </c>
      <c r="B291" s="7">
        <f>INDEX('vehicles specifications'!$B$3:$CW$166,MATCH(B$237,'vehicles specifications'!$A$3:$A$166,0),MATCH(G291,'vehicles specifications'!$B$2:$CW$2,0))*INDEX('ei names mapping'!$B$137:$BL$300,MATCH(B$237,'ei names mapping'!$A$137:$A$300,0),MATCH(G291,'ei names mapping'!$B$136:$BL$136,0))</f>
        <v>3.2896036005462881E-6</v>
      </c>
      <c r="D291" t="str">
        <f>INDEX('ei names mapping'!$B$104:$BL$133,MATCH(B$234,'ei names mapping'!$A$4:$A$33,0),MATCH(G291,'ei names mapping'!$B$3:$BL$3,0))</f>
        <v>kilogram</v>
      </c>
      <c r="E291" t="str">
        <f>INDEX('ei names mapping'!$B$305:$BL$335,MATCH(B$234,'ei names mapping'!$A$4:$A$33,0),MATCH(G291,'ei names mapping'!$B$3:$BL$3,0))</f>
        <v>air::urban air close to ground</v>
      </c>
      <c r="F291" t="s">
        <v>167</v>
      </c>
      <c r="G291" t="s">
        <v>556</v>
      </c>
    </row>
    <row r="292" spans="1:7" x14ac:dyDescent="0.2">
      <c r="A292" t="str">
        <f>INDEX('ei names mapping'!$B$4:$BL$33,MATCH(B$234,'ei names mapping'!$A$4:$A$33,0),MATCH(G292,'ei names mapping'!$B$3:$BL$3,0))</f>
        <v>Acetone</v>
      </c>
      <c r="B292" s="7">
        <f>INDEX('vehicles specifications'!$B$3:$CW$166,MATCH(B$237,'vehicles specifications'!$A$3:$A$166,0),MATCH(G292,'vehicles specifications'!$B$2:$CW$2,0))*INDEX('ei names mapping'!$B$137:$BL$300,MATCH(B$237,'ei names mapping'!$A$137:$A$300,0),MATCH(G292,'ei names mapping'!$B$136:$BL$136,0))</f>
        <v>9.1211736196965272E-6</v>
      </c>
      <c r="D292" t="str">
        <f>INDEX('ei names mapping'!$B$104:$BL$133,MATCH(B$234,'ei names mapping'!$A$4:$A$33,0),MATCH(G292,'ei names mapping'!$B$3:$BL$3,0))</f>
        <v>kilogram</v>
      </c>
      <c r="E292" t="str">
        <f>INDEX('ei names mapping'!$B$305:$BL$335,MATCH(B$234,'ei names mapping'!$A$4:$A$33,0),MATCH(G292,'ei names mapping'!$B$3:$BL$3,0))</f>
        <v>air::urban air close to ground</v>
      </c>
      <c r="F292" t="s">
        <v>167</v>
      </c>
      <c r="G292" t="s">
        <v>557</v>
      </c>
    </row>
    <row r="293" spans="1:7" x14ac:dyDescent="0.2">
      <c r="A293" t="str">
        <f>INDEX('ei names mapping'!$B$4:$BL$33,MATCH(B$234,'ei names mapping'!$A$4:$A$33,0),MATCH(G293,'ei names mapping'!$B$3:$BL$3,0))</f>
        <v>Methyl ethyl ketone</v>
      </c>
      <c r="B293" s="7">
        <f>INDEX('vehicles specifications'!$B$3:$CW$166,MATCH(B$237,'vehicles specifications'!$A$3:$A$166,0),MATCH(G293,'vehicles specifications'!$B$2:$CW$2,0))*INDEX('ei names mapping'!$B$137:$BL$300,MATCH(B$237,'ei names mapping'!$A$137:$A$300,0),MATCH(G293,'ei names mapping'!$B$136:$BL$136,0))</f>
        <v>0</v>
      </c>
      <c r="D293" t="str">
        <f>INDEX('ei names mapping'!$B$104:$BL$133,MATCH(B$234,'ei names mapping'!$A$4:$A$33,0),MATCH(G293,'ei names mapping'!$B$3:$BL$3,0))</f>
        <v>kilogram</v>
      </c>
      <c r="E293" t="str">
        <f>INDEX('ei names mapping'!$B$305:$BL$335,MATCH(B$234,'ei names mapping'!$A$4:$A$33,0),MATCH(G293,'ei names mapping'!$B$3:$BL$3,0))</f>
        <v>air::urban air close to ground</v>
      </c>
      <c r="F293" t="s">
        <v>167</v>
      </c>
      <c r="G293" t="s">
        <v>560</v>
      </c>
    </row>
    <row r="294" spans="1:7" x14ac:dyDescent="0.2">
      <c r="A294" t="str">
        <f>INDEX('ei names mapping'!$B$4:$BL$33,MATCH(B$234,'ei names mapping'!$A$4:$A$33,0),MATCH(G294,'ei names mapping'!$B$3:$BL$3,0))</f>
        <v>Acrolein</v>
      </c>
      <c r="B294" s="7">
        <f>INDEX('vehicles specifications'!$B$3:$CW$166,MATCH(B$237,'vehicles specifications'!$A$3:$A$166,0),MATCH(G294,'vehicles specifications'!$B$2:$CW$2,0))*INDEX('ei names mapping'!$B$137:$BL$300,MATCH(B$237,'ei names mapping'!$A$137:$A$300,0),MATCH(G294,'ei names mapping'!$B$136:$BL$136,0))</f>
        <v>2.8410212913808851E-6</v>
      </c>
      <c r="D294" t="str">
        <f>INDEX('ei names mapping'!$B$104:$BL$133,MATCH(B$234,'ei names mapping'!$A$4:$A$33,0),MATCH(G294,'ei names mapping'!$B$3:$BL$3,0))</f>
        <v>kilogram</v>
      </c>
      <c r="E294" t="str">
        <f>INDEX('ei names mapping'!$B$305:$BL$335,MATCH(B$234,'ei names mapping'!$A$4:$A$33,0),MATCH(G294,'ei names mapping'!$B$3:$BL$3,0))</f>
        <v>air::urban air close to ground</v>
      </c>
      <c r="F294" t="s">
        <v>167</v>
      </c>
      <c r="G294" t="s">
        <v>558</v>
      </c>
    </row>
    <row r="295" spans="1:7" x14ac:dyDescent="0.2">
      <c r="A295" t="str">
        <f>INDEX('ei names mapping'!$B$4:$BL$33,MATCH(B$234,'ei names mapping'!$A$4:$A$33,0),MATCH(G295,'ei names mapping'!$B$3:$BL$3,0))</f>
        <v>Styrene</v>
      </c>
      <c r="B295" s="7">
        <f>INDEX('vehicles specifications'!$B$3:$CW$166,MATCH(B$237,'vehicles specifications'!$A$3:$A$166,0),MATCH(G295,'vehicles specifications'!$B$2:$CW$2,0))*INDEX('ei names mapping'!$B$137:$BL$300,MATCH(B$237,'ei names mapping'!$A$137:$A$300,0),MATCH(G295,'ei names mapping'!$B$136:$BL$136,0))</f>
        <v>1.5102271075235228E-5</v>
      </c>
      <c r="D295" t="str">
        <f>INDEX('ei names mapping'!$B$104:$BL$133,MATCH(B$234,'ei names mapping'!$A$4:$A$33,0),MATCH(G295,'ei names mapping'!$B$3:$BL$3,0))</f>
        <v>kilogram</v>
      </c>
      <c r="E295" t="str">
        <f>INDEX('ei names mapping'!$B$305:$BL$335,MATCH(B$234,'ei names mapping'!$A$4:$A$33,0),MATCH(G295,'ei names mapping'!$B$3:$BL$3,0))</f>
        <v>air::urban air close to ground</v>
      </c>
      <c r="F295" t="s">
        <v>167</v>
      </c>
      <c r="G295" t="s">
        <v>559</v>
      </c>
    </row>
    <row r="296" spans="1:7" x14ac:dyDescent="0.2">
      <c r="A296" t="str">
        <f>INDEX('ei names mapping'!$B$4:$BL$33,MATCH(B$234,'ei names mapping'!$A$4:$A$33,0),MATCH(G296,'ei names mapping'!$B$3:$BL$3,0))</f>
        <v>PAH, polycyclic aromatic hydrocarbons</v>
      </c>
      <c r="B296" s="7">
        <f>INDEX('vehicles specifications'!$B$3:$CW$166,MATCH(B$237,'vehicles specifications'!$A$3:$A$166,0),MATCH(G296,'vehicles specifications'!$B$2:$CW$2,0))*INDEX('ei names mapping'!$B$137:$BL$300,MATCH(B$237,'ei names mapping'!$A$137:$A$300,0),MATCH(G296,'ei names mapping'!$B$136:$BL$136,0))</f>
        <v>1.1296787132386129E-9</v>
      </c>
      <c r="D296" t="str">
        <f>INDEX('ei names mapping'!$B$104:$BL$133,MATCH(B$234,'ei names mapping'!$A$4:$A$33,0),MATCH(G296,'ei names mapping'!$B$3:$BL$3,0))</f>
        <v>kilogram</v>
      </c>
      <c r="E296" t="str">
        <f>INDEX('ei names mapping'!$B$305:$BL$335,MATCH(B$234,'ei names mapping'!$A$4:$A$33,0),MATCH(G296,'ei names mapping'!$B$3:$BL$3,0))</f>
        <v>air::urban air close to ground</v>
      </c>
      <c r="F296" t="s">
        <v>167</v>
      </c>
      <c r="G296" t="s">
        <v>561</v>
      </c>
    </row>
    <row r="297" spans="1:7" x14ac:dyDescent="0.2">
      <c r="A297" t="str">
        <f>INDEX('ei names mapping'!$B$4:$BL$33,MATCH(B$234,'ei names mapping'!$A$4:$A$33,0),MATCH(G297,'ei names mapping'!$B$3:$BL$3,0))</f>
        <v>Arsenic</v>
      </c>
      <c r="B297" s="7">
        <f>INDEX('vehicles specifications'!$B$3:$CW$166,MATCH(B$237,'vehicles specifications'!$A$3:$A$166,0),MATCH(G297,'vehicles specifications'!$B$2:$CW$2,0))*INDEX('ei names mapping'!$B$137:$BL$300,MATCH(B$237,'ei names mapping'!$A$137:$A$300,0),MATCH(G297,'ei names mapping'!$B$136:$BL$136,0))</f>
        <v>9.7386095968845943E-12</v>
      </c>
      <c r="D297" t="str">
        <f>INDEX('ei names mapping'!$B$104:$BL$133,MATCH(B$234,'ei names mapping'!$A$4:$A$33,0),MATCH(G297,'ei names mapping'!$B$3:$BL$3,0))</f>
        <v>kilogram</v>
      </c>
      <c r="E297" t="str">
        <f>INDEX('ei names mapping'!$B$305:$BL$335,MATCH(B$234,'ei names mapping'!$A$4:$A$33,0),MATCH(G297,'ei names mapping'!$B$3:$BL$3,0))</f>
        <v>air::urban air close to ground</v>
      </c>
      <c r="F297" t="s">
        <v>167</v>
      </c>
      <c r="G297" t="s">
        <v>562</v>
      </c>
    </row>
    <row r="298" spans="1:7" x14ac:dyDescent="0.2">
      <c r="A298" t="str">
        <f>INDEX('ei names mapping'!$B$4:$BL$33,MATCH(B$234,'ei names mapping'!$A$4:$A$33,0),MATCH(G298,'ei names mapping'!$B$3:$BL$3,0))</f>
        <v>Selenium</v>
      </c>
      <c r="B298" s="7">
        <f>INDEX('vehicles specifications'!$B$3:$CW$166,MATCH(B$237,'vehicles specifications'!$A$3:$A$166,0),MATCH(G298,'vehicles specifications'!$B$2:$CW$2,0))*INDEX('ei names mapping'!$B$137:$BL$300,MATCH(B$237,'ei names mapping'!$A$137:$A$300,0),MATCH(G298,'ei names mapping'!$B$136:$BL$136,0))</f>
        <v>6.4924063979230623E-12</v>
      </c>
      <c r="D298" t="str">
        <f>INDEX('ei names mapping'!$B$104:$BL$133,MATCH(B$234,'ei names mapping'!$A$4:$A$33,0),MATCH(G298,'ei names mapping'!$B$3:$BL$3,0))</f>
        <v>kilogram</v>
      </c>
      <c r="E298" t="str">
        <f>INDEX('ei names mapping'!$B$305:$BL$335,MATCH(B$234,'ei names mapping'!$A$4:$A$33,0),MATCH(G298,'ei names mapping'!$B$3:$BL$3,0))</f>
        <v>air::urban air close to ground</v>
      </c>
      <c r="F298" t="s">
        <v>167</v>
      </c>
      <c r="G298" t="s">
        <v>563</v>
      </c>
    </row>
    <row r="299" spans="1:7" x14ac:dyDescent="0.2">
      <c r="A299" t="str">
        <f>INDEX('ei names mapping'!$B$4:$BL$33,MATCH(B$234,'ei names mapping'!$A$4:$A$33,0),MATCH(G299,'ei names mapping'!$B$3:$BL$3,0))</f>
        <v>Zinc</v>
      </c>
      <c r="B299" s="7">
        <f>INDEX('vehicles specifications'!$B$3:$CW$166,MATCH(B$237,'vehicles specifications'!$A$3:$A$166,0),MATCH(G299,'vehicles specifications'!$B$2:$CW$2,0))*INDEX('ei names mapping'!$B$137:$BL$300,MATCH(B$237,'ei names mapping'!$A$137:$A$300,0),MATCH(G299,'ei names mapping'!$B$136:$BL$136,0))</f>
        <v>7.0117989097569083E-8</v>
      </c>
      <c r="D299" t="str">
        <f>INDEX('ei names mapping'!$B$104:$BL$133,MATCH(B$234,'ei names mapping'!$A$4:$A$33,0),MATCH(G299,'ei names mapping'!$B$3:$BL$3,0))</f>
        <v>kilogram</v>
      </c>
      <c r="E299" t="str">
        <f>INDEX('ei names mapping'!$B$305:$BL$335,MATCH(B$234,'ei names mapping'!$A$4:$A$33,0),MATCH(G299,'ei names mapping'!$B$3:$BL$3,0))</f>
        <v>air::urban air close to ground</v>
      </c>
      <c r="F299" t="s">
        <v>167</v>
      </c>
      <c r="G299" t="s">
        <v>564</v>
      </c>
    </row>
    <row r="300" spans="1:7" x14ac:dyDescent="0.2">
      <c r="A300" t="str">
        <f>INDEX('ei names mapping'!$B$4:$BL$33,MATCH(B$234,'ei names mapping'!$A$4:$A$33,0),MATCH(G300,'ei names mapping'!$B$3:$BL$3,0))</f>
        <v>Copper</v>
      </c>
      <c r="B300" s="7">
        <f>INDEX('vehicles specifications'!$B$3:$CW$166,MATCH(B$237,'vehicles specifications'!$A$3:$A$166,0),MATCH(G300,'vehicles specifications'!$B$2:$CW$2,0))*INDEX('ei names mapping'!$B$137:$BL$300,MATCH(B$237,'ei names mapping'!$A$137:$A$300,0),MATCH(G300,'ei names mapping'!$B$136:$BL$136,0))</f>
        <v>1.363405343563843E-9</v>
      </c>
      <c r="D300" t="str">
        <f>INDEX('ei names mapping'!$B$104:$BL$133,MATCH(B$234,'ei names mapping'!$A$4:$A$33,0),MATCH(G300,'ei names mapping'!$B$3:$BL$3,0))</f>
        <v>kilogram</v>
      </c>
      <c r="E300" t="str">
        <f>INDEX('ei names mapping'!$B$305:$BL$335,MATCH(B$234,'ei names mapping'!$A$4:$A$33,0),MATCH(G300,'ei names mapping'!$B$3:$BL$3,0))</f>
        <v>air::urban air close to ground</v>
      </c>
      <c r="F300" t="s">
        <v>167</v>
      </c>
      <c r="G300" t="s">
        <v>522</v>
      </c>
    </row>
    <row r="301" spans="1:7" x14ac:dyDescent="0.2">
      <c r="A301" t="str">
        <f>INDEX('ei names mapping'!$B$4:$BL$33,MATCH(B$234,'ei names mapping'!$A$4:$A$33,0),MATCH(G301,'ei names mapping'!$B$3:$BL$3,0))</f>
        <v>Nickel</v>
      </c>
      <c r="B301" s="7">
        <f>INDEX('vehicles specifications'!$B$3:$CW$166,MATCH(B$237,'vehicles specifications'!$A$3:$A$166,0),MATCH(G301,'vehicles specifications'!$B$2:$CW$2,0))*INDEX('ei names mapping'!$B$137:$BL$300,MATCH(B$237,'ei names mapping'!$A$137:$A$300,0),MATCH(G301,'ei names mapping'!$B$136:$BL$136,0))</f>
        <v>4.2200641586499908E-10</v>
      </c>
      <c r="D301" t="str">
        <f>INDEX('ei names mapping'!$B$104:$BL$133,MATCH(B$234,'ei names mapping'!$A$4:$A$33,0),MATCH(G301,'ei names mapping'!$B$3:$BL$3,0))</f>
        <v>kilogram</v>
      </c>
      <c r="E301" t="str">
        <f>INDEX('ei names mapping'!$B$305:$BL$335,MATCH(B$234,'ei names mapping'!$A$4:$A$33,0),MATCH(G301,'ei names mapping'!$B$3:$BL$3,0))</f>
        <v>air::urban air close to ground</v>
      </c>
      <c r="F301" t="s">
        <v>167</v>
      </c>
      <c r="G301" t="s">
        <v>524</v>
      </c>
    </row>
    <row r="302" spans="1:7" x14ac:dyDescent="0.2">
      <c r="A302" t="str">
        <f>INDEX('ei names mapping'!$B$4:$BL$33,MATCH(B$234,'ei names mapping'!$A$4:$A$33,0),MATCH(G302,'ei names mapping'!$B$3:$BL$3,0))</f>
        <v>Chromium</v>
      </c>
      <c r="B302" s="7">
        <f>INDEX('vehicles specifications'!$B$3:$CW$166,MATCH(B$237,'vehicles specifications'!$A$3:$A$166,0),MATCH(G302,'vehicles specifications'!$B$2:$CW$2,0))*INDEX('ei names mapping'!$B$137:$BL$300,MATCH(B$237,'ei names mapping'!$A$137:$A$300,0),MATCH(G302,'ei names mapping'!$B$136:$BL$136,0))</f>
        <v>5.1939251183384506E-10</v>
      </c>
      <c r="D302" t="str">
        <f>INDEX('ei names mapping'!$B$104:$BL$133,MATCH(B$234,'ei names mapping'!$A$4:$A$33,0),MATCH(G302,'ei names mapping'!$B$3:$BL$3,0))</f>
        <v>kilogram</v>
      </c>
      <c r="E302" t="str">
        <f>INDEX('ei names mapping'!$B$305:$BL$335,MATCH(B$234,'ei names mapping'!$A$4:$A$33,0),MATCH(G302,'ei names mapping'!$B$3:$BL$3,0))</f>
        <v>air::urban air close to ground</v>
      </c>
      <c r="F302" t="s">
        <v>167</v>
      </c>
      <c r="G302" t="s">
        <v>523</v>
      </c>
    </row>
    <row r="303" spans="1:7" x14ac:dyDescent="0.2">
      <c r="A303" t="str">
        <f>INDEX('ei names mapping'!$B$4:$BL$33,MATCH(B$234,'ei names mapping'!$A$4:$A$33,0),MATCH(G303,'ei names mapping'!$B$3:$BL$3,0))</f>
        <v>Chromium VI</v>
      </c>
      <c r="B303" s="7">
        <f>INDEX('vehicles specifications'!$B$3:$CW$166,MATCH(B$237,'vehicles specifications'!$A$3:$A$166,0),MATCH(G303,'vehicles specifications'!$B$2:$CW$2,0))*INDEX('ei names mapping'!$B$137:$BL$300,MATCH(B$237,'ei names mapping'!$A$137:$A$300,0),MATCH(G303,'ei names mapping'!$B$136:$BL$136,0))</f>
        <v>1.0387850236676899E-12</v>
      </c>
      <c r="D303" t="str">
        <f>INDEX('ei names mapping'!$B$104:$BL$133,MATCH(B$234,'ei names mapping'!$A$4:$A$33,0),MATCH(G303,'ei names mapping'!$B$3:$BL$3,0))</f>
        <v>kilogram</v>
      </c>
      <c r="E303" t="str">
        <f>INDEX('ei names mapping'!$B$305:$BL$335,MATCH(B$234,'ei names mapping'!$A$4:$A$33,0),MATCH(G303,'ei names mapping'!$B$3:$BL$3,0))</f>
        <v>air::urban air close to ground</v>
      </c>
      <c r="F303" t="s">
        <v>167</v>
      </c>
      <c r="G303" t="s">
        <v>567</v>
      </c>
    </row>
    <row r="304" spans="1:7" x14ac:dyDescent="0.2">
      <c r="A304" t="str">
        <f>INDEX('ei names mapping'!$B$4:$BL$33,MATCH(B$234,'ei names mapping'!$A$4:$A$33,0),MATCH(G304,'ei names mapping'!$B$3:$BL$3,0))</f>
        <v>Mercury</v>
      </c>
      <c r="B304" s="7">
        <f>INDEX('vehicles specifications'!$B$3:$CW$166,MATCH(B$237,'vehicles specifications'!$A$3:$A$166,0),MATCH(G304,'vehicles specifications'!$B$2:$CW$2,0))*INDEX('ei names mapping'!$B$137:$BL$300,MATCH(B$237,'ei names mapping'!$A$137:$A$300,0),MATCH(G304,'ei names mapping'!$B$136:$BL$136,0))</f>
        <v>2.8241967830965323E-10</v>
      </c>
      <c r="D304" t="str">
        <f>INDEX('ei names mapping'!$B$104:$BL$133,MATCH(B$234,'ei names mapping'!$A$4:$A$33,0),MATCH(G304,'ei names mapping'!$B$3:$BL$3,0))</f>
        <v>kilogram</v>
      </c>
      <c r="E304" t="str">
        <f>INDEX('ei names mapping'!$B$305:$BL$335,MATCH(B$234,'ei names mapping'!$A$4:$A$33,0),MATCH(G304,'ei names mapping'!$B$3:$BL$3,0))</f>
        <v>air::urban air close to ground</v>
      </c>
      <c r="F304" t="s">
        <v>167</v>
      </c>
      <c r="G304" t="s">
        <v>565</v>
      </c>
    </row>
    <row r="305" spans="1:8" x14ac:dyDescent="0.2">
      <c r="A305" t="str">
        <f>INDEX('ei names mapping'!$B$4:$BL$33,MATCH(B$234,'ei names mapping'!$A$4:$A$33,0),MATCH(G305,'ei names mapping'!$B$3:$BL$3,0))</f>
        <v>Cadmium</v>
      </c>
      <c r="B305" s="7">
        <f>INDEX('vehicles specifications'!$B$3:$CW$166,MATCH(B$237,'vehicles specifications'!$A$3:$A$166,0),MATCH(G305,'vehicles specifications'!$B$2:$CW$2,0))*INDEX('ei names mapping'!$B$137:$BL$300,MATCH(B$237,'ei names mapping'!$A$137:$A$300,0),MATCH(G305,'ei names mapping'!$B$136:$BL$136,0))</f>
        <v>3.5058994548784547E-10</v>
      </c>
      <c r="D305" t="str">
        <f>INDEX('ei names mapping'!$B$104:$BL$133,MATCH(B$234,'ei names mapping'!$A$4:$A$33,0),MATCH(G305,'ei names mapping'!$B$3:$BL$3,0))</f>
        <v>kilogram</v>
      </c>
      <c r="E305" t="str">
        <f>INDEX('ei names mapping'!$B$305:$BL$335,MATCH(B$234,'ei names mapping'!$A$4:$A$33,0),MATCH(G305,'ei names mapping'!$B$3:$BL$3,0))</f>
        <v>air::urban air close to ground</v>
      </c>
      <c r="F305" t="s">
        <v>167</v>
      </c>
      <c r="G305" t="s">
        <v>566</v>
      </c>
    </row>
    <row r="306" spans="1:8" x14ac:dyDescent="0.2">
      <c r="A306" t="str">
        <f>INDEX('ei names mapping'!$B$4:$BL$33,MATCH(B234,'ei names mapping'!$A$4:$A$33,0),MATCH(G306,'ei names mapping'!$B$3:$BL$3,0))</f>
        <v>treatment of road wear emissions, passenger car</v>
      </c>
      <c r="B306" s="7">
        <f>INDEX('vehicles specifications'!$B$3:$CW$166,MATCH(B237,'vehicles specifications'!$A$3:$A$166,0),MATCH(G306,'vehicles specifications'!$B$2:$CW$2,0))*INDEX('ei names mapping'!$B$137:$BL$300,MATCH(B237,'ei names mapping'!$A$137:$A$300,0),MATCH(G306,'ei names mapping'!$B$136:$BL$136,0))</f>
        <v>-6.4854046101046892E-6</v>
      </c>
      <c r="C306" t="str">
        <f>INDEX('ei names mapping'!$B$38:$BL$67,MATCH(B234,'ei names mapping'!$A$4:$A$33,0),MATCH(G306,'ei names mapping'!$B$3:$BL$3,0))</f>
        <v>RER</v>
      </c>
      <c r="D306" t="str">
        <f>INDEX('ei names mapping'!$B$104:$BL$133,MATCH(B234,'ei names mapping'!$A$4:$A$33,0),MATCH(G306,'ei names mapping'!$B$3:$BL$3,0))</f>
        <v>kilogram</v>
      </c>
      <c r="F306" t="s">
        <v>89</v>
      </c>
      <c r="G306" t="s">
        <v>29</v>
      </c>
      <c r="H306" t="str">
        <f>INDEX('ei names mapping'!$B$71:$BL$100,MATCH(B234,'ei names mapping'!$A$4:$A$33,0),MATCH(G306,'ei names mapping'!$B$3:$BL$3,0))</f>
        <v>road wear emissions, passenger car</v>
      </c>
    </row>
    <row r="307" spans="1:8" x14ac:dyDescent="0.2">
      <c r="A307" t="str">
        <f>INDEX('ei names mapping'!$B$4:$BL$33,MATCH(B234,'ei names mapping'!$A$4:$A$33,0),MATCH(G307,'ei names mapping'!$B$3:$BL$3,0))</f>
        <v>treatment of tyre wear emissions, passenger car</v>
      </c>
      <c r="B307" s="7">
        <f>INDEX('vehicles specifications'!$B$3:$CW$166,MATCH(B237,'vehicles specifications'!$A$3:$A$166,0),MATCH(G307,'vehicles specifications'!$B$2:$CW$2,0))*INDEX('ei names mapping'!$B$137:$BL$300,MATCH(B237,'ei names mapping'!$A$137:$A$300,0),MATCH(G307,'ei names mapping'!$B$136:$BL$136,0))</f>
        <v>-5.2412620052459845E-6</v>
      </c>
      <c r="C307" t="str">
        <f>INDEX('ei names mapping'!$B$38:$BL$67,MATCH(B234,'ei names mapping'!$A$4:$A$33,0),MATCH(G307,'ei names mapping'!$B$3:$BL$3,0))</f>
        <v>RER</v>
      </c>
      <c r="D307" t="str">
        <f>INDEX('ei names mapping'!$B$104:$BL$133,MATCH(B234,'ei names mapping'!$A$4:$A$33,0),MATCH(G307,'ei names mapping'!$B$3:$BL$3,0))</f>
        <v>kilogram</v>
      </c>
      <c r="F307" t="s">
        <v>89</v>
      </c>
      <c r="G307" t="s">
        <v>30</v>
      </c>
      <c r="H307" t="str">
        <f>INDEX('ei names mapping'!$B$71:$BL$100,MATCH(B234,'ei names mapping'!$A$4:$A$33,0),MATCH(G307,'ei names mapping'!$B$3:$BL$3,0))</f>
        <v>tyre wear emissions, passenger car</v>
      </c>
    </row>
    <row r="308" spans="1:8" x14ac:dyDescent="0.2">
      <c r="A308" t="str">
        <f>INDEX('ei names mapping'!$B$4:$BL$33,MATCH(B234,'ei names mapping'!$A$4:$A$33,0),MATCH(G308,'ei names mapping'!$B$3:$BL$3,0))</f>
        <v>treatment of brake wear emissions, passenger car</v>
      </c>
      <c r="B308" s="7">
        <f>INDEX('vehicles specifications'!$B$3:$CW$166,MATCH(B237,'vehicles specifications'!$A$3:$A$166,0),MATCH(G308,'vehicles specifications'!$B$2:$CW$2,0))*INDEX('ei names mapping'!$B$137:$BL$300,MATCH(B237,'ei names mapping'!$A$137:$A$300,0),MATCH(G308,'ei names mapping'!$B$136:$BL$136,0))</f>
        <v>-3.6696652794461515E-6</v>
      </c>
      <c r="C308" t="str">
        <f>INDEX('ei names mapping'!$B$38:$BL$67,MATCH(B234,'ei names mapping'!$A$4:$A$33,0),MATCH(G308,'ei names mapping'!$B$3:$BL$3,0))</f>
        <v>RER</v>
      </c>
      <c r="D308" t="str">
        <f>INDEX('ei names mapping'!$B$104:$BL$133,MATCH(B234,'ei names mapping'!$A$4:$A$33,0),MATCH(G308,'ei names mapping'!$B$3:$BL$3,0))</f>
        <v>kilogram</v>
      </c>
      <c r="F308" t="s">
        <v>89</v>
      </c>
      <c r="G308" t="s">
        <v>31</v>
      </c>
      <c r="H308" t="str">
        <f>INDEX('ei names mapping'!$B$71:$BL$100,MATCH(B234,'ei names mapping'!$A$4:$A$33,0),MATCH(G308,'ei names mapping'!$B$3:$BL$3,0))</f>
        <v>brake wear emissions, passenger car</v>
      </c>
    </row>
    <row r="310" spans="1:8" ht="16" x14ac:dyDescent="0.2">
      <c r="A310" s="10" t="s">
        <v>71</v>
      </c>
      <c r="B310" s="8" t="str">
        <f>"transport, "&amp;B312&amp;", "&amp;B314</f>
        <v>transport, Scooter, gasoline, &lt;4kW, EURO-4, 2016</v>
      </c>
    </row>
    <row r="311" spans="1:8" x14ac:dyDescent="0.2">
      <c r="A311" t="s">
        <v>72</v>
      </c>
      <c r="B311" t="s">
        <v>37</v>
      </c>
    </row>
    <row r="312" spans="1:8" x14ac:dyDescent="0.2">
      <c r="A312" t="s">
        <v>86</v>
      </c>
      <c r="B312" t="s">
        <v>610</v>
      </c>
    </row>
    <row r="313" spans="1:8" x14ac:dyDescent="0.2">
      <c r="A313" t="s">
        <v>87</v>
      </c>
    </row>
    <row r="314" spans="1:8" x14ac:dyDescent="0.2">
      <c r="A314" t="s">
        <v>88</v>
      </c>
      <c r="B314">
        <v>2016</v>
      </c>
    </row>
    <row r="315" spans="1:8" x14ac:dyDescent="0.2">
      <c r="A315" t="s">
        <v>126</v>
      </c>
      <c r="B315" t="str">
        <f>B312&amp;" - "&amp;B314&amp;" - "&amp;B311</f>
        <v>Scooter, gasoline, &lt;4kW, EURO-4 - 2016 - CH</v>
      </c>
    </row>
    <row r="316" spans="1:8" x14ac:dyDescent="0.2">
      <c r="A316" t="s">
        <v>73</v>
      </c>
      <c r="B316" t="str">
        <f>"transport, "&amp;B312</f>
        <v>transport, Scooter, gasoline, &lt;4kW, EURO-4</v>
      </c>
    </row>
    <row r="317" spans="1:8" x14ac:dyDescent="0.2">
      <c r="A317" t="s">
        <v>74</v>
      </c>
      <c r="B317" t="s">
        <v>75</v>
      </c>
    </row>
    <row r="318" spans="1:8" x14ac:dyDescent="0.2">
      <c r="A318" t="s">
        <v>76</v>
      </c>
      <c r="B318" t="s">
        <v>166</v>
      </c>
    </row>
    <row r="319" spans="1:8" x14ac:dyDescent="0.2">
      <c r="A319" t="s">
        <v>78</v>
      </c>
      <c r="B319" t="s">
        <v>1143</v>
      </c>
    </row>
    <row r="320" spans="1:8" x14ac:dyDescent="0.2">
      <c r="A320" t="s">
        <v>127</v>
      </c>
      <c r="B320">
        <f>INDEX('vehicles specifications'!$B$3:$CW$166,MATCH(B315,'vehicles specifications'!$A$3:$A$166,0),MATCH("Lifetime [km]",'vehicles specifications'!$B$2:$CW$2,0))</f>
        <v>25000</v>
      </c>
    </row>
    <row r="321" spans="1:8" x14ac:dyDescent="0.2">
      <c r="A321" t="s">
        <v>128</v>
      </c>
      <c r="B321">
        <f>INDEX('vehicles specifications'!$B$3:$CW$166,MATCH(B315,'vehicles specifications'!$A$3:$A$166,0),MATCH("Passengers [unit]",'vehicles specifications'!$B$2:$CW$2,0))</f>
        <v>1</v>
      </c>
    </row>
    <row r="322" spans="1:8" x14ac:dyDescent="0.2">
      <c r="A322" t="s">
        <v>129</v>
      </c>
      <c r="B322">
        <f>INDEX('vehicles specifications'!$B$3:$CW$166,MATCH(B315,'vehicles specifications'!$A$3:$A$166,0),MATCH("Servicing [unit]",'vehicles specifications'!$B$2:$CW$2,0))</f>
        <v>1</v>
      </c>
    </row>
    <row r="323" spans="1:8" x14ac:dyDescent="0.2">
      <c r="A323" t="s">
        <v>130</v>
      </c>
      <c r="B323">
        <f>INDEX('vehicles specifications'!$B$3:$CW$166,MATCH(B315,'vehicles specifications'!$A$3:$A$166,0),MATCH("Energy battery replacement [unit]",'vehicles specifications'!$B$2:$CW$2,0))</f>
        <v>0</v>
      </c>
    </row>
    <row r="324" spans="1:8" x14ac:dyDescent="0.2">
      <c r="A324" t="s">
        <v>131</v>
      </c>
      <c r="B324">
        <f>INDEX('vehicles specifications'!$B$3:$CW$166,MATCH(B315,'vehicles specifications'!$A$3:$A$166,0),MATCH("Annual kilometers [km]",'vehicles specifications'!$B$2:$CW$2,0))</f>
        <v>1570</v>
      </c>
    </row>
    <row r="325" spans="1:8" x14ac:dyDescent="0.2">
      <c r="A325" t="s">
        <v>132</v>
      </c>
      <c r="B325" s="2">
        <f>INDEX('vehicles specifications'!$B$3:$CW$166,MATCH(B315,'vehicles specifications'!$A$3:$A$166,0),MATCH("Curb mass [kg]",'vehicles specifications'!$B$2:$CW$2,0))</f>
        <v>92.097499999999997</v>
      </c>
    </row>
    <row r="326" spans="1:8" x14ac:dyDescent="0.2">
      <c r="A326" t="s">
        <v>133</v>
      </c>
      <c r="B326">
        <f>INDEX('vehicles specifications'!$B$3:$CW$166,MATCH(B315,'vehicles specifications'!$A$3:$A$166,0),MATCH("Power [kW]",'vehicles specifications'!$B$2:$CW$2,0))</f>
        <v>2.8</v>
      </c>
    </row>
    <row r="327" spans="1:8" x14ac:dyDescent="0.2">
      <c r="A327" t="s">
        <v>134</v>
      </c>
      <c r="B327" t="str">
        <f>INDEX('vehicles specifications'!$B$3:$CW$166,MATCH(B315,'vehicles specifications'!$A$3:$A$166,0),MATCH("Energy battery mass [kg]",'vehicles specifications'!$B$2:$CW$2,0))</f>
        <v/>
      </c>
    </row>
    <row r="328" spans="1:8" x14ac:dyDescent="0.2">
      <c r="A328" t="s">
        <v>135</v>
      </c>
      <c r="B328">
        <f>INDEX('vehicles specifications'!$B$3:$CW$166,MATCH(B315,'vehicles specifications'!$A$3:$A$166,0),MATCH("Electric energy available [kWh]",'vehicles specifications'!$B$2:$CW$2,0))</f>
        <v>0</v>
      </c>
    </row>
    <row r="329" spans="1:8" x14ac:dyDescent="0.2">
      <c r="A329" t="s">
        <v>138</v>
      </c>
      <c r="B329" s="2">
        <f>INDEX('vehicles specifications'!$B$3:$CW$166,MATCH(B315,'vehicles specifications'!$A$3:$A$166,0),MATCH("Oxydation energy stored [kWh]",'vehicles specifications'!$B$2:$CW$2,0))</f>
        <v>62.125</v>
      </c>
    </row>
    <row r="330" spans="1:8" x14ac:dyDescent="0.2">
      <c r="A330" t="s">
        <v>139</v>
      </c>
      <c r="B330">
        <f>INDEX('vehicles specifications'!$B$3:$CW$166,MATCH(B315,'vehicles specifications'!$A$3:$A$166,0),MATCH("Fuel mass [kg]",'vehicles specifications'!$B$2:$CW$2,0))</f>
        <v>5.25</v>
      </c>
    </row>
    <row r="331" spans="1:8" x14ac:dyDescent="0.2">
      <c r="A331" t="s">
        <v>136</v>
      </c>
      <c r="B331" s="2">
        <f>INDEX('vehicles specifications'!$B$3:$CW$166,MATCH(B315,'vehicles specifications'!$A$3:$A$166,0),MATCH("Range [km]",'vehicles specifications'!$B$2:$CW$2,0))</f>
        <v>171.83441010197717</v>
      </c>
    </row>
    <row r="332" spans="1:8" x14ac:dyDescent="0.2">
      <c r="A332" t="s">
        <v>137</v>
      </c>
      <c r="B332" t="str">
        <f>INDEX('vehicles specifications'!$B$3:$CW$166,MATCH(B315,'vehicles specifications'!$A$3:$A$166,0),MATCH("Emission standard",'vehicles specifications'!$B$2:$CW$2,0))</f>
        <v>EURO-4</v>
      </c>
    </row>
    <row r="333" spans="1:8" x14ac:dyDescent="0.2">
      <c r="A333" t="s">
        <v>1174</v>
      </c>
      <c r="B333" s="6">
        <f>INDEX('vehicles specifications'!$B$3:$CW$166,MATCH(B315,'vehicles specifications'!$A$3:$A$166,0),MATCH("Lightweighting rate [%]",'vehicles specifications'!$B$2:$CW$2,0))</f>
        <v>-0.02</v>
      </c>
    </row>
    <row r="334" spans="1:8" x14ac:dyDescent="0.2">
      <c r="A334" t="s">
        <v>83</v>
      </c>
      <c r="B334"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v>
      </c>
    </row>
    <row r="335" spans="1:8" ht="16" x14ac:dyDescent="0.2">
      <c r="A335" s="10" t="s">
        <v>79</v>
      </c>
    </row>
    <row r="336" spans="1:8" x14ac:dyDescent="0.2">
      <c r="A336" t="s">
        <v>80</v>
      </c>
      <c r="B336" t="s">
        <v>81</v>
      </c>
      <c r="C336" t="s">
        <v>72</v>
      </c>
      <c r="D336" t="s">
        <v>76</v>
      </c>
      <c r="E336" t="s">
        <v>82</v>
      </c>
      <c r="F336" t="s">
        <v>74</v>
      </c>
      <c r="G336" t="s">
        <v>83</v>
      </c>
      <c r="H336" t="s">
        <v>73</v>
      </c>
    </row>
    <row r="337" spans="1:8" x14ac:dyDescent="0.2">
      <c r="A337" t="str">
        <f>B310</f>
        <v>transport, Scooter, gasoline, &lt;4kW, EURO-4, 2016</v>
      </c>
      <c r="B337">
        <v>1</v>
      </c>
      <c r="C337" t="str">
        <f>B311</f>
        <v>CH</v>
      </c>
      <c r="D337" t="s">
        <v>166</v>
      </c>
      <c r="F337" t="s">
        <v>84</v>
      </c>
      <c r="G337" t="s">
        <v>85</v>
      </c>
      <c r="H337" t="str">
        <f>B316</f>
        <v>transport, Scooter, gasoline, &lt;4kW, EURO-4</v>
      </c>
    </row>
    <row r="338" spans="1:8" x14ac:dyDescent="0.2">
      <c r="A338" t="str">
        <f>RIGHT(A337,LEN(A337)-11)</f>
        <v>Scooter, gasoline, &lt;4kW, EURO-4, 2016</v>
      </c>
      <c r="B338" s="7">
        <f>1/B320</f>
        <v>4.0000000000000003E-5</v>
      </c>
      <c r="C338" t="str">
        <f>B311</f>
        <v>CH</v>
      </c>
      <c r="D338" t="s">
        <v>76</v>
      </c>
      <c r="F338" t="s">
        <v>89</v>
      </c>
      <c r="H338" t="str">
        <f>RIGHT(H337,LEN(H337)-11)</f>
        <v>Scooter, gasoline, &lt;4kW, EURO-4</v>
      </c>
    </row>
    <row r="339" spans="1:8" x14ac:dyDescent="0.2">
      <c r="A339" t="str">
        <f>INDEX('ei names mapping'!$B$4:$R$33,MATCH(B312,'ei names mapping'!$A$4:$A$33,0),MATCH(G339,'ei names mapping'!$B$3:$R$3,0))</f>
        <v>road construction</v>
      </c>
      <c r="B339" s="7">
        <f>INDEX('vehicles specifications'!$B$3:$CW$166,MATCH(B315,'vehicles specifications'!$A$3:$A$166,0),MATCH(G339,'vehicles specifications'!$B$2:$CW$2,0))*INDEX('ei names mapping'!$B$137:$BL$300,MATCH(B315,'ei names mapping'!$A$137:$A$300,0),MATCH(G339,'ei names mapping'!$B$136:$BL$136,0))</f>
        <v>9.18793575E-5</v>
      </c>
      <c r="C339" t="str">
        <f>INDEX('ei names mapping'!$B$38:$R$67,MATCH(B312,'ei names mapping'!$A$4:$A$33,0),MATCH(G339,'ei names mapping'!$B$3:$R$3,0))</f>
        <v>CH</v>
      </c>
      <c r="D339" t="str">
        <f>INDEX('ei names mapping'!$B$104:$BL$133,MATCH(B312,'ei names mapping'!$A$4:$A$33,0),MATCH(G339,'ei names mapping'!$B$3:$BL$3,0))</f>
        <v>meter-year</v>
      </c>
      <c r="F339" t="s">
        <v>89</v>
      </c>
      <c r="G339" t="s">
        <v>105</v>
      </c>
      <c r="H339" t="str">
        <f>INDEX('ei names mapping'!$B$71:$BL$100,MATCH(B312,'ei names mapping'!$A$4:$A$33,0),MATCH(G339,'ei names mapping'!$B$3:$BL$3,0))</f>
        <v>road</v>
      </c>
    </row>
    <row r="340" spans="1:8" x14ac:dyDescent="0.2">
      <c r="A340" t="str">
        <f>INDEX('ei names mapping'!$B$4:$R$33,MATCH(B312,'ei names mapping'!$A$4:$A$33,0),MATCH(G340,'ei names mapping'!$B$3:$R$3,0))</f>
        <v>road maintenance</v>
      </c>
      <c r="B340" s="7">
        <f>INDEX('vehicles specifications'!$B$3:$CW$166,MATCH(B315,'vehicles specifications'!$A$3:$A$166,0),MATCH(G340,'vehicles specifications'!$B$2:$CW$2,0))*INDEX('ei names mapping'!$B$137:$BL$300,MATCH(B315,'ei names mapping'!$A$137:$A$300,0),MATCH(G340,'ei names mapping'!$B$136:$BL$136,0))</f>
        <v>1.2899999999999999E-3</v>
      </c>
      <c r="C340" t="str">
        <f>INDEX('ei names mapping'!$B$38:$R$67,MATCH(B312,'ei names mapping'!$A$4:$A$33,0),MATCH(G340,'ei names mapping'!$B$3:$R$3,0))</f>
        <v>CH</v>
      </c>
      <c r="D340" t="str">
        <f>INDEX('ei names mapping'!$B$104:$BL$133,MATCH(B312,'ei names mapping'!$A$4:$A$33,0),MATCH(G340,'ei names mapping'!$B$3:$BL$3,0))</f>
        <v>meter-year</v>
      </c>
      <c r="F340" t="s">
        <v>89</v>
      </c>
      <c r="G340" t="s">
        <v>112</v>
      </c>
      <c r="H340" t="str">
        <f>INDEX('ei names mapping'!$B$71:$BL$100,MATCH(B312,'ei names mapping'!$A$4:$A$33,0),MATCH(G340,'ei names mapping'!$B$3:$BL$3,0))</f>
        <v>road maintenance</v>
      </c>
    </row>
    <row r="341" spans="1:8" x14ac:dyDescent="0.2">
      <c r="A341" t="str">
        <f>INDEX('ei names mapping'!$B$4:$R$33,MATCH(B312,'ei names mapping'!$A$4:$A$33,0),MATCH(G341,'ei names mapping'!$B$3:$R$3,0))</f>
        <v>maintenance, motor scooter</v>
      </c>
      <c r="B341" s="7">
        <f>INDEX('vehicles specifications'!$B$3:$CW$166,MATCH(B315,'vehicles specifications'!$A$3:$A$166,0),MATCH(G341,'vehicles specifications'!$B$2:$CW$2,0))*INDEX('ei names mapping'!$B$137:$BL$300,MATCH(B315,'ei names mapping'!$A$137:$A$300,0),MATCH(G341,'ei names mapping'!$B$136:$BL$136,0))</f>
        <v>4.0000000000000003E-5</v>
      </c>
      <c r="C341" t="str">
        <f>INDEX('ei names mapping'!$B$38:$BL$67,MATCH(B312,'ei names mapping'!$A$4:$A$33,0),MATCH(G341,'ei names mapping'!$B$3:$BL$3,0))</f>
        <v>CH</v>
      </c>
      <c r="D341" t="str">
        <f>INDEX('ei names mapping'!$B$104:$BL$133,MATCH(B312,'ei names mapping'!$A$4:$A$33,0),MATCH(G341,'ei names mapping'!$B$3:$BL$3,0))</f>
        <v>unit</v>
      </c>
      <c r="F341" t="s">
        <v>89</v>
      </c>
      <c r="G341" t="s">
        <v>118</v>
      </c>
      <c r="H341" t="str">
        <f>INDEX('ei names mapping'!$B$71:$BL$100,MATCH(B312,'ei names mapping'!$A$4:$A$33,0),MATCH(G341,'ei names mapping'!$B$3:$BL$3,0))</f>
        <v>maintenance, motor scooter</v>
      </c>
    </row>
    <row r="342" spans="1:8" x14ac:dyDescent="0.2">
      <c r="A342" t="str">
        <f>INDEX('ei names mapping'!$B$4:$R$33,MATCH(B312,'ei names mapping'!$A$4:$A$33,0),MATCH(G342,'ei names mapping'!$B$3:$R$3,0))</f>
        <v>petrol blending for two-stroke engines</v>
      </c>
      <c r="B342" s="7">
        <f>INDEX('vehicles specifications'!$B$3:$CW$166,MATCH(B315,'vehicles specifications'!$A$3:$A$166,0),MATCH(G342,'vehicles specifications'!$B$2:$CW$2,0))*INDEX('ei names mapping'!$B$137:$BL$300,MATCH(B315,'ei names mapping'!$A$137:$A$300,0),MATCH(G342,'ei names mapping'!$B$136:$BL$136,0))</f>
        <v>3.0552669845837776E-2</v>
      </c>
      <c r="C342" t="str">
        <f>INDEX('ei names mapping'!$B$38:$BL$67,MATCH(B312,'ei names mapping'!$A$4:$A$33,0),MATCH(G342,'ei names mapping'!$B$3:$BL$3,0))</f>
        <v>CH</v>
      </c>
      <c r="D342" t="str">
        <f>INDEX('ei names mapping'!$B$104:$BL$133,MATCH(B312,'ei names mapping'!$A$4:$A$33,0),MATCH(G342,'ei names mapping'!$B$3:$BL$3,0))</f>
        <v>kilogram</v>
      </c>
      <c r="F342" t="s">
        <v>89</v>
      </c>
      <c r="G342" t="s">
        <v>27</v>
      </c>
      <c r="H342" t="str">
        <f>INDEX('ei names mapping'!$B$71:$BL$100,MATCH(B312,'ei names mapping'!$A$4:$A$33,0),MATCH(G342,'ei names mapping'!$B$3:$BL$3,0))</f>
        <v>petrol, two-stroke blend</v>
      </c>
    </row>
    <row r="343" spans="1:8" x14ac:dyDescent="0.2">
      <c r="A343" t="str">
        <f>INDEX('ei names mapping'!$B$4:$BL$33,MATCH(B312,'ei names mapping'!$A$4:$A$33,0),MATCH(G343,'ei names mapping'!$B$3:$BL$3,0))</f>
        <v>Carbon dioxide, fossil</v>
      </c>
      <c r="B343" s="11">
        <f>INDEX('vehicles specifications'!$B$3:$CW$166,MATCH(B315,'vehicles specifications'!$A$3:$A$166,0),MATCH(G343,'vehicles specifications'!$B$2:$CW$2,0))*INDEX('ei names mapping'!$B$137:$BL$300,MATCH(B315,'ei names mapping'!$A$137:$A$300,0),MATCH(G343,'ei names mapping'!$B$136:$BL$136,0))</f>
        <v>9.5935383315930614E-2</v>
      </c>
      <c r="D343" t="str">
        <f>INDEX('ei names mapping'!$B$104:$BL$133,MATCH(B312,'ei names mapping'!$A$4:$A$33,0),MATCH(G343,'ei names mapping'!$B$3:$BL$3,0))</f>
        <v>kilogram</v>
      </c>
      <c r="E343" t="str">
        <f>INDEX('ei names mapping'!$B$305:$BL$335,MATCH(B312,'ei names mapping'!$A$4:$A$33,0),MATCH(G343,'ei names mapping'!$B$3:$BL$3,0))</f>
        <v>air::urban air close to ground</v>
      </c>
      <c r="F343" t="s">
        <v>167</v>
      </c>
      <c r="G343" t="s">
        <v>66</v>
      </c>
    </row>
    <row r="344" spans="1:8" x14ac:dyDescent="0.2">
      <c r="A344" t="str">
        <f>INDEX('ei names mapping'!$B$4:$BL$33,MATCH(B312,'ei names mapping'!$A$4:$A$33,0),MATCH(G344,'ei names mapping'!$B$3:$BL$3,0))</f>
        <v>Carbon dioxide, from soil or biomass stock</v>
      </c>
      <c r="B344" s="11">
        <f>INDEX('vehicles specifications'!$B$3:$CW$166,MATCH(B315,'vehicles specifications'!$A$3:$A$166,0),MATCH(G344,'vehicles specifications'!$B$2:$CW$2,0))*INDEX('ei names mapping'!$B$137:$BL$300,MATCH(B315,'ei names mapping'!$A$137:$A$300,0),MATCH(G344,'ei names mapping'!$B$136:$BL$136,0))</f>
        <v>0</v>
      </c>
      <c r="D344" t="str">
        <f>INDEX('ei names mapping'!$B$104:$BL$133,MATCH(B312,'ei names mapping'!$A$4:$A$33,0),MATCH(G344,'ei names mapping'!$B$3:$BL$3,0))</f>
        <v>kilogram</v>
      </c>
      <c r="E344" t="str">
        <f>INDEX('ei names mapping'!$B$305:$BL$335,MATCH(B312,'ei names mapping'!$A$4:$A$33,0),MATCH(G344,'ei names mapping'!$B$3:$BL$3,0))</f>
        <v>air::urban air close to ground</v>
      </c>
      <c r="F344" t="s">
        <v>167</v>
      </c>
      <c r="G344" t="s">
        <v>843</v>
      </c>
    </row>
    <row r="345" spans="1:8" x14ac:dyDescent="0.2">
      <c r="A345" t="str">
        <f>INDEX('ei names mapping'!$B$4:$BL$33,MATCH(B312,'ei names mapping'!$A$4:$A$33,0),MATCH(G345,'ei names mapping'!$B$3:$BL$3,0))</f>
        <v>Sulfur dioxide</v>
      </c>
      <c r="B345" s="7">
        <f>INDEX('vehicles specifications'!$B$3:$CW$166,MATCH(B315,'vehicles specifications'!$A$3:$A$166,0),MATCH(G345,'vehicles specifications'!$B$2:$CW$2,0))*INDEX('ei names mapping'!$B$137:$BL$300,MATCH(B315,'ei names mapping'!$A$137:$A$300,0),MATCH(G345,'ei names mapping'!$B$136:$BL$136,0))</f>
        <v>4.8884271753340442E-7</v>
      </c>
      <c r="D345" t="str">
        <f>INDEX('ei names mapping'!$B$104:$BL$133,MATCH(B312,'ei names mapping'!$A$4:$A$33,0),MATCH(G345,'ei names mapping'!$B$3:$BL$3,0))</f>
        <v>kilogram</v>
      </c>
      <c r="E345" t="str">
        <f>INDEX('ei names mapping'!$B$305:$BL$335,MATCH(B312,'ei names mapping'!$A$4:$A$33,0),MATCH(G345,'ei names mapping'!$B$3:$BL$3,0))</f>
        <v>air::urban air close to ground</v>
      </c>
      <c r="F345" t="s">
        <v>167</v>
      </c>
      <c r="G345" t="s">
        <v>67</v>
      </c>
    </row>
    <row r="346" spans="1:8" x14ac:dyDescent="0.2">
      <c r="A346" t="str">
        <f>INDEX('ei names mapping'!$B$4:$BL$33,MATCH(B312,'ei names mapping'!$A$4:$A$33,0),MATCH(G346,'ei names mapping'!$B$3:$BL$3,0))</f>
        <v>Benzene</v>
      </c>
      <c r="B346" s="7">
        <f>INDEX('vehicles specifications'!$B$3:$CW$166,MATCH(B315,'vehicles specifications'!$A$3:$A$166,0),MATCH(G346,'vehicles specifications'!$B$2:$CW$2,0))*INDEX('ei names mapping'!$B$137:$BL$300,MATCH(B315,'ei names mapping'!$A$137:$A$300,0),MATCH(G346,'ei names mapping'!$B$136:$BL$136,0))</f>
        <v>7.9136690390500312E-5</v>
      </c>
      <c r="D346" t="str">
        <f>INDEX('ei names mapping'!$B$104:$BL$133,MATCH(B312,'ei names mapping'!$A$4:$A$33,0),MATCH(G346,'ei names mapping'!$B$3:$BL$3,0))</f>
        <v>kilogram</v>
      </c>
      <c r="E346" t="str">
        <f>INDEX('ei names mapping'!$B$305:$BL$335,MATCH(B312,'ei names mapping'!$A$4:$A$33,0),MATCH(G346,'ei names mapping'!$B$3:$BL$3,0))</f>
        <v>air::urban air close to ground</v>
      </c>
      <c r="F346" t="s">
        <v>167</v>
      </c>
      <c r="G346" t="s">
        <v>55</v>
      </c>
    </row>
    <row r="347" spans="1:8" x14ac:dyDescent="0.2">
      <c r="A347" t="str">
        <f>INDEX('ei names mapping'!$B$4:$BL$33,MATCH(B312,'ei names mapping'!$A$4:$A$33,0),MATCH(G347,'ei names mapping'!$B$3:$BL$3,0))</f>
        <v>Methane, fossil</v>
      </c>
      <c r="B347" s="7">
        <f>INDEX('vehicles specifications'!$B$3:$CW$166,MATCH(B315,'vehicles specifications'!$A$3:$A$166,0),MATCH(G347,'vehicles specifications'!$B$2:$CW$2,0))*INDEX('ei names mapping'!$B$137:$BL$300,MATCH(B315,'ei names mapping'!$A$137:$A$300,0),MATCH(G347,'ei names mapping'!$B$136:$BL$136,0))</f>
        <v>3.588292254001202E-5</v>
      </c>
      <c r="D347" t="str">
        <f>INDEX('ei names mapping'!$B$104:$BL$133,MATCH(B312,'ei names mapping'!$A$4:$A$33,0),MATCH(G347,'ei names mapping'!$B$3:$BL$3,0))</f>
        <v>kilogram</v>
      </c>
      <c r="E347" t="str">
        <f>INDEX('ei names mapping'!$B$305:$BL$335,MATCH(B312,'ei names mapping'!$A$4:$A$33,0),MATCH(G347,'ei names mapping'!$B$3:$BL$3,0))</f>
        <v>air::urban air close to ground</v>
      </c>
      <c r="F347" t="s">
        <v>167</v>
      </c>
      <c r="G347" t="s">
        <v>56</v>
      </c>
    </row>
    <row r="348" spans="1:8" x14ac:dyDescent="0.2">
      <c r="A348" t="str">
        <f>INDEX('ei names mapping'!$B$4:$BL$33,MATCH(B312,'ei names mapping'!$A$4:$A$33,0),MATCH(G348,'ei names mapping'!$B$3:$BL$3,0))</f>
        <v>Carbon monoxide, fossil</v>
      </c>
      <c r="B348" s="7">
        <f>INDEX('vehicles specifications'!$B$3:$CW$166,MATCH(B315,'vehicles specifications'!$A$3:$A$166,0),MATCH(G348,'vehicles specifications'!$B$2:$CW$2,0))*INDEX('ei names mapping'!$B$137:$BL$300,MATCH(B315,'ei names mapping'!$A$137:$A$300,0),MATCH(G348,'ei names mapping'!$B$136:$BL$136,0))</f>
        <v>3.7942543736010467E-3</v>
      </c>
      <c r="D348" t="str">
        <f>INDEX('ei names mapping'!$B$104:$BL$133,MATCH(B312,'ei names mapping'!$A$4:$A$33,0),MATCH(G348,'ei names mapping'!$B$3:$BL$3,0))</f>
        <v>kilogram</v>
      </c>
      <c r="E348" t="str">
        <f>INDEX('ei names mapping'!$B$305:$BL$335,MATCH(B312,'ei names mapping'!$A$4:$A$33,0),MATCH(G348,'ei names mapping'!$B$3:$BL$3,0))</f>
        <v>air::urban air close to ground</v>
      </c>
      <c r="F348" t="s">
        <v>167</v>
      </c>
      <c r="G348" t="s">
        <v>57</v>
      </c>
    </row>
    <row r="349" spans="1:8" x14ac:dyDescent="0.2">
      <c r="A349" t="str">
        <f>INDEX('ei names mapping'!$B$4:$BL$33,MATCH(B312,'ei names mapping'!$A$4:$A$33,0),MATCH(G349,'ei names mapping'!$B$3:$BL$3,0))</f>
        <v>Dinitrogen monoxide</v>
      </c>
      <c r="B349" s="7">
        <f>INDEX('vehicles specifications'!$B$3:$CW$166,MATCH(B315,'vehicles specifications'!$A$3:$A$166,0),MATCH(G349,'vehicles specifications'!$B$2:$CW$2,0))*INDEX('ei names mapping'!$B$137:$BL$300,MATCH(B315,'ei names mapping'!$A$137:$A$300,0),MATCH(G349,'ei names mapping'!$B$136:$BL$136,0))</f>
        <v>1.8205440152213105E-6</v>
      </c>
      <c r="D349" t="str">
        <f>INDEX('ei names mapping'!$B$104:$BL$133,MATCH(B312,'ei names mapping'!$A$4:$A$33,0),MATCH(G349,'ei names mapping'!$B$3:$BL$3,0))</f>
        <v>kilogram</v>
      </c>
      <c r="E349" t="str">
        <f>INDEX('ei names mapping'!$B$305:$BL$335,MATCH(B312,'ei names mapping'!$A$4:$A$33,0),MATCH(G349,'ei names mapping'!$B$3:$BL$3,0))</f>
        <v>air::urban air close to ground</v>
      </c>
      <c r="F349" t="s">
        <v>167</v>
      </c>
      <c r="G349" t="s">
        <v>58</v>
      </c>
    </row>
    <row r="350" spans="1:8" x14ac:dyDescent="0.2">
      <c r="A350" t="str">
        <f>INDEX('ei names mapping'!$B$4:$BL$33,MATCH(B312,'ei names mapping'!$A$4:$A$33,0),MATCH(G350,'ei names mapping'!$B$3:$BL$3,0))</f>
        <v>Ammonia</v>
      </c>
      <c r="B350" s="7">
        <f>INDEX('vehicles specifications'!$B$3:$CW$166,MATCH(B315,'vehicles specifications'!$A$3:$A$166,0),MATCH(G350,'vehicles specifications'!$B$2:$CW$2,0))*INDEX('ei names mapping'!$B$137:$BL$300,MATCH(B315,'ei names mapping'!$A$137:$A$300,0),MATCH(G350,'ei names mapping'!$B$136:$BL$136,0))</f>
        <v>1.8205440152213105E-6</v>
      </c>
      <c r="D350" t="str">
        <f>INDEX('ei names mapping'!$B$104:$BL$133,MATCH(B312,'ei names mapping'!$A$4:$A$33,0),MATCH(G350,'ei names mapping'!$B$3:$BL$3,0))</f>
        <v>kilogram</v>
      </c>
      <c r="E350" t="str">
        <f>INDEX('ei names mapping'!$B$305:$BL$335,MATCH(B312,'ei names mapping'!$A$4:$A$33,0),MATCH(G350,'ei names mapping'!$B$3:$BL$3,0))</f>
        <v>air::urban air close to ground</v>
      </c>
      <c r="F350" t="s">
        <v>167</v>
      </c>
      <c r="G350" t="s">
        <v>59</v>
      </c>
    </row>
    <row r="351" spans="1:8" x14ac:dyDescent="0.2">
      <c r="A351" t="str">
        <f>INDEX('ei names mapping'!$B$4:$BL$33,MATCH(B312,'ei names mapping'!$A$4:$A$33,0),MATCH(G351,'ei names mapping'!$B$3:$BL$3,0))</f>
        <v>Nitrogen oxides</v>
      </c>
      <c r="B351" s="7">
        <f>INDEX('vehicles specifications'!$B$3:$CW$166,MATCH(B315,'vehicles specifications'!$A$3:$A$166,0),MATCH(G351,'vehicles specifications'!$B$2:$CW$2,0))*INDEX('ei names mapping'!$B$137:$BL$300,MATCH(B315,'ei names mapping'!$A$137:$A$300,0),MATCH(G351,'ei names mapping'!$B$136:$BL$136,0))</f>
        <v>1.3652388621227673E-4</v>
      </c>
      <c r="D351" t="str">
        <f>INDEX('ei names mapping'!$B$104:$BL$133,MATCH(B312,'ei names mapping'!$A$4:$A$33,0),MATCH(G351,'ei names mapping'!$B$3:$BL$3,0))</f>
        <v>kilogram</v>
      </c>
      <c r="E351" t="str">
        <f>INDEX('ei names mapping'!$B$305:$BL$335,MATCH(B312,'ei names mapping'!$A$4:$A$33,0),MATCH(G351,'ei names mapping'!$B$3:$BL$3,0))</f>
        <v>air::urban air close to ground</v>
      </c>
      <c r="F351" t="s">
        <v>167</v>
      </c>
      <c r="G351" t="s">
        <v>60</v>
      </c>
    </row>
    <row r="352" spans="1:8" x14ac:dyDescent="0.2">
      <c r="A352" t="str">
        <f>INDEX('ei names mapping'!$B$4:$BL$33,MATCH(B312,'ei names mapping'!$A$4:$A$33,0),MATCH(G352,'ei names mapping'!$B$3:$BL$3,0))</f>
        <v>Particulates, &lt; 2.5 um</v>
      </c>
      <c r="B352" s="7">
        <f>INDEX('vehicles specifications'!$B$3:$CW$166,MATCH(B$315,'vehicles specifications'!$A$3:$A$166,0),MATCH(G352,'vehicles specifications'!$B$2:$CW$2,0))*INDEX('ei names mapping'!$B$137:$BL$300,MATCH(B$315,'ei names mapping'!$A$137:$A$300,0),MATCH(G352,'ei names mapping'!$B$136:$BL$136,0))</f>
        <v>1.0455384279415984E-5</v>
      </c>
      <c r="D352" t="str">
        <f>INDEX('ei names mapping'!$B$104:$BL$133,MATCH(B312,'ei names mapping'!$A$4:$A$33,0),MATCH(G352,'ei names mapping'!$B$3:$BL$3,0))</f>
        <v>kilogram</v>
      </c>
      <c r="E352" t="str">
        <f>INDEX('ei names mapping'!$B$305:$BL$335,MATCH(B312,'ei names mapping'!$A$4:$A$33,0),MATCH(G352,'ei names mapping'!$B$3:$BL$3,0))</f>
        <v>air::urban air close to ground</v>
      </c>
      <c r="F352" t="s">
        <v>167</v>
      </c>
      <c r="G352" t="s">
        <v>62</v>
      </c>
    </row>
    <row r="353" spans="1:7" x14ac:dyDescent="0.2">
      <c r="A353" t="str">
        <f>INDEX('ei names mapping'!$B$4:$BL$33,MATCH(B$234,'ei names mapping'!$A$4:$A$33,0),MATCH(G353,'ei names mapping'!$B$3:$BL$3,0))</f>
        <v>NMVOC, non-methane volatile organic compounds, unspecified origin</v>
      </c>
      <c r="B353" s="7">
        <f>INDEX('vehicles specifications'!$B$3:$CW$166,MATCH(B$315,'vehicles specifications'!$A$3:$A$166,0),MATCH(G353,'vehicles specifications'!$B$2:$CW$2,0))*INDEX('ei names mapping'!$B$137:$BL$300,MATCH(B$315,'ei names mapping'!$A$137:$A$300,0),MATCH(G353,'ei names mapping'!$B$136:$BL$136,0))</f>
        <v>6.3817181341644107E-4</v>
      </c>
      <c r="D353" t="str">
        <f>INDEX('ei names mapping'!$B$104:$BL$133,MATCH(B$234,'ei names mapping'!$A$4:$A$33,0),MATCH(G353,'ei names mapping'!$B$3:$BL$3,0))</f>
        <v>kilogram</v>
      </c>
      <c r="E353" t="str">
        <f>INDEX('ei names mapping'!$B$305:$BL$335,MATCH(B$234,'ei names mapping'!$A$4:$A$33,0),MATCH(G353,'ei names mapping'!$B$3:$BL$3,0))</f>
        <v>air::urban air close to ground</v>
      </c>
      <c r="F353" t="s">
        <v>167</v>
      </c>
      <c r="G353" t="s">
        <v>593</v>
      </c>
    </row>
    <row r="354" spans="1:7" x14ac:dyDescent="0.2">
      <c r="A354" t="str">
        <f>INDEX('ei names mapping'!$B$4:$BL$33,MATCH(B$234,'ei names mapping'!$A$4:$A$33,0),MATCH(G354,'ei names mapping'!$B$3:$BL$3,0))</f>
        <v>Ethane</v>
      </c>
      <c r="B354" s="7">
        <f>INDEX('vehicles specifications'!$B$3:$CW$166,MATCH(B$315,'vehicles specifications'!$A$3:$A$166,0),MATCH(G354,'vehicles specifications'!$B$2:$CW$2,0))*INDEX('ei names mapping'!$B$137:$BL$300,MATCH(B$315,'ei names mapping'!$A$137:$A$300,0),MATCH(G354,'ei names mapping'!$B$136:$BL$136,0))</f>
        <v>4.499929453577469E-5</v>
      </c>
      <c r="D354" t="str">
        <f>INDEX('ei names mapping'!$B$104:$BL$133,MATCH(B$234,'ei names mapping'!$A$4:$A$33,0),MATCH(G354,'ei names mapping'!$B$3:$BL$3,0))</f>
        <v>kilogram</v>
      </c>
      <c r="E354" t="str">
        <f>INDEX('ei names mapping'!$B$305:$BL$335,MATCH(B$234,'ei names mapping'!$A$4:$A$33,0),MATCH(G354,'ei names mapping'!$B$3:$BL$3,0))</f>
        <v>air::urban air close to ground</v>
      </c>
      <c r="F354" t="s">
        <v>167</v>
      </c>
      <c r="G354" t="s">
        <v>541</v>
      </c>
    </row>
    <row r="355" spans="1:7" x14ac:dyDescent="0.2">
      <c r="A355" t="str">
        <f>INDEX('ei names mapping'!$B$4:$BL$33,MATCH(B$234,'ei names mapping'!$A$4:$A$33,0),MATCH(G355,'ei names mapping'!$B$3:$BL$3,0))</f>
        <v>Propane</v>
      </c>
      <c r="B355" s="7">
        <f>INDEX('vehicles specifications'!$B$3:$CW$166,MATCH(B$315,'vehicles specifications'!$A$3:$A$166,0),MATCH(G355,'vehicles specifications'!$B$2:$CW$2,0))*INDEX('ei names mapping'!$B$137:$BL$300,MATCH(B$315,'ei names mapping'!$A$137:$A$300,0),MATCH(G355,'ei names mapping'!$B$136:$BL$136,0))</f>
        <v>9.169135250236222E-6</v>
      </c>
      <c r="D355" t="str">
        <f>INDEX('ei names mapping'!$B$104:$BL$133,MATCH(B$234,'ei names mapping'!$A$4:$A$33,0),MATCH(G355,'ei names mapping'!$B$3:$BL$3,0))</f>
        <v>kilogram</v>
      </c>
      <c r="E355" t="str">
        <f>INDEX('ei names mapping'!$B$305:$BL$335,MATCH(B$234,'ei names mapping'!$A$4:$A$33,0),MATCH(G355,'ei names mapping'!$B$3:$BL$3,0))</f>
        <v>air::urban air close to ground</v>
      </c>
      <c r="F355" t="s">
        <v>167</v>
      </c>
      <c r="G355" t="s">
        <v>542</v>
      </c>
    </row>
    <row r="356" spans="1:7" x14ac:dyDescent="0.2">
      <c r="A356" t="str">
        <f>INDEX('ei names mapping'!$B$4:$BL$33,MATCH(B$234,'ei names mapping'!$A$4:$A$33,0),MATCH(G356,'ei names mapping'!$B$3:$BL$3,0))</f>
        <v>Butane</v>
      </c>
      <c r="B356" s="7">
        <f>INDEX('vehicles specifications'!$B$3:$CW$166,MATCH(B$315,'vehicles specifications'!$A$3:$A$166,0),MATCH(G356,'vehicles specifications'!$B$2:$CW$2,0))*INDEX('ei names mapping'!$B$137:$BL$300,MATCH(B$315,'ei names mapping'!$A$137:$A$300,0),MATCH(G356,'ei names mapping'!$B$136:$BL$136,0))</f>
        <v>7.3917336478827389E-5</v>
      </c>
      <c r="D356" t="str">
        <f>INDEX('ei names mapping'!$B$104:$BL$133,MATCH(B$234,'ei names mapping'!$A$4:$A$33,0),MATCH(G356,'ei names mapping'!$B$3:$BL$3,0))</f>
        <v>kilogram</v>
      </c>
      <c r="E356" t="str">
        <f>INDEX('ei names mapping'!$B$305:$BL$335,MATCH(B$234,'ei names mapping'!$A$4:$A$33,0),MATCH(G356,'ei names mapping'!$B$3:$BL$3,0))</f>
        <v>air::urban air close to ground</v>
      </c>
      <c r="F356" t="s">
        <v>167</v>
      </c>
      <c r="G356" t="s">
        <v>543</v>
      </c>
    </row>
    <row r="357" spans="1:7" x14ac:dyDescent="0.2">
      <c r="A357" t="str">
        <f>INDEX('ei names mapping'!$B$4:$BL$33,MATCH(B$234,'ei names mapping'!$A$4:$A$33,0),MATCH(G357,'ei names mapping'!$B$3:$BL$3,0))</f>
        <v>Pentane</v>
      </c>
      <c r="B357" s="7">
        <f>INDEX('vehicles specifications'!$B$3:$CW$166,MATCH(B$315,'vehicles specifications'!$A$3:$A$166,0),MATCH(G357,'vehicles specifications'!$B$2:$CW$2,0))*INDEX('ei names mapping'!$B$137:$BL$300,MATCH(B$315,'ei names mapping'!$A$137:$A$300,0),MATCH(G357,'ei names mapping'!$B$136:$BL$136,0))</f>
        <v>3.0328678135396732E-5</v>
      </c>
      <c r="D357" t="str">
        <f>INDEX('ei names mapping'!$B$104:$BL$133,MATCH(B$234,'ei names mapping'!$A$4:$A$33,0),MATCH(G357,'ei names mapping'!$B$3:$BL$3,0))</f>
        <v>kilogram</v>
      </c>
      <c r="E357" t="str">
        <f>INDEX('ei names mapping'!$B$305:$BL$335,MATCH(B$234,'ei names mapping'!$A$4:$A$33,0),MATCH(G357,'ei names mapping'!$B$3:$BL$3,0))</f>
        <v>air::urban air close to ground</v>
      </c>
      <c r="F357" t="s">
        <v>167</v>
      </c>
      <c r="G357" t="s">
        <v>544</v>
      </c>
    </row>
    <row r="358" spans="1:7" x14ac:dyDescent="0.2">
      <c r="A358" t="str">
        <f>INDEX('ei names mapping'!$B$4:$BL$33,MATCH(B$234,'ei names mapping'!$A$4:$A$33,0),MATCH(G358,'ei names mapping'!$B$3:$BL$3,0))</f>
        <v>Hexane</v>
      </c>
      <c r="B358" s="7">
        <f>INDEX('vehicles specifications'!$B$3:$CW$166,MATCH(B$315,'vehicles specifications'!$A$3:$A$166,0),MATCH(G358,'vehicles specifications'!$B$2:$CW$2,0))*INDEX('ei names mapping'!$B$137:$BL$300,MATCH(B$315,'ei names mapping'!$A$137:$A$300,0),MATCH(G358,'ei names mapping'!$B$136:$BL$136,0))</f>
        <v>2.2711242696738953E-5</v>
      </c>
      <c r="D358" t="str">
        <f>INDEX('ei names mapping'!$B$104:$BL$133,MATCH(B$234,'ei names mapping'!$A$4:$A$33,0),MATCH(G358,'ei names mapping'!$B$3:$BL$3,0))</f>
        <v>kilogram</v>
      </c>
      <c r="E358" t="str">
        <f>INDEX('ei names mapping'!$B$305:$BL$335,MATCH(B$234,'ei names mapping'!$A$4:$A$33,0),MATCH(G358,'ei names mapping'!$B$3:$BL$3,0))</f>
        <v>air::urban air close to ground</v>
      </c>
      <c r="F358" t="s">
        <v>167</v>
      </c>
      <c r="G358" t="s">
        <v>545</v>
      </c>
    </row>
    <row r="359" spans="1:7" x14ac:dyDescent="0.2">
      <c r="A359" t="str">
        <f>INDEX('ei names mapping'!$B$4:$BL$33,MATCH(B$234,'ei names mapping'!$A$4:$A$33,0),MATCH(G359,'ei names mapping'!$B$3:$BL$3,0))</f>
        <v>Cyclohexane</v>
      </c>
      <c r="B359" s="7">
        <f>INDEX('vehicles specifications'!$B$3:$CW$166,MATCH(B$315,'vehicles specifications'!$A$3:$A$166,0),MATCH(G359,'vehicles specifications'!$B$2:$CW$2,0))*INDEX('ei names mapping'!$B$137:$BL$300,MATCH(B$315,'ei names mapping'!$A$137:$A$300,0),MATCH(G359,'ei names mapping'!$B$136:$BL$136,0))</f>
        <v>1.6081252592721991E-5</v>
      </c>
      <c r="D359" t="str">
        <f>INDEX('ei names mapping'!$B$104:$BL$133,MATCH(B$234,'ei names mapping'!$A$4:$A$33,0),MATCH(G359,'ei names mapping'!$B$3:$BL$3,0))</f>
        <v>kilogram</v>
      </c>
      <c r="E359" t="str">
        <f>INDEX('ei names mapping'!$B$305:$BL$335,MATCH(B$234,'ei names mapping'!$A$4:$A$33,0),MATCH(G359,'ei names mapping'!$B$3:$BL$3,0))</f>
        <v>air::urban air close to ground</v>
      </c>
      <c r="F359" t="s">
        <v>167</v>
      </c>
      <c r="G359" t="s">
        <v>546</v>
      </c>
    </row>
    <row r="360" spans="1:7" x14ac:dyDescent="0.2">
      <c r="A360" t="str">
        <f>INDEX('ei names mapping'!$B$4:$BL$33,MATCH(B$234,'ei names mapping'!$A$4:$A$33,0),MATCH(G360,'ei names mapping'!$B$3:$BL$3,0))</f>
        <v>Heptane</v>
      </c>
      <c r="B360" s="7">
        <f>INDEX('vehicles specifications'!$B$3:$CW$166,MATCH(B$315,'vehicles specifications'!$A$3:$A$166,0),MATCH(G360,'vehicles specifications'!$B$2:$CW$2,0))*INDEX('ei names mapping'!$B$137:$BL$300,MATCH(B$315,'ei names mapping'!$A$137:$A$300,0),MATCH(G360,'ei names mapping'!$B$136:$BL$136,0))</f>
        <v>1.0438707823345854E-5</v>
      </c>
      <c r="D360" t="str">
        <f>INDEX('ei names mapping'!$B$104:$BL$133,MATCH(B$234,'ei names mapping'!$A$4:$A$33,0),MATCH(G360,'ei names mapping'!$B$3:$BL$3,0))</f>
        <v>kilogram</v>
      </c>
      <c r="E360" t="str">
        <f>INDEX('ei names mapping'!$B$305:$BL$335,MATCH(B$234,'ei names mapping'!$A$4:$A$33,0),MATCH(G360,'ei names mapping'!$B$3:$BL$3,0))</f>
        <v>air::urban air close to ground</v>
      </c>
      <c r="F360" t="s">
        <v>167</v>
      </c>
      <c r="G360" t="s">
        <v>547</v>
      </c>
    </row>
    <row r="361" spans="1:7" x14ac:dyDescent="0.2">
      <c r="A361" t="str">
        <f>INDEX('ei names mapping'!$B$4:$BL$33,MATCH(B$234,'ei names mapping'!$A$4:$A$33,0),MATCH(G361,'ei names mapping'!$B$3:$BL$3,0))</f>
        <v>Ethene</v>
      </c>
      <c r="B361" s="7">
        <f>INDEX('vehicles specifications'!$B$3:$CW$166,MATCH(B$315,'vehicles specifications'!$A$3:$A$166,0),MATCH(G361,'vehicles specifications'!$B$2:$CW$2,0))*INDEX('ei names mapping'!$B$137:$BL$300,MATCH(B$315,'ei names mapping'!$A$137:$A$300,0),MATCH(G361,'ei names mapping'!$B$136:$BL$136,0))</f>
        <v>1.029764420411145E-4</v>
      </c>
      <c r="D361" t="str">
        <f>INDEX('ei names mapping'!$B$104:$BL$133,MATCH(B$234,'ei names mapping'!$A$4:$A$33,0),MATCH(G361,'ei names mapping'!$B$3:$BL$3,0))</f>
        <v>kilogram</v>
      </c>
      <c r="E361" t="str">
        <f>INDEX('ei names mapping'!$B$305:$BL$335,MATCH(B$234,'ei names mapping'!$A$4:$A$33,0),MATCH(G361,'ei names mapping'!$B$3:$BL$3,0))</f>
        <v>air::urban air close to ground</v>
      </c>
      <c r="F361" t="s">
        <v>167</v>
      </c>
      <c r="G361" t="s">
        <v>548</v>
      </c>
    </row>
    <row r="362" spans="1:7" x14ac:dyDescent="0.2">
      <c r="A362" t="str">
        <f>INDEX('ei names mapping'!$B$4:$BL$33,MATCH(B$234,'ei names mapping'!$A$4:$A$33,0),MATCH(G362,'ei names mapping'!$B$3:$BL$3,0))</f>
        <v>Propene</v>
      </c>
      <c r="B362" s="7">
        <f>INDEX('vehicles specifications'!$B$3:$CW$166,MATCH(B$315,'vehicles specifications'!$A$3:$A$166,0),MATCH(G362,'vehicles specifications'!$B$2:$CW$2,0))*INDEX('ei names mapping'!$B$137:$BL$300,MATCH(B$315,'ei names mapping'!$A$137:$A$300,0),MATCH(G362,'ei names mapping'!$B$136:$BL$136,0))</f>
        <v>5.3886302547542099E-5</v>
      </c>
      <c r="D362" t="str">
        <f>INDEX('ei names mapping'!$B$104:$BL$133,MATCH(B$234,'ei names mapping'!$A$4:$A$33,0),MATCH(G362,'ei names mapping'!$B$3:$BL$3,0))</f>
        <v>kilogram</v>
      </c>
      <c r="E362" t="str">
        <f>INDEX('ei names mapping'!$B$305:$BL$335,MATCH(B$234,'ei names mapping'!$A$4:$A$33,0),MATCH(G362,'ei names mapping'!$B$3:$BL$3,0))</f>
        <v>air::urban air close to ground</v>
      </c>
      <c r="F362" t="s">
        <v>167</v>
      </c>
      <c r="G362" t="s">
        <v>549</v>
      </c>
    </row>
    <row r="363" spans="1:7" x14ac:dyDescent="0.2">
      <c r="A363" t="str">
        <f>INDEX('ei names mapping'!$B$4:$BL$33,MATCH(B$234,'ei names mapping'!$A$4:$A$33,0),MATCH(G363,'ei names mapping'!$B$3:$BL$3,0))</f>
        <v>1-Pentene</v>
      </c>
      <c r="B363" s="7">
        <f>INDEX('vehicles specifications'!$B$3:$CW$166,MATCH(B$315,'vehicles specifications'!$A$3:$A$166,0),MATCH(G363,'vehicles specifications'!$B$2:$CW$2,0))*INDEX('ei names mapping'!$B$137:$BL$300,MATCH(B$315,'ei names mapping'!$A$137:$A$300,0),MATCH(G363,'ei names mapping'!$B$136:$BL$136,0))</f>
        <v>1.5516998115784377E-6</v>
      </c>
      <c r="D363" t="str">
        <f>INDEX('ei names mapping'!$B$104:$BL$133,MATCH(B$234,'ei names mapping'!$A$4:$A$33,0),MATCH(G363,'ei names mapping'!$B$3:$BL$3,0))</f>
        <v>kilogram</v>
      </c>
      <c r="E363" t="str">
        <f>INDEX('ei names mapping'!$B$305:$BL$335,MATCH(B$234,'ei names mapping'!$A$4:$A$33,0),MATCH(G363,'ei names mapping'!$B$3:$BL$3,0))</f>
        <v>air::urban air close to ground</v>
      </c>
      <c r="F363" t="s">
        <v>167</v>
      </c>
      <c r="G363" t="s">
        <v>550</v>
      </c>
    </row>
    <row r="364" spans="1:7" x14ac:dyDescent="0.2">
      <c r="A364" t="str">
        <f>INDEX('ei names mapping'!$B$4:$BL$33,MATCH(B$234,'ei names mapping'!$A$4:$A$33,0),MATCH(G364,'ei names mapping'!$B$3:$BL$3,0))</f>
        <v>Toluene</v>
      </c>
      <c r="B364" s="7">
        <f>INDEX('vehicles specifications'!$B$3:$CW$166,MATCH(B$315,'vehicles specifications'!$A$3:$A$166,0),MATCH(G364,'vehicles specifications'!$B$2:$CW$2,0))*INDEX('ei names mapping'!$B$137:$BL$300,MATCH(B$315,'ei names mapping'!$A$137:$A$300,0),MATCH(G364,'ei names mapping'!$B$136:$BL$136,0))</f>
        <v>1.5488785391937494E-4</v>
      </c>
      <c r="D364" t="str">
        <f>INDEX('ei names mapping'!$B$104:$BL$133,MATCH(B$234,'ei names mapping'!$A$4:$A$33,0),MATCH(G364,'ei names mapping'!$B$3:$BL$3,0))</f>
        <v>kilogram</v>
      </c>
      <c r="E364" t="str">
        <f>INDEX('ei names mapping'!$B$305:$BL$335,MATCH(B$234,'ei names mapping'!$A$4:$A$33,0),MATCH(G364,'ei names mapping'!$B$3:$BL$3,0))</f>
        <v>air::urban air close to ground</v>
      </c>
      <c r="F364" t="s">
        <v>167</v>
      </c>
      <c r="G364" t="s">
        <v>551</v>
      </c>
    </row>
    <row r="365" spans="1:7" x14ac:dyDescent="0.2">
      <c r="A365" t="str">
        <f>INDEX('ei names mapping'!$B$4:$BL$33,MATCH(B$234,'ei names mapping'!$A$4:$A$33,0),MATCH(G365,'ei names mapping'!$B$3:$BL$3,0))</f>
        <v>m-Xylene</v>
      </c>
      <c r="B365" s="7">
        <f>INDEX('vehicles specifications'!$B$3:$CW$166,MATCH(B$315,'vehicles specifications'!$A$3:$A$166,0),MATCH(G365,'vehicles specifications'!$B$2:$CW$2,0))*INDEX('ei names mapping'!$B$137:$BL$300,MATCH(B$315,'ei names mapping'!$A$137:$A$300,0),MATCH(G365,'ei names mapping'!$B$136:$BL$136,0))</f>
        <v>7.6597545244281066E-5</v>
      </c>
      <c r="D365" t="str">
        <f>INDEX('ei names mapping'!$B$104:$BL$133,MATCH(B$234,'ei names mapping'!$A$4:$A$33,0),MATCH(G365,'ei names mapping'!$B$3:$BL$3,0))</f>
        <v>kilogram</v>
      </c>
      <c r="E365" t="str">
        <f>INDEX('ei names mapping'!$B$305:$BL$335,MATCH(B$234,'ei names mapping'!$A$4:$A$33,0),MATCH(G365,'ei names mapping'!$B$3:$BL$3,0))</f>
        <v>air::urban air close to ground</v>
      </c>
      <c r="F365" t="s">
        <v>167</v>
      </c>
      <c r="G365" t="s">
        <v>552</v>
      </c>
    </row>
    <row r="366" spans="1:7" x14ac:dyDescent="0.2">
      <c r="A366" t="str">
        <f>INDEX('ei names mapping'!$B$4:$BL$33,MATCH(B$234,'ei names mapping'!$A$4:$A$33,0),MATCH(G366,'ei names mapping'!$B$3:$BL$3,0))</f>
        <v>o-Xylene</v>
      </c>
      <c r="B366" s="7">
        <f>INDEX('vehicles specifications'!$B$3:$CW$166,MATCH(B$315,'vehicles specifications'!$A$3:$A$166,0),MATCH(G366,'vehicles specifications'!$B$2:$CW$2,0))*INDEX('ei names mapping'!$B$137:$BL$300,MATCH(B$315,'ei names mapping'!$A$137:$A$300,0),MATCH(G366,'ei names mapping'!$B$136:$BL$136,0))</f>
        <v>3.1880377946975169E-5</v>
      </c>
      <c r="D366" t="str">
        <f>INDEX('ei names mapping'!$B$104:$BL$133,MATCH(B$234,'ei names mapping'!$A$4:$A$33,0),MATCH(G366,'ei names mapping'!$B$3:$BL$3,0))</f>
        <v>kilogram</v>
      </c>
      <c r="E366" t="str">
        <f>INDEX('ei names mapping'!$B$305:$BL$335,MATCH(B$234,'ei names mapping'!$A$4:$A$33,0),MATCH(G366,'ei names mapping'!$B$3:$BL$3,0))</f>
        <v>air::urban air close to ground</v>
      </c>
      <c r="F366" t="s">
        <v>167</v>
      </c>
      <c r="G366" t="s">
        <v>553</v>
      </c>
    </row>
    <row r="367" spans="1:7" x14ac:dyDescent="0.2">
      <c r="A367" t="str">
        <f>INDEX('ei names mapping'!$B$4:$BL$33,MATCH(B$234,'ei names mapping'!$A$4:$A$33,0),MATCH(G367,'ei names mapping'!$B$3:$BL$3,0))</f>
        <v>Formaldehyde</v>
      </c>
      <c r="B367" s="7">
        <f>INDEX('vehicles specifications'!$B$3:$CW$166,MATCH(B$315,'vehicles specifications'!$A$3:$A$166,0),MATCH(G367,'vehicles specifications'!$B$2:$CW$2,0))*INDEX('ei names mapping'!$B$137:$BL$300,MATCH(B$315,'ei names mapping'!$A$137:$A$300,0),MATCH(G367,'ei names mapping'!$B$136:$BL$136,0))</f>
        <v>2.3980815269848583E-5</v>
      </c>
      <c r="D367" t="str">
        <f>INDEX('ei names mapping'!$B$104:$BL$133,MATCH(B$234,'ei names mapping'!$A$4:$A$33,0),MATCH(G367,'ei names mapping'!$B$3:$BL$3,0))</f>
        <v>kilogram</v>
      </c>
      <c r="E367" t="str">
        <f>INDEX('ei names mapping'!$B$305:$BL$335,MATCH(B$234,'ei names mapping'!$A$4:$A$33,0),MATCH(G367,'ei names mapping'!$B$3:$BL$3,0))</f>
        <v>air::urban air close to ground</v>
      </c>
      <c r="F367" t="s">
        <v>167</v>
      </c>
      <c r="G367" t="s">
        <v>554</v>
      </c>
    </row>
    <row r="368" spans="1:7" x14ac:dyDescent="0.2">
      <c r="A368" t="str">
        <f>INDEX('ei names mapping'!$B$4:$BL$33,MATCH(B$234,'ei names mapping'!$A$4:$A$33,0),MATCH(G368,'ei names mapping'!$B$3:$BL$3,0))</f>
        <v>Acetaldehyde</v>
      </c>
      <c r="B368" s="7">
        <f>INDEX('vehicles specifications'!$B$3:$CW$166,MATCH(B$315,'vehicles specifications'!$A$3:$A$166,0),MATCH(G368,'vehicles specifications'!$B$2:$CW$2,0))*INDEX('ei names mapping'!$B$137:$BL$300,MATCH(B$315,'ei names mapping'!$A$137:$A$300,0),MATCH(G368,'ei names mapping'!$B$136:$BL$136,0))</f>
        <v>1.0579771442580255E-5</v>
      </c>
      <c r="D368" t="str">
        <f>INDEX('ei names mapping'!$B$104:$BL$133,MATCH(B$234,'ei names mapping'!$A$4:$A$33,0),MATCH(G368,'ei names mapping'!$B$3:$BL$3,0))</f>
        <v>kilogram</v>
      </c>
      <c r="E368" t="str">
        <f>INDEX('ei names mapping'!$B$305:$BL$335,MATCH(B$234,'ei names mapping'!$A$4:$A$33,0),MATCH(G368,'ei names mapping'!$B$3:$BL$3,0))</f>
        <v>air::urban air close to ground</v>
      </c>
      <c r="F368" t="s">
        <v>167</v>
      </c>
      <c r="G368" t="s">
        <v>555</v>
      </c>
    </row>
    <row r="369" spans="1:8" x14ac:dyDescent="0.2">
      <c r="A369" t="str">
        <f>INDEX('ei names mapping'!$B$4:$BL$33,MATCH(B$234,'ei names mapping'!$A$4:$A$33,0),MATCH(G369,'ei names mapping'!$B$3:$BL$3,0))</f>
        <v>Benzaldehyde</v>
      </c>
      <c r="B369" s="7">
        <f>INDEX('vehicles specifications'!$B$3:$CW$166,MATCH(B$315,'vehicles specifications'!$A$3:$A$166,0),MATCH(G369,'vehicles specifications'!$B$2:$CW$2,0))*INDEX('ei names mapping'!$B$137:$BL$300,MATCH(B$315,'ei names mapping'!$A$137:$A$300,0),MATCH(G369,'ei names mapping'!$B$136:$BL$136,0))</f>
        <v>3.1033996231568754E-6</v>
      </c>
      <c r="D369" t="str">
        <f>INDEX('ei names mapping'!$B$104:$BL$133,MATCH(B$234,'ei names mapping'!$A$4:$A$33,0),MATCH(G369,'ei names mapping'!$B$3:$BL$3,0))</f>
        <v>kilogram</v>
      </c>
      <c r="E369" t="str">
        <f>INDEX('ei names mapping'!$B$305:$BL$335,MATCH(B$234,'ei names mapping'!$A$4:$A$33,0),MATCH(G369,'ei names mapping'!$B$3:$BL$3,0))</f>
        <v>air::urban air close to ground</v>
      </c>
      <c r="F369" t="s">
        <v>167</v>
      </c>
      <c r="G369" t="s">
        <v>556</v>
      </c>
    </row>
    <row r="370" spans="1:8" x14ac:dyDescent="0.2">
      <c r="A370" t="str">
        <f>INDEX('ei names mapping'!$B$4:$BL$33,MATCH(B$234,'ei names mapping'!$A$4:$A$33,0),MATCH(G370,'ei names mapping'!$B$3:$BL$3,0))</f>
        <v>Acetone</v>
      </c>
      <c r="B370" s="7">
        <f>INDEX('vehicles specifications'!$B$3:$CW$166,MATCH(B$315,'vehicles specifications'!$A$3:$A$166,0),MATCH(G370,'vehicles specifications'!$B$2:$CW$2,0))*INDEX('ei names mapping'!$B$137:$BL$300,MATCH(B$315,'ei names mapping'!$A$137:$A$300,0),MATCH(G370,'ei names mapping'!$B$136:$BL$136,0))</f>
        <v>8.6048807732986105E-6</v>
      </c>
      <c r="D370" t="str">
        <f>INDEX('ei names mapping'!$B$104:$BL$133,MATCH(B$234,'ei names mapping'!$A$4:$A$33,0),MATCH(G370,'ei names mapping'!$B$3:$BL$3,0))</f>
        <v>kilogram</v>
      </c>
      <c r="E370" t="str">
        <f>INDEX('ei names mapping'!$B$305:$BL$335,MATCH(B$234,'ei names mapping'!$A$4:$A$33,0),MATCH(G370,'ei names mapping'!$B$3:$BL$3,0))</f>
        <v>air::urban air close to ground</v>
      </c>
      <c r="F370" t="s">
        <v>167</v>
      </c>
      <c r="G370" t="s">
        <v>557</v>
      </c>
    </row>
    <row r="371" spans="1:8" x14ac:dyDescent="0.2">
      <c r="A371" t="str">
        <f>INDEX('ei names mapping'!$B$4:$BL$33,MATCH(B$234,'ei names mapping'!$A$4:$A$33,0),MATCH(G371,'ei names mapping'!$B$3:$BL$3,0))</f>
        <v>Methyl ethyl ketone</v>
      </c>
      <c r="B371" s="7">
        <f>INDEX('vehicles specifications'!$B$3:$CW$166,MATCH(B$315,'vehicles specifications'!$A$3:$A$166,0),MATCH(G371,'vehicles specifications'!$B$2:$CW$2,0))*INDEX('ei names mapping'!$B$137:$BL$300,MATCH(B$315,'ei names mapping'!$A$137:$A$300,0),MATCH(G371,'ei names mapping'!$B$136:$BL$136,0))</f>
        <v>0</v>
      </c>
      <c r="D371" t="str">
        <f>INDEX('ei names mapping'!$B$104:$BL$133,MATCH(B$234,'ei names mapping'!$A$4:$A$33,0),MATCH(G371,'ei names mapping'!$B$3:$BL$3,0))</f>
        <v>kilogram</v>
      </c>
      <c r="E371" t="str">
        <f>INDEX('ei names mapping'!$B$305:$BL$335,MATCH(B$234,'ei names mapping'!$A$4:$A$33,0),MATCH(G371,'ei names mapping'!$B$3:$BL$3,0))</f>
        <v>air::urban air close to ground</v>
      </c>
      <c r="F371" t="s">
        <v>167</v>
      </c>
      <c r="G371" t="s">
        <v>560</v>
      </c>
    </row>
    <row r="372" spans="1:8" x14ac:dyDescent="0.2">
      <c r="A372" t="str">
        <f>INDEX('ei names mapping'!$B$4:$BL$33,MATCH(B$234,'ei names mapping'!$A$4:$A$33,0),MATCH(G372,'ei names mapping'!$B$3:$BL$3,0))</f>
        <v>Acrolein</v>
      </c>
      <c r="B372" s="7">
        <f>INDEX('vehicles specifications'!$B$3:$CW$166,MATCH(B$315,'vehicles specifications'!$A$3:$A$166,0),MATCH(G372,'vehicles specifications'!$B$2:$CW$2,0))*INDEX('ei names mapping'!$B$137:$BL$300,MATCH(B$315,'ei names mapping'!$A$137:$A$300,0),MATCH(G372,'ei names mapping'!$B$136:$BL$136,0))</f>
        <v>2.680208765453665E-6</v>
      </c>
      <c r="D372" t="str">
        <f>INDEX('ei names mapping'!$B$104:$BL$133,MATCH(B$234,'ei names mapping'!$A$4:$A$33,0),MATCH(G372,'ei names mapping'!$B$3:$BL$3,0))</f>
        <v>kilogram</v>
      </c>
      <c r="E372" t="str">
        <f>INDEX('ei names mapping'!$B$305:$BL$335,MATCH(B$234,'ei names mapping'!$A$4:$A$33,0),MATCH(G372,'ei names mapping'!$B$3:$BL$3,0))</f>
        <v>air::urban air close to ground</v>
      </c>
      <c r="F372" t="s">
        <v>167</v>
      </c>
      <c r="G372" t="s">
        <v>558</v>
      </c>
    </row>
    <row r="373" spans="1:8" x14ac:dyDescent="0.2">
      <c r="A373" t="str">
        <f>INDEX('ei names mapping'!$B$4:$BL$33,MATCH(B$234,'ei names mapping'!$A$4:$A$33,0),MATCH(G373,'ei names mapping'!$B$3:$BL$3,0))</f>
        <v>Styrene</v>
      </c>
      <c r="B373" s="7">
        <f>INDEX('vehicles specifications'!$B$3:$CW$166,MATCH(B$315,'vehicles specifications'!$A$3:$A$166,0),MATCH(G373,'vehicles specifications'!$B$2:$CW$2,0))*INDEX('ei names mapping'!$B$137:$BL$300,MATCH(B$315,'ei names mapping'!$A$137:$A$300,0),MATCH(G373,'ei names mapping'!$B$136:$BL$136,0))</f>
        <v>1.4247425542674743E-5</v>
      </c>
      <c r="D373" t="str">
        <f>INDEX('ei names mapping'!$B$104:$BL$133,MATCH(B$234,'ei names mapping'!$A$4:$A$33,0),MATCH(G373,'ei names mapping'!$B$3:$BL$3,0))</f>
        <v>kilogram</v>
      </c>
      <c r="E373" t="str">
        <f>INDEX('ei names mapping'!$B$305:$BL$335,MATCH(B$234,'ei names mapping'!$A$4:$A$33,0),MATCH(G373,'ei names mapping'!$B$3:$BL$3,0))</f>
        <v>air::urban air close to ground</v>
      </c>
      <c r="F373" t="s">
        <v>167</v>
      </c>
      <c r="G373" t="s">
        <v>559</v>
      </c>
    </row>
    <row r="374" spans="1:8" x14ac:dyDescent="0.2">
      <c r="A374" t="str">
        <f>INDEX('ei names mapping'!$B$4:$BL$33,MATCH(B$234,'ei names mapping'!$A$4:$A$33,0),MATCH(G374,'ei names mapping'!$B$3:$BL$3,0))</f>
        <v>PAH, polycyclic aromatic hydrocarbons</v>
      </c>
      <c r="B374" s="7">
        <f>INDEX('vehicles specifications'!$B$3:$CW$166,MATCH(B$315,'vehicles specifications'!$A$3:$A$166,0),MATCH(G374,'vehicles specifications'!$B$2:$CW$2,0))*INDEX('ei names mapping'!$B$137:$BL$300,MATCH(B$315,'ei names mapping'!$A$137:$A$300,0),MATCH(G374,'ei names mapping'!$B$136:$BL$136,0))</f>
        <v>1.0657346351307668E-9</v>
      </c>
      <c r="D374" t="str">
        <f>INDEX('ei names mapping'!$B$104:$BL$133,MATCH(B$234,'ei names mapping'!$A$4:$A$33,0),MATCH(G374,'ei names mapping'!$B$3:$BL$3,0))</f>
        <v>kilogram</v>
      </c>
      <c r="E374" t="str">
        <f>INDEX('ei names mapping'!$B$305:$BL$335,MATCH(B$234,'ei names mapping'!$A$4:$A$33,0),MATCH(G374,'ei names mapping'!$B$3:$BL$3,0))</f>
        <v>air::urban air close to ground</v>
      </c>
      <c r="F374" t="s">
        <v>167</v>
      </c>
      <c r="G374" t="s">
        <v>561</v>
      </c>
    </row>
    <row r="375" spans="1:8" x14ac:dyDescent="0.2">
      <c r="A375" t="str">
        <f>INDEX('ei names mapping'!$B$4:$BL$33,MATCH(B$234,'ei names mapping'!$A$4:$A$33,0),MATCH(G375,'ei names mapping'!$B$3:$BL$3,0))</f>
        <v>Arsenic</v>
      </c>
      <c r="B375" s="7">
        <f>INDEX('vehicles specifications'!$B$3:$CW$166,MATCH(B$315,'vehicles specifications'!$A$3:$A$166,0),MATCH(G375,'vehicles specifications'!$B$2:$CW$2,0))*INDEX('ei names mapping'!$B$137:$BL$300,MATCH(B$315,'ei names mapping'!$A$137:$A$300,0),MATCH(G375,'ei names mapping'!$B$136:$BL$136,0))</f>
        <v>9.1873675442307481E-12</v>
      </c>
      <c r="D375" t="str">
        <f>INDEX('ei names mapping'!$B$104:$BL$133,MATCH(B$234,'ei names mapping'!$A$4:$A$33,0),MATCH(G375,'ei names mapping'!$B$3:$BL$3,0))</f>
        <v>kilogram</v>
      </c>
      <c r="E375" t="str">
        <f>INDEX('ei names mapping'!$B$305:$BL$335,MATCH(B$234,'ei names mapping'!$A$4:$A$33,0),MATCH(G375,'ei names mapping'!$B$3:$BL$3,0))</f>
        <v>air::urban air close to ground</v>
      </c>
      <c r="F375" t="s">
        <v>167</v>
      </c>
      <c r="G375" t="s">
        <v>562</v>
      </c>
    </row>
    <row r="376" spans="1:8" x14ac:dyDescent="0.2">
      <c r="A376" t="str">
        <f>INDEX('ei names mapping'!$B$4:$BL$33,MATCH(B$234,'ei names mapping'!$A$4:$A$33,0),MATCH(G376,'ei names mapping'!$B$3:$BL$3,0))</f>
        <v>Selenium</v>
      </c>
      <c r="B376" s="7">
        <f>INDEX('vehicles specifications'!$B$3:$CW$166,MATCH(B$315,'vehicles specifications'!$A$3:$A$166,0),MATCH(G376,'vehicles specifications'!$B$2:$CW$2,0))*INDEX('ei names mapping'!$B$137:$BL$300,MATCH(B$315,'ei names mapping'!$A$137:$A$300,0),MATCH(G376,'ei names mapping'!$B$136:$BL$136,0))</f>
        <v>6.1249116961538321E-12</v>
      </c>
      <c r="D376" t="str">
        <f>INDEX('ei names mapping'!$B$104:$BL$133,MATCH(B$234,'ei names mapping'!$A$4:$A$33,0),MATCH(G376,'ei names mapping'!$B$3:$BL$3,0))</f>
        <v>kilogram</v>
      </c>
      <c r="E376" t="str">
        <f>INDEX('ei names mapping'!$B$305:$BL$335,MATCH(B$234,'ei names mapping'!$A$4:$A$33,0),MATCH(G376,'ei names mapping'!$B$3:$BL$3,0))</f>
        <v>air::urban air close to ground</v>
      </c>
      <c r="F376" t="s">
        <v>167</v>
      </c>
      <c r="G376" t="s">
        <v>563</v>
      </c>
    </row>
    <row r="377" spans="1:8" x14ac:dyDescent="0.2">
      <c r="A377" t="str">
        <f>INDEX('ei names mapping'!$B$4:$BL$33,MATCH(B$234,'ei names mapping'!$A$4:$A$33,0),MATCH(G377,'ei names mapping'!$B$3:$BL$3,0))</f>
        <v>Zinc</v>
      </c>
      <c r="B377" s="7">
        <f>INDEX('vehicles specifications'!$B$3:$CW$166,MATCH(B$315,'vehicles specifications'!$A$3:$A$166,0),MATCH(G377,'vehicles specifications'!$B$2:$CW$2,0))*INDEX('ei names mapping'!$B$137:$BL$300,MATCH(B$315,'ei names mapping'!$A$137:$A$300,0),MATCH(G377,'ei names mapping'!$B$136:$BL$136,0))</f>
        <v>6.6149046318461386E-8</v>
      </c>
      <c r="D377" t="str">
        <f>INDEX('ei names mapping'!$B$104:$BL$133,MATCH(B$234,'ei names mapping'!$A$4:$A$33,0),MATCH(G377,'ei names mapping'!$B$3:$BL$3,0))</f>
        <v>kilogram</v>
      </c>
      <c r="E377" t="str">
        <f>INDEX('ei names mapping'!$B$305:$BL$335,MATCH(B$234,'ei names mapping'!$A$4:$A$33,0),MATCH(G377,'ei names mapping'!$B$3:$BL$3,0))</f>
        <v>air::urban air close to ground</v>
      </c>
      <c r="F377" t="s">
        <v>167</v>
      </c>
      <c r="G377" t="s">
        <v>564</v>
      </c>
    </row>
    <row r="378" spans="1:8" x14ac:dyDescent="0.2">
      <c r="A378" t="str">
        <f>INDEX('ei names mapping'!$B$4:$BL$33,MATCH(B$234,'ei names mapping'!$A$4:$A$33,0),MATCH(G378,'ei names mapping'!$B$3:$BL$3,0))</f>
        <v>Copper</v>
      </c>
      <c r="B378" s="7">
        <f>INDEX('vehicles specifications'!$B$3:$CW$166,MATCH(B$315,'vehicles specifications'!$A$3:$A$166,0),MATCH(G378,'vehicles specifications'!$B$2:$CW$2,0))*INDEX('ei names mapping'!$B$137:$BL$300,MATCH(B$315,'ei names mapping'!$A$137:$A$300,0),MATCH(G378,'ei names mapping'!$B$136:$BL$136,0))</f>
        <v>1.2862314561923045E-9</v>
      </c>
      <c r="D378" t="str">
        <f>INDEX('ei names mapping'!$B$104:$BL$133,MATCH(B$234,'ei names mapping'!$A$4:$A$33,0),MATCH(G378,'ei names mapping'!$B$3:$BL$3,0))</f>
        <v>kilogram</v>
      </c>
      <c r="E378" t="str">
        <f>INDEX('ei names mapping'!$B$305:$BL$335,MATCH(B$234,'ei names mapping'!$A$4:$A$33,0),MATCH(G378,'ei names mapping'!$B$3:$BL$3,0))</f>
        <v>air::urban air close to ground</v>
      </c>
      <c r="F378" t="s">
        <v>167</v>
      </c>
      <c r="G378" t="s">
        <v>522</v>
      </c>
    </row>
    <row r="379" spans="1:8" x14ac:dyDescent="0.2">
      <c r="A379" t="str">
        <f>INDEX('ei names mapping'!$B$4:$BL$33,MATCH(B$234,'ei names mapping'!$A$4:$A$33,0),MATCH(G379,'ei names mapping'!$B$3:$BL$3,0))</f>
        <v>Nickel</v>
      </c>
      <c r="B379" s="7">
        <f>INDEX('vehicles specifications'!$B$3:$CW$166,MATCH(B$315,'vehicles specifications'!$A$3:$A$166,0),MATCH(G379,'vehicles specifications'!$B$2:$CW$2,0))*INDEX('ei names mapping'!$B$137:$BL$300,MATCH(B$315,'ei names mapping'!$A$137:$A$300,0),MATCH(G379,'ei names mapping'!$B$136:$BL$136,0))</f>
        <v>3.9811926024999908E-10</v>
      </c>
      <c r="D379" t="str">
        <f>INDEX('ei names mapping'!$B$104:$BL$133,MATCH(B$234,'ei names mapping'!$A$4:$A$33,0),MATCH(G379,'ei names mapping'!$B$3:$BL$3,0))</f>
        <v>kilogram</v>
      </c>
      <c r="E379" t="str">
        <f>INDEX('ei names mapping'!$B$305:$BL$335,MATCH(B$234,'ei names mapping'!$A$4:$A$33,0),MATCH(G379,'ei names mapping'!$B$3:$BL$3,0))</f>
        <v>air::urban air close to ground</v>
      </c>
      <c r="F379" t="s">
        <v>167</v>
      </c>
      <c r="G379" t="s">
        <v>524</v>
      </c>
    </row>
    <row r="380" spans="1:8" x14ac:dyDescent="0.2">
      <c r="A380" t="str">
        <f>INDEX('ei names mapping'!$B$4:$BL$33,MATCH(B$234,'ei names mapping'!$A$4:$A$33,0),MATCH(G380,'ei names mapping'!$B$3:$BL$3,0))</f>
        <v>Chromium</v>
      </c>
      <c r="B380" s="7">
        <f>INDEX('vehicles specifications'!$B$3:$CW$166,MATCH(B$315,'vehicles specifications'!$A$3:$A$166,0),MATCH(G380,'vehicles specifications'!$B$2:$CW$2,0))*INDEX('ei names mapping'!$B$137:$BL$300,MATCH(B$315,'ei names mapping'!$A$137:$A$300,0),MATCH(G380,'ei names mapping'!$B$136:$BL$136,0))</f>
        <v>4.8999293569230657E-10</v>
      </c>
      <c r="D380" t="str">
        <f>INDEX('ei names mapping'!$B$104:$BL$133,MATCH(B$234,'ei names mapping'!$A$4:$A$33,0),MATCH(G380,'ei names mapping'!$B$3:$BL$3,0))</f>
        <v>kilogram</v>
      </c>
      <c r="E380" t="str">
        <f>INDEX('ei names mapping'!$B$305:$BL$335,MATCH(B$234,'ei names mapping'!$A$4:$A$33,0),MATCH(G380,'ei names mapping'!$B$3:$BL$3,0))</f>
        <v>air::urban air close to ground</v>
      </c>
      <c r="F380" t="s">
        <v>167</v>
      </c>
      <c r="G380" t="s">
        <v>523</v>
      </c>
    </row>
    <row r="381" spans="1:8" x14ac:dyDescent="0.2">
      <c r="A381" t="str">
        <f>INDEX('ei names mapping'!$B$4:$BL$33,MATCH(B$234,'ei names mapping'!$A$4:$A$33,0),MATCH(G381,'ei names mapping'!$B$3:$BL$3,0))</f>
        <v>Chromium VI</v>
      </c>
      <c r="B381" s="7">
        <f>INDEX('vehicles specifications'!$B$3:$CW$166,MATCH(B$315,'vehicles specifications'!$A$3:$A$166,0),MATCH(G381,'vehicles specifications'!$B$2:$CW$2,0))*INDEX('ei names mapping'!$B$137:$BL$300,MATCH(B$315,'ei names mapping'!$A$137:$A$300,0),MATCH(G381,'ei names mapping'!$B$136:$BL$136,0))</f>
        <v>9.7998587138461305E-13</v>
      </c>
      <c r="D381" t="str">
        <f>INDEX('ei names mapping'!$B$104:$BL$133,MATCH(B$234,'ei names mapping'!$A$4:$A$33,0),MATCH(G381,'ei names mapping'!$B$3:$BL$3,0))</f>
        <v>kilogram</v>
      </c>
      <c r="E381" t="str">
        <f>INDEX('ei names mapping'!$B$305:$BL$335,MATCH(B$234,'ei names mapping'!$A$4:$A$33,0),MATCH(G381,'ei names mapping'!$B$3:$BL$3,0))</f>
        <v>air::urban air close to ground</v>
      </c>
      <c r="F381" t="s">
        <v>167</v>
      </c>
      <c r="G381" t="s">
        <v>567</v>
      </c>
    </row>
    <row r="382" spans="1:8" x14ac:dyDescent="0.2">
      <c r="A382" t="str">
        <f>INDEX('ei names mapping'!$B$4:$BL$33,MATCH(B$234,'ei names mapping'!$A$4:$A$33,0),MATCH(G382,'ei names mapping'!$B$3:$BL$3,0))</f>
        <v>Mercury</v>
      </c>
      <c r="B382" s="7">
        <f>INDEX('vehicles specifications'!$B$3:$CW$166,MATCH(B$315,'vehicles specifications'!$A$3:$A$166,0),MATCH(G382,'vehicles specifications'!$B$2:$CW$2,0))*INDEX('ei names mapping'!$B$137:$BL$300,MATCH(B$315,'ei names mapping'!$A$137:$A$300,0),MATCH(G382,'ei names mapping'!$B$136:$BL$136,0))</f>
        <v>2.6643365878269169E-10</v>
      </c>
      <c r="D382" t="str">
        <f>INDEX('ei names mapping'!$B$104:$BL$133,MATCH(B$234,'ei names mapping'!$A$4:$A$33,0),MATCH(G382,'ei names mapping'!$B$3:$BL$3,0))</f>
        <v>kilogram</v>
      </c>
      <c r="E382" t="str">
        <f>INDEX('ei names mapping'!$B$305:$BL$335,MATCH(B$234,'ei names mapping'!$A$4:$A$33,0),MATCH(G382,'ei names mapping'!$B$3:$BL$3,0))</f>
        <v>air::urban air close to ground</v>
      </c>
      <c r="F382" t="s">
        <v>167</v>
      </c>
      <c r="G382" t="s">
        <v>565</v>
      </c>
    </row>
    <row r="383" spans="1:8" x14ac:dyDescent="0.2">
      <c r="A383" t="str">
        <f>INDEX('ei names mapping'!$B$4:$BL$33,MATCH(B$234,'ei names mapping'!$A$4:$A$33,0),MATCH(G383,'ei names mapping'!$B$3:$BL$3,0))</f>
        <v>Cadmium</v>
      </c>
      <c r="B383" s="7">
        <f>INDEX('vehicles specifications'!$B$3:$CW$166,MATCH(B$315,'vehicles specifications'!$A$3:$A$166,0),MATCH(G383,'vehicles specifications'!$B$2:$CW$2,0))*INDEX('ei names mapping'!$B$137:$BL$300,MATCH(B$315,'ei names mapping'!$A$137:$A$300,0),MATCH(G383,'ei names mapping'!$B$136:$BL$136,0))</f>
        <v>3.3074523159230703E-10</v>
      </c>
      <c r="D383" t="str">
        <f>INDEX('ei names mapping'!$B$104:$BL$133,MATCH(B$234,'ei names mapping'!$A$4:$A$33,0),MATCH(G383,'ei names mapping'!$B$3:$BL$3,0))</f>
        <v>kilogram</v>
      </c>
      <c r="E383" t="str">
        <f>INDEX('ei names mapping'!$B$305:$BL$335,MATCH(B$234,'ei names mapping'!$A$4:$A$33,0),MATCH(G383,'ei names mapping'!$B$3:$BL$3,0))</f>
        <v>air::urban air close to ground</v>
      </c>
      <c r="F383" t="s">
        <v>167</v>
      </c>
      <c r="G383" t="s">
        <v>566</v>
      </c>
    </row>
    <row r="384" spans="1:8" x14ac:dyDescent="0.2">
      <c r="A384" t="str">
        <f>INDEX('ei names mapping'!$B$4:$BL$33,MATCH(B312,'ei names mapping'!$A$4:$A$33,0),MATCH(G384,'ei names mapping'!$B$3:$BL$3,0))</f>
        <v>treatment of road wear emissions, passenger car</v>
      </c>
      <c r="B384" s="7">
        <f>INDEX('vehicles specifications'!$B$3:$CW$166,MATCH(B315,'vehicles specifications'!$A$3:$A$166,0),MATCH(G384,'vehicles specifications'!$B$2:$CW$2,0))*INDEX('ei names mapping'!$B$137:$BL$300,MATCH(B315,'ei names mapping'!$A$137:$A$300,0),MATCH(G384,'ei names mapping'!$B$136:$BL$136,0))</f>
        <v>-6.43813816279788E-6</v>
      </c>
      <c r="C384" t="str">
        <f>INDEX('ei names mapping'!$B$38:$BL$67,MATCH(B312,'ei names mapping'!$A$4:$A$33,0),MATCH(G384,'ei names mapping'!$B$3:$BL$3,0))</f>
        <v>RER</v>
      </c>
      <c r="D384" t="str">
        <f>INDEX('ei names mapping'!$B$104:$BL$133,MATCH(B312,'ei names mapping'!$A$4:$A$33,0),MATCH(G384,'ei names mapping'!$B$3:$BL$3,0))</f>
        <v>kilogram</v>
      </c>
      <c r="F384" t="s">
        <v>89</v>
      </c>
      <c r="G384" t="s">
        <v>29</v>
      </c>
      <c r="H384" t="str">
        <f>INDEX('ei names mapping'!$B$71:$BL$100,MATCH(B312,'ei names mapping'!$A$4:$A$33,0),MATCH(G384,'ei names mapping'!$B$3:$BL$3,0))</f>
        <v>road wear emissions, passenger car</v>
      </c>
    </row>
    <row r="385" spans="1:8" x14ac:dyDescent="0.2">
      <c r="A385" t="str">
        <f>INDEX('ei names mapping'!$B$4:$BL$33,MATCH(B312,'ei names mapping'!$A$4:$A$33,0),MATCH(G385,'ei names mapping'!$B$3:$BL$3,0))</f>
        <v>treatment of tyre wear emissions, passenger car</v>
      </c>
      <c r="B385" s="7">
        <f>INDEX('vehicles specifications'!$B$3:$CW$166,MATCH(B315,'vehicles specifications'!$A$3:$A$166,0),MATCH(G385,'vehicles specifications'!$B$2:$CW$2,0))*INDEX('ei names mapping'!$B$137:$BL$300,MATCH(B315,'ei names mapping'!$A$137:$A$300,0),MATCH(G385,'ei names mapping'!$B$136:$BL$136,0))</f>
        <v>-5.2139692048332967E-6</v>
      </c>
      <c r="C385" t="str">
        <f>INDEX('ei names mapping'!$B$38:$BL$67,MATCH(B312,'ei names mapping'!$A$4:$A$33,0),MATCH(G385,'ei names mapping'!$B$3:$BL$3,0))</f>
        <v>RER</v>
      </c>
      <c r="D385" t="str">
        <f>INDEX('ei names mapping'!$B$104:$BL$133,MATCH(B312,'ei names mapping'!$A$4:$A$33,0),MATCH(G385,'ei names mapping'!$B$3:$BL$3,0))</f>
        <v>kilogram</v>
      </c>
      <c r="F385" t="s">
        <v>89</v>
      </c>
      <c r="G385" t="s">
        <v>30</v>
      </c>
      <c r="H385" t="str">
        <f>INDEX('ei names mapping'!$B$71:$BL$100,MATCH(B312,'ei names mapping'!$A$4:$A$33,0),MATCH(G385,'ei names mapping'!$B$3:$BL$3,0))</f>
        <v>tyre wear emissions, passenger car</v>
      </c>
    </row>
    <row r="386" spans="1:8" x14ac:dyDescent="0.2">
      <c r="A386" t="str">
        <f>INDEX('ei names mapping'!$B$4:$BL$33,MATCH(B312,'ei names mapping'!$A$4:$A$33,0),MATCH(G386,'ei names mapping'!$B$3:$BL$3,0))</f>
        <v>treatment of brake wear emissions, passenger car</v>
      </c>
      <c r="B386" s="7">
        <f>INDEX('vehicles specifications'!$B$3:$CW$166,MATCH(B315,'vehicles specifications'!$A$3:$A$166,0),MATCH(G386,'vehicles specifications'!$B$2:$CW$2,0))*INDEX('ei names mapping'!$B$137:$BL$300,MATCH(B315,'ei names mapping'!$A$137:$A$300,0),MATCH(G386,'ei names mapping'!$B$136:$BL$136,0))</f>
        <v>-3.6472541097287021E-6</v>
      </c>
      <c r="C386" t="str">
        <f>INDEX('ei names mapping'!$B$38:$BL$67,MATCH(B312,'ei names mapping'!$A$4:$A$33,0),MATCH(G386,'ei names mapping'!$B$3:$BL$3,0))</f>
        <v>RER</v>
      </c>
      <c r="D386" t="str">
        <f>INDEX('ei names mapping'!$B$104:$BL$133,MATCH(B312,'ei names mapping'!$A$4:$A$33,0),MATCH(G386,'ei names mapping'!$B$3:$BL$3,0))</f>
        <v>kilogram</v>
      </c>
      <c r="F386" t="s">
        <v>89</v>
      </c>
      <c r="G386" t="s">
        <v>31</v>
      </c>
      <c r="H386" t="str">
        <f>INDEX('ei names mapping'!$B$71:$BL$100,MATCH(B312,'ei names mapping'!$A$4:$A$33,0),MATCH(G386,'ei names mapping'!$B$3:$BL$3,0))</f>
        <v>brake wear emissions, passenger car</v>
      </c>
    </row>
    <row r="388" spans="1:8" ht="16" x14ac:dyDescent="0.2">
      <c r="A388" s="10" t="s">
        <v>71</v>
      </c>
      <c r="B388" s="8" t="str">
        <f>"transport, "&amp;B390&amp;", "&amp;B392</f>
        <v>transport, Scooter, gasoline, &lt;4kW, EURO-5, 2020</v>
      </c>
    </row>
    <row r="389" spans="1:8" x14ac:dyDescent="0.2">
      <c r="A389" t="s">
        <v>72</v>
      </c>
      <c r="B389" t="s">
        <v>37</v>
      </c>
    </row>
    <row r="390" spans="1:8" x14ac:dyDescent="0.2">
      <c r="A390" t="s">
        <v>86</v>
      </c>
      <c r="B390" t="s">
        <v>611</v>
      </c>
    </row>
    <row r="391" spans="1:8" x14ac:dyDescent="0.2">
      <c r="A391" t="s">
        <v>87</v>
      </c>
    </row>
    <row r="392" spans="1:8" x14ac:dyDescent="0.2">
      <c r="A392" t="s">
        <v>88</v>
      </c>
      <c r="B392">
        <v>2020</v>
      </c>
    </row>
    <row r="393" spans="1:8" x14ac:dyDescent="0.2">
      <c r="A393" t="s">
        <v>126</v>
      </c>
      <c r="B393" t="str">
        <f>B390&amp;" - "&amp;B392&amp;" - "&amp;B389</f>
        <v>Scooter, gasoline, &lt;4kW, EURO-5 - 2020 - CH</v>
      </c>
    </row>
    <row r="394" spans="1:8" x14ac:dyDescent="0.2">
      <c r="A394" t="s">
        <v>73</v>
      </c>
      <c r="B394" t="str">
        <f>"transport, "&amp;B390</f>
        <v>transport, Scooter, gasoline, &lt;4kW, EURO-5</v>
      </c>
    </row>
    <row r="395" spans="1:8" x14ac:dyDescent="0.2">
      <c r="A395" t="s">
        <v>74</v>
      </c>
      <c r="B395" t="s">
        <v>75</v>
      </c>
    </row>
    <row r="396" spans="1:8" x14ac:dyDescent="0.2">
      <c r="A396" t="s">
        <v>76</v>
      </c>
      <c r="B396" t="s">
        <v>166</v>
      </c>
    </row>
    <row r="397" spans="1:8" x14ac:dyDescent="0.2">
      <c r="A397" t="s">
        <v>78</v>
      </c>
      <c r="B397" t="s">
        <v>1143</v>
      </c>
    </row>
    <row r="398" spans="1:8" x14ac:dyDescent="0.2">
      <c r="A398" t="s">
        <v>127</v>
      </c>
      <c r="B398">
        <f>INDEX('vehicles specifications'!$B$3:$CW$166,MATCH(B393,'vehicles specifications'!$A$3:$A$166,0),MATCH("Lifetime [km]",'vehicles specifications'!$B$2:$CW$2,0))</f>
        <v>25000</v>
      </c>
    </row>
    <row r="399" spans="1:8" x14ac:dyDescent="0.2">
      <c r="A399" t="s">
        <v>128</v>
      </c>
      <c r="B399">
        <f>INDEX('vehicles specifications'!$B$3:$CW$166,MATCH(B393,'vehicles specifications'!$A$3:$A$166,0),MATCH("Passengers [unit]",'vehicles specifications'!$B$2:$CW$2,0))</f>
        <v>1</v>
      </c>
    </row>
    <row r="400" spans="1:8" x14ac:dyDescent="0.2">
      <c r="A400" t="s">
        <v>129</v>
      </c>
      <c r="B400">
        <f>INDEX('vehicles specifications'!$B$3:$CW$166,MATCH(B393,'vehicles specifications'!$A$3:$A$166,0),MATCH("Servicing [unit]",'vehicles specifications'!$B$2:$CW$2,0))</f>
        <v>1</v>
      </c>
    </row>
    <row r="401" spans="1:8" x14ac:dyDescent="0.2">
      <c r="A401" t="s">
        <v>130</v>
      </c>
      <c r="B401">
        <f>INDEX('vehicles specifications'!$B$3:$CW$166,MATCH(B393,'vehicles specifications'!$A$3:$A$166,0),MATCH("Energy battery replacement [unit]",'vehicles specifications'!$B$2:$CW$2,0))</f>
        <v>0</v>
      </c>
    </row>
    <row r="402" spans="1:8" x14ac:dyDescent="0.2">
      <c r="A402" t="s">
        <v>131</v>
      </c>
      <c r="B402">
        <f>INDEX('vehicles specifications'!$B$3:$CW$166,MATCH(B393,'vehicles specifications'!$A$3:$A$166,0),MATCH("Annual kilometers [km]",'vehicles specifications'!$B$2:$CW$2,0))</f>
        <v>1570</v>
      </c>
    </row>
    <row r="403" spans="1:8" x14ac:dyDescent="0.2">
      <c r="A403" t="s">
        <v>132</v>
      </c>
      <c r="B403" s="2">
        <f>INDEX('vehicles specifications'!$B$3:$CW$166,MATCH(B393,'vehicles specifications'!$A$3:$A$166,0),MATCH("Curb mass [kg]",'vehicles specifications'!$B$2:$CW$2,0))</f>
        <v>91.037499999999994</v>
      </c>
    </row>
    <row r="404" spans="1:8" x14ac:dyDescent="0.2">
      <c r="A404" t="s">
        <v>133</v>
      </c>
      <c r="B404">
        <f>INDEX('vehicles specifications'!$B$3:$CW$166,MATCH(B393,'vehicles specifications'!$A$3:$A$166,0),MATCH("Power [kW]",'vehicles specifications'!$B$2:$CW$2,0))</f>
        <v>2.8</v>
      </c>
    </row>
    <row r="405" spans="1:8" x14ac:dyDescent="0.2">
      <c r="A405" t="s">
        <v>134</v>
      </c>
      <c r="B405" t="str">
        <f>INDEX('vehicles specifications'!$B$3:$CW$166,MATCH(B393,'vehicles specifications'!$A$3:$A$166,0),MATCH("Energy battery mass [kg]",'vehicles specifications'!$B$2:$CW$2,0))</f>
        <v/>
      </c>
    </row>
    <row r="406" spans="1:8" x14ac:dyDescent="0.2">
      <c r="A406" t="s">
        <v>135</v>
      </c>
      <c r="B406">
        <f>INDEX('vehicles specifications'!$B$3:$CW$166,MATCH(B393,'vehicles specifications'!$A$3:$A$166,0),MATCH("Electric energy available [kWh]",'vehicles specifications'!$B$2:$CW$2,0))</f>
        <v>0</v>
      </c>
    </row>
    <row r="407" spans="1:8" x14ac:dyDescent="0.2">
      <c r="A407" t="s">
        <v>138</v>
      </c>
      <c r="B407" s="2">
        <f>INDEX('vehicles specifications'!$B$3:$CW$166,MATCH(B393,'vehicles specifications'!$A$3:$A$166,0),MATCH("Oxydation energy stored [kWh]",'vehicles specifications'!$B$2:$CW$2,0))</f>
        <v>62.125</v>
      </c>
    </row>
    <row r="408" spans="1:8" x14ac:dyDescent="0.2">
      <c r="A408" t="s">
        <v>139</v>
      </c>
      <c r="B408">
        <f>INDEX('vehicles specifications'!$B$3:$CW$166,MATCH(B393,'vehicles specifications'!$A$3:$A$166,0),MATCH("Fuel mass [kg]",'vehicles specifications'!$B$2:$CW$2,0))</f>
        <v>5.25</v>
      </c>
    </row>
    <row r="409" spans="1:8" x14ac:dyDescent="0.2">
      <c r="A409" t="s">
        <v>136</v>
      </c>
      <c r="B409" s="2">
        <f>INDEX('vehicles specifications'!$B$3:$CW$166,MATCH(B393,'vehicles specifications'!$A$3:$A$166,0),MATCH("Range [km]",'vehicles specifications'!$B$2:$CW$2,0))</f>
        <v>173.57011121411836</v>
      </c>
    </row>
    <row r="410" spans="1:8" x14ac:dyDescent="0.2">
      <c r="A410" t="s">
        <v>137</v>
      </c>
      <c r="B410" t="str">
        <f>INDEX('vehicles specifications'!$B$3:$CW$166,MATCH(B393,'vehicles specifications'!$A$3:$A$166,0),MATCH("Emission standard",'vehicles specifications'!$B$2:$CW$2,0))</f>
        <v>EURO-5</v>
      </c>
    </row>
    <row r="411" spans="1:8" x14ac:dyDescent="0.2">
      <c r="A411" t="s">
        <v>1174</v>
      </c>
      <c r="B411" s="6">
        <f>INDEX('vehicles specifications'!$B$3:$CW$166,MATCH(B393,'vehicles specifications'!$A$3:$A$166,0),MATCH("Lightweighting rate [%]",'vehicles specifications'!$B$2:$CW$2,0))</f>
        <v>0</v>
      </c>
    </row>
    <row r="412" spans="1:8" x14ac:dyDescent="0.2">
      <c r="A412" t="s">
        <v>83</v>
      </c>
      <c r="B412"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v>
      </c>
    </row>
    <row r="413" spans="1:8" ht="16" x14ac:dyDescent="0.2">
      <c r="A413" s="10" t="s">
        <v>79</v>
      </c>
    </row>
    <row r="414" spans="1:8" x14ac:dyDescent="0.2">
      <c r="A414" t="s">
        <v>80</v>
      </c>
      <c r="B414" t="s">
        <v>81</v>
      </c>
      <c r="C414" t="s">
        <v>72</v>
      </c>
      <c r="D414" t="s">
        <v>76</v>
      </c>
      <c r="E414" t="s">
        <v>82</v>
      </c>
      <c r="F414" t="s">
        <v>74</v>
      </c>
      <c r="G414" t="s">
        <v>83</v>
      </c>
      <c r="H414" t="s">
        <v>73</v>
      </c>
    </row>
    <row r="415" spans="1:8" x14ac:dyDescent="0.2">
      <c r="A415" t="str">
        <f>B388</f>
        <v>transport, Scooter, gasoline, &lt;4kW, EURO-5, 2020</v>
      </c>
      <c r="B415">
        <v>1</v>
      </c>
      <c r="C415" t="str">
        <f>B389</f>
        <v>CH</v>
      </c>
      <c r="D415" t="s">
        <v>166</v>
      </c>
      <c r="F415" t="s">
        <v>84</v>
      </c>
      <c r="G415" t="s">
        <v>85</v>
      </c>
      <c r="H415" t="str">
        <f>B394</f>
        <v>transport, Scooter, gasoline, &lt;4kW, EURO-5</v>
      </c>
    </row>
    <row r="416" spans="1:8" x14ac:dyDescent="0.2">
      <c r="A416" t="str">
        <f>RIGHT(A415,LEN(A415)-11)</f>
        <v>Scooter, gasoline, &lt;4kW, EURO-5, 2020</v>
      </c>
      <c r="B416" s="7">
        <f>1/B398</f>
        <v>4.0000000000000003E-5</v>
      </c>
      <c r="C416" t="str">
        <f>B389</f>
        <v>CH</v>
      </c>
      <c r="D416" t="s">
        <v>76</v>
      </c>
      <c r="F416" t="s">
        <v>89</v>
      </c>
      <c r="H416" t="str">
        <f>RIGHT(H415,LEN(H415)-11)</f>
        <v>Scooter, gasoline, &lt;4kW, EURO-5</v>
      </c>
    </row>
    <row r="417" spans="1:8" x14ac:dyDescent="0.2">
      <c r="A417" t="str">
        <f>INDEX('ei names mapping'!$B$4:$R$33,MATCH(B390,'ei names mapping'!$A$4:$A$33,0),MATCH(G417,'ei names mapping'!$B$3:$R$3,0))</f>
        <v>road construction</v>
      </c>
      <c r="B417" s="7">
        <f>INDEX('vehicles specifications'!$B$3:$CW$166,MATCH(B393,'vehicles specifications'!$A$3:$A$166,0),MATCH(G417,'vehicles specifications'!$B$2:$CW$2,0))*INDEX('ei names mapping'!$B$137:$BL$300,MATCH(B393,'ei names mapping'!$A$137:$A$300,0),MATCH(G417,'ei names mapping'!$B$136:$BL$136,0))</f>
        <v>9.1310137499999998E-5</v>
      </c>
      <c r="C417" t="str">
        <f>INDEX('ei names mapping'!$B$38:$R$67,MATCH(B390,'ei names mapping'!$A$4:$A$33,0),MATCH(G417,'ei names mapping'!$B$3:$R$3,0))</f>
        <v>CH</v>
      </c>
      <c r="D417" t="str">
        <f>INDEX('ei names mapping'!$B$104:$BL$133,MATCH(B390,'ei names mapping'!$A$4:$A$33,0),MATCH(G417,'ei names mapping'!$B$3:$BL$3,0))</f>
        <v>meter-year</v>
      </c>
      <c r="F417" t="s">
        <v>89</v>
      </c>
      <c r="G417" t="s">
        <v>105</v>
      </c>
      <c r="H417" t="str">
        <f>INDEX('ei names mapping'!$B$71:$BL$100,MATCH(B390,'ei names mapping'!$A$4:$A$33,0),MATCH(G417,'ei names mapping'!$B$3:$BL$3,0))</f>
        <v>road</v>
      </c>
    </row>
    <row r="418" spans="1:8" x14ac:dyDescent="0.2">
      <c r="A418" t="str">
        <f>INDEX('ei names mapping'!$B$4:$R$33,MATCH(B390,'ei names mapping'!$A$4:$A$33,0),MATCH(G418,'ei names mapping'!$B$3:$R$3,0))</f>
        <v>road maintenance</v>
      </c>
      <c r="B418" s="7">
        <f>INDEX('vehicles specifications'!$B$3:$CW$166,MATCH(B393,'vehicles specifications'!$A$3:$A$166,0),MATCH(G418,'vehicles specifications'!$B$2:$CW$2,0))*INDEX('ei names mapping'!$B$137:$BL$300,MATCH(B393,'ei names mapping'!$A$137:$A$300,0),MATCH(G418,'ei names mapping'!$B$136:$BL$136,0))</f>
        <v>1.2899999999999999E-3</v>
      </c>
      <c r="C418" t="str">
        <f>INDEX('ei names mapping'!$B$38:$R$67,MATCH(B390,'ei names mapping'!$A$4:$A$33,0),MATCH(G418,'ei names mapping'!$B$3:$R$3,0))</f>
        <v>CH</v>
      </c>
      <c r="D418" t="str">
        <f>INDEX('ei names mapping'!$B$104:$BL$133,MATCH(B390,'ei names mapping'!$A$4:$A$33,0),MATCH(G418,'ei names mapping'!$B$3:$BL$3,0))</f>
        <v>meter-year</v>
      </c>
      <c r="F418" t="s">
        <v>89</v>
      </c>
      <c r="G418" t="s">
        <v>112</v>
      </c>
      <c r="H418" t="str">
        <f>INDEX('ei names mapping'!$B$71:$BL$100,MATCH(B390,'ei names mapping'!$A$4:$A$33,0),MATCH(G418,'ei names mapping'!$B$3:$BL$3,0))</f>
        <v>road maintenance</v>
      </c>
    </row>
    <row r="419" spans="1:8" x14ac:dyDescent="0.2">
      <c r="A419" t="str">
        <f>INDEX('ei names mapping'!$B$4:$R$33,MATCH(B390,'ei names mapping'!$A$4:$A$33,0),MATCH(G419,'ei names mapping'!$B$3:$R$3,0))</f>
        <v>maintenance, motor scooter</v>
      </c>
      <c r="B419" s="7">
        <f>INDEX('vehicles specifications'!$B$3:$CW$166,MATCH(B393,'vehicles specifications'!$A$3:$A$166,0),MATCH(G419,'vehicles specifications'!$B$2:$CW$2,0))*INDEX('ei names mapping'!$B$137:$BL$300,MATCH(B393,'ei names mapping'!$A$137:$A$300,0),MATCH(G419,'ei names mapping'!$B$136:$BL$136,0))</f>
        <v>4.0000000000000003E-5</v>
      </c>
      <c r="C419" t="str">
        <f>INDEX('ei names mapping'!$B$38:$BL$67,MATCH(B390,'ei names mapping'!$A$4:$A$33,0),MATCH(G419,'ei names mapping'!$B$3:$BL$3,0))</f>
        <v>CH</v>
      </c>
      <c r="D419" t="str">
        <f>INDEX('ei names mapping'!$B$104:$BL$133,MATCH(B390,'ei names mapping'!$A$4:$A$33,0),MATCH(G419,'ei names mapping'!$B$3:$BL$3,0))</f>
        <v>unit</v>
      </c>
      <c r="F419" t="s">
        <v>89</v>
      </c>
      <c r="G419" t="s">
        <v>118</v>
      </c>
      <c r="H419" t="str">
        <f>INDEX('ei names mapping'!$B$71:$BL$100,MATCH(B390,'ei names mapping'!$A$4:$A$33,0),MATCH(G419,'ei names mapping'!$B$3:$BL$3,0))</f>
        <v>maintenance, motor scooter</v>
      </c>
    </row>
    <row r="420" spans="1:8" x14ac:dyDescent="0.2">
      <c r="A420" t="str">
        <f>INDEX('ei names mapping'!$B$4:$R$33,MATCH(B390,'ei names mapping'!$A$4:$A$33,0),MATCH(G420,'ei names mapping'!$B$3:$R$3,0))</f>
        <v>petrol blending for two-stroke engines</v>
      </c>
      <c r="B420" s="7">
        <f>INDEX('vehicles specifications'!$B$3:$CW$166,MATCH(B393,'vehicles specifications'!$A$3:$A$166,0),MATCH(G420,'vehicles specifications'!$B$2:$CW$2,0))*INDEX('ei names mapping'!$B$137:$BL$300,MATCH(B393,'ei names mapping'!$A$137:$A$300,0),MATCH(G420,'ei names mapping'!$B$136:$BL$136,0))</f>
        <v>3.0247143147379398E-2</v>
      </c>
      <c r="C420" t="str">
        <f>INDEX('ei names mapping'!$B$38:$BL$67,MATCH(B390,'ei names mapping'!$A$4:$A$33,0),MATCH(G420,'ei names mapping'!$B$3:$BL$3,0))</f>
        <v>CH</v>
      </c>
      <c r="D420" t="str">
        <f>INDEX('ei names mapping'!$B$104:$BL$133,MATCH(B390,'ei names mapping'!$A$4:$A$33,0),MATCH(G420,'ei names mapping'!$B$3:$BL$3,0))</f>
        <v>kilogram</v>
      </c>
      <c r="F420" t="s">
        <v>89</v>
      </c>
      <c r="G420" t="s">
        <v>27</v>
      </c>
      <c r="H420" t="str">
        <f>INDEX('ei names mapping'!$B$71:$BL$100,MATCH(B390,'ei names mapping'!$A$4:$A$33,0),MATCH(G420,'ei names mapping'!$B$3:$BL$3,0))</f>
        <v>petrol, two-stroke blend</v>
      </c>
    </row>
    <row r="421" spans="1:8" x14ac:dyDescent="0.2">
      <c r="A421" t="str">
        <f>INDEX('ei names mapping'!$B$4:$BL$33,MATCH(B390,'ei names mapping'!$A$4:$A$33,0),MATCH(G421,'ei names mapping'!$B$3:$BL$3,0))</f>
        <v>Carbon dioxide, fossil</v>
      </c>
      <c r="B421" s="11">
        <f>INDEX('vehicles specifications'!$B$3:$CW$166,MATCH(B393,'vehicles specifications'!$A$3:$A$166,0),MATCH(G421,'vehicles specifications'!$B$2:$CW$2,0))*INDEX('ei names mapping'!$B$137:$BL$300,MATCH(B393,'ei names mapping'!$A$137:$A$300,0),MATCH(G421,'ei names mapping'!$B$136:$BL$136,0))</f>
        <v>9.4976029482771313E-2</v>
      </c>
      <c r="D421" t="str">
        <f>INDEX('ei names mapping'!$B$104:$BL$133,MATCH(B390,'ei names mapping'!$A$4:$A$33,0),MATCH(G421,'ei names mapping'!$B$3:$BL$3,0))</f>
        <v>kilogram</v>
      </c>
      <c r="E421" t="str">
        <f>INDEX('ei names mapping'!$B$305:$BL$335,MATCH(B390,'ei names mapping'!$A$4:$A$33,0),MATCH(G421,'ei names mapping'!$B$3:$BL$3,0))</f>
        <v>air::urban air close to ground</v>
      </c>
      <c r="F421" t="s">
        <v>167</v>
      </c>
      <c r="G421" t="s">
        <v>66</v>
      </c>
    </row>
    <row r="422" spans="1:8" x14ac:dyDescent="0.2">
      <c r="A422" t="str">
        <f>INDEX('ei names mapping'!$B$4:$BL$33,MATCH(B390,'ei names mapping'!$A$4:$A$33,0),MATCH(G422,'ei names mapping'!$B$3:$BL$3,0))</f>
        <v>Carbon dioxide, from soil or biomass stock</v>
      </c>
      <c r="B422" s="11">
        <f>INDEX('vehicles specifications'!$B$3:$CW$166,MATCH(B393,'vehicles specifications'!$A$3:$A$166,0),MATCH(G422,'vehicles specifications'!$B$2:$CW$2,0))*INDEX('ei names mapping'!$B$137:$BL$300,MATCH(B393,'ei names mapping'!$A$137:$A$300,0),MATCH(G422,'ei names mapping'!$B$136:$BL$136,0))</f>
        <v>0</v>
      </c>
      <c r="D422" t="str">
        <f>INDEX('ei names mapping'!$B$104:$BL$133,MATCH(B390,'ei names mapping'!$A$4:$A$33,0),MATCH(G422,'ei names mapping'!$B$3:$BL$3,0))</f>
        <v>kilogram</v>
      </c>
      <c r="E422" t="str">
        <f>INDEX('ei names mapping'!$B$305:$BL$335,MATCH(B390,'ei names mapping'!$A$4:$A$33,0),MATCH(G422,'ei names mapping'!$B$3:$BL$3,0))</f>
        <v>air::urban air close to ground</v>
      </c>
      <c r="F422" t="s">
        <v>167</v>
      </c>
      <c r="G422" t="s">
        <v>843</v>
      </c>
    </row>
    <row r="423" spans="1:8" x14ac:dyDescent="0.2">
      <c r="A423" t="str">
        <f>INDEX('ei names mapping'!$B$4:$BL$33,MATCH(B390,'ei names mapping'!$A$4:$A$33,0),MATCH(G423,'ei names mapping'!$B$3:$BL$3,0))</f>
        <v>Sulfur dioxide</v>
      </c>
      <c r="B423" s="7">
        <f>INDEX('vehicles specifications'!$B$3:$CW$166,MATCH(B393,'vehicles specifications'!$A$3:$A$166,0),MATCH(G423,'vehicles specifications'!$B$2:$CW$2,0))*INDEX('ei names mapping'!$B$137:$BL$300,MATCH(B393,'ei names mapping'!$A$137:$A$300,0),MATCH(G423,'ei names mapping'!$B$136:$BL$136,0))</f>
        <v>4.839542903580703E-7</v>
      </c>
      <c r="D423" t="str">
        <f>INDEX('ei names mapping'!$B$104:$BL$133,MATCH(B390,'ei names mapping'!$A$4:$A$33,0),MATCH(G423,'ei names mapping'!$B$3:$BL$3,0))</f>
        <v>kilogram</v>
      </c>
      <c r="E423" t="str">
        <f>INDEX('ei names mapping'!$B$305:$BL$335,MATCH(B390,'ei names mapping'!$A$4:$A$33,0),MATCH(G423,'ei names mapping'!$B$3:$BL$3,0))</f>
        <v>air::urban air close to ground</v>
      </c>
      <c r="F423" t="s">
        <v>167</v>
      </c>
      <c r="G423" t="s">
        <v>67</v>
      </c>
    </row>
    <row r="424" spans="1:8" x14ac:dyDescent="0.2">
      <c r="A424" t="str">
        <f>INDEX('ei names mapping'!$B$4:$BL$33,MATCH(B390,'ei names mapping'!$A$4:$A$33,0),MATCH(G424,'ei names mapping'!$B$3:$BL$3,0))</f>
        <v>Benzene</v>
      </c>
      <c r="B424" s="7">
        <f>INDEX('vehicles specifications'!$B$3:$CW$166,MATCH(B393,'vehicles specifications'!$A$3:$A$166,0),MATCH(G424,'vehicles specifications'!$B$2:$CW$2,0))*INDEX('ei names mapping'!$B$137:$BL$300,MATCH(B393,'ei names mapping'!$A$137:$A$300,0),MATCH(G424,'ei names mapping'!$B$136:$BL$136,0))</f>
        <v>7.8345323486595295E-5</v>
      </c>
      <c r="D424" t="str">
        <f>INDEX('ei names mapping'!$B$104:$BL$133,MATCH(B390,'ei names mapping'!$A$4:$A$33,0),MATCH(G424,'ei names mapping'!$B$3:$BL$3,0))</f>
        <v>kilogram</v>
      </c>
      <c r="E424" t="str">
        <f>INDEX('ei names mapping'!$B$305:$BL$335,MATCH(B390,'ei names mapping'!$A$4:$A$33,0),MATCH(G424,'ei names mapping'!$B$3:$BL$3,0))</f>
        <v>air::urban air close to ground</v>
      </c>
      <c r="F424" t="s">
        <v>167</v>
      </c>
      <c r="G424" t="s">
        <v>55</v>
      </c>
    </row>
    <row r="425" spans="1:8" x14ac:dyDescent="0.2">
      <c r="A425" t="str">
        <f>INDEX('ei names mapping'!$B$4:$BL$33,MATCH(B390,'ei names mapping'!$A$4:$A$33,0),MATCH(G425,'ei names mapping'!$B$3:$BL$3,0))</f>
        <v>Methane, fossil</v>
      </c>
      <c r="B425" s="7">
        <f>INDEX('vehicles specifications'!$B$3:$CW$166,MATCH(B393,'vehicles specifications'!$A$3:$A$166,0),MATCH(G425,'vehicles specifications'!$B$2:$CW$2,0))*INDEX('ei names mapping'!$B$137:$BL$300,MATCH(B393,'ei names mapping'!$A$137:$A$300,0),MATCH(G425,'ei names mapping'!$B$136:$BL$136,0))</f>
        <v>3.5524093314611898E-5</v>
      </c>
      <c r="D425" t="str">
        <f>INDEX('ei names mapping'!$B$104:$BL$133,MATCH(B390,'ei names mapping'!$A$4:$A$33,0),MATCH(G425,'ei names mapping'!$B$3:$BL$3,0))</f>
        <v>kilogram</v>
      </c>
      <c r="E425" t="str">
        <f>INDEX('ei names mapping'!$B$305:$BL$335,MATCH(B390,'ei names mapping'!$A$4:$A$33,0),MATCH(G425,'ei names mapping'!$B$3:$BL$3,0))</f>
        <v>air::urban air close to ground</v>
      </c>
      <c r="F425" t="s">
        <v>167</v>
      </c>
      <c r="G425" t="s">
        <v>56</v>
      </c>
    </row>
    <row r="426" spans="1:8" x14ac:dyDescent="0.2">
      <c r="A426" t="str">
        <f>INDEX('ei names mapping'!$B$4:$BL$33,MATCH(B390,'ei names mapping'!$A$4:$A$33,0),MATCH(G426,'ei names mapping'!$B$3:$BL$3,0))</f>
        <v>Carbon monoxide, fossil</v>
      </c>
      <c r="B426" s="7">
        <f>INDEX('vehicles specifications'!$B$3:$CW$166,MATCH(B393,'vehicles specifications'!$A$3:$A$166,0),MATCH(G426,'vehicles specifications'!$B$2:$CW$2,0))*INDEX('ei names mapping'!$B$137:$BL$300,MATCH(B393,'ei names mapping'!$A$137:$A$300,0),MATCH(G426,'ei names mapping'!$B$136:$BL$136,0))</f>
        <v>3.7563118298650361E-3</v>
      </c>
      <c r="D426" t="str">
        <f>INDEX('ei names mapping'!$B$104:$BL$133,MATCH(B390,'ei names mapping'!$A$4:$A$33,0),MATCH(G426,'ei names mapping'!$B$3:$BL$3,0))</f>
        <v>kilogram</v>
      </c>
      <c r="E426" t="str">
        <f>INDEX('ei names mapping'!$B$305:$BL$335,MATCH(B390,'ei names mapping'!$A$4:$A$33,0),MATCH(G426,'ei names mapping'!$B$3:$BL$3,0))</f>
        <v>air::urban air close to ground</v>
      </c>
      <c r="F426" t="s">
        <v>167</v>
      </c>
      <c r="G426" t="s">
        <v>57</v>
      </c>
    </row>
    <row r="427" spans="1:8" x14ac:dyDescent="0.2">
      <c r="A427" t="str">
        <f>INDEX('ei names mapping'!$B$4:$BL$33,MATCH(B390,'ei names mapping'!$A$4:$A$33,0),MATCH(G427,'ei names mapping'!$B$3:$BL$3,0))</f>
        <v>Dinitrogen monoxide</v>
      </c>
      <c r="B427" s="7">
        <f>INDEX('vehicles specifications'!$B$3:$CW$166,MATCH(B393,'vehicles specifications'!$A$3:$A$166,0),MATCH(G427,'vehicles specifications'!$B$2:$CW$2,0))*INDEX('ei names mapping'!$B$137:$BL$300,MATCH(B393,'ei names mapping'!$A$137:$A$300,0),MATCH(G427,'ei names mapping'!$B$136:$BL$136,0))</f>
        <v>1.8023385750690973E-6</v>
      </c>
      <c r="D427" t="str">
        <f>INDEX('ei names mapping'!$B$104:$BL$133,MATCH(B390,'ei names mapping'!$A$4:$A$33,0),MATCH(G427,'ei names mapping'!$B$3:$BL$3,0))</f>
        <v>kilogram</v>
      </c>
      <c r="E427" t="str">
        <f>INDEX('ei names mapping'!$B$305:$BL$335,MATCH(B390,'ei names mapping'!$A$4:$A$33,0),MATCH(G427,'ei names mapping'!$B$3:$BL$3,0))</f>
        <v>air::urban air close to ground</v>
      </c>
      <c r="F427" t="s">
        <v>167</v>
      </c>
      <c r="G427" t="s">
        <v>58</v>
      </c>
    </row>
    <row r="428" spans="1:8" x14ac:dyDescent="0.2">
      <c r="A428" t="str">
        <f>INDEX('ei names mapping'!$B$4:$BL$33,MATCH(B390,'ei names mapping'!$A$4:$A$33,0),MATCH(G428,'ei names mapping'!$B$3:$BL$3,0))</f>
        <v>Ammonia</v>
      </c>
      <c r="B428" s="7">
        <f>INDEX('vehicles specifications'!$B$3:$CW$166,MATCH(B393,'vehicles specifications'!$A$3:$A$166,0),MATCH(G428,'vehicles specifications'!$B$2:$CW$2,0))*INDEX('ei names mapping'!$B$137:$BL$300,MATCH(B393,'ei names mapping'!$A$137:$A$300,0),MATCH(G428,'ei names mapping'!$B$136:$BL$136,0))</f>
        <v>1.8023385750690973E-6</v>
      </c>
      <c r="D428" t="str">
        <f>INDEX('ei names mapping'!$B$104:$BL$133,MATCH(B390,'ei names mapping'!$A$4:$A$33,0),MATCH(G428,'ei names mapping'!$B$3:$BL$3,0))</f>
        <v>kilogram</v>
      </c>
      <c r="E428" t="str">
        <f>INDEX('ei names mapping'!$B$305:$BL$335,MATCH(B390,'ei names mapping'!$A$4:$A$33,0),MATCH(G428,'ei names mapping'!$B$3:$BL$3,0))</f>
        <v>air::urban air close to ground</v>
      </c>
      <c r="F428" t="s">
        <v>167</v>
      </c>
      <c r="G428" t="s">
        <v>59</v>
      </c>
    </row>
    <row r="429" spans="1:8" x14ac:dyDescent="0.2">
      <c r="A429" t="str">
        <f>INDEX('ei names mapping'!$B$4:$BL$33,MATCH(B390,'ei names mapping'!$A$4:$A$33,0),MATCH(G429,'ei names mapping'!$B$3:$BL$3,0))</f>
        <v>Nitrogen oxides</v>
      </c>
      <c r="B429" s="7">
        <f>INDEX('vehicles specifications'!$B$3:$CW$166,MATCH(B393,'vehicles specifications'!$A$3:$A$166,0),MATCH(G429,'vehicles specifications'!$B$2:$CW$2,0))*INDEX('ei names mapping'!$B$137:$BL$300,MATCH(B393,'ei names mapping'!$A$137:$A$300,0),MATCH(G429,'ei names mapping'!$B$136:$BL$136,0))</f>
        <v>1.3515864735015395E-4</v>
      </c>
      <c r="D429" t="str">
        <f>INDEX('ei names mapping'!$B$104:$BL$133,MATCH(B390,'ei names mapping'!$A$4:$A$33,0),MATCH(G429,'ei names mapping'!$B$3:$BL$3,0))</f>
        <v>kilogram</v>
      </c>
      <c r="E429" t="str">
        <f>INDEX('ei names mapping'!$B$305:$BL$335,MATCH(B390,'ei names mapping'!$A$4:$A$33,0),MATCH(G429,'ei names mapping'!$B$3:$BL$3,0))</f>
        <v>air::urban air close to ground</v>
      </c>
      <c r="F429" t="s">
        <v>167</v>
      </c>
      <c r="G429" t="s">
        <v>60</v>
      </c>
    </row>
    <row r="430" spans="1:8" x14ac:dyDescent="0.2">
      <c r="A430" t="str">
        <f>INDEX('ei names mapping'!$B$4:$BL$33,MATCH(B390,'ei names mapping'!$A$4:$A$33,0),MATCH(G430,'ei names mapping'!$B$3:$BL$3,0))</f>
        <v>Particulates, &lt; 2.5 um</v>
      </c>
      <c r="B430" s="7">
        <f>INDEX('vehicles specifications'!$B$3:$CW$166,MATCH(B$393,'vehicles specifications'!$A$3:$A$166,0),MATCH(G430,'vehicles specifications'!$B$2:$CW$2,0))*INDEX('ei names mapping'!$B$137:$BL$300,MATCH(B$393,'ei names mapping'!$A$137:$A$300,0),MATCH(G430,'ei names mapping'!$B$136:$BL$136,0))</f>
        <v>1.0350830436621825E-5</v>
      </c>
      <c r="D430" t="str">
        <f>INDEX('ei names mapping'!$B$104:$BL$133,MATCH(B390,'ei names mapping'!$A$4:$A$33,0),MATCH(G430,'ei names mapping'!$B$3:$BL$3,0))</f>
        <v>kilogram</v>
      </c>
      <c r="E430" t="str">
        <f>INDEX('ei names mapping'!$B$305:$BL$335,MATCH(B390,'ei names mapping'!$A$4:$A$33,0),MATCH(G430,'ei names mapping'!$B$3:$BL$3,0))</f>
        <v>air::urban air close to ground</v>
      </c>
      <c r="F430" t="s">
        <v>167</v>
      </c>
      <c r="G430" t="s">
        <v>62</v>
      </c>
    </row>
    <row r="431" spans="1:8" x14ac:dyDescent="0.2">
      <c r="A431" t="str">
        <f>INDEX('ei names mapping'!$B$4:$BL$33,MATCH(B$234,'ei names mapping'!$A$4:$A$33,0),MATCH(G431,'ei names mapping'!$B$3:$BL$3,0))</f>
        <v>NMVOC, non-methane volatile organic compounds, unspecified origin</v>
      </c>
      <c r="B431" s="7">
        <f>INDEX('vehicles specifications'!$B$3:$CW$166,MATCH(B$393,'vehicles specifications'!$A$3:$A$166,0),MATCH(G431,'vehicles specifications'!$B$2:$CW$2,0))*INDEX('ei names mapping'!$B$137:$BL$300,MATCH(B$393,'ei names mapping'!$A$137:$A$300,0),MATCH(G431,'ei names mapping'!$B$136:$BL$136,0))</f>
        <v>6.3179009528227666E-4</v>
      </c>
      <c r="D431" t="str">
        <f>INDEX('ei names mapping'!$B$104:$BL$133,MATCH(B$234,'ei names mapping'!$A$4:$A$33,0),MATCH(G431,'ei names mapping'!$B$3:$BL$3,0))</f>
        <v>kilogram</v>
      </c>
      <c r="E431" t="str">
        <f>INDEX('ei names mapping'!$B$305:$BL$335,MATCH(B$234,'ei names mapping'!$A$4:$A$33,0),MATCH(G431,'ei names mapping'!$B$3:$BL$3,0))</f>
        <v>air::urban air close to ground</v>
      </c>
      <c r="F431" t="s">
        <v>167</v>
      </c>
      <c r="G431" t="s">
        <v>593</v>
      </c>
    </row>
    <row r="432" spans="1:8" x14ac:dyDescent="0.2">
      <c r="A432" t="str">
        <f>INDEX('ei names mapping'!$B$4:$BL$33,MATCH(B$234,'ei names mapping'!$A$4:$A$33,0),MATCH(G432,'ei names mapping'!$B$3:$BL$3,0))</f>
        <v>Ethane</v>
      </c>
      <c r="B432" s="7">
        <f>INDEX('vehicles specifications'!$B$3:$CW$166,MATCH(B$393,'vehicles specifications'!$A$3:$A$166,0),MATCH(G432,'vehicles specifications'!$B$2:$CW$2,0))*INDEX('ei names mapping'!$B$137:$BL$300,MATCH(B$393,'ei names mapping'!$A$137:$A$300,0),MATCH(G432,'ei names mapping'!$B$136:$BL$136,0))</f>
        <v>4.4549301590416936E-5</v>
      </c>
      <c r="D432" t="str">
        <f>INDEX('ei names mapping'!$B$104:$BL$133,MATCH(B$234,'ei names mapping'!$A$4:$A$33,0),MATCH(G432,'ei names mapping'!$B$3:$BL$3,0))</f>
        <v>kilogram</v>
      </c>
      <c r="E432" t="str">
        <f>INDEX('ei names mapping'!$B$305:$BL$335,MATCH(B$234,'ei names mapping'!$A$4:$A$33,0),MATCH(G432,'ei names mapping'!$B$3:$BL$3,0))</f>
        <v>air::urban air close to ground</v>
      </c>
      <c r="F432" t="s">
        <v>167</v>
      </c>
      <c r="G432" t="s">
        <v>541</v>
      </c>
    </row>
    <row r="433" spans="1:7" x14ac:dyDescent="0.2">
      <c r="A433" t="str">
        <f>INDEX('ei names mapping'!$B$4:$BL$33,MATCH(B$234,'ei names mapping'!$A$4:$A$33,0),MATCH(G433,'ei names mapping'!$B$3:$BL$3,0))</f>
        <v>Propane</v>
      </c>
      <c r="B433" s="7">
        <f>INDEX('vehicles specifications'!$B$3:$CW$166,MATCH(B$393,'vehicles specifications'!$A$3:$A$166,0),MATCH(G433,'vehicles specifications'!$B$2:$CW$2,0))*INDEX('ei names mapping'!$B$137:$BL$300,MATCH(B$393,'ei names mapping'!$A$137:$A$300,0),MATCH(G433,'ei names mapping'!$B$136:$BL$136,0))</f>
        <v>9.0774438977338592E-6</v>
      </c>
      <c r="D433" t="str">
        <f>INDEX('ei names mapping'!$B$104:$BL$133,MATCH(B$234,'ei names mapping'!$A$4:$A$33,0),MATCH(G433,'ei names mapping'!$B$3:$BL$3,0))</f>
        <v>kilogram</v>
      </c>
      <c r="E433" t="str">
        <f>INDEX('ei names mapping'!$B$305:$BL$335,MATCH(B$234,'ei names mapping'!$A$4:$A$33,0),MATCH(G433,'ei names mapping'!$B$3:$BL$3,0))</f>
        <v>air::urban air close to ground</v>
      </c>
      <c r="F433" t="s">
        <v>167</v>
      </c>
      <c r="G433" t="s">
        <v>542</v>
      </c>
    </row>
    <row r="434" spans="1:7" x14ac:dyDescent="0.2">
      <c r="A434" t="str">
        <f>INDEX('ei names mapping'!$B$4:$BL$33,MATCH(B$234,'ei names mapping'!$A$4:$A$33,0),MATCH(G434,'ei names mapping'!$B$3:$BL$3,0))</f>
        <v>Butane</v>
      </c>
      <c r="B434" s="7">
        <f>INDEX('vehicles specifications'!$B$3:$CW$166,MATCH(B$393,'vehicles specifications'!$A$3:$A$166,0),MATCH(G434,'vehicles specifications'!$B$2:$CW$2,0))*INDEX('ei names mapping'!$B$137:$BL$300,MATCH(B$393,'ei names mapping'!$A$137:$A$300,0),MATCH(G434,'ei names mapping'!$B$136:$BL$136,0))</f>
        <v>7.3178163114039118E-5</v>
      </c>
      <c r="D434" t="str">
        <f>INDEX('ei names mapping'!$B$104:$BL$133,MATCH(B$234,'ei names mapping'!$A$4:$A$33,0),MATCH(G434,'ei names mapping'!$B$3:$BL$3,0))</f>
        <v>kilogram</v>
      </c>
      <c r="E434" t="str">
        <f>INDEX('ei names mapping'!$B$305:$BL$335,MATCH(B$234,'ei names mapping'!$A$4:$A$33,0),MATCH(G434,'ei names mapping'!$B$3:$BL$3,0))</f>
        <v>air::urban air close to ground</v>
      </c>
      <c r="F434" t="s">
        <v>167</v>
      </c>
      <c r="G434" t="s">
        <v>543</v>
      </c>
    </row>
    <row r="435" spans="1:7" x14ac:dyDescent="0.2">
      <c r="A435" t="str">
        <f>INDEX('ei names mapping'!$B$4:$BL$33,MATCH(B$234,'ei names mapping'!$A$4:$A$33,0),MATCH(G435,'ei names mapping'!$B$3:$BL$3,0))</f>
        <v>Pentane</v>
      </c>
      <c r="B435" s="7">
        <f>INDEX('vehicles specifications'!$B$3:$CW$166,MATCH(B$393,'vehicles specifications'!$A$3:$A$166,0),MATCH(G435,'vehicles specifications'!$B$2:$CW$2,0))*INDEX('ei names mapping'!$B$137:$BL$300,MATCH(B$393,'ei names mapping'!$A$137:$A$300,0),MATCH(G435,'ei names mapping'!$B$136:$BL$136,0))</f>
        <v>3.0025391354042764E-5</v>
      </c>
      <c r="D435" t="str">
        <f>INDEX('ei names mapping'!$B$104:$BL$133,MATCH(B$234,'ei names mapping'!$A$4:$A$33,0),MATCH(G435,'ei names mapping'!$B$3:$BL$3,0))</f>
        <v>kilogram</v>
      </c>
      <c r="E435" t="str">
        <f>INDEX('ei names mapping'!$B$305:$BL$335,MATCH(B$234,'ei names mapping'!$A$4:$A$33,0),MATCH(G435,'ei names mapping'!$B$3:$BL$3,0))</f>
        <v>air::urban air close to ground</v>
      </c>
      <c r="F435" t="s">
        <v>167</v>
      </c>
      <c r="G435" t="s">
        <v>544</v>
      </c>
    </row>
    <row r="436" spans="1:7" x14ac:dyDescent="0.2">
      <c r="A436" t="str">
        <f>INDEX('ei names mapping'!$B$4:$BL$33,MATCH(B$234,'ei names mapping'!$A$4:$A$33,0),MATCH(G436,'ei names mapping'!$B$3:$BL$3,0))</f>
        <v>Hexane</v>
      </c>
      <c r="B436" s="7">
        <f>INDEX('vehicles specifications'!$B$3:$CW$166,MATCH(B$393,'vehicles specifications'!$A$3:$A$166,0),MATCH(G436,'vehicles specifications'!$B$2:$CW$2,0))*INDEX('ei names mapping'!$B$137:$BL$300,MATCH(B$393,'ei names mapping'!$A$137:$A$300,0),MATCH(G436,'ei names mapping'!$B$136:$BL$136,0))</f>
        <v>2.248413026977156E-5</v>
      </c>
      <c r="D436" t="str">
        <f>INDEX('ei names mapping'!$B$104:$BL$133,MATCH(B$234,'ei names mapping'!$A$4:$A$33,0),MATCH(G436,'ei names mapping'!$B$3:$BL$3,0))</f>
        <v>kilogram</v>
      </c>
      <c r="E436" t="str">
        <f>INDEX('ei names mapping'!$B$305:$BL$335,MATCH(B$234,'ei names mapping'!$A$4:$A$33,0),MATCH(G436,'ei names mapping'!$B$3:$BL$3,0))</f>
        <v>air::urban air close to ground</v>
      </c>
      <c r="F436" t="s">
        <v>167</v>
      </c>
      <c r="G436" t="s">
        <v>545</v>
      </c>
    </row>
    <row r="437" spans="1:7" x14ac:dyDescent="0.2">
      <c r="A437" t="str">
        <f>INDEX('ei names mapping'!$B$4:$BL$33,MATCH(B$234,'ei names mapping'!$A$4:$A$33,0),MATCH(G437,'ei names mapping'!$B$3:$BL$3,0))</f>
        <v>Cyclohexane</v>
      </c>
      <c r="B437" s="7">
        <f>INDEX('vehicles specifications'!$B$3:$CW$166,MATCH(B$393,'vehicles specifications'!$A$3:$A$166,0),MATCH(G437,'vehicles specifications'!$B$2:$CW$2,0))*INDEX('ei names mapping'!$B$137:$BL$300,MATCH(B$393,'ei names mapping'!$A$137:$A$300,0),MATCH(G437,'ei names mapping'!$B$136:$BL$136,0))</f>
        <v>1.5920440066794769E-5</v>
      </c>
      <c r="D437" t="str">
        <f>INDEX('ei names mapping'!$B$104:$BL$133,MATCH(B$234,'ei names mapping'!$A$4:$A$33,0),MATCH(G437,'ei names mapping'!$B$3:$BL$3,0))</f>
        <v>kilogram</v>
      </c>
      <c r="E437" t="str">
        <f>INDEX('ei names mapping'!$B$305:$BL$335,MATCH(B$234,'ei names mapping'!$A$4:$A$33,0),MATCH(G437,'ei names mapping'!$B$3:$BL$3,0))</f>
        <v>air::urban air close to ground</v>
      </c>
      <c r="F437" t="s">
        <v>167</v>
      </c>
      <c r="G437" t="s">
        <v>546</v>
      </c>
    </row>
    <row r="438" spans="1:7" x14ac:dyDescent="0.2">
      <c r="A438" t="str">
        <f>INDEX('ei names mapping'!$B$4:$BL$33,MATCH(B$234,'ei names mapping'!$A$4:$A$33,0),MATCH(G438,'ei names mapping'!$B$3:$BL$3,0))</f>
        <v>Heptane</v>
      </c>
      <c r="B438" s="7">
        <f>INDEX('vehicles specifications'!$B$3:$CW$166,MATCH(B$393,'vehicles specifications'!$A$3:$A$166,0),MATCH(G438,'vehicles specifications'!$B$2:$CW$2,0))*INDEX('ei names mapping'!$B$137:$BL$300,MATCH(B$393,'ei names mapping'!$A$137:$A$300,0),MATCH(G438,'ei names mapping'!$B$136:$BL$136,0))</f>
        <v>1.0334320745112393E-5</v>
      </c>
      <c r="D438" t="str">
        <f>INDEX('ei names mapping'!$B$104:$BL$133,MATCH(B$234,'ei names mapping'!$A$4:$A$33,0),MATCH(G438,'ei names mapping'!$B$3:$BL$3,0))</f>
        <v>kilogram</v>
      </c>
      <c r="E438" t="str">
        <f>INDEX('ei names mapping'!$B$305:$BL$335,MATCH(B$234,'ei names mapping'!$A$4:$A$33,0),MATCH(G438,'ei names mapping'!$B$3:$BL$3,0))</f>
        <v>air::urban air close to ground</v>
      </c>
      <c r="F438" t="s">
        <v>167</v>
      </c>
      <c r="G438" t="s">
        <v>547</v>
      </c>
    </row>
    <row r="439" spans="1:7" x14ac:dyDescent="0.2">
      <c r="A439" t="str">
        <f>INDEX('ei names mapping'!$B$4:$BL$33,MATCH(B$234,'ei names mapping'!$A$4:$A$33,0),MATCH(G439,'ei names mapping'!$B$3:$BL$3,0))</f>
        <v>Ethene</v>
      </c>
      <c r="B439" s="7">
        <f>INDEX('vehicles specifications'!$B$3:$CW$166,MATCH(B$393,'vehicles specifications'!$A$3:$A$166,0),MATCH(G439,'vehicles specifications'!$B$2:$CW$2,0))*INDEX('ei names mapping'!$B$137:$BL$300,MATCH(B$393,'ei names mapping'!$A$137:$A$300,0),MATCH(G439,'ei names mapping'!$B$136:$BL$136,0))</f>
        <v>1.0194667762070334E-4</v>
      </c>
      <c r="D439" t="str">
        <f>INDEX('ei names mapping'!$B$104:$BL$133,MATCH(B$234,'ei names mapping'!$A$4:$A$33,0),MATCH(G439,'ei names mapping'!$B$3:$BL$3,0))</f>
        <v>kilogram</v>
      </c>
      <c r="E439" t="str">
        <f>INDEX('ei names mapping'!$B$305:$BL$335,MATCH(B$234,'ei names mapping'!$A$4:$A$33,0),MATCH(G439,'ei names mapping'!$B$3:$BL$3,0))</f>
        <v>air::urban air close to ground</v>
      </c>
      <c r="F439" t="s">
        <v>167</v>
      </c>
      <c r="G439" t="s">
        <v>548</v>
      </c>
    </row>
    <row r="440" spans="1:7" x14ac:dyDescent="0.2">
      <c r="A440" t="str">
        <f>INDEX('ei names mapping'!$B$4:$BL$33,MATCH(B$234,'ei names mapping'!$A$4:$A$33,0),MATCH(G440,'ei names mapping'!$B$3:$BL$3,0))</f>
        <v>Propene</v>
      </c>
      <c r="B440" s="7">
        <f>INDEX('vehicles specifications'!$B$3:$CW$166,MATCH(B$393,'vehicles specifications'!$A$3:$A$166,0),MATCH(G440,'vehicles specifications'!$B$2:$CW$2,0))*INDEX('ei names mapping'!$B$137:$BL$300,MATCH(B$393,'ei names mapping'!$A$137:$A$300,0),MATCH(G440,'ei names mapping'!$B$136:$BL$136,0))</f>
        <v>5.3347439522066674E-5</v>
      </c>
      <c r="D440" t="str">
        <f>INDEX('ei names mapping'!$B$104:$BL$133,MATCH(B$234,'ei names mapping'!$A$4:$A$33,0),MATCH(G440,'ei names mapping'!$B$3:$BL$3,0))</f>
        <v>kilogram</v>
      </c>
      <c r="E440" t="str">
        <f>INDEX('ei names mapping'!$B$305:$BL$335,MATCH(B$234,'ei names mapping'!$A$4:$A$33,0),MATCH(G440,'ei names mapping'!$B$3:$BL$3,0))</f>
        <v>air::urban air close to ground</v>
      </c>
      <c r="F440" t="s">
        <v>167</v>
      </c>
      <c r="G440" t="s">
        <v>549</v>
      </c>
    </row>
    <row r="441" spans="1:7" x14ac:dyDescent="0.2">
      <c r="A441" t="str">
        <f>INDEX('ei names mapping'!$B$4:$BL$33,MATCH(B$234,'ei names mapping'!$A$4:$A$33,0),MATCH(G441,'ei names mapping'!$B$3:$BL$3,0))</f>
        <v>1-Pentene</v>
      </c>
      <c r="B441" s="7">
        <f>INDEX('vehicles specifications'!$B$3:$CW$166,MATCH(B$393,'vehicles specifications'!$A$3:$A$166,0),MATCH(G441,'vehicles specifications'!$B$2:$CW$2,0))*INDEX('ei names mapping'!$B$137:$BL$300,MATCH(B$393,'ei names mapping'!$A$137:$A$300,0),MATCH(G441,'ei names mapping'!$B$136:$BL$136,0))</f>
        <v>1.5361828134626532E-6</v>
      </c>
      <c r="D441" t="str">
        <f>INDEX('ei names mapping'!$B$104:$BL$133,MATCH(B$234,'ei names mapping'!$A$4:$A$33,0),MATCH(G441,'ei names mapping'!$B$3:$BL$3,0))</f>
        <v>kilogram</v>
      </c>
      <c r="E441" t="str">
        <f>INDEX('ei names mapping'!$B$305:$BL$335,MATCH(B$234,'ei names mapping'!$A$4:$A$33,0),MATCH(G441,'ei names mapping'!$B$3:$BL$3,0))</f>
        <v>air::urban air close to ground</v>
      </c>
      <c r="F441" t="s">
        <v>167</v>
      </c>
      <c r="G441" t="s">
        <v>550</v>
      </c>
    </row>
    <row r="442" spans="1:7" x14ac:dyDescent="0.2">
      <c r="A442" t="str">
        <f>INDEX('ei names mapping'!$B$4:$BL$33,MATCH(B$234,'ei names mapping'!$A$4:$A$33,0),MATCH(G442,'ei names mapping'!$B$3:$BL$3,0))</f>
        <v>Toluene</v>
      </c>
      <c r="B442" s="7">
        <f>INDEX('vehicles specifications'!$B$3:$CW$166,MATCH(B$393,'vehicles specifications'!$A$3:$A$166,0),MATCH(G442,'vehicles specifications'!$B$2:$CW$2,0))*INDEX('ei names mapping'!$B$137:$BL$300,MATCH(B$393,'ei names mapping'!$A$137:$A$300,0),MATCH(G442,'ei names mapping'!$B$136:$BL$136,0))</f>
        <v>1.5333897538018121E-4</v>
      </c>
      <c r="D442" t="str">
        <f>INDEX('ei names mapping'!$B$104:$BL$133,MATCH(B$234,'ei names mapping'!$A$4:$A$33,0),MATCH(G442,'ei names mapping'!$B$3:$BL$3,0))</f>
        <v>kilogram</v>
      </c>
      <c r="E442" t="str">
        <f>INDEX('ei names mapping'!$B$305:$BL$335,MATCH(B$234,'ei names mapping'!$A$4:$A$33,0),MATCH(G442,'ei names mapping'!$B$3:$BL$3,0))</f>
        <v>air::urban air close to ground</v>
      </c>
      <c r="F442" t="s">
        <v>167</v>
      </c>
      <c r="G442" t="s">
        <v>551</v>
      </c>
    </row>
    <row r="443" spans="1:7" x14ac:dyDescent="0.2">
      <c r="A443" t="str">
        <f>INDEX('ei names mapping'!$B$4:$BL$33,MATCH(B$234,'ei names mapping'!$A$4:$A$33,0),MATCH(G443,'ei names mapping'!$B$3:$BL$3,0))</f>
        <v>m-Xylene</v>
      </c>
      <c r="B443" s="7">
        <f>INDEX('vehicles specifications'!$B$3:$CW$166,MATCH(B$393,'vehicles specifications'!$A$3:$A$166,0),MATCH(G443,'vehicles specifications'!$B$2:$CW$2,0))*INDEX('ei names mapping'!$B$137:$BL$300,MATCH(B$393,'ei names mapping'!$A$137:$A$300,0),MATCH(G443,'ei names mapping'!$B$136:$BL$136,0))</f>
        <v>7.583156979183825E-5</v>
      </c>
      <c r="D443" t="str">
        <f>INDEX('ei names mapping'!$B$104:$BL$133,MATCH(B$234,'ei names mapping'!$A$4:$A$33,0),MATCH(G443,'ei names mapping'!$B$3:$BL$3,0))</f>
        <v>kilogram</v>
      </c>
      <c r="E443" t="str">
        <f>INDEX('ei names mapping'!$B$305:$BL$335,MATCH(B$234,'ei names mapping'!$A$4:$A$33,0),MATCH(G443,'ei names mapping'!$B$3:$BL$3,0))</f>
        <v>air::urban air close to ground</v>
      </c>
      <c r="F443" t="s">
        <v>167</v>
      </c>
      <c r="G443" t="s">
        <v>552</v>
      </c>
    </row>
    <row r="444" spans="1:7" x14ac:dyDescent="0.2">
      <c r="A444" t="str">
        <f>INDEX('ei names mapping'!$B$4:$BL$33,MATCH(B$234,'ei names mapping'!$A$4:$A$33,0),MATCH(G444,'ei names mapping'!$B$3:$BL$3,0))</f>
        <v>o-Xylene</v>
      </c>
      <c r="B444" s="7">
        <f>INDEX('vehicles specifications'!$B$3:$CW$166,MATCH(B$393,'vehicles specifications'!$A$3:$A$166,0),MATCH(G444,'vehicles specifications'!$B$2:$CW$2,0))*INDEX('ei names mapping'!$B$137:$BL$300,MATCH(B$393,'ei names mapping'!$A$137:$A$300,0),MATCH(G444,'ei names mapping'!$B$136:$BL$136,0))</f>
        <v>3.1561574167505416E-5</v>
      </c>
      <c r="D444" t="str">
        <f>INDEX('ei names mapping'!$B$104:$BL$133,MATCH(B$234,'ei names mapping'!$A$4:$A$33,0),MATCH(G444,'ei names mapping'!$B$3:$BL$3,0))</f>
        <v>kilogram</v>
      </c>
      <c r="E444" t="str">
        <f>INDEX('ei names mapping'!$B$305:$BL$335,MATCH(B$234,'ei names mapping'!$A$4:$A$33,0),MATCH(G444,'ei names mapping'!$B$3:$BL$3,0))</f>
        <v>air::urban air close to ground</v>
      </c>
      <c r="F444" t="s">
        <v>167</v>
      </c>
      <c r="G444" t="s">
        <v>553</v>
      </c>
    </row>
    <row r="445" spans="1:7" x14ac:dyDescent="0.2">
      <c r="A445" t="str">
        <f>INDEX('ei names mapping'!$B$4:$BL$33,MATCH(B$234,'ei names mapping'!$A$4:$A$33,0),MATCH(G445,'ei names mapping'!$B$3:$BL$3,0))</f>
        <v>Formaldehyde</v>
      </c>
      <c r="B445" s="7">
        <f>INDEX('vehicles specifications'!$B$3:$CW$166,MATCH(B$393,'vehicles specifications'!$A$3:$A$166,0),MATCH(G445,'vehicles specifications'!$B$2:$CW$2,0))*INDEX('ei names mapping'!$B$137:$BL$300,MATCH(B$393,'ei names mapping'!$A$137:$A$300,0),MATCH(G445,'ei names mapping'!$B$136:$BL$136,0))</f>
        <v>2.3741007117150096E-5</v>
      </c>
      <c r="D445" t="str">
        <f>INDEX('ei names mapping'!$B$104:$BL$133,MATCH(B$234,'ei names mapping'!$A$4:$A$33,0),MATCH(G445,'ei names mapping'!$B$3:$BL$3,0))</f>
        <v>kilogram</v>
      </c>
      <c r="E445" t="str">
        <f>INDEX('ei names mapping'!$B$305:$BL$335,MATCH(B$234,'ei names mapping'!$A$4:$A$33,0),MATCH(G445,'ei names mapping'!$B$3:$BL$3,0))</f>
        <v>air::urban air close to ground</v>
      </c>
      <c r="F445" t="s">
        <v>167</v>
      </c>
      <c r="G445" t="s">
        <v>554</v>
      </c>
    </row>
    <row r="446" spans="1:7" x14ac:dyDescent="0.2">
      <c r="A446" t="str">
        <f>INDEX('ei names mapping'!$B$4:$BL$33,MATCH(B$234,'ei names mapping'!$A$4:$A$33,0),MATCH(G446,'ei names mapping'!$B$3:$BL$3,0))</f>
        <v>Acetaldehyde</v>
      </c>
      <c r="B446" s="7">
        <f>INDEX('vehicles specifications'!$B$3:$CW$166,MATCH(B$393,'vehicles specifications'!$A$3:$A$166,0),MATCH(G446,'vehicles specifications'!$B$2:$CW$2,0))*INDEX('ei names mapping'!$B$137:$BL$300,MATCH(B$393,'ei names mapping'!$A$137:$A$300,0),MATCH(G446,'ei names mapping'!$B$136:$BL$136,0))</f>
        <v>1.0473973728154453E-5</v>
      </c>
      <c r="D446" t="str">
        <f>INDEX('ei names mapping'!$B$104:$BL$133,MATCH(B$234,'ei names mapping'!$A$4:$A$33,0),MATCH(G446,'ei names mapping'!$B$3:$BL$3,0))</f>
        <v>kilogram</v>
      </c>
      <c r="E446" t="str">
        <f>INDEX('ei names mapping'!$B$305:$BL$335,MATCH(B$234,'ei names mapping'!$A$4:$A$33,0),MATCH(G446,'ei names mapping'!$B$3:$BL$3,0))</f>
        <v>air::urban air close to ground</v>
      </c>
      <c r="F446" t="s">
        <v>167</v>
      </c>
      <c r="G446" t="s">
        <v>555</v>
      </c>
    </row>
    <row r="447" spans="1:7" x14ac:dyDescent="0.2">
      <c r="A447" t="str">
        <f>INDEX('ei names mapping'!$B$4:$BL$33,MATCH(B$234,'ei names mapping'!$A$4:$A$33,0),MATCH(G447,'ei names mapping'!$B$3:$BL$3,0))</f>
        <v>Benzaldehyde</v>
      </c>
      <c r="B447" s="7">
        <f>INDEX('vehicles specifications'!$B$3:$CW$166,MATCH(B$393,'vehicles specifications'!$A$3:$A$166,0),MATCH(G447,'vehicles specifications'!$B$2:$CW$2,0))*INDEX('ei names mapping'!$B$137:$BL$300,MATCH(B$393,'ei names mapping'!$A$137:$A$300,0),MATCH(G447,'ei names mapping'!$B$136:$BL$136,0))</f>
        <v>3.0723656269253065E-6</v>
      </c>
      <c r="D447" t="str">
        <f>INDEX('ei names mapping'!$B$104:$BL$133,MATCH(B$234,'ei names mapping'!$A$4:$A$33,0),MATCH(G447,'ei names mapping'!$B$3:$BL$3,0))</f>
        <v>kilogram</v>
      </c>
      <c r="E447" t="str">
        <f>INDEX('ei names mapping'!$B$305:$BL$335,MATCH(B$234,'ei names mapping'!$A$4:$A$33,0),MATCH(G447,'ei names mapping'!$B$3:$BL$3,0))</f>
        <v>air::urban air close to ground</v>
      </c>
      <c r="F447" t="s">
        <v>167</v>
      </c>
      <c r="G447" t="s">
        <v>556</v>
      </c>
    </row>
    <row r="448" spans="1:7" x14ac:dyDescent="0.2">
      <c r="A448" t="str">
        <f>INDEX('ei names mapping'!$B$4:$BL$33,MATCH(B$234,'ei names mapping'!$A$4:$A$33,0),MATCH(G448,'ei names mapping'!$B$3:$BL$3,0))</f>
        <v>Acetone</v>
      </c>
      <c r="B448" s="7">
        <f>INDEX('vehicles specifications'!$B$3:$CW$166,MATCH(B$393,'vehicles specifications'!$A$3:$A$166,0),MATCH(G448,'vehicles specifications'!$B$2:$CW$2,0))*INDEX('ei names mapping'!$B$137:$BL$300,MATCH(B$393,'ei names mapping'!$A$137:$A$300,0),MATCH(G448,'ei names mapping'!$B$136:$BL$136,0))</f>
        <v>8.5188319655656235E-6</v>
      </c>
      <c r="D448" t="str">
        <f>INDEX('ei names mapping'!$B$104:$BL$133,MATCH(B$234,'ei names mapping'!$A$4:$A$33,0),MATCH(G448,'ei names mapping'!$B$3:$BL$3,0))</f>
        <v>kilogram</v>
      </c>
      <c r="E448" t="str">
        <f>INDEX('ei names mapping'!$B$305:$BL$335,MATCH(B$234,'ei names mapping'!$A$4:$A$33,0),MATCH(G448,'ei names mapping'!$B$3:$BL$3,0))</f>
        <v>air::urban air close to ground</v>
      </c>
      <c r="F448" t="s">
        <v>167</v>
      </c>
      <c r="G448" t="s">
        <v>557</v>
      </c>
    </row>
    <row r="449" spans="1:8" x14ac:dyDescent="0.2">
      <c r="A449" t="str">
        <f>INDEX('ei names mapping'!$B$4:$BL$33,MATCH(B$234,'ei names mapping'!$A$4:$A$33,0),MATCH(G449,'ei names mapping'!$B$3:$BL$3,0))</f>
        <v>Methyl ethyl ketone</v>
      </c>
      <c r="B449" s="7">
        <f>INDEX('vehicles specifications'!$B$3:$CW$166,MATCH(B$393,'vehicles specifications'!$A$3:$A$166,0),MATCH(G449,'vehicles specifications'!$B$2:$CW$2,0))*INDEX('ei names mapping'!$B$137:$BL$300,MATCH(B$393,'ei names mapping'!$A$137:$A$300,0),MATCH(G449,'ei names mapping'!$B$136:$BL$136,0))</f>
        <v>0</v>
      </c>
      <c r="D449" t="str">
        <f>INDEX('ei names mapping'!$B$104:$BL$133,MATCH(B$234,'ei names mapping'!$A$4:$A$33,0),MATCH(G449,'ei names mapping'!$B$3:$BL$3,0))</f>
        <v>kilogram</v>
      </c>
      <c r="E449" t="str">
        <f>INDEX('ei names mapping'!$B$305:$BL$335,MATCH(B$234,'ei names mapping'!$A$4:$A$33,0),MATCH(G449,'ei names mapping'!$B$3:$BL$3,0))</f>
        <v>air::urban air close to ground</v>
      </c>
      <c r="F449" t="s">
        <v>167</v>
      </c>
      <c r="G449" t="s">
        <v>560</v>
      </c>
    </row>
    <row r="450" spans="1:8" x14ac:dyDescent="0.2">
      <c r="A450" t="str">
        <f>INDEX('ei names mapping'!$B$4:$BL$33,MATCH(B$234,'ei names mapping'!$A$4:$A$33,0),MATCH(G450,'ei names mapping'!$B$3:$BL$3,0))</f>
        <v>Acrolein</v>
      </c>
      <c r="B450" s="7">
        <f>INDEX('vehicles specifications'!$B$3:$CW$166,MATCH(B$393,'vehicles specifications'!$A$3:$A$166,0),MATCH(G450,'vehicles specifications'!$B$2:$CW$2,0))*INDEX('ei names mapping'!$B$137:$BL$300,MATCH(B$393,'ei names mapping'!$A$137:$A$300,0),MATCH(G450,'ei names mapping'!$B$136:$BL$136,0))</f>
        <v>2.653406677799128E-6</v>
      </c>
      <c r="D450" t="str">
        <f>INDEX('ei names mapping'!$B$104:$BL$133,MATCH(B$234,'ei names mapping'!$A$4:$A$33,0),MATCH(G450,'ei names mapping'!$B$3:$BL$3,0))</f>
        <v>kilogram</v>
      </c>
      <c r="E450" t="str">
        <f>INDEX('ei names mapping'!$B$305:$BL$335,MATCH(B$234,'ei names mapping'!$A$4:$A$33,0),MATCH(G450,'ei names mapping'!$B$3:$BL$3,0))</f>
        <v>air::urban air close to ground</v>
      </c>
      <c r="F450" t="s">
        <v>167</v>
      </c>
      <c r="G450" t="s">
        <v>558</v>
      </c>
    </row>
    <row r="451" spans="1:8" x14ac:dyDescent="0.2">
      <c r="A451" t="str">
        <f>INDEX('ei names mapping'!$B$4:$BL$33,MATCH(B$234,'ei names mapping'!$A$4:$A$33,0),MATCH(G451,'ei names mapping'!$B$3:$BL$3,0))</f>
        <v>Styrene</v>
      </c>
      <c r="B451" s="7">
        <f>INDEX('vehicles specifications'!$B$3:$CW$166,MATCH(B$393,'vehicles specifications'!$A$3:$A$166,0),MATCH(G451,'vehicles specifications'!$B$2:$CW$2,0))*INDEX('ei names mapping'!$B$137:$BL$300,MATCH(B$393,'ei names mapping'!$A$137:$A$300,0),MATCH(G451,'ei names mapping'!$B$136:$BL$136,0))</f>
        <v>1.4104951287247996E-5</v>
      </c>
      <c r="D451" t="str">
        <f>INDEX('ei names mapping'!$B$104:$BL$133,MATCH(B$234,'ei names mapping'!$A$4:$A$33,0),MATCH(G451,'ei names mapping'!$B$3:$BL$3,0))</f>
        <v>kilogram</v>
      </c>
      <c r="E451" t="str">
        <f>INDEX('ei names mapping'!$B$305:$BL$335,MATCH(B$234,'ei names mapping'!$A$4:$A$33,0),MATCH(G451,'ei names mapping'!$B$3:$BL$3,0))</f>
        <v>air::urban air close to ground</v>
      </c>
      <c r="F451" t="s">
        <v>167</v>
      </c>
      <c r="G451" t="s">
        <v>559</v>
      </c>
    </row>
    <row r="452" spans="1:8" x14ac:dyDescent="0.2">
      <c r="A452" t="str">
        <f>INDEX('ei names mapping'!$B$4:$BL$33,MATCH(B$234,'ei names mapping'!$A$4:$A$33,0),MATCH(G452,'ei names mapping'!$B$3:$BL$3,0))</f>
        <v>PAH, polycyclic aromatic hydrocarbons</v>
      </c>
      <c r="B452" s="7">
        <f>INDEX('vehicles specifications'!$B$3:$CW$166,MATCH(B$393,'vehicles specifications'!$A$3:$A$166,0),MATCH(G452,'vehicles specifications'!$B$2:$CW$2,0))*INDEX('ei names mapping'!$B$137:$BL$300,MATCH(B$393,'ei names mapping'!$A$137:$A$300,0),MATCH(G452,'ei names mapping'!$B$136:$BL$136,0))</f>
        <v>1.0550772887794592E-9</v>
      </c>
      <c r="D452" t="str">
        <f>INDEX('ei names mapping'!$B$104:$BL$133,MATCH(B$234,'ei names mapping'!$A$4:$A$33,0),MATCH(G452,'ei names mapping'!$B$3:$BL$3,0))</f>
        <v>kilogram</v>
      </c>
      <c r="E452" t="str">
        <f>INDEX('ei names mapping'!$B$305:$BL$335,MATCH(B$234,'ei names mapping'!$A$4:$A$33,0),MATCH(G452,'ei names mapping'!$B$3:$BL$3,0))</f>
        <v>air::urban air close to ground</v>
      </c>
      <c r="F452" t="s">
        <v>167</v>
      </c>
      <c r="G452" t="s">
        <v>561</v>
      </c>
    </row>
    <row r="453" spans="1:8" x14ac:dyDescent="0.2">
      <c r="A453" t="str">
        <f>INDEX('ei names mapping'!$B$4:$BL$33,MATCH(B$234,'ei names mapping'!$A$4:$A$33,0),MATCH(G453,'ei names mapping'!$B$3:$BL$3,0))</f>
        <v>Arsenic</v>
      </c>
      <c r="B453" s="7">
        <f>INDEX('vehicles specifications'!$B$3:$CW$166,MATCH(B$393,'vehicles specifications'!$A$3:$A$166,0),MATCH(G453,'vehicles specifications'!$B$2:$CW$2,0))*INDEX('ei names mapping'!$B$137:$BL$300,MATCH(B$393,'ei names mapping'!$A$137:$A$300,0),MATCH(G453,'ei names mapping'!$B$136:$BL$136,0))</f>
        <v>9.0954938687884409E-12</v>
      </c>
      <c r="D453" t="str">
        <f>INDEX('ei names mapping'!$B$104:$BL$133,MATCH(B$234,'ei names mapping'!$A$4:$A$33,0),MATCH(G453,'ei names mapping'!$B$3:$BL$3,0))</f>
        <v>kilogram</v>
      </c>
      <c r="E453" t="str">
        <f>INDEX('ei names mapping'!$B$305:$BL$335,MATCH(B$234,'ei names mapping'!$A$4:$A$33,0),MATCH(G453,'ei names mapping'!$B$3:$BL$3,0))</f>
        <v>air::urban air close to ground</v>
      </c>
      <c r="F453" t="s">
        <v>167</v>
      </c>
      <c r="G453" t="s">
        <v>562</v>
      </c>
    </row>
    <row r="454" spans="1:8" x14ac:dyDescent="0.2">
      <c r="A454" t="str">
        <f>INDEX('ei names mapping'!$B$4:$BL$33,MATCH(B$234,'ei names mapping'!$A$4:$A$33,0),MATCH(G454,'ei names mapping'!$B$3:$BL$3,0))</f>
        <v>Selenium</v>
      </c>
      <c r="B454" s="7">
        <f>INDEX('vehicles specifications'!$B$3:$CW$166,MATCH(B$393,'vehicles specifications'!$A$3:$A$166,0),MATCH(G454,'vehicles specifications'!$B$2:$CW$2,0))*INDEX('ei names mapping'!$B$137:$BL$300,MATCH(B$393,'ei names mapping'!$A$137:$A$300,0),MATCH(G454,'ei names mapping'!$B$136:$BL$136,0))</f>
        <v>6.0636625791922934E-12</v>
      </c>
      <c r="D454" t="str">
        <f>INDEX('ei names mapping'!$B$104:$BL$133,MATCH(B$234,'ei names mapping'!$A$4:$A$33,0),MATCH(G454,'ei names mapping'!$B$3:$BL$3,0))</f>
        <v>kilogram</v>
      </c>
      <c r="E454" t="str">
        <f>INDEX('ei names mapping'!$B$305:$BL$335,MATCH(B$234,'ei names mapping'!$A$4:$A$33,0),MATCH(G454,'ei names mapping'!$B$3:$BL$3,0))</f>
        <v>air::urban air close to ground</v>
      </c>
      <c r="F454" t="s">
        <v>167</v>
      </c>
      <c r="G454" t="s">
        <v>563</v>
      </c>
    </row>
    <row r="455" spans="1:8" x14ac:dyDescent="0.2">
      <c r="A455" t="str">
        <f>INDEX('ei names mapping'!$B$4:$BL$33,MATCH(B$234,'ei names mapping'!$A$4:$A$33,0),MATCH(G455,'ei names mapping'!$B$3:$BL$3,0))</f>
        <v>Zinc</v>
      </c>
      <c r="B455" s="7">
        <f>INDEX('vehicles specifications'!$B$3:$CW$166,MATCH(B$393,'vehicles specifications'!$A$3:$A$166,0),MATCH(G455,'vehicles specifications'!$B$2:$CW$2,0))*INDEX('ei names mapping'!$B$137:$BL$300,MATCH(B$393,'ei names mapping'!$A$137:$A$300,0),MATCH(G455,'ei names mapping'!$B$136:$BL$136,0))</f>
        <v>6.5487555855276772E-8</v>
      </c>
      <c r="D455" t="str">
        <f>INDEX('ei names mapping'!$B$104:$BL$133,MATCH(B$234,'ei names mapping'!$A$4:$A$33,0),MATCH(G455,'ei names mapping'!$B$3:$BL$3,0))</f>
        <v>kilogram</v>
      </c>
      <c r="E455" t="str">
        <f>INDEX('ei names mapping'!$B$305:$BL$335,MATCH(B$234,'ei names mapping'!$A$4:$A$33,0),MATCH(G455,'ei names mapping'!$B$3:$BL$3,0))</f>
        <v>air::urban air close to ground</v>
      </c>
      <c r="F455" t="s">
        <v>167</v>
      </c>
      <c r="G455" t="s">
        <v>564</v>
      </c>
    </row>
    <row r="456" spans="1:8" x14ac:dyDescent="0.2">
      <c r="A456" t="str">
        <f>INDEX('ei names mapping'!$B$4:$BL$33,MATCH(B$234,'ei names mapping'!$A$4:$A$33,0),MATCH(G456,'ei names mapping'!$B$3:$BL$3,0))</f>
        <v>Copper</v>
      </c>
      <c r="B456" s="7">
        <f>INDEX('vehicles specifications'!$B$3:$CW$166,MATCH(B$393,'vehicles specifications'!$A$3:$A$166,0),MATCH(G456,'vehicles specifications'!$B$2:$CW$2,0))*INDEX('ei names mapping'!$B$137:$BL$300,MATCH(B$393,'ei names mapping'!$A$137:$A$300,0),MATCH(G456,'ei names mapping'!$B$136:$BL$136,0))</f>
        <v>1.2733691416303815E-9</v>
      </c>
      <c r="D456" t="str">
        <f>INDEX('ei names mapping'!$B$104:$BL$133,MATCH(B$234,'ei names mapping'!$A$4:$A$33,0),MATCH(G456,'ei names mapping'!$B$3:$BL$3,0))</f>
        <v>kilogram</v>
      </c>
      <c r="E456" t="str">
        <f>INDEX('ei names mapping'!$B$305:$BL$335,MATCH(B$234,'ei names mapping'!$A$4:$A$33,0),MATCH(G456,'ei names mapping'!$B$3:$BL$3,0))</f>
        <v>air::urban air close to ground</v>
      </c>
      <c r="F456" t="s">
        <v>167</v>
      </c>
      <c r="G456" t="s">
        <v>522</v>
      </c>
    </row>
    <row r="457" spans="1:8" x14ac:dyDescent="0.2">
      <c r="A457" t="str">
        <f>INDEX('ei names mapping'!$B$4:$BL$33,MATCH(B$234,'ei names mapping'!$A$4:$A$33,0),MATCH(G457,'ei names mapping'!$B$3:$BL$3,0))</f>
        <v>Nickel</v>
      </c>
      <c r="B457" s="7">
        <f>INDEX('vehicles specifications'!$B$3:$CW$166,MATCH(B$393,'vehicles specifications'!$A$3:$A$166,0),MATCH(G457,'vehicles specifications'!$B$2:$CW$2,0))*INDEX('ei names mapping'!$B$137:$BL$300,MATCH(B$393,'ei names mapping'!$A$137:$A$300,0),MATCH(G457,'ei names mapping'!$B$136:$BL$136,0))</f>
        <v>3.9413806764749909E-10</v>
      </c>
      <c r="D457" t="str">
        <f>INDEX('ei names mapping'!$B$104:$BL$133,MATCH(B$234,'ei names mapping'!$A$4:$A$33,0),MATCH(G457,'ei names mapping'!$B$3:$BL$3,0))</f>
        <v>kilogram</v>
      </c>
      <c r="E457" t="str">
        <f>INDEX('ei names mapping'!$B$305:$BL$335,MATCH(B$234,'ei names mapping'!$A$4:$A$33,0),MATCH(G457,'ei names mapping'!$B$3:$BL$3,0))</f>
        <v>air::urban air close to ground</v>
      </c>
      <c r="F457" t="s">
        <v>167</v>
      </c>
      <c r="G457" t="s">
        <v>524</v>
      </c>
    </row>
    <row r="458" spans="1:8" x14ac:dyDescent="0.2">
      <c r="A458" t="str">
        <f>INDEX('ei names mapping'!$B$4:$BL$33,MATCH(B$234,'ei names mapping'!$A$4:$A$33,0),MATCH(G458,'ei names mapping'!$B$3:$BL$3,0))</f>
        <v>Chromium</v>
      </c>
      <c r="B458" s="7">
        <f>INDEX('vehicles specifications'!$B$3:$CW$166,MATCH(B$393,'vehicles specifications'!$A$3:$A$166,0),MATCH(G458,'vehicles specifications'!$B$2:$CW$2,0))*INDEX('ei names mapping'!$B$137:$BL$300,MATCH(B$393,'ei names mapping'!$A$137:$A$300,0),MATCH(G458,'ei names mapping'!$B$136:$BL$136,0))</f>
        <v>4.850930063353835E-10</v>
      </c>
      <c r="D458" t="str">
        <f>INDEX('ei names mapping'!$B$104:$BL$133,MATCH(B$234,'ei names mapping'!$A$4:$A$33,0),MATCH(G458,'ei names mapping'!$B$3:$BL$3,0))</f>
        <v>kilogram</v>
      </c>
      <c r="E458" t="str">
        <f>INDEX('ei names mapping'!$B$305:$BL$335,MATCH(B$234,'ei names mapping'!$A$4:$A$33,0),MATCH(G458,'ei names mapping'!$B$3:$BL$3,0))</f>
        <v>air::urban air close to ground</v>
      </c>
      <c r="F458" t="s">
        <v>167</v>
      </c>
      <c r="G458" t="s">
        <v>523</v>
      </c>
    </row>
    <row r="459" spans="1:8" x14ac:dyDescent="0.2">
      <c r="A459" t="str">
        <f>INDEX('ei names mapping'!$B$4:$BL$33,MATCH(B$234,'ei names mapping'!$A$4:$A$33,0),MATCH(G459,'ei names mapping'!$B$3:$BL$3,0))</f>
        <v>Chromium VI</v>
      </c>
      <c r="B459" s="7">
        <f>INDEX('vehicles specifications'!$B$3:$CW$166,MATCH(B$393,'vehicles specifications'!$A$3:$A$166,0),MATCH(G459,'vehicles specifications'!$B$2:$CW$2,0))*INDEX('ei names mapping'!$B$137:$BL$300,MATCH(B$393,'ei names mapping'!$A$137:$A$300,0),MATCH(G459,'ei names mapping'!$B$136:$BL$136,0))</f>
        <v>9.701860126707668E-13</v>
      </c>
      <c r="D459" t="str">
        <f>INDEX('ei names mapping'!$B$104:$BL$133,MATCH(B$234,'ei names mapping'!$A$4:$A$33,0),MATCH(G459,'ei names mapping'!$B$3:$BL$3,0))</f>
        <v>kilogram</v>
      </c>
      <c r="E459" t="str">
        <f>INDEX('ei names mapping'!$B$305:$BL$335,MATCH(B$234,'ei names mapping'!$A$4:$A$33,0),MATCH(G459,'ei names mapping'!$B$3:$BL$3,0))</f>
        <v>air::urban air close to ground</v>
      </c>
      <c r="F459" t="s">
        <v>167</v>
      </c>
      <c r="G459" t="s">
        <v>567</v>
      </c>
    </row>
    <row r="460" spans="1:8" x14ac:dyDescent="0.2">
      <c r="A460" t="str">
        <f>INDEX('ei names mapping'!$B$4:$BL$33,MATCH(B$234,'ei names mapping'!$A$4:$A$33,0),MATCH(G460,'ei names mapping'!$B$3:$BL$3,0))</f>
        <v>Mercury</v>
      </c>
      <c r="B460" s="7">
        <f>INDEX('vehicles specifications'!$B$3:$CW$166,MATCH(B$393,'vehicles specifications'!$A$3:$A$166,0),MATCH(G460,'vehicles specifications'!$B$2:$CW$2,0))*INDEX('ei names mapping'!$B$137:$BL$300,MATCH(B$393,'ei names mapping'!$A$137:$A$300,0),MATCH(G460,'ei names mapping'!$B$136:$BL$136,0))</f>
        <v>2.637693221948648E-10</v>
      </c>
      <c r="D460" t="str">
        <f>INDEX('ei names mapping'!$B$104:$BL$133,MATCH(B$234,'ei names mapping'!$A$4:$A$33,0),MATCH(G460,'ei names mapping'!$B$3:$BL$3,0))</f>
        <v>kilogram</v>
      </c>
      <c r="E460" t="str">
        <f>INDEX('ei names mapping'!$B$305:$BL$335,MATCH(B$234,'ei names mapping'!$A$4:$A$33,0),MATCH(G460,'ei names mapping'!$B$3:$BL$3,0))</f>
        <v>air::urban air close to ground</v>
      </c>
      <c r="F460" t="s">
        <v>167</v>
      </c>
      <c r="G460" t="s">
        <v>565</v>
      </c>
    </row>
    <row r="461" spans="1:8" x14ac:dyDescent="0.2">
      <c r="A461" t="str">
        <f>INDEX('ei names mapping'!$B$4:$BL$33,MATCH(B$234,'ei names mapping'!$A$4:$A$33,0),MATCH(G461,'ei names mapping'!$B$3:$BL$3,0))</f>
        <v>Cadmium</v>
      </c>
      <c r="B461" s="7">
        <f>INDEX('vehicles specifications'!$B$3:$CW$166,MATCH(B$393,'vehicles specifications'!$A$3:$A$166,0),MATCH(G461,'vehicles specifications'!$B$2:$CW$2,0))*INDEX('ei names mapping'!$B$137:$BL$300,MATCH(B$393,'ei names mapping'!$A$137:$A$300,0),MATCH(G461,'ei names mapping'!$B$136:$BL$136,0))</f>
        <v>3.2743777927638394E-10</v>
      </c>
      <c r="D461" t="str">
        <f>INDEX('ei names mapping'!$B$104:$BL$133,MATCH(B$234,'ei names mapping'!$A$4:$A$33,0),MATCH(G461,'ei names mapping'!$B$3:$BL$3,0))</f>
        <v>kilogram</v>
      </c>
      <c r="E461" t="str">
        <f>INDEX('ei names mapping'!$B$305:$BL$335,MATCH(B$234,'ei names mapping'!$A$4:$A$33,0),MATCH(G461,'ei names mapping'!$B$3:$BL$3,0))</f>
        <v>air::urban air close to ground</v>
      </c>
      <c r="F461" t="s">
        <v>167</v>
      </c>
      <c r="G461" t="s">
        <v>566</v>
      </c>
    </row>
    <row r="462" spans="1:8" x14ac:dyDescent="0.2">
      <c r="A462" t="str">
        <f>INDEX('ei names mapping'!$B$4:$BL$33,MATCH(B390,'ei names mapping'!$A$4:$A$33,0),MATCH(G462,'ei names mapping'!$B$3:$BL$3,0))</f>
        <v>treatment of road wear emissions, passenger car</v>
      </c>
      <c r="B462" s="7">
        <f>INDEX('vehicles specifications'!$B$3:$CW$166,MATCH(B393,'vehicles specifications'!$A$3:$A$166,0),MATCH(G462,'vehicles specifications'!$B$2:$CW$2,0))*INDEX('ei names mapping'!$B$137:$BL$300,MATCH(B393,'ei names mapping'!$A$137:$A$300,0),MATCH(G462,'ei names mapping'!$B$136:$BL$136,0))</f>
        <v>-6.4065806791504937E-6</v>
      </c>
      <c r="C462" t="str">
        <f>INDEX('ei names mapping'!$B$38:$BL$67,MATCH(B390,'ei names mapping'!$A$4:$A$33,0),MATCH(G462,'ei names mapping'!$B$3:$BL$3,0))</f>
        <v>RER</v>
      </c>
      <c r="D462" t="str">
        <f>INDEX('ei names mapping'!$B$104:$BL$133,MATCH(B390,'ei names mapping'!$A$4:$A$33,0),MATCH(G462,'ei names mapping'!$B$3:$BL$3,0))</f>
        <v>kilogram</v>
      </c>
      <c r="F462" t="s">
        <v>89</v>
      </c>
      <c r="G462" t="s">
        <v>29</v>
      </c>
      <c r="H462" t="str">
        <f>INDEX('ei names mapping'!$B$71:$BL$100,MATCH(B390,'ei names mapping'!$A$4:$A$33,0),MATCH(G462,'ei names mapping'!$B$3:$BL$3,0))</f>
        <v>road wear emissions, passenger car</v>
      </c>
    </row>
    <row r="463" spans="1:8" x14ac:dyDescent="0.2">
      <c r="A463" t="str">
        <f>INDEX('ei names mapping'!$B$4:$BL$33,MATCH(B390,'ei names mapping'!$A$4:$A$33,0),MATCH(G463,'ei names mapping'!$B$3:$BL$3,0))</f>
        <v>treatment of tyre wear emissions, passenger car</v>
      </c>
      <c r="B463" s="7">
        <f>INDEX('vehicles specifications'!$B$3:$CW$166,MATCH(B393,'vehicles specifications'!$A$3:$A$166,0),MATCH(G463,'vehicles specifications'!$B$2:$CW$2,0))*INDEX('ei names mapping'!$B$137:$BL$300,MATCH(B393,'ei names mapping'!$A$137:$A$300,0),MATCH(G463,'ei names mapping'!$B$136:$BL$136,0))</f>
        <v>-5.1956600387737995E-6</v>
      </c>
      <c r="C463" t="str">
        <f>INDEX('ei names mapping'!$B$38:$BL$67,MATCH(B390,'ei names mapping'!$A$4:$A$33,0),MATCH(G463,'ei names mapping'!$B$3:$BL$3,0))</f>
        <v>RER</v>
      </c>
      <c r="D463" t="str">
        <f>INDEX('ei names mapping'!$B$104:$BL$133,MATCH(B390,'ei names mapping'!$A$4:$A$33,0),MATCH(G463,'ei names mapping'!$B$3:$BL$3,0))</f>
        <v>kilogram</v>
      </c>
      <c r="F463" t="s">
        <v>89</v>
      </c>
      <c r="G463" t="s">
        <v>30</v>
      </c>
      <c r="H463" t="str">
        <f>INDEX('ei names mapping'!$B$71:$BL$100,MATCH(B390,'ei names mapping'!$A$4:$A$33,0),MATCH(G463,'ei names mapping'!$B$3:$BL$3,0))</f>
        <v>tyre wear emissions, passenger car</v>
      </c>
    </row>
    <row r="464" spans="1:8" x14ac:dyDescent="0.2">
      <c r="A464" t="str">
        <f>INDEX('ei names mapping'!$B$4:$BL$33,MATCH(B390,'ei names mapping'!$A$4:$A$33,0),MATCH(G464,'ei names mapping'!$B$3:$BL$3,0))</f>
        <v>treatment of brake wear emissions, passenger car</v>
      </c>
      <c r="B464" s="7">
        <f>INDEX('vehicles specifications'!$B$3:$CW$166,MATCH(B393,'vehicles specifications'!$A$3:$A$166,0),MATCH(G464,'vehicles specifications'!$B$2:$CW$2,0))*INDEX('ei names mapping'!$B$137:$BL$300,MATCH(B393,'ei names mapping'!$A$137:$A$300,0),MATCH(G464,'ei names mapping'!$B$136:$BL$136,0))</f>
        <v>-3.632248632002054E-6</v>
      </c>
      <c r="C464" t="str">
        <f>INDEX('ei names mapping'!$B$38:$BL$67,MATCH(B390,'ei names mapping'!$A$4:$A$33,0),MATCH(G464,'ei names mapping'!$B$3:$BL$3,0))</f>
        <v>RER</v>
      </c>
      <c r="D464" t="str">
        <f>INDEX('ei names mapping'!$B$104:$BL$133,MATCH(B390,'ei names mapping'!$A$4:$A$33,0),MATCH(G464,'ei names mapping'!$B$3:$BL$3,0))</f>
        <v>kilogram</v>
      </c>
      <c r="F464" t="s">
        <v>89</v>
      </c>
      <c r="G464" t="s">
        <v>31</v>
      </c>
      <c r="H464" t="str">
        <f>INDEX('ei names mapping'!$B$71:$BL$100,MATCH(B390,'ei names mapping'!$A$4:$A$33,0),MATCH(G464,'ei names mapping'!$B$3:$BL$3,0))</f>
        <v>brake wear emissions, passenger car</v>
      </c>
    </row>
    <row r="465" spans="1:2" x14ac:dyDescent="0.2">
      <c r="B465" s="6"/>
    </row>
    <row r="466" spans="1:2" ht="16" x14ac:dyDescent="0.2">
      <c r="A466" s="10" t="s">
        <v>71</v>
      </c>
      <c r="B466" s="8" t="str">
        <f>"transport, "&amp;B468&amp;", "&amp;B470</f>
        <v>transport, Scooter, gasoline, &lt;4kW, EURO-5, 2030</v>
      </c>
    </row>
    <row r="467" spans="1:2" x14ac:dyDescent="0.2">
      <c r="A467" t="s">
        <v>72</v>
      </c>
      <c r="B467" t="s">
        <v>37</v>
      </c>
    </row>
    <row r="468" spans="1:2" x14ac:dyDescent="0.2">
      <c r="A468" t="s">
        <v>86</v>
      </c>
      <c r="B468" t="s">
        <v>611</v>
      </c>
    </row>
    <row r="469" spans="1:2" x14ac:dyDescent="0.2">
      <c r="A469" t="s">
        <v>87</v>
      </c>
    </row>
    <row r="470" spans="1:2" x14ac:dyDescent="0.2">
      <c r="A470" t="s">
        <v>88</v>
      </c>
      <c r="B470">
        <v>2030</v>
      </c>
    </row>
    <row r="471" spans="1:2" x14ac:dyDescent="0.2">
      <c r="A471" t="s">
        <v>126</v>
      </c>
      <c r="B471" t="str">
        <f>B468&amp;" - "&amp;B470&amp;" - "&amp;B467</f>
        <v>Scooter, gasoline, &lt;4kW, EURO-5 - 2030 - CH</v>
      </c>
    </row>
    <row r="472" spans="1:2" x14ac:dyDescent="0.2">
      <c r="A472" t="s">
        <v>73</v>
      </c>
      <c r="B472" t="str">
        <f>"transport, "&amp;B468</f>
        <v>transport, Scooter, gasoline, &lt;4kW, EURO-5</v>
      </c>
    </row>
    <row r="473" spans="1:2" x14ac:dyDescent="0.2">
      <c r="A473" t="s">
        <v>74</v>
      </c>
      <c r="B473" t="s">
        <v>75</v>
      </c>
    </row>
    <row r="474" spans="1:2" x14ac:dyDescent="0.2">
      <c r="A474" t="s">
        <v>76</v>
      </c>
      <c r="B474" t="s">
        <v>166</v>
      </c>
    </row>
    <row r="475" spans="1:2" x14ac:dyDescent="0.2">
      <c r="A475" t="s">
        <v>78</v>
      </c>
      <c r="B475" t="s">
        <v>1143</v>
      </c>
    </row>
    <row r="476" spans="1:2" x14ac:dyDescent="0.2">
      <c r="A476" t="s">
        <v>127</v>
      </c>
      <c r="B476">
        <f>INDEX('vehicles specifications'!$B$3:$CW$166,MATCH(B471,'vehicles specifications'!$A$3:$A$166,0),MATCH("Lifetime [km]",'vehicles specifications'!$B$2:$CW$2,0))</f>
        <v>25000</v>
      </c>
    </row>
    <row r="477" spans="1:2" x14ac:dyDescent="0.2">
      <c r="A477" t="s">
        <v>128</v>
      </c>
      <c r="B477">
        <f>INDEX('vehicles specifications'!$B$3:$CW$166,MATCH(B471,'vehicles specifications'!$A$3:$A$166,0),MATCH("Passengers [unit]",'vehicles specifications'!$B$2:$CW$2,0))</f>
        <v>1</v>
      </c>
    </row>
    <row r="478" spans="1:2" x14ac:dyDescent="0.2">
      <c r="A478" t="s">
        <v>129</v>
      </c>
      <c r="B478">
        <f>INDEX('vehicles specifications'!$B$3:$CW$166,MATCH(B471,'vehicles specifications'!$A$3:$A$166,0),MATCH("Servicing [unit]",'vehicles specifications'!$B$2:$CW$2,0))</f>
        <v>1</v>
      </c>
    </row>
    <row r="479" spans="1:2" x14ac:dyDescent="0.2">
      <c r="A479" t="s">
        <v>130</v>
      </c>
      <c r="B479">
        <f>INDEX('vehicles specifications'!$B$3:$CW$166,MATCH(B471,'vehicles specifications'!$A$3:$A$166,0),MATCH("Energy battery replacement [unit]",'vehicles specifications'!$B$2:$CW$2,0))</f>
        <v>0</v>
      </c>
    </row>
    <row r="480" spans="1:2" x14ac:dyDescent="0.2">
      <c r="A480" t="s">
        <v>131</v>
      </c>
      <c r="B480">
        <f>INDEX('vehicles specifications'!$B$3:$CW$166,MATCH(B471,'vehicles specifications'!$A$3:$A$166,0),MATCH("Annual kilometers [km]",'vehicles specifications'!$B$2:$CW$2,0))</f>
        <v>1570</v>
      </c>
    </row>
    <row r="481" spans="1:8" x14ac:dyDescent="0.2">
      <c r="A481" t="s">
        <v>132</v>
      </c>
      <c r="B481" s="2">
        <f>INDEX('vehicles specifications'!$B$3:$CW$166,MATCH(B471,'vehicles specifications'!$A$3:$A$166,0),MATCH("Curb mass [kg]",'vehicles specifications'!$B$2:$CW$2,0))</f>
        <v>88.447499999999991</v>
      </c>
    </row>
    <row r="482" spans="1:8" x14ac:dyDescent="0.2">
      <c r="A482" t="s">
        <v>133</v>
      </c>
      <c r="B482">
        <f>INDEX('vehicles specifications'!$B$3:$CW$166,MATCH(B471,'vehicles specifications'!$A$3:$A$166,0),MATCH("Power [kW]",'vehicles specifications'!$B$2:$CW$2,0))</f>
        <v>2.8</v>
      </c>
    </row>
    <row r="483" spans="1:8" x14ac:dyDescent="0.2">
      <c r="A483" t="s">
        <v>134</v>
      </c>
      <c r="B483" t="str">
        <f>INDEX('vehicles specifications'!$B$3:$CW$166,MATCH(B471,'vehicles specifications'!$A$3:$A$166,0),MATCH("Energy battery mass [kg]",'vehicles specifications'!$B$2:$CW$2,0))</f>
        <v/>
      </c>
    </row>
    <row r="484" spans="1:8" x14ac:dyDescent="0.2">
      <c r="A484" t="s">
        <v>135</v>
      </c>
      <c r="B484">
        <f>INDEX('vehicles specifications'!$B$3:$CW$166,MATCH(B471,'vehicles specifications'!$A$3:$A$166,0),MATCH("Electric energy available [kWh]",'vehicles specifications'!$B$2:$CW$2,0))</f>
        <v>0</v>
      </c>
    </row>
    <row r="485" spans="1:8" x14ac:dyDescent="0.2">
      <c r="A485" t="s">
        <v>138</v>
      </c>
      <c r="B485" s="2">
        <f>INDEX('vehicles specifications'!$B$3:$CW$166,MATCH(B471,'vehicles specifications'!$A$3:$A$166,0),MATCH("Oxydation energy stored [kWh]",'vehicles specifications'!$B$2:$CW$2,0))</f>
        <v>62.125</v>
      </c>
    </row>
    <row r="486" spans="1:8" x14ac:dyDescent="0.2">
      <c r="A486" t="s">
        <v>139</v>
      </c>
      <c r="B486">
        <f>INDEX('vehicles specifications'!$B$3:$CW$166,MATCH(B471,'vehicles specifications'!$A$3:$A$166,0),MATCH("Fuel mass [kg]",'vehicles specifications'!$B$2:$CW$2,0))</f>
        <v>5.25</v>
      </c>
    </row>
    <row r="487" spans="1:8" x14ac:dyDescent="0.2">
      <c r="A487" t="s">
        <v>136</v>
      </c>
      <c r="B487" s="2">
        <f>INDEX('vehicles specifications'!$B$3:$CW$166,MATCH(B471,'vehicles specifications'!$A$3:$A$166,0),MATCH("Range [km]",'vehicles specifications'!$B$2:$CW$2,0))</f>
        <v>175.32334466072561</v>
      </c>
    </row>
    <row r="488" spans="1:8" x14ac:dyDescent="0.2">
      <c r="A488" t="s">
        <v>137</v>
      </c>
      <c r="B488" t="str">
        <f>INDEX('vehicles specifications'!$B$3:$CW$166,MATCH(B471,'vehicles specifications'!$A$3:$A$166,0),MATCH("Emission standard",'vehicles specifications'!$B$2:$CW$2,0))</f>
        <v>EURO-5</v>
      </c>
    </row>
    <row r="489" spans="1:8" x14ac:dyDescent="0.2">
      <c r="A489" t="s">
        <v>1174</v>
      </c>
      <c r="B489" s="6">
        <f>INDEX('vehicles specifications'!$B$3:$CW$166,MATCH(B471,'vehicles specifications'!$A$3:$A$166,0),MATCH("Lightweighting rate [%]",'vehicles specifications'!$B$2:$CW$2,0))</f>
        <v>0.03</v>
      </c>
    </row>
    <row r="490" spans="1:8" x14ac:dyDescent="0.2">
      <c r="A490" t="s">
        <v>83</v>
      </c>
      <c r="B490"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2.8 kW. Lifetime: 25000 km. Annual kilometers: 1570 km. Number of passengers: 1. Curb mass: 88.4 kg. Lightweighting of glider: 3%. Emission standard: EURO-5. Service visits throughout lifetime: 1. Range: 175 km. Fuel tank capacity: 62.1 kWh. Fuel mass: 5.3 kg. Documentation: Life-cycle inventories for on-road vehicles, Sacchi R. (PSI), Bauer C. (PSI), 2021. Sacchi R., Bauer C. Life cycle inventories for on-road vehicles. Paul Scherrer Institut, 2021.</v>
      </c>
    </row>
    <row r="491" spans="1:8" ht="16" x14ac:dyDescent="0.2">
      <c r="A491" s="10" t="s">
        <v>79</v>
      </c>
    </row>
    <row r="492" spans="1:8" x14ac:dyDescent="0.2">
      <c r="A492" t="s">
        <v>80</v>
      </c>
      <c r="B492" t="s">
        <v>81</v>
      </c>
      <c r="C492" t="s">
        <v>72</v>
      </c>
      <c r="D492" t="s">
        <v>76</v>
      </c>
      <c r="E492" t="s">
        <v>82</v>
      </c>
      <c r="F492" t="s">
        <v>74</v>
      </c>
      <c r="G492" t="s">
        <v>83</v>
      </c>
      <c r="H492" t="s">
        <v>73</v>
      </c>
    </row>
    <row r="493" spans="1:8" x14ac:dyDescent="0.2">
      <c r="A493" t="str">
        <f>B466</f>
        <v>transport, Scooter, gasoline, &lt;4kW, EURO-5, 2030</v>
      </c>
      <c r="B493">
        <v>1</v>
      </c>
      <c r="C493" t="str">
        <f>B467</f>
        <v>CH</v>
      </c>
      <c r="D493" t="s">
        <v>166</v>
      </c>
      <c r="F493" t="s">
        <v>84</v>
      </c>
      <c r="G493" t="s">
        <v>85</v>
      </c>
      <c r="H493" t="str">
        <f>B472</f>
        <v>transport, Scooter, gasoline, &lt;4kW, EURO-5</v>
      </c>
    </row>
    <row r="494" spans="1:8" x14ac:dyDescent="0.2">
      <c r="A494" t="str">
        <f>RIGHT(A493,LEN(A493)-11)</f>
        <v>Scooter, gasoline, &lt;4kW, EURO-5, 2030</v>
      </c>
      <c r="B494" s="7">
        <f>1/B476</f>
        <v>4.0000000000000003E-5</v>
      </c>
      <c r="C494" t="str">
        <f>B467</f>
        <v>CH</v>
      </c>
      <c r="D494" t="s">
        <v>76</v>
      </c>
      <c r="F494" t="s">
        <v>89</v>
      </c>
      <c r="H494" t="str">
        <f>RIGHT(H493,LEN(H493)-11)</f>
        <v>Scooter, gasoline, &lt;4kW, EURO-5</v>
      </c>
    </row>
    <row r="495" spans="1:8" x14ac:dyDescent="0.2">
      <c r="A495" t="str">
        <f>INDEX('ei names mapping'!$B$4:$R$33,MATCH(B468,'ei names mapping'!$A$4:$A$33,0),MATCH(G495,'ei names mapping'!$B$3:$R$3,0))</f>
        <v>road construction</v>
      </c>
      <c r="B495" s="7">
        <f>INDEX('vehicles specifications'!$B$3:$CW$166,MATCH(B471,'vehicles specifications'!$A$3:$A$166,0),MATCH(G495,'vehicles specifications'!$B$2:$CW$2,0))*INDEX('ei names mapping'!$B$137:$BL$300,MATCH(B471,'ei names mapping'!$A$137:$A$300,0),MATCH(G495,'ei names mapping'!$B$136:$BL$136,0))</f>
        <v>8.9919307499999995E-5</v>
      </c>
      <c r="C495" t="str">
        <f>INDEX('ei names mapping'!$B$38:$R$67,MATCH(B468,'ei names mapping'!$A$4:$A$33,0),MATCH(G495,'ei names mapping'!$B$3:$R$3,0))</f>
        <v>CH</v>
      </c>
      <c r="D495" t="str">
        <f>INDEX('ei names mapping'!$B$104:$BL$133,MATCH(B468,'ei names mapping'!$A$4:$A$33,0),MATCH(G495,'ei names mapping'!$B$3:$BL$3,0))</f>
        <v>meter-year</v>
      </c>
      <c r="F495" t="s">
        <v>89</v>
      </c>
      <c r="G495" t="s">
        <v>105</v>
      </c>
      <c r="H495" t="str">
        <f>INDEX('ei names mapping'!$B$71:$BL$100,MATCH(B468,'ei names mapping'!$A$4:$A$33,0),MATCH(G495,'ei names mapping'!$B$3:$BL$3,0))</f>
        <v>road</v>
      </c>
    </row>
    <row r="496" spans="1:8" x14ac:dyDescent="0.2">
      <c r="A496" t="str">
        <f>INDEX('ei names mapping'!$B$4:$R$33,MATCH(B468,'ei names mapping'!$A$4:$A$33,0),MATCH(G496,'ei names mapping'!$B$3:$R$3,0))</f>
        <v>road maintenance</v>
      </c>
      <c r="B496" s="7">
        <f>INDEX('vehicles specifications'!$B$3:$CW$166,MATCH(B471,'vehicles specifications'!$A$3:$A$166,0),MATCH(G496,'vehicles specifications'!$B$2:$CW$2,0))*INDEX('ei names mapping'!$B$137:$BL$300,MATCH(B471,'ei names mapping'!$A$137:$A$300,0),MATCH(G496,'ei names mapping'!$B$136:$BL$136,0))</f>
        <v>1.2899999999999999E-3</v>
      </c>
      <c r="C496" t="str">
        <f>INDEX('ei names mapping'!$B$38:$R$67,MATCH(B468,'ei names mapping'!$A$4:$A$33,0),MATCH(G496,'ei names mapping'!$B$3:$R$3,0))</f>
        <v>CH</v>
      </c>
      <c r="D496" t="str">
        <f>INDEX('ei names mapping'!$B$104:$BL$133,MATCH(B468,'ei names mapping'!$A$4:$A$33,0),MATCH(G496,'ei names mapping'!$B$3:$BL$3,0))</f>
        <v>meter-year</v>
      </c>
      <c r="F496" t="s">
        <v>89</v>
      </c>
      <c r="G496" t="s">
        <v>112</v>
      </c>
      <c r="H496" t="str">
        <f>INDEX('ei names mapping'!$B$71:$BL$100,MATCH(B468,'ei names mapping'!$A$4:$A$33,0),MATCH(G496,'ei names mapping'!$B$3:$BL$3,0))</f>
        <v>road maintenance</v>
      </c>
    </row>
    <row r="497" spans="1:8" x14ac:dyDescent="0.2">
      <c r="A497" t="str">
        <f>INDEX('ei names mapping'!$B$4:$R$33,MATCH(B468,'ei names mapping'!$A$4:$A$33,0),MATCH(G497,'ei names mapping'!$B$3:$R$3,0))</f>
        <v>maintenance, motor scooter</v>
      </c>
      <c r="B497" s="7">
        <f>INDEX('vehicles specifications'!$B$3:$CW$166,MATCH(B471,'vehicles specifications'!$A$3:$A$166,0),MATCH(G497,'vehicles specifications'!$B$2:$CW$2,0))*INDEX('ei names mapping'!$B$137:$BL$300,MATCH(B471,'ei names mapping'!$A$137:$A$300,0),MATCH(G497,'ei names mapping'!$B$136:$BL$136,0))</f>
        <v>4.0000000000000003E-5</v>
      </c>
      <c r="C497" t="str">
        <f>INDEX('ei names mapping'!$B$38:$BL$67,MATCH(B468,'ei names mapping'!$A$4:$A$33,0),MATCH(G497,'ei names mapping'!$B$3:$BL$3,0))</f>
        <v>CH</v>
      </c>
      <c r="D497" t="str">
        <f>INDEX('ei names mapping'!$B$104:$BL$133,MATCH(B468,'ei names mapping'!$A$4:$A$33,0),MATCH(G497,'ei names mapping'!$B$3:$BL$3,0))</f>
        <v>unit</v>
      </c>
      <c r="F497" t="s">
        <v>89</v>
      </c>
      <c r="G497" t="s">
        <v>118</v>
      </c>
      <c r="H497" t="str">
        <f>INDEX('ei names mapping'!$B$71:$BL$100,MATCH(B468,'ei names mapping'!$A$4:$A$33,0),MATCH(G497,'ei names mapping'!$B$3:$BL$3,0))</f>
        <v>maintenance, motor scooter</v>
      </c>
    </row>
    <row r="498" spans="1:8" x14ac:dyDescent="0.2">
      <c r="A498" t="str">
        <f>INDEX('ei names mapping'!$B$4:$R$33,MATCH(B468,'ei names mapping'!$A$4:$A$33,0),MATCH(G498,'ei names mapping'!$B$3:$R$3,0))</f>
        <v>petrol blending for two-stroke engines</v>
      </c>
      <c r="B498" s="7">
        <f>INDEX('vehicles specifications'!$B$3:$CW$166,MATCH(B471,'vehicles specifications'!$A$3:$A$166,0),MATCH(G498,'vehicles specifications'!$B$2:$CW$2,0))*INDEX('ei names mapping'!$B$137:$BL$300,MATCH(B471,'ei names mapping'!$A$137:$A$300,0),MATCH(G498,'ei names mapping'!$B$136:$BL$136,0))</f>
        <v>2.9944671715905598E-2</v>
      </c>
      <c r="C498" t="str">
        <f>INDEX('ei names mapping'!$B$38:$BL$67,MATCH(B468,'ei names mapping'!$A$4:$A$33,0),MATCH(G498,'ei names mapping'!$B$3:$BL$3,0))</f>
        <v>CH</v>
      </c>
      <c r="D498" t="str">
        <f>INDEX('ei names mapping'!$B$104:$BL$133,MATCH(B468,'ei names mapping'!$A$4:$A$33,0),MATCH(G498,'ei names mapping'!$B$3:$BL$3,0))</f>
        <v>kilogram</v>
      </c>
      <c r="F498" t="s">
        <v>89</v>
      </c>
      <c r="G498" t="s">
        <v>27</v>
      </c>
      <c r="H498" t="str">
        <f>INDEX('ei names mapping'!$B$71:$BL$100,MATCH(B468,'ei names mapping'!$A$4:$A$33,0),MATCH(G498,'ei names mapping'!$B$3:$BL$3,0))</f>
        <v>petrol, two-stroke blend</v>
      </c>
    </row>
    <row r="499" spans="1:8" x14ac:dyDescent="0.2">
      <c r="A499" t="str">
        <f>INDEX('ei names mapping'!$B$4:$BL$33,MATCH(B468,'ei names mapping'!$A$4:$A$33,0),MATCH(G499,'ei names mapping'!$B$3:$BL$3,0))</f>
        <v>Carbon dioxide, fossil</v>
      </c>
      <c r="B499" s="7">
        <f>INDEX('vehicles specifications'!$B$3:$CW$166,MATCH(B471,'vehicles specifications'!$A$3:$A$166,0),MATCH(G499,'vehicles specifications'!$B$2:$CW$2,0))*INDEX('ei names mapping'!$B$137:$BL$300,MATCH(B471,'ei names mapping'!$A$137:$A$300,0),MATCH(G499,'ei names mapping'!$B$136:$BL$136,0))</f>
        <v>9.4026269187943587E-2</v>
      </c>
      <c r="D499" t="str">
        <f>INDEX('ei names mapping'!$B$104:$BL$133,MATCH(B468,'ei names mapping'!$A$4:$A$33,0),MATCH(G499,'ei names mapping'!$B$3:$BL$3,0))</f>
        <v>kilogram</v>
      </c>
      <c r="E499" t="str">
        <f>INDEX('ei names mapping'!$B$305:$BL$335,MATCH(B468,'ei names mapping'!$A$4:$A$33,0),MATCH(G499,'ei names mapping'!$B$3:$BL$3,0))</f>
        <v>air::urban air close to ground</v>
      </c>
      <c r="F499" t="s">
        <v>167</v>
      </c>
      <c r="G499" t="s">
        <v>66</v>
      </c>
    </row>
    <row r="500" spans="1:8" x14ac:dyDescent="0.2">
      <c r="A500" t="str">
        <f>INDEX('ei names mapping'!$B$4:$BL$33,MATCH(B468,'ei names mapping'!$A$4:$A$33,0),MATCH(G500,'ei names mapping'!$B$3:$BL$3,0))</f>
        <v>Carbon dioxide, from soil or biomass stock</v>
      </c>
      <c r="B500" s="11">
        <f>INDEX('vehicles specifications'!$B$3:$CW$166,MATCH(B471,'vehicles specifications'!$A$3:$A$166,0),MATCH(G500,'vehicles specifications'!$B$2:$CW$2,0))*INDEX('ei names mapping'!$B$137:$BL$300,MATCH(B471,'ei names mapping'!$A$137:$A$300,0),MATCH(G500,'ei names mapping'!$B$136:$BL$136,0))</f>
        <v>0</v>
      </c>
      <c r="D500" t="str">
        <f>INDEX('ei names mapping'!$B$104:$BL$133,MATCH(B468,'ei names mapping'!$A$4:$A$33,0),MATCH(G500,'ei names mapping'!$B$3:$BL$3,0))</f>
        <v>kilogram</v>
      </c>
      <c r="E500" t="str">
        <f>INDEX('ei names mapping'!$B$305:$BL$335,MATCH(B468,'ei names mapping'!$A$4:$A$33,0),MATCH(G500,'ei names mapping'!$B$3:$BL$3,0))</f>
        <v>air::urban air close to ground</v>
      </c>
      <c r="F500" t="s">
        <v>167</v>
      </c>
      <c r="G500" t="s">
        <v>843</v>
      </c>
    </row>
    <row r="501" spans="1:8" x14ac:dyDescent="0.2">
      <c r="A501" t="str">
        <f>INDEX('ei names mapping'!$B$4:$BL$33,MATCH(B468,'ei names mapping'!$A$4:$A$33,0),MATCH(G501,'ei names mapping'!$B$3:$BL$3,0))</f>
        <v>Sulfur dioxide</v>
      </c>
      <c r="B501" s="7">
        <f>INDEX('vehicles specifications'!$B$3:$CW$166,MATCH(B471,'vehicles specifications'!$A$3:$A$166,0),MATCH(G501,'vehicles specifications'!$B$2:$CW$2,0))*INDEX('ei names mapping'!$B$137:$BL$300,MATCH(B471,'ei names mapping'!$A$137:$A$300,0),MATCH(G501,'ei names mapping'!$B$136:$BL$136,0))</f>
        <v>4.7911474745448963E-7</v>
      </c>
      <c r="D501" t="str">
        <f>INDEX('ei names mapping'!$B$104:$BL$133,MATCH(B468,'ei names mapping'!$A$4:$A$33,0),MATCH(G501,'ei names mapping'!$B$3:$BL$3,0))</f>
        <v>kilogram</v>
      </c>
      <c r="E501" t="str">
        <f>INDEX('ei names mapping'!$B$305:$BL$335,MATCH(B468,'ei names mapping'!$A$4:$A$33,0),MATCH(G501,'ei names mapping'!$B$3:$BL$3,0))</f>
        <v>air::urban air close to ground</v>
      </c>
      <c r="F501" t="s">
        <v>167</v>
      </c>
      <c r="G501" t="s">
        <v>67</v>
      </c>
    </row>
    <row r="502" spans="1:8" x14ac:dyDescent="0.2">
      <c r="A502" t="str">
        <f>INDEX('ei names mapping'!$B$4:$BL$33,MATCH(B468,'ei names mapping'!$A$4:$A$33,0),MATCH(G502,'ei names mapping'!$B$3:$BL$3,0))</f>
        <v>Benzene</v>
      </c>
      <c r="B502" s="7">
        <f>INDEX('vehicles specifications'!$B$3:$CW$166,MATCH(B471,'vehicles specifications'!$A$3:$A$166,0),MATCH(G502,'vehicles specifications'!$B$2:$CW$2,0))*INDEX('ei names mapping'!$B$137:$BL$300,MATCH(B471,'ei names mapping'!$A$137:$A$300,0),MATCH(G502,'ei names mapping'!$B$136:$BL$136,0))</f>
        <v>7.7561870251729333E-5</v>
      </c>
      <c r="D502" t="str">
        <f>INDEX('ei names mapping'!$B$104:$BL$133,MATCH(B468,'ei names mapping'!$A$4:$A$33,0),MATCH(G502,'ei names mapping'!$B$3:$BL$3,0))</f>
        <v>kilogram</v>
      </c>
      <c r="E502" t="str">
        <f>INDEX('ei names mapping'!$B$305:$BL$335,MATCH(B468,'ei names mapping'!$A$4:$A$33,0),MATCH(G502,'ei names mapping'!$B$3:$BL$3,0))</f>
        <v>air::urban air close to ground</v>
      </c>
      <c r="F502" t="s">
        <v>167</v>
      </c>
      <c r="G502" t="s">
        <v>55</v>
      </c>
    </row>
    <row r="503" spans="1:8" x14ac:dyDescent="0.2">
      <c r="A503" t="str">
        <f>INDEX('ei names mapping'!$B$4:$BL$33,MATCH(B468,'ei names mapping'!$A$4:$A$33,0),MATCH(G503,'ei names mapping'!$B$3:$BL$3,0))</f>
        <v>Methane, fossil</v>
      </c>
      <c r="B503" s="7">
        <f>INDEX('vehicles specifications'!$B$3:$CW$166,MATCH(B471,'vehicles specifications'!$A$3:$A$166,0),MATCH(G503,'vehicles specifications'!$B$2:$CW$2,0))*INDEX('ei names mapping'!$B$137:$BL$300,MATCH(B471,'ei names mapping'!$A$137:$A$300,0),MATCH(G503,'ei names mapping'!$B$136:$BL$136,0))</f>
        <v>3.516885238146577E-5</v>
      </c>
      <c r="D503" t="str">
        <f>INDEX('ei names mapping'!$B$104:$BL$133,MATCH(B468,'ei names mapping'!$A$4:$A$33,0),MATCH(G503,'ei names mapping'!$B$3:$BL$3,0))</f>
        <v>kilogram</v>
      </c>
      <c r="E503" t="str">
        <f>INDEX('ei names mapping'!$B$305:$BL$335,MATCH(B468,'ei names mapping'!$A$4:$A$33,0),MATCH(G503,'ei names mapping'!$B$3:$BL$3,0))</f>
        <v>air::urban air close to ground</v>
      </c>
      <c r="F503" t="s">
        <v>167</v>
      </c>
      <c r="G503" t="s">
        <v>56</v>
      </c>
    </row>
    <row r="504" spans="1:8" x14ac:dyDescent="0.2">
      <c r="A504" t="str">
        <f>INDEX('ei names mapping'!$B$4:$BL$33,MATCH(B468,'ei names mapping'!$A$4:$A$33,0),MATCH(G504,'ei names mapping'!$B$3:$BL$3,0))</f>
        <v>Carbon monoxide, fossil</v>
      </c>
      <c r="B504" s="7">
        <f>INDEX('vehicles specifications'!$B$3:$CW$166,MATCH(B471,'vehicles specifications'!$A$3:$A$166,0),MATCH(G504,'vehicles specifications'!$B$2:$CW$2,0))*INDEX('ei names mapping'!$B$137:$BL$300,MATCH(B471,'ei names mapping'!$A$137:$A$300,0),MATCH(G504,'ei names mapping'!$B$136:$BL$136,0))</f>
        <v>3.7187487115663853E-3</v>
      </c>
      <c r="D504" t="str">
        <f>INDEX('ei names mapping'!$B$104:$BL$133,MATCH(B468,'ei names mapping'!$A$4:$A$33,0),MATCH(G504,'ei names mapping'!$B$3:$BL$3,0))</f>
        <v>kilogram</v>
      </c>
      <c r="E504" t="str">
        <f>INDEX('ei names mapping'!$B$305:$BL$335,MATCH(B468,'ei names mapping'!$A$4:$A$33,0),MATCH(G504,'ei names mapping'!$B$3:$BL$3,0))</f>
        <v>air::urban air close to ground</v>
      </c>
      <c r="F504" t="s">
        <v>167</v>
      </c>
      <c r="G504" t="s">
        <v>57</v>
      </c>
    </row>
    <row r="505" spans="1:8" x14ac:dyDescent="0.2">
      <c r="A505" t="str">
        <f>INDEX('ei names mapping'!$B$4:$BL$33,MATCH(B468,'ei names mapping'!$A$4:$A$33,0),MATCH(G505,'ei names mapping'!$B$3:$BL$3,0))</f>
        <v>Dinitrogen monoxide</v>
      </c>
      <c r="B505" s="7">
        <f>INDEX('vehicles specifications'!$B$3:$CW$166,MATCH(B471,'vehicles specifications'!$A$3:$A$166,0),MATCH(G505,'vehicles specifications'!$B$2:$CW$2,0))*INDEX('ei names mapping'!$B$137:$BL$300,MATCH(B471,'ei names mapping'!$A$137:$A$300,0),MATCH(G505,'ei names mapping'!$B$136:$BL$136,0))</f>
        <v>1.7843151893184062E-6</v>
      </c>
      <c r="D505" t="str">
        <f>INDEX('ei names mapping'!$B$104:$BL$133,MATCH(B468,'ei names mapping'!$A$4:$A$33,0),MATCH(G505,'ei names mapping'!$B$3:$BL$3,0))</f>
        <v>kilogram</v>
      </c>
      <c r="E505" t="str">
        <f>INDEX('ei names mapping'!$B$305:$BL$335,MATCH(B468,'ei names mapping'!$A$4:$A$33,0),MATCH(G505,'ei names mapping'!$B$3:$BL$3,0))</f>
        <v>air::urban air close to ground</v>
      </c>
      <c r="F505" t="s">
        <v>167</v>
      </c>
      <c r="G505" t="s">
        <v>58</v>
      </c>
    </row>
    <row r="506" spans="1:8" x14ac:dyDescent="0.2">
      <c r="A506" t="str">
        <f>INDEX('ei names mapping'!$B$4:$BL$33,MATCH(B468,'ei names mapping'!$A$4:$A$33,0),MATCH(G506,'ei names mapping'!$B$3:$BL$3,0))</f>
        <v>Ammonia</v>
      </c>
      <c r="B506" s="7">
        <f>INDEX('vehicles specifications'!$B$3:$CW$166,MATCH(B471,'vehicles specifications'!$A$3:$A$166,0),MATCH(G506,'vehicles specifications'!$B$2:$CW$2,0))*INDEX('ei names mapping'!$B$137:$BL$300,MATCH(B471,'ei names mapping'!$A$137:$A$300,0),MATCH(G506,'ei names mapping'!$B$136:$BL$136,0))</f>
        <v>1.7843151893184062E-6</v>
      </c>
      <c r="D506" t="str">
        <f>INDEX('ei names mapping'!$B$104:$BL$133,MATCH(B468,'ei names mapping'!$A$4:$A$33,0),MATCH(G506,'ei names mapping'!$B$3:$BL$3,0))</f>
        <v>kilogram</v>
      </c>
      <c r="E506" t="str">
        <f>INDEX('ei names mapping'!$B$305:$BL$335,MATCH(B468,'ei names mapping'!$A$4:$A$33,0),MATCH(G506,'ei names mapping'!$B$3:$BL$3,0))</f>
        <v>air::urban air close to ground</v>
      </c>
      <c r="F506" t="s">
        <v>167</v>
      </c>
      <c r="G506" t="s">
        <v>59</v>
      </c>
    </row>
    <row r="507" spans="1:8" x14ac:dyDescent="0.2">
      <c r="A507" t="str">
        <f>INDEX('ei names mapping'!$B$4:$BL$33,MATCH(B468,'ei names mapping'!$A$4:$A$33,0),MATCH(G507,'ei names mapping'!$B$3:$BL$3,0))</f>
        <v>Nitrogen oxides</v>
      </c>
      <c r="B507" s="7">
        <f>INDEX('vehicles specifications'!$B$3:$CW$166,MATCH(B471,'vehicles specifications'!$A$3:$A$166,0),MATCH(G507,'vehicles specifications'!$B$2:$CW$2,0))*INDEX('ei names mapping'!$B$137:$BL$300,MATCH(B471,'ei names mapping'!$A$137:$A$300,0),MATCH(G507,'ei names mapping'!$B$136:$BL$136,0))</f>
        <v>1.3380706087665241E-4</v>
      </c>
      <c r="D507" t="str">
        <f>INDEX('ei names mapping'!$B$104:$BL$133,MATCH(B468,'ei names mapping'!$A$4:$A$33,0),MATCH(G507,'ei names mapping'!$B$3:$BL$3,0))</f>
        <v>kilogram</v>
      </c>
      <c r="E507" t="str">
        <f>INDEX('ei names mapping'!$B$305:$BL$335,MATCH(B468,'ei names mapping'!$A$4:$A$33,0),MATCH(G507,'ei names mapping'!$B$3:$BL$3,0))</f>
        <v>air::urban air close to ground</v>
      </c>
      <c r="F507" t="s">
        <v>167</v>
      </c>
      <c r="G507" t="s">
        <v>60</v>
      </c>
    </row>
    <row r="508" spans="1:8" x14ac:dyDescent="0.2">
      <c r="A508" t="str">
        <f>INDEX('ei names mapping'!$B$4:$BL$33,MATCH(B468,'ei names mapping'!$A$4:$A$33,0),MATCH(G508,'ei names mapping'!$B$3:$BL$3,0))</f>
        <v>Particulates, &lt; 2.5 um</v>
      </c>
      <c r="B508" s="7">
        <f>INDEX('vehicles specifications'!$B$3:$CW$166,MATCH(B$471,'vehicles specifications'!$A$3:$A$166,0),MATCH(G508,'vehicles specifications'!$B$2:$CW$2,0))*INDEX('ei names mapping'!$B$137:$BL$300,MATCH(B$471,'ei names mapping'!$A$137:$A$300,0),MATCH(G508,'ei names mapping'!$B$136:$BL$136,0))</f>
        <v>1.0247322132255605E-5</v>
      </c>
      <c r="D508" t="str">
        <f>INDEX('ei names mapping'!$B$104:$BL$133,MATCH(B468,'ei names mapping'!$A$4:$A$33,0),MATCH(G508,'ei names mapping'!$B$3:$BL$3,0))</f>
        <v>kilogram</v>
      </c>
      <c r="E508" t="str">
        <f>INDEX('ei names mapping'!$B$305:$BL$335,MATCH(B468,'ei names mapping'!$A$4:$A$33,0),MATCH(G508,'ei names mapping'!$B$3:$BL$3,0))</f>
        <v>air::urban air close to ground</v>
      </c>
      <c r="F508" t="s">
        <v>167</v>
      </c>
      <c r="G508" t="s">
        <v>62</v>
      </c>
    </row>
    <row r="509" spans="1:8" x14ac:dyDescent="0.2">
      <c r="A509" t="str">
        <f>INDEX('ei names mapping'!$B$4:$BL$33,MATCH(B$234,'ei names mapping'!$A$4:$A$33,0),MATCH(G509,'ei names mapping'!$B$3:$BL$3,0))</f>
        <v>NMVOC, non-methane volatile organic compounds, unspecified origin</v>
      </c>
      <c r="B509" s="7">
        <f>INDEX('vehicles specifications'!$B$3:$CW$166,MATCH(B$471,'vehicles specifications'!$A$3:$A$166,0),MATCH(G509,'vehicles specifications'!$B$2:$CW$2,0))*INDEX('ei names mapping'!$B$137:$BL$300,MATCH(B$471,'ei names mapping'!$A$137:$A$300,0),MATCH(G509,'ei names mapping'!$B$136:$BL$136,0))</f>
        <v>6.2547219432945386E-4</v>
      </c>
      <c r="D509" t="str">
        <f>INDEX('ei names mapping'!$B$104:$BL$133,MATCH(B$234,'ei names mapping'!$A$4:$A$33,0),MATCH(G509,'ei names mapping'!$B$3:$BL$3,0))</f>
        <v>kilogram</v>
      </c>
      <c r="E509" t="str">
        <f>INDEX('ei names mapping'!$B$305:$BL$335,MATCH(B$234,'ei names mapping'!$A$4:$A$33,0),MATCH(G509,'ei names mapping'!$B$3:$BL$3,0))</f>
        <v>air::urban air close to ground</v>
      </c>
      <c r="F509" t="s">
        <v>167</v>
      </c>
      <c r="G509" t="s">
        <v>593</v>
      </c>
    </row>
    <row r="510" spans="1:8" x14ac:dyDescent="0.2">
      <c r="A510" t="str">
        <f>INDEX('ei names mapping'!$B$4:$BL$33,MATCH(B$234,'ei names mapping'!$A$4:$A$33,0),MATCH(G510,'ei names mapping'!$B$3:$BL$3,0))</f>
        <v>Ethane</v>
      </c>
      <c r="B510" s="7">
        <f>INDEX('vehicles specifications'!$B$3:$CW$166,MATCH(B$471,'vehicles specifications'!$A$3:$A$166,0),MATCH(G510,'vehicles specifications'!$B$2:$CW$2,0))*INDEX('ei names mapping'!$B$137:$BL$300,MATCH(B$471,'ei names mapping'!$A$137:$A$300,0),MATCH(G510,'ei names mapping'!$B$136:$BL$136,0))</f>
        <v>4.4103808574512766E-5</v>
      </c>
      <c r="D510" t="str">
        <f>INDEX('ei names mapping'!$B$104:$BL$133,MATCH(B$234,'ei names mapping'!$A$4:$A$33,0),MATCH(G510,'ei names mapping'!$B$3:$BL$3,0))</f>
        <v>kilogram</v>
      </c>
      <c r="E510" t="str">
        <f>INDEX('ei names mapping'!$B$305:$BL$335,MATCH(B$234,'ei names mapping'!$A$4:$A$33,0),MATCH(G510,'ei names mapping'!$B$3:$BL$3,0))</f>
        <v>air::urban air close to ground</v>
      </c>
      <c r="F510" t="s">
        <v>167</v>
      </c>
      <c r="G510" t="s">
        <v>541</v>
      </c>
    </row>
    <row r="511" spans="1:8" x14ac:dyDescent="0.2">
      <c r="A511" t="str">
        <f>INDEX('ei names mapping'!$B$4:$BL$33,MATCH(B$234,'ei names mapping'!$A$4:$A$33,0),MATCH(G511,'ei names mapping'!$B$3:$BL$3,0))</f>
        <v>Propane</v>
      </c>
      <c r="B511" s="7">
        <f>INDEX('vehicles specifications'!$B$3:$CW$166,MATCH(B$471,'vehicles specifications'!$A$3:$A$166,0),MATCH(G511,'vehicles specifications'!$B$2:$CW$2,0))*INDEX('ei names mapping'!$B$137:$BL$300,MATCH(B$471,'ei names mapping'!$A$137:$A$300,0),MATCH(G511,'ei names mapping'!$B$136:$BL$136,0))</f>
        <v>8.9866694587565205E-6</v>
      </c>
      <c r="D511" t="str">
        <f>INDEX('ei names mapping'!$B$104:$BL$133,MATCH(B$234,'ei names mapping'!$A$4:$A$33,0),MATCH(G511,'ei names mapping'!$B$3:$BL$3,0))</f>
        <v>kilogram</v>
      </c>
      <c r="E511" t="str">
        <f>INDEX('ei names mapping'!$B$305:$BL$335,MATCH(B$234,'ei names mapping'!$A$4:$A$33,0),MATCH(G511,'ei names mapping'!$B$3:$BL$3,0))</f>
        <v>air::urban air close to ground</v>
      </c>
      <c r="F511" t="s">
        <v>167</v>
      </c>
      <c r="G511" t="s">
        <v>542</v>
      </c>
    </row>
    <row r="512" spans="1:8" x14ac:dyDescent="0.2">
      <c r="A512" t="str">
        <f>INDEX('ei names mapping'!$B$4:$BL$33,MATCH(B$234,'ei names mapping'!$A$4:$A$33,0),MATCH(G512,'ei names mapping'!$B$3:$BL$3,0))</f>
        <v>Butane</v>
      </c>
      <c r="B512" s="7">
        <f>INDEX('vehicles specifications'!$B$3:$CW$166,MATCH(B$471,'vehicles specifications'!$A$3:$A$166,0),MATCH(G512,'vehicles specifications'!$B$2:$CW$2,0))*INDEX('ei names mapping'!$B$137:$BL$300,MATCH(B$471,'ei names mapping'!$A$137:$A$300,0),MATCH(G512,'ei names mapping'!$B$136:$BL$136,0))</f>
        <v>7.2446381482898714E-5</v>
      </c>
      <c r="D512" t="str">
        <f>INDEX('ei names mapping'!$B$104:$BL$133,MATCH(B$234,'ei names mapping'!$A$4:$A$33,0),MATCH(G512,'ei names mapping'!$B$3:$BL$3,0))</f>
        <v>kilogram</v>
      </c>
      <c r="E512" t="str">
        <f>INDEX('ei names mapping'!$B$305:$BL$335,MATCH(B$234,'ei names mapping'!$A$4:$A$33,0),MATCH(G512,'ei names mapping'!$B$3:$BL$3,0))</f>
        <v>air::urban air close to ground</v>
      </c>
      <c r="F512" t="s">
        <v>167</v>
      </c>
      <c r="G512" t="s">
        <v>543</v>
      </c>
    </row>
    <row r="513" spans="1:7" x14ac:dyDescent="0.2">
      <c r="A513" t="str">
        <f>INDEX('ei names mapping'!$B$4:$BL$33,MATCH(B$234,'ei names mapping'!$A$4:$A$33,0),MATCH(G513,'ei names mapping'!$B$3:$BL$3,0))</f>
        <v>Pentane</v>
      </c>
      <c r="B513" s="7">
        <f>INDEX('vehicles specifications'!$B$3:$CW$166,MATCH(B$471,'vehicles specifications'!$A$3:$A$166,0),MATCH(G513,'vehicles specifications'!$B$2:$CW$2,0))*INDEX('ei names mapping'!$B$137:$BL$300,MATCH(B$471,'ei names mapping'!$A$137:$A$300,0),MATCH(G513,'ei names mapping'!$B$136:$BL$136,0))</f>
        <v>2.9725137440502336E-5</v>
      </c>
      <c r="D513" t="str">
        <f>INDEX('ei names mapping'!$B$104:$BL$133,MATCH(B$234,'ei names mapping'!$A$4:$A$33,0),MATCH(G513,'ei names mapping'!$B$3:$BL$3,0))</f>
        <v>kilogram</v>
      </c>
      <c r="E513" t="str">
        <f>INDEX('ei names mapping'!$B$305:$BL$335,MATCH(B$234,'ei names mapping'!$A$4:$A$33,0),MATCH(G513,'ei names mapping'!$B$3:$BL$3,0))</f>
        <v>air::urban air close to ground</v>
      </c>
      <c r="F513" t="s">
        <v>167</v>
      </c>
      <c r="G513" t="s">
        <v>544</v>
      </c>
    </row>
    <row r="514" spans="1:7" x14ac:dyDescent="0.2">
      <c r="A514" t="str">
        <f>INDEX('ei names mapping'!$B$4:$BL$33,MATCH(B$234,'ei names mapping'!$A$4:$A$33,0),MATCH(G514,'ei names mapping'!$B$3:$BL$3,0))</f>
        <v>Hexane</v>
      </c>
      <c r="B514" s="7">
        <f>INDEX('vehicles specifications'!$B$3:$CW$166,MATCH(B$471,'vehicles specifications'!$A$3:$A$166,0),MATCH(G514,'vehicles specifications'!$B$2:$CW$2,0))*INDEX('ei names mapping'!$B$137:$BL$300,MATCH(B$471,'ei names mapping'!$A$137:$A$300,0),MATCH(G514,'ei names mapping'!$B$136:$BL$136,0))</f>
        <v>2.2259288967073843E-5</v>
      </c>
      <c r="D514" t="str">
        <f>INDEX('ei names mapping'!$B$104:$BL$133,MATCH(B$234,'ei names mapping'!$A$4:$A$33,0),MATCH(G514,'ei names mapping'!$B$3:$BL$3,0))</f>
        <v>kilogram</v>
      </c>
      <c r="E514" t="str">
        <f>INDEX('ei names mapping'!$B$305:$BL$335,MATCH(B$234,'ei names mapping'!$A$4:$A$33,0),MATCH(G514,'ei names mapping'!$B$3:$BL$3,0))</f>
        <v>air::urban air close to ground</v>
      </c>
      <c r="F514" t="s">
        <v>167</v>
      </c>
      <c r="G514" t="s">
        <v>545</v>
      </c>
    </row>
    <row r="515" spans="1:7" x14ac:dyDescent="0.2">
      <c r="A515" t="str">
        <f>INDEX('ei names mapping'!$B$4:$BL$33,MATCH(B$234,'ei names mapping'!$A$4:$A$33,0),MATCH(G515,'ei names mapping'!$B$3:$BL$3,0))</f>
        <v>Cyclohexane</v>
      </c>
      <c r="B515" s="7">
        <f>INDEX('vehicles specifications'!$B$3:$CW$166,MATCH(B$471,'vehicles specifications'!$A$3:$A$166,0),MATCH(G515,'vehicles specifications'!$B$2:$CW$2,0))*INDEX('ei names mapping'!$B$137:$BL$300,MATCH(B$471,'ei names mapping'!$A$137:$A$300,0),MATCH(G515,'ei names mapping'!$B$136:$BL$136,0))</f>
        <v>1.5761235666126822E-5</v>
      </c>
      <c r="D515" t="str">
        <f>INDEX('ei names mapping'!$B$104:$BL$133,MATCH(B$234,'ei names mapping'!$A$4:$A$33,0),MATCH(G515,'ei names mapping'!$B$3:$BL$3,0))</f>
        <v>kilogram</v>
      </c>
      <c r="E515" t="str">
        <f>INDEX('ei names mapping'!$B$305:$BL$335,MATCH(B$234,'ei names mapping'!$A$4:$A$33,0),MATCH(G515,'ei names mapping'!$B$3:$BL$3,0))</f>
        <v>air::urban air close to ground</v>
      </c>
      <c r="F515" t="s">
        <v>167</v>
      </c>
      <c r="G515" t="s">
        <v>546</v>
      </c>
    </row>
    <row r="516" spans="1:7" x14ac:dyDescent="0.2">
      <c r="A516" t="str">
        <f>INDEX('ei names mapping'!$B$4:$BL$33,MATCH(B$234,'ei names mapping'!$A$4:$A$33,0),MATCH(G516,'ei names mapping'!$B$3:$BL$3,0))</f>
        <v>Heptane</v>
      </c>
      <c r="B516" s="7">
        <f>INDEX('vehicles specifications'!$B$3:$CW$166,MATCH(B$471,'vehicles specifications'!$A$3:$A$166,0),MATCH(G516,'vehicles specifications'!$B$2:$CW$2,0))*INDEX('ei names mapping'!$B$137:$BL$300,MATCH(B$471,'ei names mapping'!$A$137:$A$300,0),MATCH(G516,'ei names mapping'!$B$136:$BL$136,0))</f>
        <v>1.0230977537661269E-5</v>
      </c>
      <c r="D516" t="str">
        <f>INDEX('ei names mapping'!$B$104:$BL$133,MATCH(B$234,'ei names mapping'!$A$4:$A$33,0),MATCH(G516,'ei names mapping'!$B$3:$BL$3,0))</f>
        <v>kilogram</v>
      </c>
      <c r="E516" t="str">
        <f>INDEX('ei names mapping'!$B$305:$BL$335,MATCH(B$234,'ei names mapping'!$A$4:$A$33,0),MATCH(G516,'ei names mapping'!$B$3:$BL$3,0))</f>
        <v>air::urban air close to ground</v>
      </c>
      <c r="F516" t="s">
        <v>167</v>
      </c>
      <c r="G516" t="s">
        <v>547</v>
      </c>
    </row>
    <row r="517" spans="1:7" x14ac:dyDescent="0.2">
      <c r="A517" t="str">
        <f>INDEX('ei names mapping'!$B$4:$BL$33,MATCH(B$234,'ei names mapping'!$A$4:$A$33,0),MATCH(G517,'ei names mapping'!$B$3:$BL$3,0))</f>
        <v>Ethene</v>
      </c>
      <c r="B517" s="7">
        <f>INDEX('vehicles specifications'!$B$3:$CW$166,MATCH(B$471,'vehicles specifications'!$A$3:$A$166,0),MATCH(G517,'vehicles specifications'!$B$2:$CW$2,0))*INDEX('ei names mapping'!$B$137:$BL$300,MATCH(B$471,'ei names mapping'!$A$137:$A$300,0),MATCH(G517,'ei names mapping'!$B$136:$BL$136,0))</f>
        <v>1.009272108444963E-4</v>
      </c>
      <c r="D517" t="str">
        <f>INDEX('ei names mapping'!$B$104:$BL$133,MATCH(B$234,'ei names mapping'!$A$4:$A$33,0),MATCH(G517,'ei names mapping'!$B$3:$BL$3,0))</f>
        <v>kilogram</v>
      </c>
      <c r="E517" t="str">
        <f>INDEX('ei names mapping'!$B$305:$BL$335,MATCH(B$234,'ei names mapping'!$A$4:$A$33,0),MATCH(G517,'ei names mapping'!$B$3:$BL$3,0))</f>
        <v>air::urban air close to ground</v>
      </c>
      <c r="F517" t="s">
        <v>167</v>
      </c>
      <c r="G517" t="s">
        <v>548</v>
      </c>
    </row>
    <row r="518" spans="1:7" x14ac:dyDescent="0.2">
      <c r="A518" t="str">
        <f>INDEX('ei names mapping'!$B$4:$BL$33,MATCH(B$234,'ei names mapping'!$A$4:$A$33,0),MATCH(G518,'ei names mapping'!$B$3:$BL$3,0))</f>
        <v>Propene</v>
      </c>
      <c r="B518" s="7">
        <f>INDEX('vehicles specifications'!$B$3:$CW$166,MATCH(B$471,'vehicles specifications'!$A$3:$A$166,0),MATCH(G518,'vehicles specifications'!$B$2:$CW$2,0))*INDEX('ei names mapping'!$B$137:$BL$300,MATCH(B$471,'ei names mapping'!$A$137:$A$300,0),MATCH(G518,'ei names mapping'!$B$136:$BL$136,0))</f>
        <v>5.2813965126846007E-5</v>
      </c>
      <c r="D518" t="str">
        <f>INDEX('ei names mapping'!$B$104:$BL$133,MATCH(B$234,'ei names mapping'!$A$4:$A$33,0),MATCH(G518,'ei names mapping'!$B$3:$BL$3,0))</f>
        <v>kilogram</v>
      </c>
      <c r="E518" t="str">
        <f>INDEX('ei names mapping'!$B$305:$BL$335,MATCH(B$234,'ei names mapping'!$A$4:$A$33,0),MATCH(G518,'ei names mapping'!$B$3:$BL$3,0))</f>
        <v>air::urban air close to ground</v>
      </c>
      <c r="F518" t="s">
        <v>167</v>
      </c>
      <c r="G518" t="s">
        <v>549</v>
      </c>
    </row>
    <row r="519" spans="1:7" x14ac:dyDescent="0.2">
      <c r="A519" t="str">
        <f>INDEX('ei names mapping'!$B$4:$BL$33,MATCH(B$234,'ei names mapping'!$A$4:$A$33,0),MATCH(G519,'ei names mapping'!$B$3:$BL$3,0))</f>
        <v>1-Pentene</v>
      </c>
      <c r="B519" s="7">
        <f>INDEX('vehicles specifications'!$B$3:$CW$166,MATCH(B$471,'vehicles specifications'!$A$3:$A$166,0),MATCH(G519,'vehicles specifications'!$B$2:$CW$2,0))*INDEX('ei names mapping'!$B$137:$BL$300,MATCH(B$471,'ei names mapping'!$A$137:$A$300,0),MATCH(G519,'ei names mapping'!$B$136:$BL$136,0))</f>
        <v>1.5208209853280265E-6</v>
      </c>
      <c r="D519" t="str">
        <f>INDEX('ei names mapping'!$B$104:$BL$133,MATCH(B$234,'ei names mapping'!$A$4:$A$33,0),MATCH(G519,'ei names mapping'!$B$3:$BL$3,0))</f>
        <v>kilogram</v>
      </c>
      <c r="E519" t="str">
        <f>INDEX('ei names mapping'!$B$305:$BL$335,MATCH(B$234,'ei names mapping'!$A$4:$A$33,0),MATCH(G519,'ei names mapping'!$B$3:$BL$3,0))</f>
        <v>air::urban air close to ground</v>
      </c>
      <c r="F519" t="s">
        <v>167</v>
      </c>
      <c r="G519" t="s">
        <v>550</v>
      </c>
    </row>
    <row r="520" spans="1:7" x14ac:dyDescent="0.2">
      <c r="A520" t="str">
        <f>INDEX('ei names mapping'!$B$4:$BL$33,MATCH(B$234,'ei names mapping'!$A$4:$A$33,0),MATCH(G520,'ei names mapping'!$B$3:$BL$3,0))</f>
        <v>Toluene</v>
      </c>
      <c r="B520" s="7">
        <f>INDEX('vehicles specifications'!$B$3:$CW$166,MATCH(B$471,'vehicles specifications'!$A$3:$A$166,0),MATCH(G520,'vehicles specifications'!$B$2:$CW$2,0))*INDEX('ei names mapping'!$B$137:$BL$300,MATCH(B$471,'ei names mapping'!$A$137:$A$300,0),MATCH(G520,'ei names mapping'!$B$136:$BL$136,0))</f>
        <v>1.5180558562637937E-4</v>
      </c>
      <c r="D520" t="str">
        <f>INDEX('ei names mapping'!$B$104:$BL$133,MATCH(B$234,'ei names mapping'!$A$4:$A$33,0),MATCH(G520,'ei names mapping'!$B$3:$BL$3,0))</f>
        <v>kilogram</v>
      </c>
      <c r="E520" t="str">
        <f>INDEX('ei names mapping'!$B$305:$BL$335,MATCH(B$234,'ei names mapping'!$A$4:$A$33,0),MATCH(G520,'ei names mapping'!$B$3:$BL$3,0))</f>
        <v>air::urban air close to ground</v>
      </c>
      <c r="F520" t="s">
        <v>167</v>
      </c>
      <c r="G520" t="s">
        <v>551</v>
      </c>
    </row>
    <row r="521" spans="1:7" x14ac:dyDescent="0.2">
      <c r="A521" t="str">
        <f>INDEX('ei names mapping'!$B$4:$BL$33,MATCH(B$234,'ei names mapping'!$A$4:$A$33,0),MATCH(G521,'ei names mapping'!$B$3:$BL$3,0))</f>
        <v>m-Xylene</v>
      </c>
      <c r="B521" s="7">
        <f>INDEX('vehicles specifications'!$B$3:$CW$166,MATCH(B$471,'vehicles specifications'!$A$3:$A$166,0),MATCH(G521,'vehicles specifications'!$B$2:$CW$2,0))*INDEX('ei names mapping'!$B$137:$BL$300,MATCH(B$471,'ei names mapping'!$A$137:$A$300,0),MATCH(G521,'ei names mapping'!$B$136:$BL$136,0))</f>
        <v>7.5073254093919859E-5</v>
      </c>
      <c r="D521" t="str">
        <f>INDEX('ei names mapping'!$B$104:$BL$133,MATCH(B$234,'ei names mapping'!$A$4:$A$33,0),MATCH(G521,'ei names mapping'!$B$3:$BL$3,0))</f>
        <v>kilogram</v>
      </c>
      <c r="E521" t="str">
        <f>INDEX('ei names mapping'!$B$305:$BL$335,MATCH(B$234,'ei names mapping'!$A$4:$A$33,0),MATCH(G521,'ei names mapping'!$B$3:$BL$3,0))</f>
        <v>air::urban air close to ground</v>
      </c>
      <c r="F521" t="s">
        <v>167</v>
      </c>
      <c r="G521" t="s">
        <v>552</v>
      </c>
    </row>
    <row r="522" spans="1:7" x14ac:dyDescent="0.2">
      <c r="A522" t="str">
        <f>INDEX('ei names mapping'!$B$4:$BL$33,MATCH(B$234,'ei names mapping'!$A$4:$A$33,0),MATCH(G522,'ei names mapping'!$B$3:$BL$3,0))</f>
        <v>o-Xylene</v>
      </c>
      <c r="B522" s="7">
        <f>INDEX('vehicles specifications'!$B$3:$CW$166,MATCH(B$471,'vehicles specifications'!$A$3:$A$166,0),MATCH(G522,'vehicles specifications'!$B$2:$CW$2,0))*INDEX('ei names mapping'!$B$137:$BL$300,MATCH(B$471,'ei names mapping'!$A$137:$A$300,0),MATCH(G522,'ei names mapping'!$B$136:$BL$136,0))</f>
        <v>3.1245958425830361E-5</v>
      </c>
      <c r="D522" t="str">
        <f>INDEX('ei names mapping'!$B$104:$BL$133,MATCH(B$234,'ei names mapping'!$A$4:$A$33,0),MATCH(G522,'ei names mapping'!$B$3:$BL$3,0))</f>
        <v>kilogram</v>
      </c>
      <c r="E522" t="str">
        <f>INDEX('ei names mapping'!$B$305:$BL$335,MATCH(B$234,'ei names mapping'!$A$4:$A$33,0),MATCH(G522,'ei names mapping'!$B$3:$BL$3,0))</f>
        <v>air::urban air close to ground</v>
      </c>
      <c r="F522" t="s">
        <v>167</v>
      </c>
      <c r="G522" t="s">
        <v>553</v>
      </c>
    </row>
    <row r="523" spans="1:7" x14ac:dyDescent="0.2">
      <c r="A523" t="str">
        <f>INDEX('ei names mapping'!$B$4:$BL$33,MATCH(B$234,'ei names mapping'!$A$4:$A$33,0),MATCH(G523,'ei names mapping'!$B$3:$BL$3,0))</f>
        <v>Formaldehyde</v>
      </c>
      <c r="B523" s="7">
        <f>INDEX('vehicles specifications'!$B$3:$CW$166,MATCH(B$471,'vehicles specifications'!$A$3:$A$166,0),MATCH(G523,'vehicles specifications'!$B$2:$CW$2,0))*INDEX('ei names mapping'!$B$137:$BL$300,MATCH(B$471,'ei names mapping'!$A$137:$A$300,0),MATCH(G523,'ei names mapping'!$B$136:$BL$136,0))</f>
        <v>2.3503597045978593E-5</v>
      </c>
      <c r="D523" t="str">
        <f>INDEX('ei names mapping'!$B$104:$BL$133,MATCH(B$234,'ei names mapping'!$A$4:$A$33,0),MATCH(G523,'ei names mapping'!$B$3:$BL$3,0))</f>
        <v>kilogram</v>
      </c>
      <c r="E523" t="str">
        <f>INDEX('ei names mapping'!$B$305:$BL$335,MATCH(B$234,'ei names mapping'!$A$4:$A$33,0),MATCH(G523,'ei names mapping'!$B$3:$BL$3,0))</f>
        <v>air::urban air close to ground</v>
      </c>
      <c r="F523" t="s">
        <v>167</v>
      </c>
      <c r="G523" t="s">
        <v>554</v>
      </c>
    </row>
    <row r="524" spans="1:7" x14ac:dyDescent="0.2">
      <c r="A524" t="str">
        <f>INDEX('ei names mapping'!$B$4:$BL$33,MATCH(B$234,'ei names mapping'!$A$4:$A$33,0),MATCH(G524,'ei names mapping'!$B$3:$BL$3,0))</f>
        <v>Acetaldehyde</v>
      </c>
      <c r="B524" s="7">
        <f>INDEX('vehicles specifications'!$B$3:$CW$166,MATCH(B$471,'vehicles specifications'!$A$3:$A$166,0),MATCH(G524,'vehicles specifications'!$B$2:$CW$2,0))*INDEX('ei names mapping'!$B$137:$BL$300,MATCH(B$471,'ei names mapping'!$A$137:$A$300,0),MATCH(G524,'ei names mapping'!$B$136:$BL$136,0))</f>
        <v>1.0369233990872907E-5</v>
      </c>
      <c r="D524" t="str">
        <f>INDEX('ei names mapping'!$B$104:$BL$133,MATCH(B$234,'ei names mapping'!$A$4:$A$33,0),MATCH(G524,'ei names mapping'!$B$3:$BL$3,0))</f>
        <v>kilogram</v>
      </c>
      <c r="E524" t="str">
        <f>INDEX('ei names mapping'!$B$305:$BL$335,MATCH(B$234,'ei names mapping'!$A$4:$A$33,0),MATCH(G524,'ei names mapping'!$B$3:$BL$3,0))</f>
        <v>air::urban air close to ground</v>
      </c>
      <c r="F524" t="s">
        <v>167</v>
      </c>
      <c r="G524" t="s">
        <v>555</v>
      </c>
    </row>
    <row r="525" spans="1:7" x14ac:dyDescent="0.2">
      <c r="A525" t="str">
        <f>INDEX('ei names mapping'!$B$4:$BL$33,MATCH(B$234,'ei names mapping'!$A$4:$A$33,0),MATCH(G525,'ei names mapping'!$B$3:$BL$3,0))</f>
        <v>Benzaldehyde</v>
      </c>
      <c r="B525" s="7">
        <f>INDEX('vehicles specifications'!$B$3:$CW$166,MATCH(B$471,'vehicles specifications'!$A$3:$A$166,0),MATCH(G525,'vehicles specifications'!$B$2:$CW$2,0))*INDEX('ei names mapping'!$B$137:$BL$300,MATCH(B$471,'ei names mapping'!$A$137:$A$300,0),MATCH(G525,'ei names mapping'!$B$136:$BL$136,0))</f>
        <v>3.0416419706560531E-6</v>
      </c>
      <c r="D525" t="str">
        <f>INDEX('ei names mapping'!$B$104:$BL$133,MATCH(B$234,'ei names mapping'!$A$4:$A$33,0),MATCH(G525,'ei names mapping'!$B$3:$BL$3,0))</f>
        <v>kilogram</v>
      </c>
      <c r="E525" t="str">
        <f>INDEX('ei names mapping'!$B$305:$BL$335,MATCH(B$234,'ei names mapping'!$A$4:$A$33,0),MATCH(G525,'ei names mapping'!$B$3:$BL$3,0))</f>
        <v>air::urban air close to ground</v>
      </c>
      <c r="F525" t="s">
        <v>167</v>
      </c>
      <c r="G525" t="s">
        <v>556</v>
      </c>
    </row>
    <row r="526" spans="1:7" x14ac:dyDescent="0.2">
      <c r="A526" t="str">
        <f>INDEX('ei names mapping'!$B$4:$BL$33,MATCH(B$234,'ei names mapping'!$A$4:$A$33,0),MATCH(G526,'ei names mapping'!$B$3:$BL$3,0))</f>
        <v>Acetone</v>
      </c>
      <c r="B526" s="7">
        <f>INDEX('vehicles specifications'!$B$3:$CW$166,MATCH(B$471,'vehicles specifications'!$A$3:$A$166,0),MATCH(G526,'vehicles specifications'!$B$2:$CW$2,0))*INDEX('ei names mapping'!$B$137:$BL$300,MATCH(B$471,'ei names mapping'!$A$137:$A$300,0),MATCH(G526,'ei names mapping'!$B$136:$BL$136,0))</f>
        <v>8.4336436459099656E-6</v>
      </c>
      <c r="D526" t="str">
        <f>INDEX('ei names mapping'!$B$104:$BL$133,MATCH(B$234,'ei names mapping'!$A$4:$A$33,0),MATCH(G526,'ei names mapping'!$B$3:$BL$3,0))</f>
        <v>kilogram</v>
      </c>
      <c r="E526" t="str">
        <f>INDEX('ei names mapping'!$B$305:$BL$335,MATCH(B$234,'ei names mapping'!$A$4:$A$33,0),MATCH(G526,'ei names mapping'!$B$3:$BL$3,0))</f>
        <v>air::urban air close to ground</v>
      </c>
      <c r="F526" t="s">
        <v>167</v>
      </c>
      <c r="G526" t="s">
        <v>557</v>
      </c>
    </row>
    <row r="527" spans="1:7" x14ac:dyDescent="0.2">
      <c r="A527" t="str">
        <f>INDEX('ei names mapping'!$B$4:$BL$33,MATCH(B$234,'ei names mapping'!$A$4:$A$33,0),MATCH(G527,'ei names mapping'!$B$3:$BL$3,0))</f>
        <v>Methyl ethyl ketone</v>
      </c>
      <c r="B527" s="7">
        <f>INDEX('vehicles specifications'!$B$3:$CW$166,MATCH(B$471,'vehicles specifications'!$A$3:$A$166,0),MATCH(G527,'vehicles specifications'!$B$2:$CW$2,0))*INDEX('ei names mapping'!$B$137:$BL$300,MATCH(B$471,'ei names mapping'!$A$137:$A$300,0),MATCH(G527,'ei names mapping'!$B$136:$BL$136,0))</f>
        <v>0</v>
      </c>
      <c r="D527" t="str">
        <f>INDEX('ei names mapping'!$B$104:$BL$133,MATCH(B$234,'ei names mapping'!$A$4:$A$33,0),MATCH(G527,'ei names mapping'!$B$3:$BL$3,0))</f>
        <v>kilogram</v>
      </c>
      <c r="E527" t="str">
        <f>INDEX('ei names mapping'!$B$305:$BL$335,MATCH(B$234,'ei names mapping'!$A$4:$A$33,0),MATCH(G527,'ei names mapping'!$B$3:$BL$3,0))</f>
        <v>air::urban air close to ground</v>
      </c>
      <c r="F527" t="s">
        <v>167</v>
      </c>
      <c r="G527" t="s">
        <v>560</v>
      </c>
    </row>
    <row r="528" spans="1:7" x14ac:dyDescent="0.2">
      <c r="A528" t="str">
        <f>INDEX('ei names mapping'!$B$4:$BL$33,MATCH(B$234,'ei names mapping'!$A$4:$A$33,0),MATCH(G528,'ei names mapping'!$B$3:$BL$3,0))</f>
        <v>Acrolein</v>
      </c>
      <c r="B528" s="7">
        <f>INDEX('vehicles specifications'!$B$3:$CW$166,MATCH(B$471,'vehicles specifications'!$A$3:$A$166,0),MATCH(G528,'vehicles specifications'!$B$2:$CW$2,0))*INDEX('ei names mapping'!$B$137:$BL$300,MATCH(B$471,'ei names mapping'!$A$137:$A$300,0),MATCH(G528,'ei names mapping'!$B$136:$BL$136,0))</f>
        <v>2.6268726110211365E-6</v>
      </c>
      <c r="D528" t="str">
        <f>INDEX('ei names mapping'!$B$104:$BL$133,MATCH(B$234,'ei names mapping'!$A$4:$A$33,0),MATCH(G528,'ei names mapping'!$B$3:$BL$3,0))</f>
        <v>kilogram</v>
      </c>
      <c r="E528" t="str">
        <f>INDEX('ei names mapping'!$B$305:$BL$335,MATCH(B$234,'ei names mapping'!$A$4:$A$33,0),MATCH(G528,'ei names mapping'!$B$3:$BL$3,0))</f>
        <v>air::urban air close to ground</v>
      </c>
      <c r="F528" t="s">
        <v>167</v>
      </c>
      <c r="G528" t="s">
        <v>558</v>
      </c>
    </row>
    <row r="529" spans="1:8" x14ac:dyDescent="0.2">
      <c r="A529" t="str">
        <f>INDEX('ei names mapping'!$B$4:$BL$33,MATCH(B$234,'ei names mapping'!$A$4:$A$33,0),MATCH(G529,'ei names mapping'!$B$3:$BL$3,0))</f>
        <v>Styrene</v>
      </c>
      <c r="B529" s="7">
        <f>INDEX('vehicles specifications'!$B$3:$CW$166,MATCH(B$471,'vehicles specifications'!$A$3:$A$166,0),MATCH(G529,'vehicles specifications'!$B$2:$CW$2,0))*INDEX('ei names mapping'!$B$137:$BL$300,MATCH(B$471,'ei names mapping'!$A$137:$A$300,0),MATCH(G529,'ei names mapping'!$B$136:$BL$136,0))</f>
        <v>1.3963901774375514E-5</v>
      </c>
      <c r="D529" t="str">
        <f>INDEX('ei names mapping'!$B$104:$BL$133,MATCH(B$234,'ei names mapping'!$A$4:$A$33,0),MATCH(G529,'ei names mapping'!$B$3:$BL$3,0))</f>
        <v>kilogram</v>
      </c>
      <c r="E529" t="str">
        <f>INDEX('ei names mapping'!$B$305:$BL$335,MATCH(B$234,'ei names mapping'!$A$4:$A$33,0),MATCH(G529,'ei names mapping'!$B$3:$BL$3,0))</f>
        <v>air::urban air close to ground</v>
      </c>
      <c r="F529" t="s">
        <v>167</v>
      </c>
      <c r="G529" t="s">
        <v>559</v>
      </c>
    </row>
    <row r="530" spans="1:8" x14ac:dyDescent="0.2">
      <c r="A530" t="str">
        <f>INDEX('ei names mapping'!$B$4:$BL$33,MATCH(B$234,'ei names mapping'!$A$4:$A$33,0),MATCH(G530,'ei names mapping'!$B$3:$BL$3,0))</f>
        <v>PAH, polycyclic aromatic hydrocarbons</v>
      </c>
      <c r="B530" s="7">
        <f>INDEX('vehicles specifications'!$B$3:$CW$166,MATCH(B$471,'vehicles specifications'!$A$3:$A$166,0),MATCH(G530,'vehicles specifications'!$B$2:$CW$2,0))*INDEX('ei names mapping'!$B$137:$BL$300,MATCH(B$471,'ei names mapping'!$A$137:$A$300,0),MATCH(G530,'ei names mapping'!$B$136:$BL$136,0))</f>
        <v>1.0445265158916645E-9</v>
      </c>
      <c r="D530" t="str">
        <f>INDEX('ei names mapping'!$B$104:$BL$133,MATCH(B$234,'ei names mapping'!$A$4:$A$33,0),MATCH(G530,'ei names mapping'!$B$3:$BL$3,0))</f>
        <v>kilogram</v>
      </c>
      <c r="E530" t="str">
        <f>INDEX('ei names mapping'!$B$305:$BL$335,MATCH(B$234,'ei names mapping'!$A$4:$A$33,0),MATCH(G530,'ei names mapping'!$B$3:$BL$3,0))</f>
        <v>air::urban air close to ground</v>
      </c>
      <c r="F530" t="s">
        <v>167</v>
      </c>
      <c r="G530" t="s">
        <v>561</v>
      </c>
    </row>
    <row r="531" spans="1:8" x14ac:dyDescent="0.2">
      <c r="A531" t="str">
        <f>INDEX('ei names mapping'!$B$4:$BL$33,MATCH(B$234,'ei names mapping'!$A$4:$A$33,0),MATCH(G531,'ei names mapping'!$B$3:$BL$3,0))</f>
        <v>Arsenic</v>
      </c>
      <c r="B531" s="7">
        <f>INDEX('vehicles specifications'!$B$3:$CW$166,MATCH(B$471,'vehicles specifications'!$A$3:$A$166,0),MATCH(G531,'vehicles specifications'!$B$2:$CW$2,0))*INDEX('ei names mapping'!$B$137:$BL$300,MATCH(B$471,'ei names mapping'!$A$137:$A$300,0),MATCH(G531,'ei names mapping'!$B$136:$BL$136,0))</f>
        <v>9.0045389301005557E-12</v>
      </c>
      <c r="D531" t="str">
        <f>INDEX('ei names mapping'!$B$104:$BL$133,MATCH(B$234,'ei names mapping'!$A$4:$A$33,0),MATCH(G531,'ei names mapping'!$B$3:$BL$3,0))</f>
        <v>kilogram</v>
      </c>
      <c r="E531" t="str">
        <f>INDEX('ei names mapping'!$B$305:$BL$335,MATCH(B$234,'ei names mapping'!$A$4:$A$33,0),MATCH(G531,'ei names mapping'!$B$3:$BL$3,0))</f>
        <v>air::urban air close to ground</v>
      </c>
      <c r="F531" t="s">
        <v>167</v>
      </c>
      <c r="G531" t="s">
        <v>562</v>
      </c>
    </row>
    <row r="532" spans="1:8" x14ac:dyDescent="0.2">
      <c r="A532" t="str">
        <f>INDEX('ei names mapping'!$B$4:$BL$33,MATCH(B$234,'ei names mapping'!$A$4:$A$33,0),MATCH(G532,'ei names mapping'!$B$3:$BL$3,0))</f>
        <v>Selenium</v>
      </c>
      <c r="B532" s="7">
        <f>INDEX('vehicles specifications'!$B$3:$CW$166,MATCH(B$471,'vehicles specifications'!$A$3:$A$166,0),MATCH(G532,'vehicles specifications'!$B$2:$CW$2,0))*INDEX('ei names mapping'!$B$137:$BL$300,MATCH(B$471,'ei names mapping'!$A$137:$A$300,0),MATCH(G532,'ei names mapping'!$B$136:$BL$136,0))</f>
        <v>6.0030259534003705E-12</v>
      </c>
      <c r="D532" t="str">
        <f>INDEX('ei names mapping'!$B$104:$BL$133,MATCH(B$234,'ei names mapping'!$A$4:$A$33,0),MATCH(G532,'ei names mapping'!$B$3:$BL$3,0))</f>
        <v>kilogram</v>
      </c>
      <c r="E532" t="str">
        <f>INDEX('ei names mapping'!$B$305:$BL$335,MATCH(B$234,'ei names mapping'!$A$4:$A$33,0),MATCH(G532,'ei names mapping'!$B$3:$BL$3,0))</f>
        <v>air::urban air close to ground</v>
      </c>
      <c r="F532" t="s">
        <v>167</v>
      </c>
      <c r="G532" t="s">
        <v>563</v>
      </c>
    </row>
    <row r="533" spans="1:8" x14ac:dyDescent="0.2">
      <c r="A533" t="str">
        <f>INDEX('ei names mapping'!$B$4:$BL$33,MATCH(B$234,'ei names mapping'!$A$4:$A$33,0),MATCH(G533,'ei names mapping'!$B$3:$BL$3,0))</f>
        <v>Zinc</v>
      </c>
      <c r="B533" s="7">
        <f>INDEX('vehicles specifications'!$B$3:$CW$166,MATCH(B$471,'vehicles specifications'!$A$3:$A$166,0),MATCH(G533,'vehicles specifications'!$B$2:$CW$2,0))*INDEX('ei names mapping'!$B$137:$BL$300,MATCH(B$471,'ei names mapping'!$A$137:$A$300,0),MATCH(G533,'ei names mapping'!$B$136:$BL$136,0))</f>
        <v>6.4832680296724005E-8</v>
      </c>
      <c r="D533" t="str">
        <f>INDEX('ei names mapping'!$B$104:$BL$133,MATCH(B$234,'ei names mapping'!$A$4:$A$33,0),MATCH(G533,'ei names mapping'!$B$3:$BL$3,0))</f>
        <v>kilogram</v>
      </c>
      <c r="E533" t="str">
        <f>INDEX('ei names mapping'!$B$305:$BL$335,MATCH(B$234,'ei names mapping'!$A$4:$A$33,0),MATCH(G533,'ei names mapping'!$B$3:$BL$3,0))</f>
        <v>air::urban air close to ground</v>
      </c>
      <c r="F533" t="s">
        <v>167</v>
      </c>
      <c r="G533" t="s">
        <v>564</v>
      </c>
    </row>
    <row r="534" spans="1:8" x14ac:dyDescent="0.2">
      <c r="A534" t="str">
        <f>INDEX('ei names mapping'!$B$4:$BL$33,MATCH(B$234,'ei names mapping'!$A$4:$A$33,0),MATCH(G534,'ei names mapping'!$B$3:$BL$3,0))</f>
        <v>Copper</v>
      </c>
      <c r="B534" s="7">
        <f>INDEX('vehicles specifications'!$B$3:$CW$166,MATCH(B$471,'vehicles specifications'!$A$3:$A$166,0),MATCH(G534,'vehicles specifications'!$B$2:$CW$2,0))*INDEX('ei names mapping'!$B$137:$BL$300,MATCH(B$471,'ei names mapping'!$A$137:$A$300,0),MATCH(G534,'ei names mapping'!$B$136:$BL$136,0))</f>
        <v>1.2606354502140775E-9</v>
      </c>
      <c r="D534" t="str">
        <f>INDEX('ei names mapping'!$B$104:$BL$133,MATCH(B$234,'ei names mapping'!$A$4:$A$33,0),MATCH(G534,'ei names mapping'!$B$3:$BL$3,0))</f>
        <v>kilogram</v>
      </c>
      <c r="E534" t="str">
        <f>INDEX('ei names mapping'!$B$305:$BL$335,MATCH(B$234,'ei names mapping'!$A$4:$A$33,0),MATCH(G534,'ei names mapping'!$B$3:$BL$3,0))</f>
        <v>air::urban air close to ground</v>
      </c>
      <c r="F534" t="s">
        <v>167</v>
      </c>
      <c r="G534" t="s">
        <v>522</v>
      </c>
    </row>
    <row r="535" spans="1:8" x14ac:dyDescent="0.2">
      <c r="A535" t="str">
        <f>INDEX('ei names mapping'!$B$4:$BL$33,MATCH(B$234,'ei names mapping'!$A$4:$A$33,0),MATCH(G535,'ei names mapping'!$B$3:$BL$3,0))</f>
        <v>Nickel</v>
      </c>
      <c r="B535" s="7">
        <f>INDEX('vehicles specifications'!$B$3:$CW$166,MATCH(B$471,'vehicles specifications'!$A$3:$A$166,0),MATCH(G535,'vehicles specifications'!$B$2:$CW$2,0))*INDEX('ei names mapping'!$B$137:$BL$300,MATCH(B$471,'ei names mapping'!$A$137:$A$300,0),MATCH(G535,'ei names mapping'!$B$136:$BL$136,0))</f>
        <v>3.9019668697102408E-10</v>
      </c>
      <c r="D535" t="str">
        <f>INDEX('ei names mapping'!$B$104:$BL$133,MATCH(B$234,'ei names mapping'!$A$4:$A$33,0),MATCH(G535,'ei names mapping'!$B$3:$BL$3,0))</f>
        <v>kilogram</v>
      </c>
      <c r="E535" t="str">
        <f>INDEX('ei names mapping'!$B$305:$BL$335,MATCH(B$234,'ei names mapping'!$A$4:$A$33,0),MATCH(G535,'ei names mapping'!$B$3:$BL$3,0))</f>
        <v>air::urban air close to ground</v>
      </c>
      <c r="F535" t="s">
        <v>167</v>
      </c>
      <c r="G535" t="s">
        <v>524</v>
      </c>
    </row>
    <row r="536" spans="1:8" x14ac:dyDescent="0.2">
      <c r="A536" t="str">
        <f>INDEX('ei names mapping'!$B$4:$BL$33,MATCH(B$234,'ei names mapping'!$A$4:$A$33,0),MATCH(G536,'ei names mapping'!$B$3:$BL$3,0))</f>
        <v>Chromium</v>
      </c>
      <c r="B536" s="7">
        <f>INDEX('vehicles specifications'!$B$3:$CW$166,MATCH(B$471,'vehicles specifications'!$A$3:$A$166,0),MATCH(G536,'vehicles specifications'!$B$2:$CW$2,0))*INDEX('ei names mapping'!$B$137:$BL$300,MATCH(B$471,'ei names mapping'!$A$137:$A$300,0),MATCH(G536,'ei names mapping'!$B$136:$BL$136,0))</f>
        <v>4.8024207627202969E-10</v>
      </c>
      <c r="D536" t="str">
        <f>INDEX('ei names mapping'!$B$104:$BL$133,MATCH(B$234,'ei names mapping'!$A$4:$A$33,0),MATCH(G536,'ei names mapping'!$B$3:$BL$3,0))</f>
        <v>kilogram</v>
      </c>
      <c r="E536" t="str">
        <f>INDEX('ei names mapping'!$B$305:$BL$335,MATCH(B$234,'ei names mapping'!$A$4:$A$33,0),MATCH(G536,'ei names mapping'!$B$3:$BL$3,0))</f>
        <v>air::urban air close to ground</v>
      </c>
      <c r="F536" t="s">
        <v>167</v>
      </c>
      <c r="G536" t="s">
        <v>523</v>
      </c>
    </row>
    <row r="537" spans="1:8" x14ac:dyDescent="0.2">
      <c r="A537" t="str">
        <f>INDEX('ei names mapping'!$B$4:$BL$33,MATCH(B$234,'ei names mapping'!$A$4:$A$33,0),MATCH(G537,'ei names mapping'!$B$3:$BL$3,0))</f>
        <v>Chromium VI</v>
      </c>
      <c r="B537" s="7">
        <f>INDEX('vehicles specifications'!$B$3:$CW$166,MATCH(B$471,'vehicles specifications'!$A$3:$A$166,0),MATCH(G537,'vehicles specifications'!$B$2:$CW$2,0))*INDEX('ei names mapping'!$B$137:$BL$300,MATCH(B$471,'ei names mapping'!$A$137:$A$300,0),MATCH(G537,'ei names mapping'!$B$136:$BL$136,0))</f>
        <v>9.6048415254405914E-13</v>
      </c>
      <c r="D537" t="str">
        <f>INDEX('ei names mapping'!$B$104:$BL$133,MATCH(B$234,'ei names mapping'!$A$4:$A$33,0),MATCH(G537,'ei names mapping'!$B$3:$BL$3,0))</f>
        <v>kilogram</v>
      </c>
      <c r="E537" t="str">
        <f>INDEX('ei names mapping'!$B$305:$BL$335,MATCH(B$234,'ei names mapping'!$A$4:$A$33,0),MATCH(G537,'ei names mapping'!$B$3:$BL$3,0))</f>
        <v>air::urban air close to ground</v>
      </c>
      <c r="F537" t="s">
        <v>167</v>
      </c>
      <c r="G537" t="s">
        <v>567</v>
      </c>
    </row>
    <row r="538" spans="1:8" x14ac:dyDescent="0.2">
      <c r="A538" t="str">
        <f>INDEX('ei names mapping'!$B$4:$BL$33,MATCH(B$234,'ei names mapping'!$A$4:$A$33,0),MATCH(G538,'ei names mapping'!$B$3:$BL$3,0))</f>
        <v>Mercury</v>
      </c>
      <c r="B538" s="7">
        <f>INDEX('vehicles specifications'!$B$3:$CW$166,MATCH(B$471,'vehicles specifications'!$A$3:$A$166,0),MATCH(G538,'vehicles specifications'!$B$2:$CW$2,0))*INDEX('ei names mapping'!$B$137:$BL$300,MATCH(B$471,'ei names mapping'!$A$137:$A$300,0),MATCH(G538,'ei names mapping'!$B$136:$BL$136,0))</f>
        <v>2.6113162897291613E-10</v>
      </c>
      <c r="D538" t="str">
        <f>INDEX('ei names mapping'!$B$104:$BL$133,MATCH(B$234,'ei names mapping'!$A$4:$A$33,0),MATCH(G538,'ei names mapping'!$B$3:$BL$3,0))</f>
        <v>kilogram</v>
      </c>
      <c r="E538" t="str">
        <f>INDEX('ei names mapping'!$B$305:$BL$335,MATCH(B$234,'ei names mapping'!$A$4:$A$33,0),MATCH(G538,'ei names mapping'!$B$3:$BL$3,0))</f>
        <v>air::urban air close to ground</v>
      </c>
      <c r="F538" t="s">
        <v>167</v>
      </c>
      <c r="G538" t="s">
        <v>565</v>
      </c>
    </row>
    <row r="539" spans="1:8" x14ac:dyDescent="0.2">
      <c r="A539" t="str">
        <f>INDEX('ei names mapping'!$B$4:$BL$33,MATCH(B$234,'ei names mapping'!$A$4:$A$33,0),MATCH(G539,'ei names mapping'!$B$3:$BL$3,0))</f>
        <v>Cadmium</v>
      </c>
      <c r="B539" s="7">
        <f>INDEX('vehicles specifications'!$B$3:$CW$166,MATCH(B$471,'vehicles specifications'!$A$3:$A$166,0),MATCH(G539,'vehicles specifications'!$B$2:$CW$2,0))*INDEX('ei names mapping'!$B$137:$BL$300,MATCH(B$471,'ei names mapping'!$A$137:$A$300,0),MATCH(G539,'ei names mapping'!$B$136:$BL$136,0))</f>
        <v>3.2416340148362008E-10</v>
      </c>
      <c r="D539" t="str">
        <f>INDEX('ei names mapping'!$B$104:$BL$133,MATCH(B$234,'ei names mapping'!$A$4:$A$33,0),MATCH(G539,'ei names mapping'!$B$3:$BL$3,0))</f>
        <v>kilogram</v>
      </c>
      <c r="E539" t="str">
        <f>INDEX('ei names mapping'!$B$305:$BL$335,MATCH(B$234,'ei names mapping'!$A$4:$A$33,0),MATCH(G539,'ei names mapping'!$B$3:$BL$3,0))</f>
        <v>air::urban air close to ground</v>
      </c>
      <c r="F539" t="s">
        <v>167</v>
      </c>
      <c r="G539" t="s">
        <v>566</v>
      </c>
    </row>
    <row r="540" spans="1:8" x14ac:dyDescent="0.2">
      <c r="A540" t="str">
        <f>INDEX('ei names mapping'!$B$4:$BL$33,MATCH(B468,'ei names mapping'!$A$4:$A$33,0),MATCH(G540,'ei names mapping'!$B$3:$BL$3,0))</f>
        <v>treatment of road wear emissions, passenger car</v>
      </c>
      <c r="B540" s="7">
        <f>INDEX('vehicles specifications'!$B$3:$CW$166,MATCH(B471,'vehicles specifications'!$A$3:$A$166,0),MATCH(G540,'vehicles specifications'!$B$2:$CW$2,0))*INDEX('ei names mapping'!$B$137:$BL$300,MATCH(B471,'ei names mapping'!$A$137:$A$300,0),MATCH(G540,'ei names mapping'!$B$136:$BL$136,0))</f>
        <v>-6.329314640630878E-6</v>
      </c>
      <c r="C540" t="str">
        <f>INDEX('ei names mapping'!$B$38:$BL$67,MATCH(B468,'ei names mapping'!$A$4:$A$33,0),MATCH(G540,'ei names mapping'!$B$3:$BL$3,0))</f>
        <v>RER</v>
      </c>
      <c r="D540" t="str">
        <f>INDEX('ei names mapping'!$B$104:$BL$133,MATCH(B468,'ei names mapping'!$A$4:$A$33,0),MATCH(G540,'ei names mapping'!$B$3:$BL$3,0))</f>
        <v>kilogram</v>
      </c>
      <c r="F540" t="s">
        <v>89</v>
      </c>
      <c r="G540" t="s">
        <v>29</v>
      </c>
      <c r="H540" t="str">
        <f>INDEX('ei names mapping'!$B$71:$BL$100,MATCH(B468,'ei names mapping'!$A$4:$A$33,0),MATCH(G540,'ei names mapping'!$B$3:$BL$3,0))</f>
        <v>road wear emissions, passenger car</v>
      </c>
    </row>
    <row r="541" spans="1:8" x14ac:dyDescent="0.2">
      <c r="A541" t="str">
        <f>INDEX('ei names mapping'!$B$4:$BL$33,MATCH(B468,'ei names mapping'!$A$4:$A$33,0),MATCH(G541,'ei names mapping'!$B$3:$BL$3,0))</f>
        <v>treatment of tyre wear emissions, passenger car</v>
      </c>
      <c r="B541" s="7">
        <f>INDEX('vehicles specifications'!$B$3:$CW$166,MATCH(B471,'vehicles specifications'!$A$3:$A$166,0),MATCH(G541,'vehicles specifications'!$B$2:$CW$2,0))*INDEX('ei names mapping'!$B$137:$BL$300,MATCH(B471,'ei names mapping'!$A$137:$A$300,0),MATCH(G541,'ei names mapping'!$B$136:$BL$136,0))</f>
        <v>-5.1505301840429754E-6</v>
      </c>
      <c r="C541" t="str">
        <f>INDEX('ei names mapping'!$B$38:$BL$67,MATCH(B468,'ei names mapping'!$A$4:$A$33,0),MATCH(G541,'ei names mapping'!$B$3:$BL$3,0))</f>
        <v>RER</v>
      </c>
      <c r="D541" t="str">
        <f>INDEX('ei names mapping'!$B$104:$BL$133,MATCH(B468,'ei names mapping'!$A$4:$A$33,0),MATCH(G541,'ei names mapping'!$B$3:$BL$3,0))</f>
        <v>kilogram</v>
      </c>
      <c r="F541" t="s">
        <v>89</v>
      </c>
      <c r="G541" t="s">
        <v>30</v>
      </c>
      <c r="H541" t="str">
        <f>INDEX('ei names mapping'!$B$71:$BL$100,MATCH(B468,'ei names mapping'!$A$4:$A$33,0),MATCH(G541,'ei names mapping'!$B$3:$BL$3,0))</f>
        <v>tyre wear emissions, passenger car</v>
      </c>
    </row>
    <row r="542" spans="1:8" x14ac:dyDescent="0.2">
      <c r="A542" t="str">
        <f>INDEX('ei names mapping'!$B$4:$BL$33,MATCH(B468,'ei names mapping'!$A$4:$A$33,0),MATCH(G542,'ei names mapping'!$B$3:$BL$3,0))</f>
        <v>treatment of brake wear emissions, passenger car</v>
      </c>
      <c r="B542" s="7">
        <f>INDEX('vehicles specifications'!$B$3:$CW$166,MATCH(B471,'vehicles specifications'!$A$3:$A$166,0),MATCH(G542,'vehicles specifications'!$B$2:$CW$2,0))*INDEX('ei names mapping'!$B$137:$BL$300,MATCH(B471,'ei names mapping'!$A$137:$A$300,0),MATCH(G542,'ei names mapping'!$B$136:$BL$136,0))</f>
        <v>-3.5953619343571558E-6</v>
      </c>
      <c r="C542" t="str">
        <f>INDEX('ei names mapping'!$B$38:$BL$67,MATCH(B468,'ei names mapping'!$A$4:$A$33,0),MATCH(G542,'ei names mapping'!$B$3:$BL$3,0))</f>
        <v>RER</v>
      </c>
      <c r="D542" t="str">
        <f>INDEX('ei names mapping'!$B$104:$BL$133,MATCH(B468,'ei names mapping'!$A$4:$A$33,0),MATCH(G542,'ei names mapping'!$B$3:$BL$3,0))</f>
        <v>kilogram</v>
      </c>
      <c r="F542" t="s">
        <v>89</v>
      </c>
      <c r="G542" t="s">
        <v>31</v>
      </c>
      <c r="H542" t="str">
        <f>INDEX('ei names mapping'!$B$71:$BL$100,MATCH(B468,'ei names mapping'!$A$4:$A$33,0),MATCH(G542,'ei names mapping'!$B$3:$BL$3,0))</f>
        <v>brake wear emissions, passenger car</v>
      </c>
    </row>
    <row r="544" spans="1:8" ht="16" x14ac:dyDescent="0.2">
      <c r="A544" s="10" t="s">
        <v>71</v>
      </c>
      <c r="B544" s="8" t="str">
        <f>"transport, "&amp;B546&amp;", "&amp;B548</f>
        <v>transport, Scooter, gasoline, &lt;4kW, EURO-5, 2040</v>
      </c>
    </row>
    <row r="545" spans="1:2" x14ac:dyDescent="0.2">
      <c r="A545" t="s">
        <v>72</v>
      </c>
      <c r="B545" t="s">
        <v>37</v>
      </c>
    </row>
    <row r="546" spans="1:2" x14ac:dyDescent="0.2">
      <c r="A546" t="s">
        <v>86</v>
      </c>
      <c r="B546" t="s">
        <v>611</v>
      </c>
    </row>
    <row r="547" spans="1:2" x14ac:dyDescent="0.2">
      <c r="A547" t="s">
        <v>87</v>
      </c>
    </row>
    <row r="548" spans="1:2" x14ac:dyDescent="0.2">
      <c r="A548" t="s">
        <v>88</v>
      </c>
      <c r="B548">
        <v>2040</v>
      </c>
    </row>
    <row r="549" spans="1:2" x14ac:dyDescent="0.2">
      <c r="A549" t="s">
        <v>126</v>
      </c>
      <c r="B549" t="str">
        <f>B546&amp;" - "&amp;B548&amp;" - "&amp;B545</f>
        <v>Scooter, gasoline, &lt;4kW, EURO-5 - 2040 - CH</v>
      </c>
    </row>
    <row r="550" spans="1:2" x14ac:dyDescent="0.2">
      <c r="A550" t="s">
        <v>73</v>
      </c>
      <c r="B550" t="str">
        <f>"transport, "&amp;B546</f>
        <v>transport, Scooter, gasoline, &lt;4kW, EURO-5</v>
      </c>
    </row>
    <row r="551" spans="1:2" x14ac:dyDescent="0.2">
      <c r="A551" t="s">
        <v>74</v>
      </c>
      <c r="B551" t="s">
        <v>75</v>
      </c>
    </row>
    <row r="552" spans="1:2" x14ac:dyDescent="0.2">
      <c r="A552" t="s">
        <v>76</v>
      </c>
      <c r="B552" t="s">
        <v>166</v>
      </c>
    </row>
    <row r="553" spans="1:2" x14ac:dyDescent="0.2">
      <c r="A553" t="s">
        <v>78</v>
      </c>
      <c r="B553" t="s">
        <v>1143</v>
      </c>
    </row>
    <row r="554" spans="1:2" x14ac:dyDescent="0.2">
      <c r="A554" t="s">
        <v>127</v>
      </c>
      <c r="B554">
        <f>INDEX('vehicles specifications'!$B$3:$CW$166,MATCH(B549,'vehicles specifications'!$A$3:$A$166,0),MATCH("Lifetime [km]",'vehicles specifications'!$B$2:$CW$2,0))</f>
        <v>25000</v>
      </c>
    </row>
    <row r="555" spans="1:2" x14ac:dyDescent="0.2">
      <c r="A555" t="s">
        <v>128</v>
      </c>
      <c r="B555">
        <f>INDEX('vehicles specifications'!$B$3:$CW$166,MATCH(B549,'vehicles specifications'!$A$3:$A$166,0),MATCH("Passengers [unit]",'vehicles specifications'!$B$2:$CW$2,0))</f>
        <v>1</v>
      </c>
    </row>
    <row r="556" spans="1:2" x14ac:dyDescent="0.2">
      <c r="A556" t="s">
        <v>129</v>
      </c>
      <c r="B556">
        <f>INDEX('vehicles specifications'!$B$3:$CW$166,MATCH(B549,'vehicles specifications'!$A$3:$A$166,0),MATCH("Servicing [unit]",'vehicles specifications'!$B$2:$CW$2,0))</f>
        <v>1</v>
      </c>
    </row>
    <row r="557" spans="1:2" x14ac:dyDescent="0.2">
      <c r="A557" t="s">
        <v>130</v>
      </c>
      <c r="B557">
        <f>INDEX('vehicles specifications'!$B$3:$CW$166,MATCH(B549,'vehicles specifications'!$A$3:$A$166,0),MATCH("Energy battery replacement [unit]",'vehicles specifications'!$B$2:$CW$2,0))</f>
        <v>0</v>
      </c>
    </row>
    <row r="558" spans="1:2" x14ac:dyDescent="0.2">
      <c r="A558" t="s">
        <v>131</v>
      </c>
      <c r="B558">
        <f>INDEX('vehicles specifications'!$B$3:$CW$166,MATCH(B549,'vehicles specifications'!$A$3:$A$166,0),MATCH("Annual kilometers [km]",'vehicles specifications'!$B$2:$CW$2,0))</f>
        <v>1570</v>
      </c>
    </row>
    <row r="559" spans="1:2" x14ac:dyDescent="0.2">
      <c r="A559" t="s">
        <v>132</v>
      </c>
      <c r="B559" s="2">
        <f>INDEX('vehicles specifications'!$B$3:$CW$166,MATCH(B549,'vehicles specifications'!$A$3:$A$166,0),MATCH("Curb mass [kg]",'vehicles specifications'!$B$2:$CW$2,0))</f>
        <v>86.487499999999983</v>
      </c>
    </row>
    <row r="560" spans="1:2" x14ac:dyDescent="0.2">
      <c r="A560" t="s">
        <v>133</v>
      </c>
      <c r="B560">
        <f>INDEX('vehicles specifications'!$B$3:$CW$166,MATCH(B549,'vehicles specifications'!$A$3:$A$166,0),MATCH("Power [kW]",'vehicles specifications'!$B$2:$CW$2,0))</f>
        <v>2.8</v>
      </c>
    </row>
    <row r="561" spans="1:8" x14ac:dyDescent="0.2">
      <c r="A561" t="s">
        <v>134</v>
      </c>
      <c r="B561" t="str">
        <f>INDEX('vehicles specifications'!$B$3:$CW$166,MATCH(B549,'vehicles specifications'!$A$3:$A$166,0),MATCH("Energy battery mass [kg]",'vehicles specifications'!$B$2:$CW$2,0))</f>
        <v/>
      </c>
    </row>
    <row r="562" spans="1:8" x14ac:dyDescent="0.2">
      <c r="A562" t="s">
        <v>135</v>
      </c>
      <c r="B562">
        <f>INDEX('vehicles specifications'!$B$3:$CW$166,MATCH(B549,'vehicles specifications'!$A$3:$A$166,0),MATCH("Electric energy available [kWh]",'vehicles specifications'!$B$2:$CW$2,0))</f>
        <v>0</v>
      </c>
    </row>
    <row r="563" spans="1:8" x14ac:dyDescent="0.2">
      <c r="A563" t="s">
        <v>138</v>
      </c>
      <c r="B563" s="2">
        <f>INDEX('vehicles specifications'!$B$3:$CW$166,MATCH(B549,'vehicles specifications'!$A$3:$A$166,0),MATCH("Oxydation energy stored [kWh]",'vehicles specifications'!$B$2:$CW$2,0))</f>
        <v>62.125</v>
      </c>
    </row>
    <row r="564" spans="1:8" x14ac:dyDescent="0.2">
      <c r="A564" t="s">
        <v>139</v>
      </c>
      <c r="B564">
        <f>INDEX('vehicles specifications'!$B$3:$CW$166,MATCH(B549,'vehicles specifications'!$A$3:$A$166,0),MATCH("Fuel mass [kg]",'vehicles specifications'!$B$2:$CW$2,0))</f>
        <v>5.25</v>
      </c>
    </row>
    <row r="565" spans="1:8" x14ac:dyDescent="0.2">
      <c r="A565" t="s">
        <v>136</v>
      </c>
      <c r="B565" s="2">
        <f>INDEX('vehicles specifications'!$B$3:$CW$166,MATCH(B549,'vehicles specifications'!$A$3:$A$166,0),MATCH("Range [km]",'vehicles specifications'!$B$2:$CW$2,0))</f>
        <v>177.09428753608648</v>
      </c>
    </row>
    <row r="566" spans="1:8" x14ac:dyDescent="0.2">
      <c r="A566" t="s">
        <v>137</v>
      </c>
      <c r="B566" t="str">
        <f>INDEX('vehicles specifications'!$B$3:$CW$166,MATCH(B549,'vehicles specifications'!$A$3:$A$166,0),MATCH("Emission standard",'vehicles specifications'!$B$2:$CW$2,0))</f>
        <v>EURO-5</v>
      </c>
    </row>
    <row r="567" spans="1:8" x14ac:dyDescent="0.2">
      <c r="A567" t="s">
        <v>1174</v>
      </c>
      <c r="B567" s="6">
        <f>INDEX('vehicles specifications'!$B$3:$CW$166,MATCH(B549,'vehicles specifications'!$A$3:$A$166,0),MATCH("Lightweighting rate [%]",'vehicles specifications'!$B$2:$CW$2,0))</f>
        <v>0.05</v>
      </c>
    </row>
    <row r="568" spans="1:8" x14ac:dyDescent="0.2">
      <c r="A568" t="s">
        <v>83</v>
      </c>
      <c r="B568"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2.8 kW. Lifetime: 25000 km. Annual kilometers: 1570 km. Number of passengers: 1. Curb mass: 86.5 kg. Lightweighting of glider: 5%. Emission standard: EURO-5. Service visits throughout lifetime: 1. Range: 177 km. Fuel tank capacity: 62.1 kWh. Fuel mass: 5.3 kg. Documentation: Life-cycle inventories for on-road vehicles, Sacchi R. (PSI), Bauer C. (PSI), 2021. Sacchi R., Bauer C. Life cycle inventories for on-road vehicles. Paul Scherrer Institut, 2021.</v>
      </c>
    </row>
    <row r="569" spans="1:8" ht="16" x14ac:dyDescent="0.2">
      <c r="A569" s="10" t="s">
        <v>79</v>
      </c>
    </row>
    <row r="570" spans="1:8" x14ac:dyDescent="0.2">
      <c r="A570" t="s">
        <v>80</v>
      </c>
      <c r="B570" t="s">
        <v>81</v>
      </c>
      <c r="C570" t="s">
        <v>72</v>
      </c>
      <c r="D570" t="s">
        <v>76</v>
      </c>
      <c r="E570" t="s">
        <v>82</v>
      </c>
      <c r="F570" t="s">
        <v>74</v>
      </c>
      <c r="G570" t="s">
        <v>83</v>
      </c>
      <c r="H570" t="s">
        <v>73</v>
      </c>
    </row>
    <row r="571" spans="1:8" x14ac:dyDescent="0.2">
      <c r="A571" t="str">
        <f>B544</f>
        <v>transport, Scooter, gasoline, &lt;4kW, EURO-5, 2040</v>
      </c>
      <c r="B571">
        <v>1</v>
      </c>
      <c r="C571" t="str">
        <f>B545</f>
        <v>CH</v>
      </c>
      <c r="D571" t="s">
        <v>166</v>
      </c>
      <c r="F571" t="s">
        <v>84</v>
      </c>
      <c r="G571" t="s">
        <v>85</v>
      </c>
      <c r="H571" t="str">
        <f>B550</f>
        <v>transport, Scooter, gasoline, &lt;4kW, EURO-5</v>
      </c>
    </row>
    <row r="572" spans="1:8" x14ac:dyDescent="0.2">
      <c r="A572" t="str">
        <f>RIGHT(A571,LEN(A571)-11)</f>
        <v>Scooter, gasoline, &lt;4kW, EURO-5, 2040</v>
      </c>
      <c r="B572" s="7">
        <f>1/B554</f>
        <v>4.0000000000000003E-5</v>
      </c>
      <c r="C572" t="str">
        <f>B545</f>
        <v>CH</v>
      </c>
      <c r="D572" t="s">
        <v>76</v>
      </c>
      <c r="F572" t="s">
        <v>89</v>
      </c>
      <c r="H572" t="str">
        <f>RIGHT(H571,LEN(H571)-11)</f>
        <v>Scooter, gasoline, &lt;4kW, EURO-5</v>
      </c>
    </row>
    <row r="573" spans="1:8" x14ac:dyDescent="0.2">
      <c r="A573" t="str">
        <f>INDEX('ei names mapping'!$B$4:$R$33,MATCH(B546,'ei names mapping'!$A$4:$A$33,0),MATCH(G573,'ei names mapping'!$B$3:$R$3,0))</f>
        <v>road construction</v>
      </c>
      <c r="B573" s="7">
        <f>INDEX('vehicles specifications'!$B$3:$CW$166,MATCH(B549,'vehicles specifications'!$A$3:$A$166,0),MATCH(G573,'vehicles specifications'!$B$2:$CW$2,0))*INDEX('ei names mapping'!$B$137:$BL$300,MATCH(B549,'ei names mapping'!$A$137:$A$300,0),MATCH(G573,'ei names mapping'!$B$136:$BL$136,0))</f>
        <v>8.8866787499999997E-5</v>
      </c>
      <c r="C573" t="str">
        <f>INDEX('ei names mapping'!$B$38:$R$67,MATCH(B546,'ei names mapping'!$A$4:$A$33,0),MATCH(G573,'ei names mapping'!$B$3:$R$3,0))</f>
        <v>CH</v>
      </c>
      <c r="D573" t="str">
        <f>INDEX('ei names mapping'!$B$104:$BL$133,MATCH(B546,'ei names mapping'!$A$4:$A$33,0),MATCH(G573,'ei names mapping'!$B$3:$BL$3,0))</f>
        <v>meter-year</v>
      </c>
      <c r="F573" t="s">
        <v>89</v>
      </c>
      <c r="G573" t="s">
        <v>105</v>
      </c>
      <c r="H573" t="str">
        <f>INDEX('ei names mapping'!$B$71:$BL$100,MATCH(B546,'ei names mapping'!$A$4:$A$33,0),MATCH(G573,'ei names mapping'!$B$3:$BL$3,0))</f>
        <v>road</v>
      </c>
    </row>
    <row r="574" spans="1:8" x14ac:dyDescent="0.2">
      <c r="A574" t="str">
        <f>INDEX('ei names mapping'!$B$4:$R$33,MATCH(B546,'ei names mapping'!$A$4:$A$33,0),MATCH(G574,'ei names mapping'!$B$3:$R$3,0))</f>
        <v>road maintenance</v>
      </c>
      <c r="B574" s="7">
        <f>INDEX('vehicles specifications'!$B$3:$CW$166,MATCH(B549,'vehicles specifications'!$A$3:$A$166,0),MATCH(G574,'vehicles specifications'!$B$2:$CW$2,0))*INDEX('ei names mapping'!$B$137:$BL$300,MATCH(B549,'ei names mapping'!$A$137:$A$300,0),MATCH(G574,'ei names mapping'!$B$136:$BL$136,0))</f>
        <v>1.2899999999999999E-3</v>
      </c>
      <c r="C574" t="str">
        <f>INDEX('ei names mapping'!$B$38:$R$67,MATCH(B546,'ei names mapping'!$A$4:$A$33,0),MATCH(G574,'ei names mapping'!$B$3:$R$3,0))</f>
        <v>CH</v>
      </c>
      <c r="D574" t="str">
        <f>INDEX('ei names mapping'!$B$104:$BL$133,MATCH(B546,'ei names mapping'!$A$4:$A$33,0),MATCH(G574,'ei names mapping'!$B$3:$BL$3,0))</f>
        <v>meter-year</v>
      </c>
      <c r="F574" t="s">
        <v>89</v>
      </c>
      <c r="G574" t="s">
        <v>112</v>
      </c>
      <c r="H574" t="str">
        <f>INDEX('ei names mapping'!$B$71:$BL$100,MATCH(B546,'ei names mapping'!$A$4:$A$33,0),MATCH(G574,'ei names mapping'!$B$3:$BL$3,0))</f>
        <v>road maintenance</v>
      </c>
    </row>
    <row r="575" spans="1:8" x14ac:dyDescent="0.2">
      <c r="A575" t="str">
        <f>INDEX('ei names mapping'!$B$4:$R$33,MATCH(B546,'ei names mapping'!$A$4:$A$33,0),MATCH(G575,'ei names mapping'!$B$3:$R$3,0))</f>
        <v>maintenance, motor scooter</v>
      </c>
      <c r="B575" s="7">
        <f>INDEX('vehicles specifications'!$B$3:$CW$166,MATCH(B549,'vehicles specifications'!$A$3:$A$166,0),MATCH(G575,'vehicles specifications'!$B$2:$CW$2,0))*INDEX('ei names mapping'!$B$137:$BL$300,MATCH(B549,'ei names mapping'!$A$137:$A$300,0),MATCH(G575,'ei names mapping'!$B$136:$BL$136,0))</f>
        <v>4.0000000000000003E-5</v>
      </c>
      <c r="C575" t="str">
        <f>INDEX('ei names mapping'!$B$38:$BL$67,MATCH(B546,'ei names mapping'!$A$4:$A$33,0),MATCH(G575,'ei names mapping'!$B$3:$BL$3,0))</f>
        <v>CH</v>
      </c>
      <c r="D575" t="str">
        <f>INDEX('ei names mapping'!$B$104:$BL$133,MATCH(B546,'ei names mapping'!$A$4:$A$33,0),MATCH(G575,'ei names mapping'!$B$3:$BL$3,0))</f>
        <v>unit</v>
      </c>
      <c r="F575" t="s">
        <v>89</v>
      </c>
      <c r="G575" t="s">
        <v>118</v>
      </c>
      <c r="H575" t="str">
        <f>INDEX('ei names mapping'!$B$71:$BL$100,MATCH(B546,'ei names mapping'!$A$4:$A$33,0),MATCH(G575,'ei names mapping'!$B$3:$BL$3,0))</f>
        <v>maintenance, motor scooter</v>
      </c>
    </row>
    <row r="576" spans="1:8" x14ac:dyDescent="0.2">
      <c r="A576" t="str">
        <f>INDEX('ei names mapping'!$B$4:$R$33,MATCH(B546,'ei names mapping'!$A$4:$A$33,0),MATCH(G576,'ei names mapping'!$B$3:$R$3,0))</f>
        <v>petrol blending for two-stroke engines</v>
      </c>
      <c r="B576" s="7">
        <f>INDEX('vehicles specifications'!$B$3:$CW$166,MATCH(B549,'vehicles specifications'!$A$3:$A$166,0),MATCH(G576,'vehicles specifications'!$B$2:$CW$2,0))*INDEX('ei names mapping'!$B$137:$BL$300,MATCH(B549,'ei names mapping'!$A$137:$A$300,0),MATCH(G576,'ei names mapping'!$B$136:$BL$136,0))</f>
        <v>2.9645224998746545E-2</v>
      </c>
      <c r="C576" t="str">
        <f>INDEX('ei names mapping'!$B$38:$BL$67,MATCH(B546,'ei names mapping'!$A$4:$A$33,0),MATCH(G576,'ei names mapping'!$B$3:$BL$3,0))</f>
        <v>CH</v>
      </c>
      <c r="D576" t="str">
        <f>INDEX('ei names mapping'!$B$104:$BL$133,MATCH(B546,'ei names mapping'!$A$4:$A$33,0),MATCH(G576,'ei names mapping'!$B$3:$BL$3,0))</f>
        <v>kilogram</v>
      </c>
      <c r="F576" t="s">
        <v>89</v>
      </c>
      <c r="G576" t="s">
        <v>27</v>
      </c>
      <c r="H576" t="str">
        <f>INDEX('ei names mapping'!$B$71:$BL$100,MATCH(B546,'ei names mapping'!$A$4:$A$33,0),MATCH(G576,'ei names mapping'!$B$3:$BL$3,0))</f>
        <v>petrol, two-stroke blend</v>
      </c>
    </row>
    <row r="577" spans="1:7" x14ac:dyDescent="0.2">
      <c r="A577" t="str">
        <f>INDEX('ei names mapping'!$B$4:$BL$33,MATCH(B546,'ei names mapping'!$A$4:$A$33,0),MATCH(G577,'ei names mapping'!$B$3:$BL$3,0))</f>
        <v>Carbon dioxide, fossil</v>
      </c>
      <c r="B577" s="7">
        <f>INDEX('vehicles specifications'!$B$3:$CW$166,MATCH(B549,'vehicles specifications'!$A$3:$A$166,0),MATCH(G577,'vehicles specifications'!$B$2:$CW$2,0))*INDEX('ei names mapping'!$B$137:$BL$300,MATCH(B549,'ei names mapping'!$A$137:$A$300,0),MATCH(G577,'ei names mapping'!$B$136:$BL$136,0))</f>
        <v>9.3086006496064161E-2</v>
      </c>
      <c r="D577" t="str">
        <f>INDEX('ei names mapping'!$B$104:$BL$133,MATCH(B546,'ei names mapping'!$A$4:$A$33,0),MATCH(G577,'ei names mapping'!$B$3:$BL$3,0))</f>
        <v>kilogram</v>
      </c>
      <c r="E577" t="str">
        <f>INDEX('ei names mapping'!$B$305:$BL$335,MATCH(B546,'ei names mapping'!$A$4:$A$33,0),MATCH(G577,'ei names mapping'!$B$3:$BL$3,0))</f>
        <v>air::urban air close to ground</v>
      </c>
      <c r="F577" t="s">
        <v>167</v>
      </c>
      <c r="G577" t="s">
        <v>66</v>
      </c>
    </row>
    <row r="578" spans="1:7" x14ac:dyDescent="0.2">
      <c r="A578" t="str">
        <f>INDEX('ei names mapping'!$B$4:$BL$33,MATCH(B546,'ei names mapping'!$A$4:$A$33,0),MATCH(G578,'ei names mapping'!$B$3:$BL$3,0))</f>
        <v>Carbon dioxide, from soil or biomass stock</v>
      </c>
      <c r="B578" s="11">
        <f>INDEX('vehicles specifications'!$B$3:$CW$166,MATCH(B549,'vehicles specifications'!$A$3:$A$166,0),MATCH(G578,'vehicles specifications'!$B$2:$CW$2,0))*INDEX('ei names mapping'!$B$137:$BL$300,MATCH(B549,'ei names mapping'!$A$137:$A$300,0),MATCH(G578,'ei names mapping'!$B$136:$BL$136,0))</f>
        <v>0</v>
      </c>
      <c r="D578" t="str">
        <f>INDEX('ei names mapping'!$B$104:$BL$133,MATCH(B546,'ei names mapping'!$A$4:$A$33,0),MATCH(G578,'ei names mapping'!$B$3:$BL$3,0))</f>
        <v>kilogram</v>
      </c>
      <c r="E578" t="str">
        <f>INDEX('ei names mapping'!$B$305:$BL$335,MATCH(B546,'ei names mapping'!$A$4:$A$33,0),MATCH(G578,'ei names mapping'!$B$3:$BL$3,0))</f>
        <v>air::urban air close to ground</v>
      </c>
      <c r="F578" t="s">
        <v>167</v>
      </c>
      <c r="G578" t="s">
        <v>843</v>
      </c>
    </row>
    <row r="579" spans="1:7" x14ac:dyDescent="0.2">
      <c r="A579" t="str">
        <f>INDEX('ei names mapping'!$B$4:$BL$33,MATCH(B546,'ei names mapping'!$A$4:$A$33,0),MATCH(G579,'ei names mapping'!$B$3:$BL$3,0))</f>
        <v>Sulfur dioxide</v>
      </c>
      <c r="B579" s="7">
        <f>INDEX('vehicles specifications'!$B$3:$CW$166,MATCH(B549,'vehicles specifications'!$A$3:$A$166,0),MATCH(G579,'vehicles specifications'!$B$2:$CW$2,0))*INDEX('ei names mapping'!$B$137:$BL$300,MATCH(B549,'ei names mapping'!$A$137:$A$300,0),MATCH(G579,'ei names mapping'!$B$136:$BL$136,0))</f>
        <v>4.7432359997994471E-7</v>
      </c>
      <c r="D579" t="str">
        <f>INDEX('ei names mapping'!$B$104:$BL$133,MATCH(B546,'ei names mapping'!$A$4:$A$33,0),MATCH(G579,'ei names mapping'!$B$3:$BL$3,0))</f>
        <v>kilogram</v>
      </c>
      <c r="E579" t="str">
        <f>INDEX('ei names mapping'!$B$305:$BL$335,MATCH(B546,'ei names mapping'!$A$4:$A$33,0),MATCH(G579,'ei names mapping'!$B$3:$BL$3,0))</f>
        <v>air::urban air close to ground</v>
      </c>
      <c r="F579" t="s">
        <v>167</v>
      </c>
      <c r="G579" t="s">
        <v>67</v>
      </c>
    </row>
    <row r="580" spans="1:7" x14ac:dyDescent="0.2">
      <c r="A580" t="str">
        <f>INDEX('ei names mapping'!$B$4:$BL$33,MATCH(B546,'ei names mapping'!$A$4:$A$33,0),MATCH(G580,'ei names mapping'!$B$3:$BL$3,0))</f>
        <v>Benzene</v>
      </c>
      <c r="B580" s="7">
        <f>INDEX('vehicles specifications'!$B$3:$CW$166,MATCH(B549,'vehicles specifications'!$A$3:$A$166,0),MATCH(G580,'vehicles specifications'!$B$2:$CW$2,0))*INDEX('ei names mapping'!$B$137:$BL$300,MATCH(B549,'ei names mapping'!$A$137:$A$300,0),MATCH(G580,'ei names mapping'!$B$136:$BL$136,0))</f>
        <v>7.6786251549212049E-5</v>
      </c>
      <c r="D580" t="str">
        <f>INDEX('ei names mapping'!$B$104:$BL$133,MATCH(B546,'ei names mapping'!$A$4:$A$33,0),MATCH(G580,'ei names mapping'!$B$3:$BL$3,0))</f>
        <v>kilogram</v>
      </c>
      <c r="E580" t="str">
        <f>INDEX('ei names mapping'!$B$305:$BL$335,MATCH(B546,'ei names mapping'!$A$4:$A$33,0),MATCH(G580,'ei names mapping'!$B$3:$BL$3,0))</f>
        <v>air::urban air close to ground</v>
      </c>
      <c r="F580" t="s">
        <v>167</v>
      </c>
      <c r="G580" t="s">
        <v>55</v>
      </c>
    </row>
    <row r="581" spans="1:7" x14ac:dyDescent="0.2">
      <c r="A581" t="str">
        <f>INDEX('ei names mapping'!$B$4:$BL$33,MATCH(B546,'ei names mapping'!$A$4:$A$33,0),MATCH(G581,'ei names mapping'!$B$3:$BL$3,0))</f>
        <v>Methane, fossil</v>
      </c>
      <c r="B581" s="7">
        <f>INDEX('vehicles specifications'!$B$3:$CW$166,MATCH(B549,'vehicles specifications'!$A$3:$A$166,0),MATCH(G581,'vehicles specifications'!$B$2:$CW$2,0))*INDEX('ei names mapping'!$B$137:$BL$300,MATCH(B549,'ei names mapping'!$A$137:$A$300,0),MATCH(G581,'ei names mapping'!$B$136:$BL$136,0))</f>
        <v>3.4817163857651117E-5</v>
      </c>
      <c r="D581" t="str">
        <f>INDEX('ei names mapping'!$B$104:$BL$133,MATCH(B546,'ei names mapping'!$A$4:$A$33,0),MATCH(G581,'ei names mapping'!$B$3:$BL$3,0))</f>
        <v>kilogram</v>
      </c>
      <c r="E581" t="str">
        <f>INDEX('ei names mapping'!$B$305:$BL$335,MATCH(B546,'ei names mapping'!$A$4:$A$33,0),MATCH(G581,'ei names mapping'!$B$3:$BL$3,0))</f>
        <v>air::urban air close to ground</v>
      </c>
      <c r="F581" t="s">
        <v>167</v>
      </c>
      <c r="G581" t="s">
        <v>56</v>
      </c>
    </row>
    <row r="582" spans="1:7" x14ac:dyDescent="0.2">
      <c r="A582" t="str">
        <f>INDEX('ei names mapping'!$B$4:$BL$33,MATCH(B546,'ei names mapping'!$A$4:$A$33,0),MATCH(G582,'ei names mapping'!$B$3:$BL$3,0))</f>
        <v>Carbon monoxide, fossil</v>
      </c>
      <c r="B582" s="7">
        <f>INDEX('vehicles specifications'!$B$3:$CW$166,MATCH(B549,'vehicles specifications'!$A$3:$A$166,0),MATCH(G582,'vehicles specifications'!$B$2:$CW$2,0))*INDEX('ei names mapping'!$B$137:$BL$300,MATCH(B549,'ei names mapping'!$A$137:$A$300,0),MATCH(G582,'ei names mapping'!$B$136:$BL$136,0))</f>
        <v>3.6815612244507218E-3</v>
      </c>
      <c r="D582" t="str">
        <f>INDEX('ei names mapping'!$B$104:$BL$133,MATCH(B546,'ei names mapping'!$A$4:$A$33,0),MATCH(G582,'ei names mapping'!$B$3:$BL$3,0))</f>
        <v>kilogram</v>
      </c>
      <c r="E582" t="str">
        <f>INDEX('ei names mapping'!$B$305:$BL$335,MATCH(B546,'ei names mapping'!$A$4:$A$33,0),MATCH(G582,'ei names mapping'!$B$3:$BL$3,0))</f>
        <v>air::urban air close to ground</v>
      </c>
      <c r="F582" t="s">
        <v>167</v>
      </c>
      <c r="G582" t="s">
        <v>57</v>
      </c>
    </row>
    <row r="583" spans="1:7" x14ac:dyDescent="0.2">
      <c r="A583" t="str">
        <f>INDEX('ei names mapping'!$B$4:$BL$33,MATCH(B546,'ei names mapping'!$A$4:$A$33,0),MATCH(G583,'ei names mapping'!$B$3:$BL$3,0))</f>
        <v>Dinitrogen monoxide</v>
      </c>
      <c r="B583" s="7">
        <f>INDEX('vehicles specifications'!$B$3:$CW$166,MATCH(B549,'vehicles specifications'!$A$3:$A$166,0),MATCH(G583,'vehicles specifications'!$B$2:$CW$2,0))*INDEX('ei names mapping'!$B$137:$BL$300,MATCH(B549,'ei names mapping'!$A$137:$A$300,0),MATCH(G583,'ei names mapping'!$B$136:$BL$136,0))</f>
        <v>1.7664720374252222E-6</v>
      </c>
      <c r="D583" t="str">
        <f>INDEX('ei names mapping'!$B$104:$BL$133,MATCH(B546,'ei names mapping'!$A$4:$A$33,0),MATCH(G583,'ei names mapping'!$B$3:$BL$3,0))</f>
        <v>kilogram</v>
      </c>
      <c r="E583" t="str">
        <f>INDEX('ei names mapping'!$B$305:$BL$335,MATCH(B546,'ei names mapping'!$A$4:$A$33,0),MATCH(G583,'ei names mapping'!$B$3:$BL$3,0))</f>
        <v>air::urban air close to ground</v>
      </c>
      <c r="F583" t="s">
        <v>167</v>
      </c>
      <c r="G583" t="s">
        <v>58</v>
      </c>
    </row>
    <row r="584" spans="1:7" x14ac:dyDescent="0.2">
      <c r="A584" t="str">
        <f>INDEX('ei names mapping'!$B$4:$BL$33,MATCH(B546,'ei names mapping'!$A$4:$A$33,0),MATCH(G584,'ei names mapping'!$B$3:$BL$3,0))</f>
        <v>Ammonia</v>
      </c>
      <c r="B584" s="7">
        <f>INDEX('vehicles specifications'!$B$3:$CW$166,MATCH(B549,'vehicles specifications'!$A$3:$A$166,0),MATCH(G584,'vehicles specifications'!$B$2:$CW$2,0))*INDEX('ei names mapping'!$B$137:$BL$300,MATCH(B549,'ei names mapping'!$A$137:$A$300,0),MATCH(G584,'ei names mapping'!$B$136:$BL$136,0))</f>
        <v>1.7664720374252222E-6</v>
      </c>
      <c r="D584" t="str">
        <f>INDEX('ei names mapping'!$B$104:$BL$133,MATCH(B546,'ei names mapping'!$A$4:$A$33,0),MATCH(G584,'ei names mapping'!$B$3:$BL$3,0))</f>
        <v>kilogram</v>
      </c>
      <c r="E584" t="str">
        <f>INDEX('ei names mapping'!$B$305:$BL$335,MATCH(B546,'ei names mapping'!$A$4:$A$33,0),MATCH(G584,'ei names mapping'!$B$3:$BL$3,0))</f>
        <v>air::urban air close to ground</v>
      </c>
      <c r="F584" t="s">
        <v>167</v>
      </c>
      <c r="G584" t="s">
        <v>59</v>
      </c>
    </row>
    <row r="585" spans="1:7" x14ac:dyDescent="0.2">
      <c r="A585" t="str">
        <f>INDEX('ei names mapping'!$B$4:$BL$33,MATCH(B546,'ei names mapping'!$A$4:$A$33,0),MATCH(G585,'ei names mapping'!$B$3:$BL$3,0))</f>
        <v>Nitrogen oxides</v>
      </c>
      <c r="B585" s="7">
        <f>INDEX('vehicles specifications'!$B$3:$CW$166,MATCH(B549,'vehicles specifications'!$A$3:$A$166,0),MATCH(G585,'vehicles specifications'!$B$2:$CW$2,0))*INDEX('ei names mapping'!$B$137:$BL$300,MATCH(B549,'ei names mapping'!$A$137:$A$300,0),MATCH(G585,'ei names mapping'!$B$136:$BL$136,0))</f>
        <v>1.3246899026788587E-4</v>
      </c>
      <c r="D585" t="str">
        <f>INDEX('ei names mapping'!$B$104:$BL$133,MATCH(B546,'ei names mapping'!$A$4:$A$33,0),MATCH(G585,'ei names mapping'!$B$3:$BL$3,0))</f>
        <v>kilogram</v>
      </c>
      <c r="E585" t="str">
        <f>INDEX('ei names mapping'!$B$305:$BL$335,MATCH(B546,'ei names mapping'!$A$4:$A$33,0),MATCH(G585,'ei names mapping'!$B$3:$BL$3,0))</f>
        <v>air::urban air close to ground</v>
      </c>
      <c r="F585" t="s">
        <v>167</v>
      </c>
      <c r="G585" t="s">
        <v>60</v>
      </c>
    </row>
    <row r="586" spans="1:7" x14ac:dyDescent="0.2">
      <c r="A586" t="str">
        <f>INDEX('ei names mapping'!$B$4:$BL$33,MATCH(B546,'ei names mapping'!$A$4:$A$33,0),MATCH(G586,'ei names mapping'!$B$3:$BL$3,0))</f>
        <v>Particulates, &lt; 2.5 um</v>
      </c>
      <c r="B586" s="7">
        <f>INDEX('vehicles specifications'!$B$3:$CW$166,MATCH(B$549,'vehicles specifications'!$A$3:$A$166,0),MATCH(G586,'vehicles specifications'!$B$2:$CW$2,0))*INDEX('ei names mapping'!$B$137:$BL$300,MATCH(B$549,'ei names mapping'!$A$137:$A$300,0),MATCH(G586,'ei names mapping'!$B$136:$BL$136,0))</f>
        <v>1.014484891093305E-5</v>
      </c>
      <c r="D586" t="str">
        <f>INDEX('ei names mapping'!$B$104:$BL$133,MATCH(B546,'ei names mapping'!$A$4:$A$33,0),MATCH(G586,'ei names mapping'!$B$3:$BL$3,0))</f>
        <v>kilogram</v>
      </c>
      <c r="E586" t="str">
        <f>INDEX('ei names mapping'!$B$305:$BL$335,MATCH(B546,'ei names mapping'!$A$4:$A$33,0),MATCH(G586,'ei names mapping'!$B$3:$BL$3,0))</f>
        <v>air::urban air close to ground</v>
      </c>
      <c r="F586" t="s">
        <v>167</v>
      </c>
      <c r="G586" t="s">
        <v>62</v>
      </c>
    </row>
    <row r="587" spans="1:7" x14ac:dyDescent="0.2">
      <c r="A587" t="str">
        <f>INDEX('ei names mapping'!$B$4:$BL$33,MATCH(B$234,'ei names mapping'!$A$4:$A$33,0),MATCH(G587,'ei names mapping'!$B$3:$BL$3,0))</f>
        <v>NMVOC, non-methane volatile organic compounds, unspecified origin</v>
      </c>
      <c r="B587" s="7">
        <f>INDEX('vehicles specifications'!$B$3:$CW$166,MATCH(B$549,'vehicles specifications'!$A$3:$A$166,0),MATCH(G587,'vehicles specifications'!$B$2:$CW$2,0))*INDEX('ei names mapping'!$B$137:$BL$300,MATCH(B$549,'ei names mapping'!$A$137:$A$300,0),MATCH(G587,'ei names mapping'!$B$136:$BL$136,0))</f>
        <v>6.192174723861593E-4</v>
      </c>
      <c r="D587" t="str">
        <f>INDEX('ei names mapping'!$B$104:$BL$133,MATCH(B$234,'ei names mapping'!$A$4:$A$33,0),MATCH(G587,'ei names mapping'!$B$3:$BL$3,0))</f>
        <v>kilogram</v>
      </c>
      <c r="E587" t="str">
        <f>INDEX('ei names mapping'!$B$305:$BL$335,MATCH(B$234,'ei names mapping'!$A$4:$A$33,0),MATCH(G587,'ei names mapping'!$B$3:$BL$3,0))</f>
        <v>air::urban air close to ground</v>
      </c>
      <c r="F587" t="s">
        <v>167</v>
      </c>
      <c r="G587" t="s">
        <v>593</v>
      </c>
    </row>
    <row r="588" spans="1:7" x14ac:dyDescent="0.2">
      <c r="A588" t="str">
        <f>INDEX('ei names mapping'!$B$4:$BL$33,MATCH(B$234,'ei names mapping'!$A$4:$A$33,0),MATCH(G588,'ei names mapping'!$B$3:$BL$3,0))</f>
        <v>Ethane</v>
      </c>
      <c r="B588" s="7">
        <f>INDEX('vehicles specifications'!$B$3:$CW$166,MATCH(B$549,'vehicles specifications'!$A$3:$A$166,0),MATCH(G588,'vehicles specifications'!$B$2:$CW$2,0))*INDEX('ei names mapping'!$B$137:$BL$300,MATCH(B$549,'ei names mapping'!$A$137:$A$300,0),MATCH(G588,'ei names mapping'!$B$136:$BL$136,0))</f>
        <v>4.3662770488767639E-5</v>
      </c>
      <c r="D588" t="str">
        <f>INDEX('ei names mapping'!$B$104:$BL$133,MATCH(B$234,'ei names mapping'!$A$4:$A$33,0),MATCH(G588,'ei names mapping'!$B$3:$BL$3,0))</f>
        <v>kilogram</v>
      </c>
      <c r="E588" t="str">
        <f>INDEX('ei names mapping'!$B$305:$BL$335,MATCH(B$234,'ei names mapping'!$A$4:$A$33,0),MATCH(G588,'ei names mapping'!$B$3:$BL$3,0))</f>
        <v>air::urban air close to ground</v>
      </c>
      <c r="F588" t="s">
        <v>167</v>
      </c>
      <c r="G588" t="s">
        <v>541</v>
      </c>
    </row>
    <row r="589" spans="1:7" x14ac:dyDescent="0.2">
      <c r="A589" t="str">
        <f>INDEX('ei names mapping'!$B$4:$BL$33,MATCH(B$234,'ei names mapping'!$A$4:$A$33,0),MATCH(G589,'ei names mapping'!$B$3:$BL$3,0))</f>
        <v>Propane</v>
      </c>
      <c r="B589" s="7">
        <f>INDEX('vehicles specifications'!$B$3:$CW$166,MATCH(B$549,'vehicles specifications'!$A$3:$A$166,0),MATCH(G589,'vehicles specifications'!$B$2:$CW$2,0))*INDEX('ei names mapping'!$B$137:$BL$300,MATCH(B$549,'ei names mapping'!$A$137:$A$300,0),MATCH(G589,'ei names mapping'!$B$136:$BL$136,0))</f>
        <v>8.8968027641689555E-6</v>
      </c>
      <c r="D589" t="str">
        <f>INDEX('ei names mapping'!$B$104:$BL$133,MATCH(B$234,'ei names mapping'!$A$4:$A$33,0),MATCH(G589,'ei names mapping'!$B$3:$BL$3,0))</f>
        <v>kilogram</v>
      </c>
      <c r="E589" t="str">
        <f>INDEX('ei names mapping'!$B$305:$BL$335,MATCH(B$234,'ei names mapping'!$A$4:$A$33,0),MATCH(G589,'ei names mapping'!$B$3:$BL$3,0))</f>
        <v>air::urban air close to ground</v>
      </c>
      <c r="F589" t="s">
        <v>167</v>
      </c>
      <c r="G589" t="s">
        <v>542</v>
      </c>
    </row>
    <row r="590" spans="1:7" x14ac:dyDescent="0.2">
      <c r="A590" t="str">
        <f>INDEX('ei names mapping'!$B$4:$BL$33,MATCH(B$234,'ei names mapping'!$A$4:$A$33,0),MATCH(G590,'ei names mapping'!$B$3:$BL$3,0))</f>
        <v>Butane</v>
      </c>
      <c r="B590" s="7">
        <f>INDEX('vehicles specifications'!$B$3:$CW$166,MATCH(B$549,'vehicles specifications'!$A$3:$A$166,0),MATCH(G590,'vehicles specifications'!$B$2:$CW$2,0))*INDEX('ei names mapping'!$B$137:$BL$300,MATCH(B$549,'ei names mapping'!$A$137:$A$300,0),MATCH(G590,'ei names mapping'!$B$136:$BL$136,0))</f>
        <v>7.1721917668069734E-5</v>
      </c>
      <c r="D590" t="str">
        <f>INDEX('ei names mapping'!$B$104:$BL$133,MATCH(B$234,'ei names mapping'!$A$4:$A$33,0),MATCH(G590,'ei names mapping'!$B$3:$BL$3,0))</f>
        <v>kilogram</v>
      </c>
      <c r="E590" t="str">
        <f>INDEX('ei names mapping'!$B$305:$BL$335,MATCH(B$234,'ei names mapping'!$A$4:$A$33,0),MATCH(G590,'ei names mapping'!$B$3:$BL$3,0))</f>
        <v>air::urban air close to ground</v>
      </c>
      <c r="F590" t="s">
        <v>167</v>
      </c>
      <c r="G590" t="s">
        <v>543</v>
      </c>
    </row>
    <row r="591" spans="1:7" x14ac:dyDescent="0.2">
      <c r="A591" t="str">
        <f>INDEX('ei names mapping'!$B$4:$BL$33,MATCH(B$234,'ei names mapping'!$A$4:$A$33,0),MATCH(G591,'ei names mapping'!$B$3:$BL$3,0))</f>
        <v>Pentane</v>
      </c>
      <c r="B591" s="7">
        <f>INDEX('vehicles specifications'!$B$3:$CW$166,MATCH(B$549,'vehicles specifications'!$A$3:$A$166,0),MATCH(G591,'vehicles specifications'!$B$2:$CW$2,0))*INDEX('ei names mapping'!$B$137:$BL$300,MATCH(B$549,'ei names mapping'!$A$137:$A$300,0),MATCH(G591,'ei names mapping'!$B$136:$BL$136,0))</f>
        <v>2.9427886066097313E-5</v>
      </c>
      <c r="D591" t="str">
        <f>INDEX('ei names mapping'!$B$104:$BL$133,MATCH(B$234,'ei names mapping'!$A$4:$A$33,0),MATCH(G591,'ei names mapping'!$B$3:$BL$3,0))</f>
        <v>kilogram</v>
      </c>
      <c r="E591" t="str">
        <f>INDEX('ei names mapping'!$B$305:$BL$335,MATCH(B$234,'ei names mapping'!$A$4:$A$33,0),MATCH(G591,'ei names mapping'!$B$3:$BL$3,0))</f>
        <v>air::urban air close to ground</v>
      </c>
      <c r="F591" t="s">
        <v>167</v>
      </c>
      <c r="G591" t="s">
        <v>544</v>
      </c>
    </row>
    <row r="592" spans="1:7" x14ac:dyDescent="0.2">
      <c r="A592" t="str">
        <f>INDEX('ei names mapping'!$B$4:$BL$33,MATCH(B$234,'ei names mapping'!$A$4:$A$33,0),MATCH(G592,'ei names mapping'!$B$3:$BL$3,0))</f>
        <v>Hexane</v>
      </c>
      <c r="B592" s="7">
        <f>INDEX('vehicles specifications'!$B$3:$CW$166,MATCH(B$549,'vehicles specifications'!$A$3:$A$166,0),MATCH(G592,'vehicles specifications'!$B$2:$CW$2,0))*INDEX('ei names mapping'!$B$137:$BL$300,MATCH(B$549,'ei names mapping'!$A$137:$A$300,0),MATCH(G592,'ei names mapping'!$B$136:$BL$136,0))</f>
        <v>2.2036696077403105E-5</v>
      </c>
      <c r="D592" t="str">
        <f>INDEX('ei names mapping'!$B$104:$BL$133,MATCH(B$234,'ei names mapping'!$A$4:$A$33,0),MATCH(G592,'ei names mapping'!$B$3:$BL$3,0))</f>
        <v>kilogram</v>
      </c>
      <c r="E592" t="str">
        <f>INDEX('ei names mapping'!$B$305:$BL$335,MATCH(B$234,'ei names mapping'!$A$4:$A$33,0),MATCH(G592,'ei names mapping'!$B$3:$BL$3,0))</f>
        <v>air::urban air close to ground</v>
      </c>
      <c r="F592" t="s">
        <v>167</v>
      </c>
      <c r="G592" t="s">
        <v>545</v>
      </c>
    </row>
    <row r="593" spans="1:7" x14ac:dyDescent="0.2">
      <c r="A593" t="str">
        <f>INDEX('ei names mapping'!$B$4:$BL$33,MATCH(B$234,'ei names mapping'!$A$4:$A$33,0),MATCH(G593,'ei names mapping'!$B$3:$BL$3,0))</f>
        <v>Cyclohexane</v>
      </c>
      <c r="B593" s="7">
        <f>INDEX('vehicles specifications'!$B$3:$CW$166,MATCH(B$549,'vehicles specifications'!$A$3:$A$166,0),MATCH(G593,'vehicles specifications'!$B$2:$CW$2,0))*INDEX('ei names mapping'!$B$137:$BL$300,MATCH(B$549,'ei names mapping'!$A$137:$A$300,0),MATCH(G593,'ei names mapping'!$B$136:$BL$136,0))</f>
        <v>1.5603623309465551E-5</v>
      </c>
      <c r="D593" t="str">
        <f>INDEX('ei names mapping'!$B$104:$BL$133,MATCH(B$234,'ei names mapping'!$A$4:$A$33,0),MATCH(G593,'ei names mapping'!$B$3:$BL$3,0))</f>
        <v>kilogram</v>
      </c>
      <c r="E593" t="str">
        <f>INDEX('ei names mapping'!$B$305:$BL$335,MATCH(B$234,'ei names mapping'!$A$4:$A$33,0),MATCH(G593,'ei names mapping'!$B$3:$BL$3,0))</f>
        <v>air::urban air close to ground</v>
      </c>
      <c r="F593" t="s">
        <v>167</v>
      </c>
      <c r="G593" t="s">
        <v>546</v>
      </c>
    </row>
    <row r="594" spans="1:7" x14ac:dyDescent="0.2">
      <c r="A594" t="str">
        <f>INDEX('ei names mapping'!$B$4:$BL$33,MATCH(B$234,'ei names mapping'!$A$4:$A$33,0),MATCH(G594,'ei names mapping'!$B$3:$BL$3,0))</f>
        <v>Heptane</v>
      </c>
      <c r="B594" s="7">
        <f>INDEX('vehicles specifications'!$B$3:$CW$166,MATCH(B$549,'vehicles specifications'!$A$3:$A$166,0),MATCH(G594,'vehicles specifications'!$B$2:$CW$2,0))*INDEX('ei names mapping'!$B$137:$BL$300,MATCH(B$549,'ei names mapping'!$A$137:$A$300,0),MATCH(G594,'ei names mapping'!$B$136:$BL$136,0))</f>
        <v>1.0128667762284656E-5</v>
      </c>
      <c r="D594" t="str">
        <f>INDEX('ei names mapping'!$B$104:$BL$133,MATCH(B$234,'ei names mapping'!$A$4:$A$33,0),MATCH(G594,'ei names mapping'!$B$3:$BL$3,0))</f>
        <v>kilogram</v>
      </c>
      <c r="E594" t="str">
        <f>INDEX('ei names mapping'!$B$305:$BL$335,MATCH(B$234,'ei names mapping'!$A$4:$A$33,0),MATCH(G594,'ei names mapping'!$B$3:$BL$3,0))</f>
        <v>air::urban air close to ground</v>
      </c>
      <c r="F594" t="s">
        <v>167</v>
      </c>
      <c r="G594" t="s">
        <v>547</v>
      </c>
    </row>
    <row r="595" spans="1:7" x14ac:dyDescent="0.2">
      <c r="A595" t="str">
        <f>INDEX('ei names mapping'!$B$4:$BL$33,MATCH(B$234,'ei names mapping'!$A$4:$A$33,0),MATCH(G595,'ei names mapping'!$B$3:$BL$3,0))</f>
        <v>Ethene</v>
      </c>
      <c r="B595" s="7">
        <f>INDEX('vehicles specifications'!$B$3:$CW$166,MATCH(B$549,'vehicles specifications'!$A$3:$A$166,0),MATCH(G595,'vehicles specifications'!$B$2:$CW$2,0))*INDEX('ei names mapping'!$B$137:$BL$300,MATCH(B$549,'ei names mapping'!$A$137:$A$300,0),MATCH(G595,'ei names mapping'!$B$136:$BL$136,0))</f>
        <v>9.9917938736051348E-5</v>
      </c>
      <c r="D595" t="str">
        <f>INDEX('ei names mapping'!$B$104:$BL$133,MATCH(B$234,'ei names mapping'!$A$4:$A$33,0),MATCH(G595,'ei names mapping'!$B$3:$BL$3,0))</f>
        <v>kilogram</v>
      </c>
      <c r="E595" t="str">
        <f>INDEX('ei names mapping'!$B$305:$BL$335,MATCH(B$234,'ei names mapping'!$A$4:$A$33,0),MATCH(G595,'ei names mapping'!$B$3:$BL$3,0))</f>
        <v>air::urban air close to ground</v>
      </c>
      <c r="F595" t="s">
        <v>167</v>
      </c>
      <c r="G595" t="s">
        <v>548</v>
      </c>
    </row>
    <row r="596" spans="1:7" x14ac:dyDescent="0.2">
      <c r="A596" t="str">
        <f>INDEX('ei names mapping'!$B$4:$BL$33,MATCH(B$234,'ei names mapping'!$A$4:$A$33,0),MATCH(G596,'ei names mapping'!$B$3:$BL$3,0))</f>
        <v>Propene</v>
      </c>
      <c r="B596" s="7">
        <f>INDEX('vehicles specifications'!$B$3:$CW$166,MATCH(B$549,'vehicles specifications'!$A$3:$A$166,0),MATCH(G596,'vehicles specifications'!$B$2:$CW$2,0))*INDEX('ei names mapping'!$B$137:$BL$300,MATCH(B$549,'ei names mapping'!$A$137:$A$300,0),MATCH(G596,'ei names mapping'!$B$136:$BL$136,0))</f>
        <v>5.2285825475577546E-5</v>
      </c>
      <c r="D596" t="str">
        <f>INDEX('ei names mapping'!$B$104:$BL$133,MATCH(B$234,'ei names mapping'!$A$4:$A$33,0),MATCH(G596,'ei names mapping'!$B$3:$BL$3,0))</f>
        <v>kilogram</v>
      </c>
      <c r="E596" t="str">
        <f>INDEX('ei names mapping'!$B$305:$BL$335,MATCH(B$234,'ei names mapping'!$A$4:$A$33,0),MATCH(G596,'ei names mapping'!$B$3:$BL$3,0))</f>
        <v>air::urban air close to ground</v>
      </c>
      <c r="F596" t="s">
        <v>167</v>
      </c>
      <c r="G596" t="s">
        <v>549</v>
      </c>
    </row>
    <row r="597" spans="1:7" x14ac:dyDescent="0.2">
      <c r="A597" t="str">
        <f>INDEX('ei names mapping'!$B$4:$BL$33,MATCH(B$234,'ei names mapping'!$A$4:$A$33,0),MATCH(G597,'ei names mapping'!$B$3:$BL$3,0))</f>
        <v>1-Pentene</v>
      </c>
      <c r="B597" s="7">
        <f>INDEX('vehicles specifications'!$B$3:$CW$166,MATCH(B$549,'vehicles specifications'!$A$3:$A$166,0),MATCH(G597,'vehicles specifications'!$B$2:$CW$2,0))*INDEX('ei names mapping'!$B$137:$BL$300,MATCH(B$549,'ei names mapping'!$A$137:$A$300,0),MATCH(G597,'ei names mapping'!$B$136:$BL$136,0))</f>
        <v>1.5056127754747464E-6</v>
      </c>
      <c r="D597" t="str">
        <f>INDEX('ei names mapping'!$B$104:$BL$133,MATCH(B$234,'ei names mapping'!$A$4:$A$33,0),MATCH(G597,'ei names mapping'!$B$3:$BL$3,0))</f>
        <v>kilogram</v>
      </c>
      <c r="E597" t="str">
        <f>INDEX('ei names mapping'!$B$305:$BL$335,MATCH(B$234,'ei names mapping'!$A$4:$A$33,0),MATCH(G597,'ei names mapping'!$B$3:$BL$3,0))</f>
        <v>air::urban air close to ground</v>
      </c>
      <c r="F597" t="s">
        <v>167</v>
      </c>
      <c r="G597" t="s">
        <v>550</v>
      </c>
    </row>
    <row r="598" spans="1:7" x14ac:dyDescent="0.2">
      <c r="A598" t="str">
        <f>INDEX('ei names mapping'!$B$4:$BL$33,MATCH(B$234,'ei names mapping'!$A$4:$A$33,0),MATCH(G598,'ei names mapping'!$B$3:$BL$3,0))</f>
        <v>Toluene</v>
      </c>
      <c r="B598" s="7">
        <f>INDEX('vehicles specifications'!$B$3:$CW$166,MATCH(B$549,'vehicles specifications'!$A$3:$A$166,0),MATCH(G598,'vehicles specifications'!$B$2:$CW$2,0))*INDEX('ei names mapping'!$B$137:$BL$300,MATCH(B$549,'ei names mapping'!$A$137:$A$300,0),MATCH(G598,'ei names mapping'!$B$136:$BL$136,0))</f>
        <v>1.5028752977011559E-4</v>
      </c>
      <c r="D598" t="str">
        <f>INDEX('ei names mapping'!$B$104:$BL$133,MATCH(B$234,'ei names mapping'!$A$4:$A$33,0),MATCH(G598,'ei names mapping'!$B$3:$BL$3,0))</f>
        <v>kilogram</v>
      </c>
      <c r="E598" t="str">
        <f>INDEX('ei names mapping'!$B$305:$BL$335,MATCH(B$234,'ei names mapping'!$A$4:$A$33,0),MATCH(G598,'ei names mapping'!$B$3:$BL$3,0))</f>
        <v>air::urban air close to ground</v>
      </c>
      <c r="F598" t="s">
        <v>167</v>
      </c>
      <c r="G598" t="s">
        <v>551</v>
      </c>
    </row>
    <row r="599" spans="1:7" x14ac:dyDescent="0.2">
      <c r="A599" t="str">
        <f>INDEX('ei names mapping'!$B$4:$BL$33,MATCH(B$234,'ei names mapping'!$A$4:$A$33,0),MATCH(G599,'ei names mapping'!$B$3:$BL$3,0))</f>
        <v>m-Xylene</v>
      </c>
      <c r="B599" s="7">
        <f>INDEX('vehicles specifications'!$B$3:$CW$166,MATCH(B$549,'vehicles specifications'!$A$3:$A$166,0),MATCH(G599,'vehicles specifications'!$B$2:$CW$2,0))*INDEX('ei names mapping'!$B$137:$BL$300,MATCH(B$549,'ei names mapping'!$A$137:$A$300,0),MATCH(G599,'ei names mapping'!$B$136:$BL$136,0))</f>
        <v>7.4322521552980665E-5</v>
      </c>
      <c r="D599" t="str">
        <f>INDEX('ei names mapping'!$B$104:$BL$133,MATCH(B$234,'ei names mapping'!$A$4:$A$33,0),MATCH(G599,'ei names mapping'!$B$3:$BL$3,0))</f>
        <v>kilogram</v>
      </c>
      <c r="E599" t="str">
        <f>INDEX('ei names mapping'!$B$305:$BL$335,MATCH(B$234,'ei names mapping'!$A$4:$A$33,0),MATCH(G599,'ei names mapping'!$B$3:$BL$3,0))</f>
        <v>air::urban air close to ground</v>
      </c>
      <c r="F599" t="s">
        <v>167</v>
      </c>
      <c r="G599" t="s">
        <v>552</v>
      </c>
    </row>
    <row r="600" spans="1:7" x14ac:dyDescent="0.2">
      <c r="A600" t="str">
        <f>INDEX('ei names mapping'!$B$4:$BL$33,MATCH(B$234,'ei names mapping'!$A$4:$A$33,0),MATCH(G600,'ei names mapping'!$B$3:$BL$3,0))</f>
        <v>o-Xylene</v>
      </c>
      <c r="B600" s="7">
        <f>INDEX('vehicles specifications'!$B$3:$CW$166,MATCH(B$549,'vehicles specifications'!$A$3:$A$166,0),MATCH(G600,'vehicles specifications'!$B$2:$CW$2,0))*INDEX('ei names mapping'!$B$137:$BL$300,MATCH(B$549,'ei names mapping'!$A$137:$A$300,0),MATCH(G600,'ei names mapping'!$B$136:$BL$136,0))</f>
        <v>3.0933498841572057E-5</v>
      </c>
      <c r="D600" t="str">
        <f>INDEX('ei names mapping'!$B$104:$BL$133,MATCH(B$234,'ei names mapping'!$A$4:$A$33,0),MATCH(G600,'ei names mapping'!$B$3:$BL$3,0))</f>
        <v>kilogram</v>
      </c>
      <c r="E600" t="str">
        <f>INDEX('ei names mapping'!$B$305:$BL$335,MATCH(B$234,'ei names mapping'!$A$4:$A$33,0),MATCH(G600,'ei names mapping'!$B$3:$BL$3,0))</f>
        <v>air::urban air close to ground</v>
      </c>
      <c r="F600" t="s">
        <v>167</v>
      </c>
      <c r="G600" t="s">
        <v>553</v>
      </c>
    </row>
    <row r="601" spans="1:7" x14ac:dyDescent="0.2">
      <c r="A601" t="str">
        <f>INDEX('ei names mapping'!$B$4:$BL$33,MATCH(B$234,'ei names mapping'!$A$4:$A$33,0),MATCH(G601,'ei names mapping'!$B$3:$BL$3,0))</f>
        <v>Formaldehyde</v>
      </c>
      <c r="B601" s="7">
        <f>INDEX('vehicles specifications'!$B$3:$CW$166,MATCH(B$549,'vehicles specifications'!$A$3:$A$166,0),MATCH(G601,'vehicles specifications'!$B$2:$CW$2,0))*INDEX('ei names mapping'!$B$137:$BL$300,MATCH(B$549,'ei names mapping'!$A$137:$A$300,0),MATCH(G601,'ei names mapping'!$B$136:$BL$136,0))</f>
        <v>2.3268561075518807E-5</v>
      </c>
      <c r="D601" t="str">
        <f>INDEX('ei names mapping'!$B$104:$BL$133,MATCH(B$234,'ei names mapping'!$A$4:$A$33,0),MATCH(G601,'ei names mapping'!$B$3:$BL$3,0))</f>
        <v>kilogram</v>
      </c>
      <c r="E601" t="str">
        <f>INDEX('ei names mapping'!$B$305:$BL$335,MATCH(B$234,'ei names mapping'!$A$4:$A$33,0),MATCH(G601,'ei names mapping'!$B$3:$BL$3,0))</f>
        <v>air::urban air close to ground</v>
      </c>
      <c r="F601" t="s">
        <v>167</v>
      </c>
      <c r="G601" t="s">
        <v>554</v>
      </c>
    </row>
    <row r="602" spans="1:7" x14ac:dyDescent="0.2">
      <c r="A602" t="str">
        <f>INDEX('ei names mapping'!$B$4:$BL$33,MATCH(B$234,'ei names mapping'!$A$4:$A$33,0),MATCH(G602,'ei names mapping'!$B$3:$BL$3,0))</f>
        <v>Acetaldehyde</v>
      </c>
      <c r="B602" s="7">
        <f>INDEX('vehicles specifications'!$B$3:$CW$166,MATCH(B$549,'vehicles specifications'!$A$3:$A$166,0),MATCH(G602,'vehicles specifications'!$B$2:$CW$2,0))*INDEX('ei names mapping'!$B$137:$BL$300,MATCH(B$549,'ei names mapping'!$A$137:$A$300,0),MATCH(G602,'ei names mapping'!$B$136:$BL$136,0))</f>
        <v>1.0265541650964179E-5</v>
      </c>
      <c r="D602" t="str">
        <f>INDEX('ei names mapping'!$B$104:$BL$133,MATCH(B$234,'ei names mapping'!$A$4:$A$33,0),MATCH(G602,'ei names mapping'!$B$3:$BL$3,0))</f>
        <v>kilogram</v>
      </c>
      <c r="E602" t="str">
        <f>INDEX('ei names mapping'!$B$305:$BL$335,MATCH(B$234,'ei names mapping'!$A$4:$A$33,0),MATCH(G602,'ei names mapping'!$B$3:$BL$3,0))</f>
        <v>air::urban air close to ground</v>
      </c>
      <c r="F602" t="s">
        <v>167</v>
      </c>
      <c r="G602" t="s">
        <v>555</v>
      </c>
    </row>
    <row r="603" spans="1:7" x14ac:dyDescent="0.2">
      <c r="A603" t="str">
        <f>INDEX('ei names mapping'!$B$4:$BL$33,MATCH(B$234,'ei names mapping'!$A$4:$A$33,0),MATCH(G603,'ei names mapping'!$B$3:$BL$3,0))</f>
        <v>Benzaldehyde</v>
      </c>
      <c r="B603" s="7">
        <f>INDEX('vehicles specifications'!$B$3:$CW$166,MATCH(B$549,'vehicles specifications'!$A$3:$A$166,0),MATCH(G603,'vehicles specifications'!$B$2:$CW$2,0))*INDEX('ei names mapping'!$B$137:$BL$300,MATCH(B$549,'ei names mapping'!$A$137:$A$300,0),MATCH(G603,'ei names mapping'!$B$136:$BL$136,0))</f>
        <v>3.0112255509494928E-6</v>
      </c>
      <c r="D603" t="str">
        <f>INDEX('ei names mapping'!$B$104:$BL$133,MATCH(B$234,'ei names mapping'!$A$4:$A$33,0),MATCH(G603,'ei names mapping'!$B$3:$BL$3,0))</f>
        <v>kilogram</v>
      </c>
      <c r="E603" t="str">
        <f>INDEX('ei names mapping'!$B$305:$BL$335,MATCH(B$234,'ei names mapping'!$A$4:$A$33,0),MATCH(G603,'ei names mapping'!$B$3:$BL$3,0))</f>
        <v>air::urban air close to ground</v>
      </c>
      <c r="F603" t="s">
        <v>167</v>
      </c>
      <c r="G603" t="s">
        <v>556</v>
      </c>
    </row>
    <row r="604" spans="1:7" x14ac:dyDescent="0.2">
      <c r="A604" t="str">
        <f>INDEX('ei names mapping'!$B$4:$BL$33,MATCH(B$234,'ei names mapping'!$A$4:$A$33,0),MATCH(G604,'ei names mapping'!$B$3:$BL$3,0))</f>
        <v>Acetone</v>
      </c>
      <c r="B604" s="7">
        <f>INDEX('vehicles specifications'!$B$3:$CW$166,MATCH(B$549,'vehicles specifications'!$A$3:$A$166,0),MATCH(G604,'vehicles specifications'!$B$2:$CW$2,0))*INDEX('ei names mapping'!$B$137:$BL$300,MATCH(B$549,'ei names mapping'!$A$137:$A$300,0),MATCH(G604,'ei names mapping'!$B$136:$BL$136,0))</f>
        <v>8.3493072094508672E-6</v>
      </c>
      <c r="D604" t="str">
        <f>INDEX('ei names mapping'!$B$104:$BL$133,MATCH(B$234,'ei names mapping'!$A$4:$A$33,0),MATCH(G604,'ei names mapping'!$B$3:$BL$3,0))</f>
        <v>kilogram</v>
      </c>
      <c r="E604" t="str">
        <f>INDEX('ei names mapping'!$B$305:$BL$335,MATCH(B$234,'ei names mapping'!$A$4:$A$33,0),MATCH(G604,'ei names mapping'!$B$3:$BL$3,0))</f>
        <v>air::urban air close to ground</v>
      </c>
      <c r="F604" t="s">
        <v>167</v>
      </c>
      <c r="G604" t="s">
        <v>557</v>
      </c>
    </row>
    <row r="605" spans="1:7" x14ac:dyDescent="0.2">
      <c r="A605" t="str">
        <f>INDEX('ei names mapping'!$B$4:$BL$33,MATCH(B$234,'ei names mapping'!$A$4:$A$33,0),MATCH(G605,'ei names mapping'!$B$3:$BL$3,0))</f>
        <v>Methyl ethyl ketone</v>
      </c>
      <c r="B605" s="7">
        <f>INDEX('vehicles specifications'!$B$3:$CW$166,MATCH(B$549,'vehicles specifications'!$A$3:$A$166,0),MATCH(G605,'vehicles specifications'!$B$2:$CW$2,0))*INDEX('ei names mapping'!$B$137:$BL$300,MATCH(B$549,'ei names mapping'!$A$137:$A$300,0),MATCH(G605,'ei names mapping'!$B$136:$BL$136,0))</f>
        <v>0</v>
      </c>
      <c r="D605" t="str">
        <f>INDEX('ei names mapping'!$B$104:$BL$133,MATCH(B$234,'ei names mapping'!$A$4:$A$33,0),MATCH(G605,'ei names mapping'!$B$3:$BL$3,0))</f>
        <v>kilogram</v>
      </c>
      <c r="E605" t="str">
        <f>INDEX('ei names mapping'!$B$305:$BL$335,MATCH(B$234,'ei names mapping'!$A$4:$A$33,0),MATCH(G605,'ei names mapping'!$B$3:$BL$3,0))</f>
        <v>air::urban air close to ground</v>
      </c>
      <c r="F605" t="s">
        <v>167</v>
      </c>
      <c r="G605" t="s">
        <v>560</v>
      </c>
    </row>
    <row r="606" spans="1:7" x14ac:dyDescent="0.2">
      <c r="A606" t="str">
        <f>INDEX('ei names mapping'!$B$4:$BL$33,MATCH(B$234,'ei names mapping'!$A$4:$A$33,0),MATCH(G606,'ei names mapping'!$B$3:$BL$3,0))</f>
        <v>Acrolein</v>
      </c>
      <c r="B606" s="7">
        <f>INDEX('vehicles specifications'!$B$3:$CW$166,MATCH(B$549,'vehicles specifications'!$A$3:$A$166,0),MATCH(G606,'vehicles specifications'!$B$2:$CW$2,0))*INDEX('ei names mapping'!$B$137:$BL$300,MATCH(B$549,'ei names mapping'!$A$137:$A$300,0),MATCH(G606,'ei names mapping'!$B$136:$BL$136,0))</f>
        <v>2.6006038849109253E-6</v>
      </c>
      <c r="D606" t="str">
        <f>INDEX('ei names mapping'!$B$104:$BL$133,MATCH(B$234,'ei names mapping'!$A$4:$A$33,0),MATCH(G606,'ei names mapping'!$B$3:$BL$3,0))</f>
        <v>kilogram</v>
      </c>
      <c r="E606" t="str">
        <f>INDEX('ei names mapping'!$B$305:$BL$335,MATCH(B$234,'ei names mapping'!$A$4:$A$33,0),MATCH(G606,'ei names mapping'!$B$3:$BL$3,0))</f>
        <v>air::urban air close to ground</v>
      </c>
      <c r="F606" t="s">
        <v>167</v>
      </c>
      <c r="G606" t="s">
        <v>558</v>
      </c>
    </row>
    <row r="607" spans="1:7" x14ac:dyDescent="0.2">
      <c r="A607" t="str">
        <f>INDEX('ei names mapping'!$B$4:$BL$33,MATCH(B$234,'ei names mapping'!$A$4:$A$33,0),MATCH(G607,'ei names mapping'!$B$3:$BL$3,0))</f>
        <v>Styrene</v>
      </c>
      <c r="B607" s="7">
        <f>INDEX('vehicles specifications'!$B$3:$CW$166,MATCH(B$549,'vehicles specifications'!$A$3:$A$166,0),MATCH(G607,'vehicles specifications'!$B$2:$CW$2,0))*INDEX('ei names mapping'!$B$137:$BL$300,MATCH(B$549,'ei names mapping'!$A$137:$A$300,0),MATCH(G607,'ei names mapping'!$B$136:$BL$136,0))</f>
        <v>1.382426275663176E-5</v>
      </c>
      <c r="D607" t="str">
        <f>INDEX('ei names mapping'!$B$104:$BL$133,MATCH(B$234,'ei names mapping'!$A$4:$A$33,0),MATCH(G607,'ei names mapping'!$B$3:$BL$3,0))</f>
        <v>kilogram</v>
      </c>
      <c r="E607" t="str">
        <f>INDEX('ei names mapping'!$B$305:$BL$335,MATCH(B$234,'ei names mapping'!$A$4:$A$33,0),MATCH(G607,'ei names mapping'!$B$3:$BL$3,0))</f>
        <v>air::urban air close to ground</v>
      </c>
      <c r="F607" t="s">
        <v>167</v>
      </c>
      <c r="G607" t="s">
        <v>559</v>
      </c>
    </row>
    <row r="608" spans="1:7" x14ac:dyDescent="0.2">
      <c r="A608" t="str">
        <f>INDEX('ei names mapping'!$B$4:$BL$33,MATCH(B$234,'ei names mapping'!$A$4:$A$33,0),MATCH(G608,'ei names mapping'!$B$3:$BL$3,0))</f>
        <v>PAH, polycyclic aromatic hydrocarbons</v>
      </c>
      <c r="B608" s="7">
        <f>INDEX('vehicles specifications'!$B$3:$CW$166,MATCH(B$549,'vehicles specifications'!$A$3:$A$166,0),MATCH(G608,'vehicles specifications'!$B$2:$CW$2,0))*INDEX('ei names mapping'!$B$137:$BL$300,MATCH(B$549,'ei names mapping'!$A$137:$A$300,0),MATCH(G608,'ei names mapping'!$B$136:$BL$136,0))</f>
        <v>1.0340812507327478E-9</v>
      </c>
      <c r="D608" t="str">
        <f>INDEX('ei names mapping'!$B$104:$BL$133,MATCH(B$234,'ei names mapping'!$A$4:$A$33,0),MATCH(G608,'ei names mapping'!$B$3:$BL$3,0))</f>
        <v>kilogram</v>
      </c>
      <c r="E608" t="str">
        <f>INDEX('ei names mapping'!$B$305:$BL$335,MATCH(B$234,'ei names mapping'!$A$4:$A$33,0),MATCH(G608,'ei names mapping'!$B$3:$BL$3,0))</f>
        <v>air::urban air close to ground</v>
      </c>
      <c r="F608" t="s">
        <v>167</v>
      </c>
      <c r="G608" t="s">
        <v>561</v>
      </c>
    </row>
    <row r="609" spans="1:8" x14ac:dyDescent="0.2">
      <c r="A609" t="str">
        <f>INDEX('ei names mapping'!$B$4:$BL$33,MATCH(B$234,'ei names mapping'!$A$4:$A$33,0),MATCH(G609,'ei names mapping'!$B$3:$BL$3,0))</f>
        <v>Arsenic</v>
      </c>
      <c r="B609" s="7">
        <f>INDEX('vehicles specifications'!$B$3:$CW$166,MATCH(B$549,'vehicles specifications'!$A$3:$A$166,0),MATCH(G609,'vehicles specifications'!$B$2:$CW$2,0))*INDEX('ei names mapping'!$B$137:$BL$300,MATCH(B$549,'ei names mapping'!$A$137:$A$300,0),MATCH(G609,'ei names mapping'!$B$136:$BL$136,0))</f>
        <v>8.9144935407995503E-12</v>
      </c>
      <c r="D609" t="str">
        <f>INDEX('ei names mapping'!$B$104:$BL$133,MATCH(B$234,'ei names mapping'!$A$4:$A$33,0),MATCH(G609,'ei names mapping'!$B$3:$BL$3,0))</f>
        <v>kilogram</v>
      </c>
      <c r="E609" t="str">
        <f>INDEX('ei names mapping'!$B$305:$BL$335,MATCH(B$234,'ei names mapping'!$A$4:$A$33,0),MATCH(G609,'ei names mapping'!$B$3:$BL$3,0))</f>
        <v>air::urban air close to ground</v>
      </c>
      <c r="F609" t="s">
        <v>167</v>
      </c>
      <c r="G609" t="s">
        <v>562</v>
      </c>
    </row>
    <row r="610" spans="1:8" x14ac:dyDescent="0.2">
      <c r="A610" t="str">
        <f>INDEX('ei names mapping'!$B$4:$BL$33,MATCH(B$234,'ei names mapping'!$A$4:$A$33,0),MATCH(G610,'ei names mapping'!$B$3:$BL$3,0))</f>
        <v>Selenium</v>
      </c>
      <c r="B610" s="7">
        <f>INDEX('vehicles specifications'!$B$3:$CW$166,MATCH(B$549,'vehicles specifications'!$A$3:$A$166,0),MATCH(G610,'vehicles specifications'!$B$2:$CW$2,0))*INDEX('ei names mapping'!$B$137:$BL$300,MATCH(B$549,'ei names mapping'!$A$137:$A$300,0),MATCH(G610,'ei names mapping'!$B$136:$BL$136,0))</f>
        <v>5.9429956938663669E-12</v>
      </c>
      <c r="D610" t="str">
        <f>INDEX('ei names mapping'!$B$104:$BL$133,MATCH(B$234,'ei names mapping'!$A$4:$A$33,0),MATCH(G610,'ei names mapping'!$B$3:$BL$3,0))</f>
        <v>kilogram</v>
      </c>
      <c r="E610" t="str">
        <f>INDEX('ei names mapping'!$B$305:$BL$335,MATCH(B$234,'ei names mapping'!$A$4:$A$33,0),MATCH(G610,'ei names mapping'!$B$3:$BL$3,0))</f>
        <v>air::urban air close to ground</v>
      </c>
      <c r="F610" t="s">
        <v>167</v>
      </c>
      <c r="G610" t="s">
        <v>563</v>
      </c>
    </row>
    <row r="611" spans="1:8" x14ac:dyDescent="0.2">
      <c r="A611" t="str">
        <f>INDEX('ei names mapping'!$B$4:$BL$33,MATCH(B$234,'ei names mapping'!$A$4:$A$33,0),MATCH(G611,'ei names mapping'!$B$3:$BL$3,0))</f>
        <v>Zinc</v>
      </c>
      <c r="B611" s="7">
        <f>INDEX('vehicles specifications'!$B$3:$CW$166,MATCH(B$549,'vehicles specifications'!$A$3:$A$166,0),MATCH(G611,'vehicles specifications'!$B$2:$CW$2,0))*INDEX('ei names mapping'!$B$137:$BL$300,MATCH(B$549,'ei names mapping'!$A$137:$A$300,0),MATCH(G611,'ei names mapping'!$B$136:$BL$136,0))</f>
        <v>6.4184353493756758E-8</v>
      </c>
      <c r="D611" t="str">
        <f>INDEX('ei names mapping'!$B$104:$BL$133,MATCH(B$234,'ei names mapping'!$A$4:$A$33,0),MATCH(G611,'ei names mapping'!$B$3:$BL$3,0))</f>
        <v>kilogram</v>
      </c>
      <c r="E611" t="str">
        <f>INDEX('ei names mapping'!$B$305:$BL$335,MATCH(B$234,'ei names mapping'!$A$4:$A$33,0),MATCH(G611,'ei names mapping'!$B$3:$BL$3,0))</f>
        <v>air::urban air close to ground</v>
      </c>
      <c r="F611" t="s">
        <v>167</v>
      </c>
      <c r="G611" t="s">
        <v>564</v>
      </c>
    </row>
    <row r="612" spans="1:8" x14ac:dyDescent="0.2">
      <c r="A612" t="str">
        <f>INDEX('ei names mapping'!$B$4:$BL$33,MATCH(B$234,'ei names mapping'!$A$4:$A$33,0),MATCH(G612,'ei names mapping'!$B$3:$BL$3,0))</f>
        <v>Copper</v>
      </c>
      <c r="B612" s="7">
        <f>INDEX('vehicles specifications'!$B$3:$CW$166,MATCH(B$549,'vehicles specifications'!$A$3:$A$166,0),MATCH(G612,'vehicles specifications'!$B$2:$CW$2,0))*INDEX('ei names mapping'!$B$137:$BL$300,MATCH(B$549,'ei names mapping'!$A$137:$A$300,0),MATCH(G612,'ei names mapping'!$B$136:$BL$136,0))</f>
        <v>1.2480290957119369E-9</v>
      </c>
      <c r="D612" t="str">
        <f>INDEX('ei names mapping'!$B$104:$BL$133,MATCH(B$234,'ei names mapping'!$A$4:$A$33,0),MATCH(G612,'ei names mapping'!$B$3:$BL$3,0))</f>
        <v>kilogram</v>
      </c>
      <c r="E612" t="str">
        <f>INDEX('ei names mapping'!$B$305:$BL$335,MATCH(B$234,'ei names mapping'!$A$4:$A$33,0),MATCH(G612,'ei names mapping'!$B$3:$BL$3,0))</f>
        <v>air::urban air close to ground</v>
      </c>
      <c r="F612" t="s">
        <v>167</v>
      </c>
      <c r="G612" t="s">
        <v>522</v>
      </c>
    </row>
    <row r="613" spans="1:8" x14ac:dyDescent="0.2">
      <c r="A613" t="str">
        <f>INDEX('ei names mapping'!$B$4:$BL$33,MATCH(B$234,'ei names mapping'!$A$4:$A$33,0),MATCH(G613,'ei names mapping'!$B$3:$BL$3,0))</f>
        <v>Nickel</v>
      </c>
      <c r="B613" s="7">
        <f>INDEX('vehicles specifications'!$B$3:$CW$166,MATCH(B$549,'vehicles specifications'!$A$3:$A$166,0),MATCH(G613,'vehicles specifications'!$B$2:$CW$2,0))*INDEX('ei names mapping'!$B$137:$BL$300,MATCH(B$549,'ei names mapping'!$A$137:$A$300,0),MATCH(G613,'ei names mapping'!$B$136:$BL$136,0))</f>
        <v>3.8629472010131386E-10</v>
      </c>
      <c r="D613" t="str">
        <f>INDEX('ei names mapping'!$B$104:$BL$133,MATCH(B$234,'ei names mapping'!$A$4:$A$33,0),MATCH(G613,'ei names mapping'!$B$3:$BL$3,0))</f>
        <v>kilogram</v>
      </c>
      <c r="E613" t="str">
        <f>INDEX('ei names mapping'!$B$305:$BL$335,MATCH(B$234,'ei names mapping'!$A$4:$A$33,0),MATCH(G613,'ei names mapping'!$B$3:$BL$3,0))</f>
        <v>air::urban air close to ground</v>
      </c>
      <c r="F613" t="s">
        <v>167</v>
      </c>
      <c r="G613" t="s">
        <v>524</v>
      </c>
    </row>
    <row r="614" spans="1:8" x14ac:dyDescent="0.2">
      <c r="A614" t="str">
        <f>INDEX('ei names mapping'!$B$4:$BL$33,MATCH(B$234,'ei names mapping'!$A$4:$A$33,0),MATCH(G614,'ei names mapping'!$B$3:$BL$3,0))</f>
        <v>Chromium</v>
      </c>
      <c r="B614" s="7">
        <f>INDEX('vehicles specifications'!$B$3:$CW$166,MATCH(B$549,'vehicles specifications'!$A$3:$A$166,0),MATCH(G614,'vehicles specifications'!$B$2:$CW$2,0))*INDEX('ei names mapping'!$B$137:$BL$300,MATCH(B$549,'ei names mapping'!$A$137:$A$300,0),MATCH(G614,'ei names mapping'!$B$136:$BL$136,0))</f>
        <v>4.7543965550930935E-10</v>
      </c>
      <c r="D614" t="str">
        <f>INDEX('ei names mapping'!$B$104:$BL$133,MATCH(B$234,'ei names mapping'!$A$4:$A$33,0),MATCH(G614,'ei names mapping'!$B$3:$BL$3,0))</f>
        <v>kilogram</v>
      </c>
      <c r="E614" t="str">
        <f>INDEX('ei names mapping'!$B$305:$BL$335,MATCH(B$234,'ei names mapping'!$A$4:$A$33,0),MATCH(G614,'ei names mapping'!$B$3:$BL$3,0))</f>
        <v>air::urban air close to ground</v>
      </c>
      <c r="F614" t="s">
        <v>167</v>
      </c>
      <c r="G614" t="s">
        <v>523</v>
      </c>
    </row>
    <row r="615" spans="1:8" x14ac:dyDescent="0.2">
      <c r="A615" t="str">
        <f>INDEX('ei names mapping'!$B$4:$BL$33,MATCH(B$234,'ei names mapping'!$A$4:$A$33,0),MATCH(G615,'ei names mapping'!$B$3:$BL$3,0))</f>
        <v>Chromium VI</v>
      </c>
      <c r="B615" s="7">
        <f>INDEX('vehicles specifications'!$B$3:$CW$166,MATCH(B$549,'vehicles specifications'!$A$3:$A$166,0),MATCH(G615,'vehicles specifications'!$B$2:$CW$2,0))*INDEX('ei names mapping'!$B$137:$BL$300,MATCH(B$549,'ei names mapping'!$A$137:$A$300,0),MATCH(G615,'ei names mapping'!$B$136:$BL$136,0))</f>
        <v>9.5087931101861857E-13</v>
      </c>
      <c r="D615" t="str">
        <f>INDEX('ei names mapping'!$B$104:$BL$133,MATCH(B$234,'ei names mapping'!$A$4:$A$33,0),MATCH(G615,'ei names mapping'!$B$3:$BL$3,0))</f>
        <v>kilogram</v>
      </c>
      <c r="E615" t="str">
        <f>INDEX('ei names mapping'!$B$305:$BL$335,MATCH(B$234,'ei names mapping'!$A$4:$A$33,0),MATCH(G615,'ei names mapping'!$B$3:$BL$3,0))</f>
        <v>air::urban air close to ground</v>
      </c>
      <c r="F615" t="s">
        <v>167</v>
      </c>
      <c r="G615" t="s">
        <v>567</v>
      </c>
    </row>
    <row r="616" spans="1:8" x14ac:dyDescent="0.2">
      <c r="A616" t="str">
        <f>INDEX('ei names mapping'!$B$4:$BL$33,MATCH(B$234,'ei names mapping'!$A$4:$A$33,0),MATCH(G616,'ei names mapping'!$B$3:$BL$3,0))</f>
        <v>Mercury</v>
      </c>
      <c r="B616" s="7">
        <f>INDEX('vehicles specifications'!$B$3:$CW$166,MATCH(B$549,'vehicles specifications'!$A$3:$A$166,0),MATCH(G616,'vehicles specifications'!$B$2:$CW$2,0))*INDEX('ei names mapping'!$B$137:$BL$300,MATCH(B$549,'ei names mapping'!$A$137:$A$300,0),MATCH(G616,'ei names mapping'!$B$136:$BL$136,0))</f>
        <v>2.5852031268318695E-10</v>
      </c>
      <c r="D616" t="str">
        <f>INDEX('ei names mapping'!$B$104:$BL$133,MATCH(B$234,'ei names mapping'!$A$4:$A$33,0),MATCH(G616,'ei names mapping'!$B$3:$BL$3,0))</f>
        <v>kilogram</v>
      </c>
      <c r="E616" t="str">
        <f>INDEX('ei names mapping'!$B$305:$BL$335,MATCH(B$234,'ei names mapping'!$A$4:$A$33,0),MATCH(G616,'ei names mapping'!$B$3:$BL$3,0))</f>
        <v>air::urban air close to ground</v>
      </c>
      <c r="F616" t="s">
        <v>167</v>
      </c>
      <c r="G616" t="s">
        <v>565</v>
      </c>
    </row>
    <row r="617" spans="1:8" x14ac:dyDescent="0.2">
      <c r="A617" t="str">
        <f>INDEX('ei names mapping'!$B$4:$BL$33,MATCH(B$234,'ei names mapping'!$A$4:$A$33,0),MATCH(G617,'ei names mapping'!$B$3:$BL$3,0))</f>
        <v>Cadmium</v>
      </c>
      <c r="B617" s="7">
        <f>INDEX('vehicles specifications'!$B$3:$CW$166,MATCH(B$549,'vehicles specifications'!$A$3:$A$166,0),MATCH(G617,'vehicles specifications'!$B$2:$CW$2,0))*INDEX('ei names mapping'!$B$137:$BL$300,MATCH(B$549,'ei names mapping'!$A$137:$A$300,0),MATCH(G617,'ei names mapping'!$B$136:$BL$136,0))</f>
        <v>3.2092176746878389E-10</v>
      </c>
      <c r="D617" t="str">
        <f>INDEX('ei names mapping'!$B$104:$BL$133,MATCH(B$234,'ei names mapping'!$A$4:$A$33,0),MATCH(G617,'ei names mapping'!$B$3:$BL$3,0))</f>
        <v>kilogram</v>
      </c>
      <c r="E617" t="str">
        <f>INDEX('ei names mapping'!$B$305:$BL$335,MATCH(B$234,'ei names mapping'!$A$4:$A$33,0),MATCH(G617,'ei names mapping'!$B$3:$BL$3,0))</f>
        <v>air::urban air close to ground</v>
      </c>
      <c r="F617" t="s">
        <v>167</v>
      </c>
      <c r="G617" t="s">
        <v>566</v>
      </c>
    </row>
    <row r="618" spans="1:8" x14ac:dyDescent="0.2">
      <c r="A618" t="str">
        <f>INDEX('ei names mapping'!$B$4:$BL$33,MATCH(B546,'ei names mapping'!$A$4:$A$33,0),MATCH(G618,'ei names mapping'!$B$3:$BL$3,0))</f>
        <v>treatment of road wear emissions, passenger car</v>
      </c>
      <c r="B618" s="7">
        <f>INDEX('vehicles specifications'!$B$3:$CW$166,MATCH(B549,'vehicles specifications'!$A$3:$A$166,0),MATCH(G618,'vehicles specifications'!$B$2:$CW$2,0))*INDEX('ei names mapping'!$B$137:$BL$300,MATCH(B549,'ei names mapping'!$A$137:$A$300,0),MATCH(G618,'ei names mapping'!$B$136:$BL$136,0))</f>
        <v>-6.2706913086981688E-6</v>
      </c>
      <c r="C618" t="str">
        <f>INDEX('ei names mapping'!$B$38:$BL$67,MATCH(B546,'ei names mapping'!$A$4:$A$33,0),MATCH(G618,'ei names mapping'!$B$3:$BL$3,0))</f>
        <v>RER</v>
      </c>
      <c r="D618" t="str">
        <f>INDEX('ei names mapping'!$B$104:$BL$133,MATCH(B546,'ei names mapping'!$A$4:$A$33,0),MATCH(G618,'ei names mapping'!$B$3:$BL$3,0))</f>
        <v>kilogram</v>
      </c>
      <c r="F618" t="s">
        <v>89</v>
      </c>
      <c r="G618" t="s">
        <v>29</v>
      </c>
      <c r="H618" t="str">
        <f>INDEX('ei names mapping'!$B$71:$BL$100,MATCH(B546,'ei names mapping'!$A$4:$A$33,0),MATCH(G618,'ei names mapping'!$B$3:$BL$3,0))</f>
        <v>road wear emissions, passenger car</v>
      </c>
    </row>
    <row r="619" spans="1:8" x14ac:dyDescent="0.2">
      <c r="A619" t="str">
        <f>INDEX('ei names mapping'!$B$4:$BL$33,MATCH(B546,'ei names mapping'!$A$4:$A$33,0),MATCH(G619,'ei names mapping'!$B$3:$BL$3,0))</f>
        <v>treatment of tyre wear emissions, passenger car</v>
      </c>
      <c r="B619" s="7">
        <f>INDEX('vehicles specifications'!$B$3:$CW$166,MATCH(B549,'vehicles specifications'!$A$3:$A$166,0),MATCH(G619,'vehicles specifications'!$B$2:$CW$2,0))*INDEX('ei names mapping'!$B$137:$BL$300,MATCH(B549,'ei names mapping'!$A$137:$A$300,0),MATCH(G619,'ei names mapping'!$B$136:$BL$136,0))</f>
        <v>-5.1159965090382458E-6</v>
      </c>
      <c r="C619" t="str">
        <f>INDEX('ei names mapping'!$B$38:$BL$67,MATCH(B546,'ei names mapping'!$A$4:$A$33,0),MATCH(G619,'ei names mapping'!$B$3:$BL$3,0))</f>
        <v>RER</v>
      </c>
      <c r="D619" t="str">
        <f>INDEX('ei names mapping'!$B$104:$BL$133,MATCH(B546,'ei names mapping'!$A$4:$A$33,0),MATCH(G619,'ei names mapping'!$B$3:$BL$3,0))</f>
        <v>kilogram</v>
      </c>
      <c r="F619" t="s">
        <v>89</v>
      </c>
      <c r="G619" t="s">
        <v>30</v>
      </c>
      <c r="H619" t="str">
        <f>INDEX('ei names mapping'!$B$71:$BL$100,MATCH(B546,'ei names mapping'!$A$4:$A$33,0),MATCH(G619,'ei names mapping'!$B$3:$BL$3,0))</f>
        <v>tyre wear emissions, passenger car</v>
      </c>
    </row>
    <row r="620" spans="1:8" x14ac:dyDescent="0.2">
      <c r="A620" t="str">
        <f>INDEX('ei names mapping'!$B$4:$BL$33,MATCH(B546,'ei names mapping'!$A$4:$A$33,0),MATCH(G620,'ei names mapping'!$B$3:$BL$3,0))</f>
        <v>treatment of brake wear emissions, passenger car</v>
      </c>
      <c r="B620" s="7">
        <f>INDEX('vehicles specifications'!$B$3:$CW$166,MATCH(B549,'vehicles specifications'!$A$3:$A$166,0),MATCH(G620,'vehicles specifications'!$B$2:$CW$2,0))*INDEX('ei names mapping'!$B$137:$BL$300,MATCH(B549,'ei names mapping'!$A$137:$A$300,0),MATCH(G620,'ei names mapping'!$B$136:$BL$136,0))</f>
        <v>-3.5672330291102775E-6</v>
      </c>
      <c r="C620" t="str">
        <f>INDEX('ei names mapping'!$B$38:$BL$67,MATCH(B546,'ei names mapping'!$A$4:$A$33,0),MATCH(G620,'ei names mapping'!$B$3:$BL$3,0))</f>
        <v>RER</v>
      </c>
      <c r="D620" t="str">
        <f>INDEX('ei names mapping'!$B$104:$BL$133,MATCH(B546,'ei names mapping'!$A$4:$A$33,0),MATCH(G620,'ei names mapping'!$B$3:$BL$3,0))</f>
        <v>kilogram</v>
      </c>
      <c r="F620" t="s">
        <v>89</v>
      </c>
      <c r="G620" t="s">
        <v>31</v>
      </c>
      <c r="H620" t="str">
        <f>INDEX('ei names mapping'!$B$71:$BL$100,MATCH(B546,'ei names mapping'!$A$4:$A$33,0),MATCH(G620,'ei names mapping'!$B$3:$BL$3,0))</f>
        <v>brake wear emissions, passenger car</v>
      </c>
    </row>
    <row r="622" spans="1:8" ht="16" x14ac:dyDescent="0.2">
      <c r="A622" s="10" t="s">
        <v>71</v>
      </c>
      <c r="B622" s="8" t="str">
        <f>"transport, "&amp;B624&amp;", "&amp;B626</f>
        <v>transport, Scooter, gasoline, &lt;4kW, EURO-5, 2050</v>
      </c>
    </row>
    <row r="623" spans="1:8" x14ac:dyDescent="0.2">
      <c r="A623" t="s">
        <v>72</v>
      </c>
      <c r="B623" t="s">
        <v>37</v>
      </c>
    </row>
    <row r="624" spans="1:8" x14ac:dyDescent="0.2">
      <c r="A624" t="s">
        <v>86</v>
      </c>
      <c r="B624" t="s">
        <v>611</v>
      </c>
    </row>
    <row r="625" spans="1:2" x14ac:dyDescent="0.2">
      <c r="A625" t="s">
        <v>87</v>
      </c>
    </row>
    <row r="626" spans="1:2" x14ac:dyDescent="0.2">
      <c r="A626" t="s">
        <v>88</v>
      </c>
      <c r="B626">
        <v>2050</v>
      </c>
    </row>
    <row r="627" spans="1:2" x14ac:dyDescent="0.2">
      <c r="A627" t="s">
        <v>126</v>
      </c>
      <c r="B627" t="str">
        <f>B624&amp;" - "&amp;B626&amp;" - "&amp;B623</f>
        <v>Scooter, gasoline, &lt;4kW, EURO-5 - 2050 - CH</v>
      </c>
    </row>
    <row r="628" spans="1:2" x14ac:dyDescent="0.2">
      <c r="A628" t="s">
        <v>73</v>
      </c>
      <c r="B628" t="str">
        <f>"transport, "&amp;B624</f>
        <v>transport, Scooter, gasoline, &lt;4kW, EURO-5</v>
      </c>
    </row>
    <row r="629" spans="1:2" x14ac:dyDescent="0.2">
      <c r="A629" t="s">
        <v>74</v>
      </c>
      <c r="B629" t="s">
        <v>75</v>
      </c>
    </row>
    <row r="630" spans="1:2" x14ac:dyDescent="0.2">
      <c r="A630" t="s">
        <v>76</v>
      </c>
      <c r="B630" t="s">
        <v>166</v>
      </c>
    </row>
    <row r="631" spans="1:2" x14ac:dyDescent="0.2">
      <c r="A631" t="s">
        <v>78</v>
      </c>
      <c r="B631" t="s">
        <v>1143</v>
      </c>
    </row>
    <row r="632" spans="1:2" x14ac:dyDescent="0.2">
      <c r="A632" t="s">
        <v>127</v>
      </c>
      <c r="B632">
        <f>INDEX('vehicles specifications'!$B$3:$CW$166,MATCH(B627,'vehicles specifications'!$A$3:$A$166,0),MATCH("Lifetime [km]",'vehicles specifications'!$B$2:$CW$2,0))</f>
        <v>25000</v>
      </c>
    </row>
    <row r="633" spans="1:2" x14ac:dyDescent="0.2">
      <c r="A633" t="s">
        <v>128</v>
      </c>
      <c r="B633">
        <f>INDEX('vehicles specifications'!$B$3:$CW$166,MATCH(B627,'vehicles specifications'!$A$3:$A$166,0),MATCH("Passengers [unit]",'vehicles specifications'!$B$2:$CW$2,0))</f>
        <v>1</v>
      </c>
    </row>
    <row r="634" spans="1:2" x14ac:dyDescent="0.2">
      <c r="A634" t="s">
        <v>129</v>
      </c>
      <c r="B634">
        <f>INDEX('vehicles specifications'!$B$3:$CW$166,MATCH(B627,'vehicles specifications'!$A$3:$A$166,0),MATCH("Servicing [unit]",'vehicles specifications'!$B$2:$CW$2,0))</f>
        <v>1</v>
      </c>
    </row>
    <row r="635" spans="1:2" x14ac:dyDescent="0.2">
      <c r="A635" t="s">
        <v>130</v>
      </c>
      <c r="B635">
        <f>INDEX('vehicles specifications'!$B$3:$CW$166,MATCH(B627,'vehicles specifications'!$A$3:$A$166,0),MATCH("Energy battery replacement [unit]",'vehicles specifications'!$B$2:$CW$2,0))</f>
        <v>0</v>
      </c>
    </row>
    <row r="636" spans="1:2" x14ac:dyDescent="0.2">
      <c r="A636" t="s">
        <v>131</v>
      </c>
      <c r="B636">
        <f>INDEX('vehicles specifications'!$B$3:$CW$166,MATCH(B627,'vehicles specifications'!$A$3:$A$166,0),MATCH("Annual kilometers [km]",'vehicles specifications'!$B$2:$CW$2,0))</f>
        <v>1570</v>
      </c>
    </row>
    <row r="637" spans="1:2" x14ac:dyDescent="0.2">
      <c r="A637" t="s">
        <v>132</v>
      </c>
      <c r="B637" s="2">
        <f>INDEX('vehicles specifications'!$B$3:$CW$166,MATCH(B627,'vehicles specifications'!$A$3:$A$166,0),MATCH("Curb mass [kg]",'vehicles specifications'!$B$2:$CW$2,0))</f>
        <v>84.527499999999989</v>
      </c>
    </row>
    <row r="638" spans="1:2" x14ac:dyDescent="0.2">
      <c r="A638" t="s">
        <v>133</v>
      </c>
      <c r="B638">
        <f>INDEX('vehicles specifications'!$B$3:$CW$166,MATCH(B627,'vehicles specifications'!$A$3:$A$166,0),MATCH("Power [kW]",'vehicles specifications'!$B$2:$CW$2,0))</f>
        <v>2.8</v>
      </c>
    </row>
    <row r="639" spans="1:2" x14ac:dyDescent="0.2">
      <c r="A639" t="s">
        <v>134</v>
      </c>
      <c r="B639" t="str">
        <f>INDEX('vehicles specifications'!$B$3:$CW$166,MATCH(B627,'vehicles specifications'!$A$3:$A$166,0),MATCH("Energy battery mass [kg]",'vehicles specifications'!$B$2:$CW$2,0))</f>
        <v/>
      </c>
    </row>
    <row r="640" spans="1:2" x14ac:dyDescent="0.2">
      <c r="A640" t="s">
        <v>135</v>
      </c>
      <c r="B640">
        <f>INDEX('vehicles specifications'!$B$3:$CW$166,MATCH(B627,'vehicles specifications'!$A$3:$A$166,0),MATCH("Electric energy available [kWh]",'vehicles specifications'!$B$2:$CW$2,0))</f>
        <v>0</v>
      </c>
    </row>
    <row r="641" spans="1:8" x14ac:dyDescent="0.2">
      <c r="A641" t="s">
        <v>138</v>
      </c>
      <c r="B641" s="2">
        <f>INDEX('vehicles specifications'!$B$3:$CW$166,MATCH(B627,'vehicles specifications'!$A$3:$A$166,0),MATCH("Oxydation energy stored [kWh]",'vehicles specifications'!$B$2:$CW$2,0))</f>
        <v>62.125</v>
      </c>
    </row>
    <row r="642" spans="1:8" x14ac:dyDescent="0.2">
      <c r="A642" t="s">
        <v>139</v>
      </c>
      <c r="B642">
        <f>INDEX('vehicles specifications'!$B$3:$CW$166,MATCH(B627,'vehicles specifications'!$A$3:$A$166,0),MATCH("Fuel mass [kg]",'vehicles specifications'!$B$2:$CW$2,0))</f>
        <v>5.25</v>
      </c>
    </row>
    <row r="643" spans="1:8" x14ac:dyDescent="0.2">
      <c r="A643" t="s">
        <v>136</v>
      </c>
      <c r="B643" s="2">
        <f>INDEX('vehicles specifications'!$B$3:$CW$166,MATCH(B627,'vehicles specifications'!$A$3:$A$166,0),MATCH("Range [km]",'vehicles specifications'!$B$2:$CW$2,0))</f>
        <v>178.88311872331968</v>
      </c>
    </row>
    <row r="644" spans="1:8" x14ac:dyDescent="0.2">
      <c r="A644" t="s">
        <v>137</v>
      </c>
      <c r="B644" t="str">
        <f>INDEX('vehicles specifications'!$B$3:$CW$166,MATCH(B627,'vehicles specifications'!$A$3:$A$166,0),MATCH("Emission standard",'vehicles specifications'!$B$2:$CW$2,0))</f>
        <v>EURO-5</v>
      </c>
    </row>
    <row r="645" spans="1:8" x14ac:dyDescent="0.2">
      <c r="A645" t="s">
        <v>1174</v>
      </c>
      <c r="B645" s="6">
        <f>INDEX('vehicles specifications'!$B$3:$CW$166,MATCH(B627,'vehicles specifications'!$A$3:$A$166,0),MATCH("Lightweighting rate [%]",'vehicles specifications'!$B$2:$CW$2,0))</f>
        <v>7.0000000000000007E-2</v>
      </c>
    </row>
    <row r="646" spans="1:8" x14ac:dyDescent="0.2">
      <c r="A646" t="s">
        <v>83</v>
      </c>
      <c r="B646"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2.8 kW. Lifetime: 25000 km. Annual kilometers: 1570 km. Number of passengers: 1. Curb mass: 84.5 kg. Lightweighting of glider: 7%. Emission standard: EURO-5. Service visits throughout lifetime: 1. Range: 179 km. Fuel tank capacity: 62.1 kWh. Fuel mass: 5.3 kg. Documentation: Life-cycle inventories for on-road vehicles, Sacchi R. (PSI), Bauer C. (PSI), 2021. Sacchi R., Bauer C. Life cycle inventories for on-road vehicles. Paul Scherrer Institut, 2021.</v>
      </c>
    </row>
    <row r="647" spans="1:8" ht="16" x14ac:dyDescent="0.2">
      <c r="A647" s="10" t="s">
        <v>79</v>
      </c>
    </row>
    <row r="648" spans="1:8" x14ac:dyDescent="0.2">
      <c r="A648" t="s">
        <v>80</v>
      </c>
      <c r="B648" t="s">
        <v>81</v>
      </c>
      <c r="C648" t="s">
        <v>72</v>
      </c>
      <c r="D648" t="s">
        <v>76</v>
      </c>
      <c r="E648" t="s">
        <v>82</v>
      </c>
      <c r="F648" t="s">
        <v>74</v>
      </c>
      <c r="G648" t="s">
        <v>83</v>
      </c>
      <c r="H648" t="s">
        <v>73</v>
      </c>
    </row>
    <row r="649" spans="1:8" x14ac:dyDescent="0.2">
      <c r="A649" t="str">
        <f>B622</f>
        <v>transport, Scooter, gasoline, &lt;4kW, EURO-5, 2050</v>
      </c>
      <c r="B649">
        <v>1</v>
      </c>
      <c r="C649" t="str">
        <f>B623</f>
        <v>CH</v>
      </c>
      <c r="D649" t="s">
        <v>166</v>
      </c>
      <c r="F649" t="s">
        <v>84</v>
      </c>
      <c r="G649" t="s">
        <v>85</v>
      </c>
      <c r="H649" t="str">
        <f>B628</f>
        <v>transport, Scooter, gasoline, &lt;4kW, EURO-5</v>
      </c>
    </row>
    <row r="650" spans="1:8" x14ac:dyDescent="0.2">
      <c r="A650" t="str">
        <f>RIGHT(A649,LEN(A649)-11)</f>
        <v>Scooter, gasoline, &lt;4kW, EURO-5, 2050</v>
      </c>
      <c r="B650">
        <f>1/B632</f>
        <v>4.0000000000000003E-5</v>
      </c>
      <c r="C650" t="str">
        <f>B623</f>
        <v>CH</v>
      </c>
      <c r="D650" t="s">
        <v>76</v>
      </c>
      <c r="F650" t="s">
        <v>89</v>
      </c>
      <c r="H650" t="str">
        <f>RIGHT(H649,LEN(H649)-11)</f>
        <v>Scooter, gasoline, &lt;4kW, EURO-5</v>
      </c>
    </row>
    <row r="651" spans="1:8" x14ac:dyDescent="0.2">
      <c r="A651" t="str">
        <f>INDEX('ei names mapping'!$B$4:$R$33,MATCH(B624,'ei names mapping'!$A$4:$A$33,0),MATCH(G651,'ei names mapping'!$B$3:$R$3,0))</f>
        <v>road construction</v>
      </c>
      <c r="B651" s="7">
        <f>INDEX('vehicles specifications'!$B$3:$CW$166,MATCH(B627,'vehicles specifications'!$A$3:$A$166,0),MATCH(G651,'vehicles specifications'!$B$2:$CW$2,0))*INDEX('ei names mapping'!$B$137:$BL$300,MATCH(B627,'ei names mapping'!$A$137:$A$300,0),MATCH(G651,'ei names mapping'!$B$136:$BL$136,0))</f>
        <v>8.7814267499999985E-5</v>
      </c>
      <c r="C651" t="str">
        <f>INDEX('ei names mapping'!$B$38:$R$67,MATCH(B624,'ei names mapping'!$A$4:$A$33,0),MATCH(G651,'ei names mapping'!$B$3:$R$3,0))</f>
        <v>CH</v>
      </c>
      <c r="D651" t="str">
        <f>INDEX('ei names mapping'!$B$104:$BL$133,MATCH(B624,'ei names mapping'!$A$4:$A$33,0),MATCH(G651,'ei names mapping'!$B$3:$BL$3,0))</f>
        <v>meter-year</v>
      </c>
      <c r="F651" t="s">
        <v>89</v>
      </c>
      <c r="G651" t="s">
        <v>105</v>
      </c>
      <c r="H651" t="str">
        <f>INDEX('ei names mapping'!$B$71:$BL$100,MATCH(B624,'ei names mapping'!$A$4:$A$33,0),MATCH(G651,'ei names mapping'!$B$3:$BL$3,0))</f>
        <v>road</v>
      </c>
    </row>
    <row r="652" spans="1:8" x14ac:dyDescent="0.2">
      <c r="A652" t="str">
        <f>INDEX('ei names mapping'!$B$4:$R$33,MATCH(B624,'ei names mapping'!$A$4:$A$33,0),MATCH(G652,'ei names mapping'!$B$3:$R$3,0))</f>
        <v>road maintenance</v>
      </c>
      <c r="B652" s="7">
        <f>INDEX('vehicles specifications'!$B$3:$CW$166,MATCH(B627,'vehicles specifications'!$A$3:$A$166,0),MATCH(G652,'vehicles specifications'!$B$2:$CW$2,0))*INDEX('ei names mapping'!$B$137:$BL$300,MATCH(B627,'ei names mapping'!$A$137:$A$300,0),MATCH(G652,'ei names mapping'!$B$136:$BL$136,0))</f>
        <v>1.2899999999999999E-3</v>
      </c>
      <c r="C652" t="str">
        <f>INDEX('ei names mapping'!$B$38:$R$67,MATCH(B624,'ei names mapping'!$A$4:$A$33,0),MATCH(G652,'ei names mapping'!$B$3:$R$3,0))</f>
        <v>CH</v>
      </c>
      <c r="D652" t="str">
        <f>INDEX('ei names mapping'!$B$104:$BL$133,MATCH(B624,'ei names mapping'!$A$4:$A$33,0),MATCH(G652,'ei names mapping'!$B$3:$BL$3,0))</f>
        <v>meter-year</v>
      </c>
      <c r="F652" t="s">
        <v>89</v>
      </c>
      <c r="G652" t="s">
        <v>112</v>
      </c>
      <c r="H652" t="str">
        <f>INDEX('ei names mapping'!$B$71:$BL$100,MATCH(B624,'ei names mapping'!$A$4:$A$33,0),MATCH(G652,'ei names mapping'!$B$3:$BL$3,0))</f>
        <v>road maintenance</v>
      </c>
    </row>
    <row r="653" spans="1:8" x14ac:dyDescent="0.2">
      <c r="A653" t="str">
        <f>INDEX('ei names mapping'!$B$4:$R$33,MATCH(B624,'ei names mapping'!$A$4:$A$33,0),MATCH(G653,'ei names mapping'!$B$3:$R$3,0))</f>
        <v>maintenance, motor scooter</v>
      </c>
      <c r="B653" s="7">
        <f>INDEX('vehicles specifications'!$B$3:$CW$166,MATCH(B627,'vehicles specifications'!$A$3:$A$166,0),MATCH(G653,'vehicles specifications'!$B$2:$CW$2,0))*INDEX('ei names mapping'!$B$137:$BL$300,MATCH(B627,'ei names mapping'!$A$137:$A$300,0),MATCH(G653,'ei names mapping'!$B$136:$BL$136,0))</f>
        <v>4.0000000000000003E-5</v>
      </c>
      <c r="C653" t="str">
        <f>INDEX('ei names mapping'!$B$38:$BL$67,MATCH(B624,'ei names mapping'!$A$4:$A$33,0),MATCH(G653,'ei names mapping'!$B$3:$BL$3,0))</f>
        <v>CH</v>
      </c>
      <c r="D653" t="str">
        <f>INDEX('ei names mapping'!$B$104:$BL$133,MATCH(B624,'ei names mapping'!$A$4:$A$33,0),MATCH(G653,'ei names mapping'!$B$3:$BL$3,0))</f>
        <v>unit</v>
      </c>
      <c r="F653" t="s">
        <v>89</v>
      </c>
      <c r="G653" t="s">
        <v>118</v>
      </c>
      <c r="H653" t="str">
        <f>INDEX('ei names mapping'!$B$71:$BL$100,MATCH(B624,'ei names mapping'!$A$4:$A$33,0),MATCH(G653,'ei names mapping'!$B$3:$BL$3,0))</f>
        <v>maintenance, motor scooter</v>
      </c>
    </row>
    <row r="654" spans="1:8" x14ac:dyDescent="0.2">
      <c r="A654" t="str">
        <f>INDEX('ei names mapping'!$B$4:$R$33,MATCH(B624,'ei names mapping'!$A$4:$A$33,0),MATCH(G654,'ei names mapping'!$B$3:$R$3,0))</f>
        <v>petrol blending for two-stroke engines</v>
      </c>
      <c r="B654" s="7">
        <f>INDEX('vehicles specifications'!$B$3:$CW$166,MATCH(B627,'vehicles specifications'!$A$3:$A$166,0),MATCH(G654,'vehicles specifications'!$B$2:$CW$2,0))*INDEX('ei names mapping'!$B$137:$BL$300,MATCH(B627,'ei names mapping'!$A$137:$A$300,0),MATCH(G654,'ei names mapping'!$B$136:$BL$136,0))</f>
        <v>2.9348772748759081E-2</v>
      </c>
      <c r="C654" t="str">
        <f>INDEX('ei names mapping'!$B$38:$BL$67,MATCH(B624,'ei names mapping'!$A$4:$A$33,0),MATCH(G654,'ei names mapping'!$B$3:$BL$3,0))</f>
        <v>CH</v>
      </c>
      <c r="D654" t="str">
        <f>INDEX('ei names mapping'!$B$104:$BL$133,MATCH(B624,'ei names mapping'!$A$4:$A$33,0),MATCH(G654,'ei names mapping'!$B$3:$BL$3,0))</f>
        <v>kilogram</v>
      </c>
      <c r="F654" t="s">
        <v>89</v>
      </c>
      <c r="G654" t="s">
        <v>27</v>
      </c>
      <c r="H654" t="str">
        <f>INDEX('ei names mapping'!$B$71:$BL$100,MATCH(B624,'ei names mapping'!$A$4:$A$33,0),MATCH(G654,'ei names mapping'!$B$3:$BL$3,0))</f>
        <v>petrol, two-stroke blend</v>
      </c>
    </row>
    <row r="655" spans="1:8" x14ac:dyDescent="0.2">
      <c r="A655" t="str">
        <f>INDEX('ei names mapping'!$B$4:$BL$33,MATCH(B624,'ei names mapping'!$A$4:$A$33,0),MATCH(G655,'ei names mapping'!$B$3:$BL$3,0))</f>
        <v>Carbon dioxide, fossil</v>
      </c>
      <c r="B655" s="7">
        <f>INDEX('vehicles specifications'!$B$3:$CW$166,MATCH(B627,'vehicles specifications'!$A$3:$A$166,0),MATCH(G655,'vehicles specifications'!$B$2:$CW$2,0))*INDEX('ei names mapping'!$B$137:$BL$300,MATCH(B627,'ei names mapping'!$A$137:$A$300,0),MATCH(G655,'ei names mapping'!$B$136:$BL$136,0))</f>
        <v>9.2155146431103521E-2</v>
      </c>
      <c r="D655" t="str">
        <f>INDEX('ei names mapping'!$B$104:$BL$133,MATCH(B624,'ei names mapping'!$A$4:$A$33,0),MATCH(G655,'ei names mapping'!$B$3:$BL$3,0))</f>
        <v>kilogram</v>
      </c>
      <c r="E655" t="str">
        <f>INDEX('ei names mapping'!$B$305:$BL$335,MATCH(B624,'ei names mapping'!$A$4:$A$33,0),MATCH(G655,'ei names mapping'!$B$3:$BL$3,0))</f>
        <v>air::urban air close to ground</v>
      </c>
      <c r="F655" t="s">
        <v>167</v>
      </c>
      <c r="G655" t="s">
        <v>66</v>
      </c>
    </row>
    <row r="656" spans="1:8" x14ac:dyDescent="0.2">
      <c r="A656" t="str">
        <f>INDEX('ei names mapping'!$B$4:$BL$33,MATCH(B624,'ei names mapping'!$A$4:$A$33,0),MATCH(G656,'ei names mapping'!$B$3:$BL$3,0))</f>
        <v>Carbon dioxide, from soil or biomass stock</v>
      </c>
      <c r="B656" s="11">
        <f>INDEX('vehicles specifications'!$B$3:$CW$166,MATCH(B627,'vehicles specifications'!$A$3:$A$166,0),MATCH(G656,'vehicles specifications'!$B$2:$CW$2,0))*INDEX('ei names mapping'!$B$137:$BL$300,MATCH(B627,'ei names mapping'!$A$137:$A$300,0),MATCH(G656,'ei names mapping'!$B$136:$BL$136,0))</f>
        <v>0</v>
      </c>
      <c r="D656" t="str">
        <f>INDEX('ei names mapping'!$B$104:$BL$133,MATCH(B624,'ei names mapping'!$A$4:$A$33,0),MATCH(G656,'ei names mapping'!$B$3:$BL$3,0))</f>
        <v>kilogram</v>
      </c>
      <c r="E656" t="str">
        <f>INDEX('ei names mapping'!$B$305:$BL$335,MATCH(B624,'ei names mapping'!$A$4:$A$33,0),MATCH(G656,'ei names mapping'!$B$3:$BL$3,0))</f>
        <v>air::urban air close to ground</v>
      </c>
      <c r="F656" t="s">
        <v>167</v>
      </c>
      <c r="G656" t="s">
        <v>843</v>
      </c>
    </row>
    <row r="657" spans="1:7" x14ac:dyDescent="0.2">
      <c r="A657" t="str">
        <f>INDEX('ei names mapping'!$B$4:$BL$33,MATCH(B624,'ei names mapping'!$A$4:$A$33,0),MATCH(G657,'ei names mapping'!$B$3:$BL$3,0))</f>
        <v>Sulfur dioxide</v>
      </c>
      <c r="B657" s="7">
        <f>INDEX('vehicles specifications'!$B$3:$CW$166,MATCH(B627,'vehicles specifications'!$A$3:$A$166,0),MATCH(G657,'vehicles specifications'!$B$2:$CW$2,0))*INDEX('ei names mapping'!$B$137:$BL$300,MATCH(B627,'ei names mapping'!$A$137:$A$300,0),MATCH(G657,'ei names mapping'!$B$136:$BL$136,0))</f>
        <v>4.6958036398014528E-7</v>
      </c>
      <c r="D657" t="str">
        <f>INDEX('ei names mapping'!$B$104:$BL$133,MATCH(B624,'ei names mapping'!$A$4:$A$33,0),MATCH(G657,'ei names mapping'!$B$3:$BL$3,0))</f>
        <v>kilogram</v>
      </c>
      <c r="E657" t="str">
        <f>INDEX('ei names mapping'!$B$305:$BL$335,MATCH(B624,'ei names mapping'!$A$4:$A$33,0),MATCH(G657,'ei names mapping'!$B$3:$BL$3,0))</f>
        <v>air::urban air close to ground</v>
      </c>
      <c r="F657" t="s">
        <v>167</v>
      </c>
      <c r="G657" t="s">
        <v>67</v>
      </c>
    </row>
    <row r="658" spans="1:7" x14ac:dyDescent="0.2">
      <c r="A658" t="str">
        <f>INDEX('ei names mapping'!$B$4:$BL$33,MATCH(B624,'ei names mapping'!$A$4:$A$33,0),MATCH(G658,'ei names mapping'!$B$3:$BL$3,0))</f>
        <v>Benzene</v>
      </c>
      <c r="B658" s="7">
        <f>INDEX('vehicles specifications'!$B$3:$CW$166,MATCH(B627,'vehicles specifications'!$A$3:$A$166,0),MATCH(G658,'vehicles specifications'!$B$2:$CW$2,0))*INDEX('ei names mapping'!$B$137:$BL$300,MATCH(B627,'ei names mapping'!$A$137:$A$300,0),MATCH(G658,'ei names mapping'!$B$136:$BL$136,0))</f>
        <v>7.6018389033719928E-5</v>
      </c>
      <c r="D658" t="str">
        <f>INDEX('ei names mapping'!$B$104:$BL$133,MATCH(B624,'ei names mapping'!$A$4:$A$33,0),MATCH(G658,'ei names mapping'!$B$3:$BL$3,0))</f>
        <v>kilogram</v>
      </c>
      <c r="E658" t="str">
        <f>INDEX('ei names mapping'!$B$305:$BL$335,MATCH(B624,'ei names mapping'!$A$4:$A$33,0),MATCH(G658,'ei names mapping'!$B$3:$BL$3,0))</f>
        <v>air::urban air close to ground</v>
      </c>
      <c r="F658" t="s">
        <v>167</v>
      </c>
      <c r="G658" t="s">
        <v>55</v>
      </c>
    </row>
    <row r="659" spans="1:7" x14ac:dyDescent="0.2">
      <c r="A659" t="str">
        <f>INDEX('ei names mapping'!$B$4:$BL$33,MATCH(B624,'ei names mapping'!$A$4:$A$33,0),MATCH(G659,'ei names mapping'!$B$3:$BL$3,0))</f>
        <v>Methane, fossil</v>
      </c>
      <c r="B659" s="7">
        <f>INDEX('vehicles specifications'!$B$3:$CW$166,MATCH(B627,'vehicles specifications'!$A$3:$A$166,0),MATCH(G659,'vehicles specifications'!$B$2:$CW$2,0))*INDEX('ei names mapping'!$B$137:$BL$300,MATCH(B627,'ei names mapping'!$A$137:$A$300,0),MATCH(G659,'ei names mapping'!$B$136:$BL$136,0))</f>
        <v>3.4468992219074605E-5</v>
      </c>
      <c r="D659" t="str">
        <f>INDEX('ei names mapping'!$B$104:$BL$133,MATCH(B624,'ei names mapping'!$A$4:$A$33,0),MATCH(G659,'ei names mapping'!$B$3:$BL$3,0))</f>
        <v>kilogram</v>
      </c>
      <c r="E659" t="str">
        <f>INDEX('ei names mapping'!$B$305:$BL$335,MATCH(B624,'ei names mapping'!$A$4:$A$33,0),MATCH(G659,'ei names mapping'!$B$3:$BL$3,0))</f>
        <v>air::urban air close to ground</v>
      </c>
      <c r="F659" t="s">
        <v>167</v>
      </c>
      <c r="G659" t="s">
        <v>56</v>
      </c>
    </row>
    <row r="660" spans="1:7" x14ac:dyDescent="0.2">
      <c r="A660" t="str">
        <f>INDEX('ei names mapping'!$B$4:$BL$33,MATCH(B624,'ei names mapping'!$A$4:$A$33,0),MATCH(G660,'ei names mapping'!$B$3:$BL$3,0))</f>
        <v>Carbon monoxide, fossil</v>
      </c>
      <c r="B660" s="7">
        <f>INDEX('vehicles specifications'!$B$3:$CW$166,MATCH(B627,'vehicles specifications'!$A$3:$A$166,0),MATCH(G660,'vehicles specifications'!$B$2:$CW$2,0))*INDEX('ei names mapping'!$B$137:$BL$300,MATCH(B627,'ei names mapping'!$A$137:$A$300,0),MATCH(G660,'ei names mapping'!$B$136:$BL$136,0))</f>
        <v>3.6447456122062146E-3</v>
      </c>
      <c r="D660" t="str">
        <f>INDEX('ei names mapping'!$B$104:$BL$133,MATCH(B624,'ei names mapping'!$A$4:$A$33,0),MATCH(G660,'ei names mapping'!$B$3:$BL$3,0))</f>
        <v>kilogram</v>
      </c>
      <c r="E660" t="str">
        <f>INDEX('ei names mapping'!$B$305:$BL$335,MATCH(B624,'ei names mapping'!$A$4:$A$33,0),MATCH(G660,'ei names mapping'!$B$3:$BL$3,0))</f>
        <v>air::urban air close to ground</v>
      </c>
      <c r="F660" t="s">
        <v>167</v>
      </c>
      <c r="G660" t="s">
        <v>57</v>
      </c>
    </row>
    <row r="661" spans="1:7" x14ac:dyDescent="0.2">
      <c r="A661" t="str">
        <f>INDEX('ei names mapping'!$B$4:$BL$33,MATCH(B624,'ei names mapping'!$A$4:$A$33,0),MATCH(G661,'ei names mapping'!$B$3:$BL$3,0))</f>
        <v>Dinitrogen monoxide</v>
      </c>
      <c r="B661" s="7">
        <f>INDEX('vehicles specifications'!$B$3:$CW$166,MATCH(B627,'vehicles specifications'!$A$3:$A$166,0),MATCH(G661,'vehicles specifications'!$B$2:$CW$2,0))*INDEX('ei names mapping'!$B$137:$BL$300,MATCH(B627,'ei names mapping'!$A$137:$A$300,0),MATCH(G661,'ei names mapping'!$B$136:$BL$136,0))</f>
        <v>1.7488073170509701E-6</v>
      </c>
      <c r="D661" t="str">
        <f>INDEX('ei names mapping'!$B$104:$BL$133,MATCH(B624,'ei names mapping'!$A$4:$A$33,0),MATCH(G661,'ei names mapping'!$B$3:$BL$3,0))</f>
        <v>kilogram</v>
      </c>
      <c r="E661" t="str">
        <f>INDEX('ei names mapping'!$B$305:$BL$335,MATCH(B624,'ei names mapping'!$A$4:$A$33,0),MATCH(G661,'ei names mapping'!$B$3:$BL$3,0))</f>
        <v>air::urban air close to ground</v>
      </c>
      <c r="F661" t="s">
        <v>167</v>
      </c>
      <c r="G661" t="s">
        <v>58</v>
      </c>
    </row>
    <row r="662" spans="1:7" x14ac:dyDescent="0.2">
      <c r="A662" t="str">
        <f>INDEX('ei names mapping'!$B$4:$BL$33,MATCH(B624,'ei names mapping'!$A$4:$A$33,0),MATCH(G662,'ei names mapping'!$B$3:$BL$3,0))</f>
        <v>Ammonia</v>
      </c>
      <c r="B662" s="7">
        <f>INDEX('vehicles specifications'!$B$3:$CW$166,MATCH(B627,'vehicles specifications'!$A$3:$A$166,0),MATCH(G662,'vehicles specifications'!$B$2:$CW$2,0))*INDEX('ei names mapping'!$B$137:$BL$300,MATCH(B627,'ei names mapping'!$A$137:$A$300,0),MATCH(G662,'ei names mapping'!$B$136:$BL$136,0))</f>
        <v>1.7488073170509701E-6</v>
      </c>
      <c r="D662" t="str">
        <f>INDEX('ei names mapping'!$B$104:$BL$133,MATCH(B624,'ei names mapping'!$A$4:$A$33,0),MATCH(G662,'ei names mapping'!$B$3:$BL$3,0))</f>
        <v>kilogram</v>
      </c>
      <c r="E662" t="str">
        <f>INDEX('ei names mapping'!$B$305:$BL$335,MATCH(B624,'ei names mapping'!$A$4:$A$33,0),MATCH(G662,'ei names mapping'!$B$3:$BL$3,0))</f>
        <v>air::urban air close to ground</v>
      </c>
      <c r="F662" t="s">
        <v>167</v>
      </c>
      <c r="G662" t="s">
        <v>59</v>
      </c>
    </row>
    <row r="663" spans="1:7" x14ac:dyDescent="0.2">
      <c r="A663" t="str">
        <f>INDEX('ei names mapping'!$B$4:$BL$33,MATCH(B624,'ei names mapping'!$A$4:$A$33,0),MATCH(G663,'ei names mapping'!$B$3:$BL$3,0))</f>
        <v>Nitrogen oxides</v>
      </c>
      <c r="B663" s="7">
        <f>INDEX('vehicles specifications'!$B$3:$CW$166,MATCH(B627,'vehicles specifications'!$A$3:$A$166,0),MATCH(G663,'vehicles specifications'!$B$2:$CW$2,0))*INDEX('ei names mapping'!$B$137:$BL$300,MATCH(B627,'ei names mapping'!$A$137:$A$300,0),MATCH(G663,'ei names mapping'!$B$136:$BL$136,0))</f>
        <v>1.3114430036520702E-4</v>
      </c>
      <c r="D663" t="str">
        <f>INDEX('ei names mapping'!$B$104:$BL$133,MATCH(B624,'ei names mapping'!$A$4:$A$33,0),MATCH(G663,'ei names mapping'!$B$3:$BL$3,0))</f>
        <v>kilogram</v>
      </c>
      <c r="E663" t="str">
        <f>INDEX('ei names mapping'!$B$305:$BL$335,MATCH(B624,'ei names mapping'!$A$4:$A$33,0),MATCH(G663,'ei names mapping'!$B$3:$BL$3,0))</f>
        <v>air::urban air close to ground</v>
      </c>
      <c r="F663" t="s">
        <v>167</v>
      </c>
      <c r="G663" t="s">
        <v>60</v>
      </c>
    </row>
    <row r="664" spans="1:7" x14ac:dyDescent="0.2">
      <c r="A664" t="str">
        <f>INDEX('ei names mapping'!$B$4:$BL$33,MATCH(B624,'ei names mapping'!$A$4:$A$33,0),MATCH(G664,'ei names mapping'!$B$3:$BL$3,0))</f>
        <v>Particulates, &lt; 2.5 um</v>
      </c>
      <c r="B664" s="7">
        <f>INDEX('vehicles specifications'!$B$3:$CW$166,MATCH(B$627,'vehicles specifications'!$A$3:$A$166,0),MATCH(G664,'vehicles specifications'!$B$2:$CW$2,0))*INDEX('ei names mapping'!$B$137:$BL$300,MATCH(B$627,'ei names mapping'!$A$137:$A$300,0),MATCH(G664,'ei names mapping'!$B$136:$BL$136,0))</f>
        <v>1.004340042182372E-5</v>
      </c>
      <c r="D664" t="str">
        <f>INDEX('ei names mapping'!$B$104:$BL$133,MATCH(B624,'ei names mapping'!$A$4:$A$33,0),MATCH(G664,'ei names mapping'!$B$3:$BL$3,0))</f>
        <v>kilogram</v>
      </c>
      <c r="E664" t="str">
        <f>INDEX('ei names mapping'!$B$305:$BL$335,MATCH(B624,'ei names mapping'!$A$4:$A$33,0),MATCH(G664,'ei names mapping'!$B$3:$BL$3,0))</f>
        <v>air::urban air close to ground</v>
      </c>
      <c r="F664" t="s">
        <v>167</v>
      </c>
      <c r="G664" t="s">
        <v>62</v>
      </c>
    </row>
    <row r="665" spans="1:7" x14ac:dyDescent="0.2">
      <c r="A665" t="str">
        <f>INDEX('ei names mapping'!$B$4:$BL$33,MATCH(B$234,'ei names mapping'!$A$4:$A$33,0),MATCH(G665,'ei names mapping'!$B$3:$BL$3,0))</f>
        <v>NMVOC, non-methane volatile organic compounds, unspecified origin</v>
      </c>
      <c r="B665" s="7">
        <f>INDEX('vehicles specifications'!$B$3:$CW$166,MATCH(B$627,'vehicles specifications'!$A$3:$A$166,0),MATCH(G665,'vehicles specifications'!$B$2:$CW$2,0))*INDEX('ei names mapping'!$B$137:$BL$300,MATCH(B$627,'ei names mapping'!$A$137:$A$300,0),MATCH(G665,'ei names mapping'!$B$136:$BL$136,0))</f>
        <v>6.130252976622977E-4</v>
      </c>
      <c r="D665" t="str">
        <f>INDEX('ei names mapping'!$B$104:$BL$133,MATCH(B$234,'ei names mapping'!$A$4:$A$33,0),MATCH(G665,'ei names mapping'!$B$3:$BL$3,0))</f>
        <v>kilogram</v>
      </c>
      <c r="E665" t="str">
        <f>INDEX('ei names mapping'!$B$305:$BL$335,MATCH(B$234,'ei names mapping'!$A$4:$A$33,0),MATCH(G665,'ei names mapping'!$B$3:$BL$3,0))</f>
        <v>air::urban air close to ground</v>
      </c>
      <c r="F665" t="s">
        <v>167</v>
      </c>
      <c r="G665" t="s">
        <v>593</v>
      </c>
    </row>
    <row r="666" spans="1:7" x14ac:dyDescent="0.2">
      <c r="A666" t="str">
        <f>INDEX('ei names mapping'!$B$4:$BL$33,MATCH(B$234,'ei names mapping'!$A$4:$A$33,0),MATCH(G666,'ei names mapping'!$B$3:$BL$3,0))</f>
        <v>Ethane</v>
      </c>
      <c r="B666" s="7">
        <f>INDEX('vehicles specifications'!$B$3:$CW$166,MATCH(B$627,'vehicles specifications'!$A$3:$A$166,0),MATCH(G666,'vehicles specifications'!$B$2:$CW$2,0))*INDEX('ei names mapping'!$B$137:$BL$300,MATCH(B$627,'ei names mapping'!$A$137:$A$300,0),MATCH(G666,'ei names mapping'!$B$136:$BL$136,0))</f>
        <v>4.3226142783879964E-5</v>
      </c>
      <c r="D666" t="str">
        <f>INDEX('ei names mapping'!$B$104:$BL$133,MATCH(B$234,'ei names mapping'!$A$4:$A$33,0),MATCH(G666,'ei names mapping'!$B$3:$BL$3,0))</f>
        <v>kilogram</v>
      </c>
      <c r="E666" t="str">
        <f>INDEX('ei names mapping'!$B$305:$BL$335,MATCH(B$234,'ei names mapping'!$A$4:$A$33,0),MATCH(G666,'ei names mapping'!$B$3:$BL$3,0))</f>
        <v>air::urban air close to ground</v>
      </c>
      <c r="F666" t="s">
        <v>167</v>
      </c>
      <c r="G666" t="s">
        <v>541</v>
      </c>
    </row>
    <row r="667" spans="1:7" x14ac:dyDescent="0.2">
      <c r="A667" t="str">
        <f>INDEX('ei names mapping'!$B$4:$BL$33,MATCH(B$234,'ei names mapping'!$A$4:$A$33,0),MATCH(G667,'ei names mapping'!$B$3:$BL$3,0))</f>
        <v>Propane</v>
      </c>
      <c r="B667" s="7">
        <f>INDEX('vehicles specifications'!$B$3:$CW$166,MATCH(B$627,'vehicles specifications'!$A$3:$A$166,0),MATCH(G667,'vehicles specifications'!$B$2:$CW$2,0))*INDEX('ei names mapping'!$B$137:$BL$300,MATCH(B$627,'ei names mapping'!$A$137:$A$300,0),MATCH(G667,'ei names mapping'!$B$136:$BL$136,0))</f>
        <v>8.8078347365272657E-6</v>
      </c>
      <c r="D667" t="str">
        <f>INDEX('ei names mapping'!$B$104:$BL$133,MATCH(B$234,'ei names mapping'!$A$4:$A$33,0),MATCH(G667,'ei names mapping'!$B$3:$BL$3,0))</f>
        <v>kilogram</v>
      </c>
      <c r="E667" t="str">
        <f>INDEX('ei names mapping'!$B$305:$BL$335,MATCH(B$234,'ei names mapping'!$A$4:$A$33,0),MATCH(G667,'ei names mapping'!$B$3:$BL$3,0))</f>
        <v>air::urban air close to ground</v>
      </c>
      <c r="F667" t="s">
        <v>167</v>
      </c>
      <c r="G667" t="s">
        <v>542</v>
      </c>
    </row>
    <row r="668" spans="1:7" x14ac:dyDescent="0.2">
      <c r="A668" t="str">
        <f>INDEX('ei names mapping'!$B$4:$BL$33,MATCH(B$234,'ei names mapping'!$A$4:$A$33,0),MATCH(G668,'ei names mapping'!$B$3:$BL$3,0))</f>
        <v>Butane</v>
      </c>
      <c r="B668" s="7">
        <f>INDEX('vehicles specifications'!$B$3:$CW$166,MATCH(B$627,'vehicles specifications'!$A$3:$A$166,0),MATCH(G668,'vehicles specifications'!$B$2:$CW$2,0))*INDEX('ei names mapping'!$B$137:$BL$300,MATCH(B$627,'ei names mapping'!$A$137:$A$300,0),MATCH(G668,'ei names mapping'!$B$136:$BL$136,0))</f>
        <v>7.1004698491389037E-5</v>
      </c>
      <c r="D668" t="str">
        <f>INDEX('ei names mapping'!$B$104:$BL$133,MATCH(B$234,'ei names mapping'!$A$4:$A$33,0),MATCH(G668,'ei names mapping'!$B$3:$BL$3,0))</f>
        <v>kilogram</v>
      </c>
      <c r="E668" t="str">
        <f>INDEX('ei names mapping'!$B$305:$BL$335,MATCH(B$234,'ei names mapping'!$A$4:$A$33,0),MATCH(G668,'ei names mapping'!$B$3:$BL$3,0))</f>
        <v>air::urban air close to ground</v>
      </c>
      <c r="F668" t="s">
        <v>167</v>
      </c>
      <c r="G668" t="s">
        <v>543</v>
      </c>
    </row>
    <row r="669" spans="1:7" x14ac:dyDescent="0.2">
      <c r="A669" t="str">
        <f>INDEX('ei names mapping'!$B$4:$BL$33,MATCH(B$234,'ei names mapping'!$A$4:$A$33,0),MATCH(G669,'ei names mapping'!$B$3:$BL$3,0))</f>
        <v>Pentane</v>
      </c>
      <c r="B669" s="7">
        <f>INDEX('vehicles specifications'!$B$3:$CW$166,MATCH(B$627,'vehicles specifications'!$A$3:$A$166,0),MATCH(G669,'vehicles specifications'!$B$2:$CW$2,0))*INDEX('ei names mapping'!$B$137:$BL$300,MATCH(B$627,'ei names mapping'!$A$137:$A$300,0),MATCH(G669,'ei names mapping'!$B$136:$BL$136,0))</f>
        <v>2.913360720543634E-5</v>
      </c>
      <c r="D669" t="str">
        <f>INDEX('ei names mapping'!$B$104:$BL$133,MATCH(B$234,'ei names mapping'!$A$4:$A$33,0),MATCH(G669,'ei names mapping'!$B$3:$BL$3,0))</f>
        <v>kilogram</v>
      </c>
      <c r="E669" t="str">
        <f>INDEX('ei names mapping'!$B$305:$BL$335,MATCH(B$234,'ei names mapping'!$A$4:$A$33,0),MATCH(G669,'ei names mapping'!$B$3:$BL$3,0))</f>
        <v>air::urban air close to ground</v>
      </c>
      <c r="F669" t="s">
        <v>167</v>
      </c>
      <c r="G669" t="s">
        <v>544</v>
      </c>
    </row>
    <row r="670" spans="1:7" x14ac:dyDescent="0.2">
      <c r="A670" t="str">
        <f>INDEX('ei names mapping'!$B$4:$BL$33,MATCH(B$234,'ei names mapping'!$A$4:$A$33,0),MATCH(G670,'ei names mapping'!$B$3:$BL$3,0))</f>
        <v>Hexane</v>
      </c>
      <c r="B670" s="7">
        <f>INDEX('vehicles specifications'!$B$3:$CW$166,MATCH(B$627,'vehicles specifications'!$A$3:$A$166,0),MATCH(G670,'vehicles specifications'!$B$2:$CW$2,0))*INDEX('ei names mapping'!$B$137:$BL$300,MATCH(B$627,'ei names mapping'!$A$137:$A$300,0),MATCH(G670,'ei names mapping'!$B$136:$BL$136,0))</f>
        <v>2.1816329116629077E-5</v>
      </c>
      <c r="D670" t="str">
        <f>INDEX('ei names mapping'!$B$104:$BL$133,MATCH(B$234,'ei names mapping'!$A$4:$A$33,0),MATCH(G670,'ei names mapping'!$B$3:$BL$3,0))</f>
        <v>kilogram</v>
      </c>
      <c r="E670" t="str">
        <f>INDEX('ei names mapping'!$B$305:$BL$335,MATCH(B$234,'ei names mapping'!$A$4:$A$33,0),MATCH(G670,'ei names mapping'!$B$3:$BL$3,0))</f>
        <v>air::urban air close to ground</v>
      </c>
      <c r="F670" t="s">
        <v>167</v>
      </c>
      <c r="G670" t="s">
        <v>545</v>
      </c>
    </row>
    <row r="671" spans="1:7" x14ac:dyDescent="0.2">
      <c r="A671" t="str">
        <f>INDEX('ei names mapping'!$B$4:$BL$33,MATCH(B$234,'ei names mapping'!$A$4:$A$33,0),MATCH(G671,'ei names mapping'!$B$3:$BL$3,0))</f>
        <v>Cyclohexane</v>
      </c>
      <c r="B671" s="7">
        <f>INDEX('vehicles specifications'!$B$3:$CW$166,MATCH(B$627,'vehicles specifications'!$A$3:$A$166,0),MATCH(G671,'vehicles specifications'!$B$2:$CW$2,0))*INDEX('ei names mapping'!$B$137:$BL$300,MATCH(B$627,'ei names mapping'!$A$137:$A$300,0),MATCH(G671,'ei names mapping'!$B$136:$BL$136,0))</f>
        <v>1.5447587076370898E-5</v>
      </c>
      <c r="D671" t="str">
        <f>INDEX('ei names mapping'!$B$104:$BL$133,MATCH(B$234,'ei names mapping'!$A$4:$A$33,0),MATCH(G671,'ei names mapping'!$B$3:$BL$3,0))</f>
        <v>kilogram</v>
      </c>
      <c r="E671" t="str">
        <f>INDEX('ei names mapping'!$B$305:$BL$335,MATCH(B$234,'ei names mapping'!$A$4:$A$33,0),MATCH(G671,'ei names mapping'!$B$3:$BL$3,0))</f>
        <v>air::urban air close to ground</v>
      </c>
      <c r="F671" t="s">
        <v>167</v>
      </c>
      <c r="G671" t="s">
        <v>546</v>
      </c>
    </row>
    <row r="672" spans="1:7" x14ac:dyDescent="0.2">
      <c r="A672" t="str">
        <f>INDEX('ei names mapping'!$B$4:$BL$33,MATCH(B$234,'ei names mapping'!$A$4:$A$33,0),MATCH(G672,'ei names mapping'!$B$3:$BL$3,0))</f>
        <v>Heptane</v>
      </c>
      <c r="B672" s="7">
        <f>INDEX('vehicles specifications'!$B$3:$CW$166,MATCH(B$627,'vehicles specifications'!$A$3:$A$166,0),MATCH(G672,'vehicles specifications'!$B$2:$CW$2,0))*INDEX('ei names mapping'!$B$137:$BL$300,MATCH(B$627,'ei names mapping'!$A$137:$A$300,0),MATCH(G672,'ei names mapping'!$B$136:$BL$136,0))</f>
        <v>1.002738108466181E-5</v>
      </c>
      <c r="D672" t="str">
        <f>INDEX('ei names mapping'!$B$104:$BL$133,MATCH(B$234,'ei names mapping'!$A$4:$A$33,0),MATCH(G672,'ei names mapping'!$B$3:$BL$3,0))</f>
        <v>kilogram</v>
      </c>
      <c r="E672" t="str">
        <f>INDEX('ei names mapping'!$B$305:$BL$335,MATCH(B$234,'ei names mapping'!$A$4:$A$33,0),MATCH(G672,'ei names mapping'!$B$3:$BL$3,0))</f>
        <v>air::urban air close to ground</v>
      </c>
      <c r="F672" t="s">
        <v>167</v>
      </c>
      <c r="G672" t="s">
        <v>547</v>
      </c>
    </row>
    <row r="673" spans="1:7" x14ac:dyDescent="0.2">
      <c r="A673" t="str">
        <f>INDEX('ei names mapping'!$B$4:$BL$33,MATCH(B$234,'ei names mapping'!$A$4:$A$33,0),MATCH(G673,'ei names mapping'!$B$3:$BL$3,0))</f>
        <v>Ethene</v>
      </c>
      <c r="B673" s="7">
        <f>INDEX('vehicles specifications'!$B$3:$CW$166,MATCH(B$627,'vehicles specifications'!$A$3:$A$166,0),MATCH(G673,'vehicles specifications'!$B$2:$CW$2,0))*INDEX('ei names mapping'!$B$137:$BL$300,MATCH(B$627,'ei names mapping'!$A$137:$A$300,0),MATCH(G673,'ei names mapping'!$B$136:$BL$136,0))</f>
        <v>9.8918759348690837E-5</v>
      </c>
      <c r="D673" t="str">
        <f>INDEX('ei names mapping'!$B$104:$BL$133,MATCH(B$234,'ei names mapping'!$A$4:$A$33,0),MATCH(G673,'ei names mapping'!$B$3:$BL$3,0))</f>
        <v>kilogram</v>
      </c>
      <c r="E673" t="str">
        <f>INDEX('ei names mapping'!$B$305:$BL$335,MATCH(B$234,'ei names mapping'!$A$4:$A$33,0),MATCH(G673,'ei names mapping'!$B$3:$BL$3,0))</f>
        <v>air::urban air close to ground</v>
      </c>
      <c r="F673" t="s">
        <v>167</v>
      </c>
      <c r="G673" t="s">
        <v>548</v>
      </c>
    </row>
    <row r="674" spans="1:7" x14ac:dyDescent="0.2">
      <c r="A674" t="str">
        <f>INDEX('ei names mapping'!$B$4:$BL$33,MATCH(B$234,'ei names mapping'!$A$4:$A$33,0),MATCH(G674,'ei names mapping'!$B$3:$BL$3,0))</f>
        <v>Propene</v>
      </c>
      <c r="B674" s="7">
        <f>INDEX('vehicles specifications'!$B$3:$CW$166,MATCH(B$627,'vehicles specifications'!$A$3:$A$166,0),MATCH(G674,'vehicles specifications'!$B$2:$CW$2,0))*INDEX('ei names mapping'!$B$137:$BL$300,MATCH(B$627,'ei names mapping'!$A$137:$A$300,0),MATCH(G674,'ei names mapping'!$B$136:$BL$136,0))</f>
        <v>5.1762967220821776E-5</v>
      </c>
      <c r="D674" t="str">
        <f>INDEX('ei names mapping'!$B$104:$BL$133,MATCH(B$234,'ei names mapping'!$A$4:$A$33,0),MATCH(G674,'ei names mapping'!$B$3:$BL$3,0))</f>
        <v>kilogram</v>
      </c>
      <c r="E674" t="str">
        <f>INDEX('ei names mapping'!$B$305:$BL$335,MATCH(B$234,'ei names mapping'!$A$4:$A$33,0),MATCH(G674,'ei names mapping'!$B$3:$BL$3,0))</f>
        <v>air::urban air close to ground</v>
      </c>
      <c r="F674" t="s">
        <v>167</v>
      </c>
      <c r="G674" t="s">
        <v>549</v>
      </c>
    </row>
    <row r="675" spans="1:7" x14ac:dyDescent="0.2">
      <c r="A675" t="str">
        <f>INDEX('ei names mapping'!$B$4:$BL$33,MATCH(B$234,'ei names mapping'!$A$4:$A$33,0),MATCH(G675,'ei names mapping'!$B$3:$BL$3,0))</f>
        <v>1-Pentene</v>
      </c>
      <c r="B675" s="7">
        <f>INDEX('vehicles specifications'!$B$3:$CW$166,MATCH(B$627,'vehicles specifications'!$A$3:$A$166,0),MATCH(G675,'vehicles specifications'!$B$2:$CW$2,0))*INDEX('ei names mapping'!$B$137:$BL$300,MATCH(B$627,'ei names mapping'!$A$137:$A$300,0),MATCH(G675,'ei names mapping'!$B$136:$BL$136,0))</f>
        <v>1.4905566477199989E-6</v>
      </c>
      <c r="D675" t="str">
        <f>INDEX('ei names mapping'!$B$104:$BL$133,MATCH(B$234,'ei names mapping'!$A$4:$A$33,0),MATCH(G675,'ei names mapping'!$B$3:$BL$3,0))</f>
        <v>kilogram</v>
      </c>
      <c r="E675" t="str">
        <f>INDEX('ei names mapping'!$B$305:$BL$335,MATCH(B$234,'ei names mapping'!$A$4:$A$33,0),MATCH(G675,'ei names mapping'!$B$3:$BL$3,0))</f>
        <v>air::urban air close to ground</v>
      </c>
      <c r="F675" t="s">
        <v>167</v>
      </c>
      <c r="G675" t="s">
        <v>550</v>
      </c>
    </row>
    <row r="676" spans="1:7" x14ac:dyDescent="0.2">
      <c r="A676" t="str">
        <f>INDEX('ei names mapping'!$B$4:$BL$33,MATCH(B$234,'ei names mapping'!$A$4:$A$33,0),MATCH(G676,'ei names mapping'!$B$3:$BL$3,0))</f>
        <v>Toluene</v>
      </c>
      <c r="B676" s="7">
        <f>INDEX('vehicles specifications'!$B$3:$CW$166,MATCH(B$627,'vehicles specifications'!$A$3:$A$166,0),MATCH(G676,'vehicles specifications'!$B$2:$CW$2,0))*INDEX('ei names mapping'!$B$137:$BL$300,MATCH(B$627,'ei names mapping'!$A$137:$A$300,0),MATCH(G676,'ei names mapping'!$B$136:$BL$136,0))</f>
        <v>1.4878465447241445E-4</v>
      </c>
      <c r="D676" t="str">
        <f>INDEX('ei names mapping'!$B$104:$BL$133,MATCH(B$234,'ei names mapping'!$A$4:$A$33,0),MATCH(G676,'ei names mapping'!$B$3:$BL$3,0))</f>
        <v>kilogram</v>
      </c>
      <c r="E676" t="str">
        <f>INDEX('ei names mapping'!$B$305:$BL$335,MATCH(B$234,'ei names mapping'!$A$4:$A$33,0),MATCH(G676,'ei names mapping'!$B$3:$BL$3,0))</f>
        <v>air::urban air close to ground</v>
      </c>
      <c r="F676" t="s">
        <v>167</v>
      </c>
      <c r="G676" t="s">
        <v>551</v>
      </c>
    </row>
    <row r="677" spans="1:7" x14ac:dyDescent="0.2">
      <c r="A677" t="str">
        <f>INDEX('ei names mapping'!$B$4:$BL$33,MATCH(B$234,'ei names mapping'!$A$4:$A$33,0),MATCH(G677,'ei names mapping'!$B$3:$BL$3,0))</f>
        <v>m-Xylene</v>
      </c>
      <c r="B677" s="7">
        <f>INDEX('vehicles specifications'!$B$3:$CW$166,MATCH(B$627,'vehicles specifications'!$A$3:$A$166,0),MATCH(G677,'vehicles specifications'!$B$2:$CW$2,0))*INDEX('ei names mapping'!$B$137:$BL$300,MATCH(B$627,'ei names mapping'!$A$137:$A$300,0),MATCH(G677,'ei names mapping'!$B$136:$BL$136,0))</f>
        <v>7.3579296337450856E-5</v>
      </c>
      <c r="D677" t="str">
        <f>INDEX('ei names mapping'!$B$104:$BL$133,MATCH(B$234,'ei names mapping'!$A$4:$A$33,0),MATCH(G677,'ei names mapping'!$B$3:$BL$3,0))</f>
        <v>kilogram</v>
      </c>
      <c r="E677" t="str">
        <f>INDEX('ei names mapping'!$B$305:$BL$335,MATCH(B$234,'ei names mapping'!$A$4:$A$33,0),MATCH(G677,'ei names mapping'!$B$3:$BL$3,0))</f>
        <v>air::urban air close to ground</v>
      </c>
      <c r="F677" t="s">
        <v>167</v>
      </c>
      <c r="G677" t="s">
        <v>552</v>
      </c>
    </row>
    <row r="678" spans="1:7" x14ac:dyDescent="0.2">
      <c r="A678" t="str">
        <f>INDEX('ei names mapping'!$B$4:$BL$33,MATCH(B$234,'ei names mapping'!$A$4:$A$33,0),MATCH(G678,'ei names mapping'!$B$3:$BL$3,0))</f>
        <v>o-Xylene</v>
      </c>
      <c r="B678" s="7">
        <f>INDEX('vehicles specifications'!$B$3:$CW$166,MATCH(B$627,'vehicles specifications'!$A$3:$A$166,0),MATCH(G678,'vehicles specifications'!$B$2:$CW$2,0))*INDEX('ei names mapping'!$B$137:$BL$300,MATCH(B$627,'ei names mapping'!$A$137:$A$300,0),MATCH(G678,'ei names mapping'!$B$136:$BL$136,0))</f>
        <v>3.0624163853156341E-5</v>
      </c>
      <c r="D678" t="str">
        <f>INDEX('ei names mapping'!$B$104:$BL$133,MATCH(B$234,'ei names mapping'!$A$4:$A$33,0),MATCH(G678,'ei names mapping'!$B$3:$BL$3,0))</f>
        <v>kilogram</v>
      </c>
      <c r="E678" t="str">
        <f>INDEX('ei names mapping'!$B$305:$BL$335,MATCH(B$234,'ei names mapping'!$A$4:$A$33,0),MATCH(G678,'ei names mapping'!$B$3:$BL$3,0))</f>
        <v>air::urban air close to ground</v>
      </c>
      <c r="F678" t="s">
        <v>167</v>
      </c>
      <c r="G678" t="s">
        <v>553</v>
      </c>
    </row>
    <row r="679" spans="1:7" x14ac:dyDescent="0.2">
      <c r="A679" t="str">
        <f>INDEX('ei names mapping'!$B$4:$BL$33,MATCH(B$234,'ei names mapping'!$A$4:$A$33,0),MATCH(G679,'ei names mapping'!$B$3:$BL$3,0))</f>
        <v>Formaldehyde</v>
      </c>
      <c r="B679" s="7">
        <f>INDEX('vehicles specifications'!$B$3:$CW$166,MATCH(B$627,'vehicles specifications'!$A$3:$A$166,0),MATCH(G679,'vehicles specifications'!$B$2:$CW$2,0))*INDEX('ei names mapping'!$B$137:$BL$300,MATCH(B$627,'ei names mapping'!$A$137:$A$300,0),MATCH(G679,'ei names mapping'!$B$136:$BL$136,0))</f>
        <v>2.3035875464763623E-5</v>
      </c>
      <c r="D679" t="str">
        <f>INDEX('ei names mapping'!$B$104:$BL$133,MATCH(B$234,'ei names mapping'!$A$4:$A$33,0),MATCH(G679,'ei names mapping'!$B$3:$BL$3,0))</f>
        <v>kilogram</v>
      </c>
      <c r="E679" t="str">
        <f>INDEX('ei names mapping'!$B$305:$BL$335,MATCH(B$234,'ei names mapping'!$A$4:$A$33,0),MATCH(G679,'ei names mapping'!$B$3:$BL$3,0))</f>
        <v>air::urban air close to ground</v>
      </c>
      <c r="F679" t="s">
        <v>167</v>
      </c>
      <c r="G679" t="s">
        <v>554</v>
      </c>
    </row>
    <row r="680" spans="1:7" x14ac:dyDescent="0.2">
      <c r="A680" t="str">
        <f>INDEX('ei names mapping'!$B$4:$BL$33,MATCH(B$234,'ei names mapping'!$A$4:$A$33,0),MATCH(G680,'ei names mapping'!$B$3:$BL$3,0))</f>
        <v>Acetaldehyde</v>
      </c>
      <c r="B680" s="7">
        <f>INDEX('vehicles specifications'!$B$3:$CW$166,MATCH(B$627,'vehicles specifications'!$A$3:$A$166,0),MATCH(G680,'vehicles specifications'!$B$2:$CW$2,0))*INDEX('ei names mapping'!$B$137:$BL$300,MATCH(B$627,'ei names mapping'!$A$137:$A$300,0),MATCH(G680,'ei names mapping'!$B$136:$BL$136,0))</f>
        <v>1.0162886234454536E-5</v>
      </c>
      <c r="D680" t="str">
        <f>INDEX('ei names mapping'!$B$104:$BL$133,MATCH(B$234,'ei names mapping'!$A$4:$A$33,0),MATCH(G680,'ei names mapping'!$B$3:$BL$3,0))</f>
        <v>kilogram</v>
      </c>
      <c r="E680" t="str">
        <f>INDEX('ei names mapping'!$B$305:$BL$335,MATCH(B$234,'ei names mapping'!$A$4:$A$33,0),MATCH(G680,'ei names mapping'!$B$3:$BL$3,0))</f>
        <v>air::urban air close to ground</v>
      </c>
      <c r="F680" t="s">
        <v>167</v>
      </c>
      <c r="G680" t="s">
        <v>555</v>
      </c>
    </row>
    <row r="681" spans="1:7" x14ac:dyDescent="0.2">
      <c r="A681" t="str">
        <f>INDEX('ei names mapping'!$B$4:$BL$33,MATCH(B$234,'ei names mapping'!$A$4:$A$33,0),MATCH(G681,'ei names mapping'!$B$3:$BL$3,0))</f>
        <v>Benzaldehyde</v>
      </c>
      <c r="B681" s="7">
        <f>INDEX('vehicles specifications'!$B$3:$CW$166,MATCH(B$627,'vehicles specifications'!$A$3:$A$166,0),MATCH(G681,'vehicles specifications'!$B$2:$CW$2,0))*INDEX('ei names mapping'!$B$137:$BL$300,MATCH(B$627,'ei names mapping'!$A$137:$A$300,0),MATCH(G681,'ei names mapping'!$B$136:$BL$136,0))</f>
        <v>2.9811132954399978E-6</v>
      </c>
      <c r="D681" t="str">
        <f>INDEX('ei names mapping'!$B$104:$BL$133,MATCH(B$234,'ei names mapping'!$A$4:$A$33,0),MATCH(G681,'ei names mapping'!$B$3:$BL$3,0))</f>
        <v>kilogram</v>
      </c>
      <c r="E681" t="str">
        <f>INDEX('ei names mapping'!$B$305:$BL$335,MATCH(B$234,'ei names mapping'!$A$4:$A$33,0),MATCH(G681,'ei names mapping'!$B$3:$BL$3,0))</f>
        <v>air::urban air close to ground</v>
      </c>
      <c r="F681" t="s">
        <v>167</v>
      </c>
      <c r="G681" t="s">
        <v>556</v>
      </c>
    </row>
    <row r="682" spans="1:7" x14ac:dyDescent="0.2">
      <c r="A682" t="str">
        <f>INDEX('ei names mapping'!$B$4:$BL$33,MATCH(B$234,'ei names mapping'!$A$4:$A$33,0),MATCH(G682,'ei names mapping'!$B$3:$BL$3,0))</f>
        <v>Acetone</v>
      </c>
      <c r="B682" s="7">
        <f>INDEX('vehicles specifications'!$B$3:$CW$166,MATCH(B$627,'vehicles specifications'!$A$3:$A$166,0),MATCH(G682,'vehicles specifications'!$B$2:$CW$2,0))*INDEX('ei names mapping'!$B$137:$BL$300,MATCH(B$627,'ei names mapping'!$A$137:$A$300,0),MATCH(G682,'ei names mapping'!$B$136:$BL$136,0))</f>
        <v>8.2658141373563583E-6</v>
      </c>
      <c r="D682" t="str">
        <f>INDEX('ei names mapping'!$B$104:$BL$133,MATCH(B$234,'ei names mapping'!$A$4:$A$33,0),MATCH(G682,'ei names mapping'!$B$3:$BL$3,0))</f>
        <v>kilogram</v>
      </c>
      <c r="E682" t="str">
        <f>INDEX('ei names mapping'!$B$305:$BL$335,MATCH(B$234,'ei names mapping'!$A$4:$A$33,0),MATCH(G682,'ei names mapping'!$B$3:$BL$3,0))</f>
        <v>air::urban air close to ground</v>
      </c>
      <c r="F682" t="s">
        <v>167</v>
      </c>
      <c r="G682" t="s">
        <v>557</v>
      </c>
    </row>
    <row r="683" spans="1:7" x14ac:dyDescent="0.2">
      <c r="A683" t="str">
        <f>INDEX('ei names mapping'!$B$4:$BL$33,MATCH(B$234,'ei names mapping'!$A$4:$A$33,0),MATCH(G683,'ei names mapping'!$B$3:$BL$3,0))</f>
        <v>Methyl ethyl ketone</v>
      </c>
      <c r="B683" s="7">
        <f>INDEX('vehicles specifications'!$B$3:$CW$166,MATCH(B$627,'vehicles specifications'!$A$3:$A$166,0),MATCH(G683,'vehicles specifications'!$B$2:$CW$2,0))*INDEX('ei names mapping'!$B$137:$BL$300,MATCH(B$627,'ei names mapping'!$A$137:$A$300,0),MATCH(G683,'ei names mapping'!$B$136:$BL$136,0))</f>
        <v>0</v>
      </c>
      <c r="D683" t="str">
        <f>INDEX('ei names mapping'!$B$104:$BL$133,MATCH(B$234,'ei names mapping'!$A$4:$A$33,0),MATCH(G683,'ei names mapping'!$B$3:$BL$3,0))</f>
        <v>kilogram</v>
      </c>
      <c r="E683" t="str">
        <f>INDEX('ei names mapping'!$B$305:$BL$335,MATCH(B$234,'ei names mapping'!$A$4:$A$33,0),MATCH(G683,'ei names mapping'!$B$3:$BL$3,0))</f>
        <v>air::urban air close to ground</v>
      </c>
      <c r="F683" t="s">
        <v>167</v>
      </c>
      <c r="G683" t="s">
        <v>560</v>
      </c>
    </row>
    <row r="684" spans="1:7" x14ac:dyDescent="0.2">
      <c r="A684" t="str">
        <f>INDEX('ei names mapping'!$B$4:$BL$33,MATCH(B$234,'ei names mapping'!$A$4:$A$33,0),MATCH(G684,'ei names mapping'!$B$3:$BL$3,0))</f>
        <v>Acrolein</v>
      </c>
      <c r="B684" s="7">
        <f>INDEX('vehicles specifications'!$B$3:$CW$166,MATCH(B$627,'vehicles specifications'!$A$3:$A$166,0),MATCH(G684,'vehicles specifications'!$B$2:$CW$2,0))*INDEX('ei names mapping'!$B$137:$BL$300,MATCH(B$627,'ei names mapping'!$A$137:$A$300,0),MATCH(G684,'ei names mapping'!$B$136:$BL$136,0))</f>
        <v>2.5745978460618164E-6</v>
      </c>
      <c r="D684" t="str">
        <f>INDEX('ei names mapping'!$B$104:$BL$133,MATCH(B$234,'ei names mapping'!$A$4:$A$33,0),MATCH(G684,'ei names mapping'!$B$3:$BL$3,0))</f>
        <v>kilogram</v>
      </c>
      <c r="E684" t="str">
        <f>INDEX('ei names mapping'!$B$305:$BL$335,MATCH(B$234,'ei names mapping'!$A$4:$A$33,0),MATCH(G684,'ei names mapping'!$B$3:$BL$3,0))</f>
        <v>air::urban air close to ground</v>
      </c>
      <c r="F684" t="s">
        <v>167</v>
      </c>
      <c r="G684" t="s">
        <v>558</v>
      </c>
    </row>
    <row r="685" spans="1:7" x14ac:dyDescent="0.2">
      <c r="A685" t="str">
        <f>INDEX('ei names mapping'!$B$4:$BL$33,MATCH(B$234,'ei names mapping'!$A$4:$A$33,0),MATCH(G685,'ei names mapping'!$B$3:$BL$3,0))</f>
        <v>Styrene</v>
      </c>
      <c r="B685" s="7">
        <f>INDEX('vehicles specifications'!$B$3:$CW$166,MATCH(B$627,'vehicles specifications'!$A$3:$A$166,0),MATCH(G685,'vehicles specifications'!$B$2:$CW$2,0))*INDEX('ei names mapping'!$B$137:$BL$300,MATCH(B$627,'ei names mapping'!$A$137:$A$300,0),MATCH(G685,'ei names mapping'!$B$136:$BL$136,0))</f>
        <v>1.3686020129065443E-5</v>
      </c>
      <c r="D685" t="str">
        <f>INDEX('ei names mapping'!$B$104:$BL$133,MATCH(B$234,'ei names mapping'!$A$4:$A$33,0),MATCH(G685,'ei names mapping'!$B$3:$BL$3,0))</f>
        <v>kilogram</v>
      </c>
      <c r="E685" t="str">
        <f>INDEX('ei names mapping'!$B$305:$BL$335,MATCH(B$234,'ei names mapping'!$A$4:$A$33,0),MATCH(G685,'ei names mapping'!$B$3:$BL$3,0))</f>
        <v>air::urban air close to ground</v>
      </c>
      <c r="F685" t="s">
        <v>167</v>
      </c>
      <c r="G685" t="s">
        <v>559</v>
      </c>
    </row>
    <row r="686" spans="1:7" x14ac:dyDescent="0.2">
      <c r="A686" t="str">
        <f>INDEX('ei names mapping'!$B$4:$BL$33,MATCH(B$234,'ei names mapping'!$A$4:$A$33,0),MATCH(G686,'ei names mapping'!$B$3:$BL$3,0))</f>
        <v>PAH, polycyclic aromatic hydrocarbons</v>
      </c>
      <c r="B686" s="7">
        <f>INDEX('vehicles specifications'!$B$3:$CW$166,MATCH(B$627,'vehicles specifications'!$A$3:$A$166,0),MATCH(G686,'vehicles specifications'!$B$2:$CW$2,0))*INDEX('ei names mapping'!$B$137:$BL$300,MATCH(B$627,'ei names mapping'!$A$137:$A$300,0),MATCH(G686,'ei names mapping'!$B$136:$BL$136,0))</f>
        <v>1.0237404382254204E-9</v>
      </c>
      <c r="D686" t="str">
        <f>INDEX('ei names mapping'!$B$104:$BL$133,MATCH(B$234,'ei names mapping'!$A$4:$A$33,0),MATCH(G686,'ei names mapping'!$B$3:$BL$3,0))</f>
        <v>kilogram</v>
      </c>
      <c r="E686" t="str">
        <f>INDEX('ei names mapping'!$B$305:$BL$335,MATCH(B$234,'ei names mapping'!$A$4:$A$33,0),MATCH(G686,'ei names mapping'!$B$3:$BL$3,0))</f>
        <v>air::urban air close to ground</v>
      </c>
      <c r="F686" t="s">
        <v>167</v>
      </c>
      <c r="G686" t="s">
        <v>561</v>
      </c>
    </row>
    <row r="687" spans="1:7" x14ac:dyDescent="0.2">
      <c r="A687" t="str">
        <f>INDEX('ei names mapping'!$B$4:$BL$33,MATCH(B$234,'ei names mapping'!$A$4:$A$33,0),MATCH(G687,'ei names mapping'!$B$3:$BL$3,0))</f>
        <v>Arsenic</v>
      </c>
      <c r="B687" s="7">
        <f>INDEX('vehicles specifications'!$B$3:$CW$166,MATCH(B$627,'vehicles specifications'!$A$3:$A$166,0),MATCH(G687,'vehicles specifications'!$B$2:$CW$2,0))*INDEX('ei names mapping'!$B$137:$BL$300,MATCH(B$627,'ei names mapping'!$A$137:$A$300,0),MATCH(G687,'ei names mapping'!$B$136:$BL$136,0))</f>
        <v>8.8253486053915553E-12</v>
      </c>
      <c r="D687" t="str">
        <f>INDEX('ei names mapping'!$B$104:$BL$133,MATCH(B$234,'ei names mapping'!$A$4:$A$33,0),MATCH(G687,'ei names mapping'!$B$3:$BL$3,0))</f>
        <v>kilogram</v>
      </c>
      <c r="E687" t="str">
        <f>INDEX('ei names mapping'!$B$305:$BL$335,MATCH(B$234,'ei names mapping'!$A$4:$A$33,0),MATCH(G687,'ei names mapping'!$B$3:$BL$3,0))</f>
        <v>air::urban air close to ground</v>
      </c>
      <c r="F687" t="s">
        <v>167</v>
      </c>
      <c r="G687" t="s">
        <v>562</v>
      </c>
    </row>
    <row r="688" spans="1:7" x14ac:dyDescent="0.2">
      <c r="A688" t="str">
        <f>INDEX('ei names mapping'!$B$4:$BL$33,MATCH(B$234,'ei names mapping'!$A$4:$A$33,0),MATCH(G688,'ei names mapping'!$B$3:$BL$3,0))</f>
        <v>Selenium</v>
      </c>
      <c r="B688" s="7">
        <f>INDEX('vehicles specifications'!$B$3:$CW$166,MATCH(B$627,'vehicles specifications'!$A$3:$A$166,0),MATCH(G688,'vehicles specifications'!$B$2:$CW$2,0))*INDEX('ei names mapping'!$B$137:$BL$300,MATCH(B$627,'ei names mapping'!$A$137:$A$300,0),MATCH(G688,'ei names mapping'!$B$136:$BL$136,0))</f>
        <v>5.883565736927703E-12</v>
      </c>
      <c r="D688" t="str">
        <f>INDEX('ei names mapping'!$B$104:$BL$133,MATCH(B$234,'ei names mapping'!$A$4:$A$33,0),MATCH(G688,'ei names mapping'!$B$3:$BL$3,0))</f>
        <v>kilogram</v>
      </c>
      <c r="E688" t="str">
        <f>INDEX('ei names mapping'!$B$305:$BL$335,MATCH(B$234,'ei names mapping'!$A$4:$A$33,0),MATCH(G688,'ei names mapping'!$B$3:$BL$3,0))</f>
        <v>air::urban air close to ground</v>
      </c>
      <c r="F688" t="s">
        <v>167</v>
      </c>
      <c r="G688" t="s">
        <v>563</v>
      </c>
    </row>
    <row r="689" spans="1:8" x14ac:dyDescent="0.2">
      <c r="A689" t="str">
        <f>INDEX('ei names mapping'!$B$4:$BL$33,MATCH(B$234,'ei names mapping'!$A$4:$A$33,0),MATCH(G689,'ei names mapping'!$B$3:$BL$3,0))</f>
        <v>Zinc</v>
      </c>
      <c r="B689" s="7">
        <f>INDEX('vehicles specifications'!$B$3:$CW$166,MATCH(B$627,'vehicles specifications'!$A$3:$A$166,0),MATCH(G689,'vehicles specifications'!$B$2:$CW$2,0))*INDEX('ei names mapping'!$B$137:$BL$300,MATCH(B$627,'ei names mapping'!$A$137:$A$300,0),MATCH(G689,'ei names mapping'!$B$136:$BL$136,0))</f>
        <v>6.3542509958819202E-8</v>
      </c>
      <c r="D689" t="str">
        <f>INDEX('ei names mapping'!$B$104:$BL$133,MATCH(B$234,'ei names mapping'!$A$4:$A$33,0),MATCH(G689,'ei names mapping'!$B$3:$BL$3,0))</f>
        <v>kilogram</v>
      </c>
      <c r="E689" t="str">
        <f>INDEX('ei names mapping'!$B$305:$BL$335,MATCH(B$234,'ei names mapping'!$A$4:$A$33,0),MATCH(G689,'ei names mapping'!$B$3:$BL$3,0))</f>
        <v>air::urban air close to ground</v>
      </c>
      <c r="F689" t="s">
        <v>167</v>
      </c>
      <c r="G689" t="s">
        <v>564</v>
      </c>
    </row>
    <row r="690" spans="1:8" x14ac:dyDescent="0.2">
      <c r="A690" t="str">
        <f>INDEX('ei names mapping'!$B$4:$BL$33,MATCH(B$234,'ei names mapping'!$A$4:$A$33,0),MATCH(G690,'ei names mapping'!$B$3:$BL$3,0))</f>
        <v>Copper</v>
      </c>
      <c r="B690" s="7">
        <f>INDEX('vehicles specifications'!$B$3:$CW$166,MATCH(B$627,'vehicles specifications'!$A$3:$A$166,0),MATCH(G690,'vehicles specifications'!$B$2:$CW$2,0))*INDEX('ei names mapping'!$B$137:$BL$300,MATCH(B$627,'ei names mapping'!$A$137:$A$300,0),MATCH(G690,'ei names mapping'!$B$136:$BL$136,0))</f>
        <v>1.2355488047548176E-9</v>
      </c>
      <c r="D690" t="str">
        <f>INDEX('ei names mapping'!$B$104:$BL$133,MATCH(B$234,'ei names mapping'!$A$4:$A$33,0),MATCH(G690,'ei names mapping'!$B$3:$BL$3,0))</f>
        <v>kilogram</v>
      </c>
      <c r="E690" t="str">
        <f>INDEX('ei names mapping'!$B$305:$BL$335,MATCH(B$234,'ei names mapping'!$A$4:$A$33,0),MATCH(G690,'ei names mapping'!$B$3:$BL$3,0))</f>
        <v>air::urban air close to ground</v>
      </c>
      <c r="F690" t="s">
        <v>167</v>
      </c>
      <c r="G690" t="s">
        <v>522</v>
      </c>
    </row>
    <row r="691" spans="1:8" x14ac:dyDescent="0.2">
      <c r="A691" t="str">
        <f>INDEX('ei names mapping'!$B$4:$BL$33,MATCH(B$234,'ei names mapping'!$A$4:$A$33,0),MATCH(G691,'ei names mapping'!$B$3:$BL$3,0))</f>
        <v>Nickel</v>
      </c>
      <c r="B691" s="7">
        <f>INDEX('vehicles specifications'!$B$3:$CW$166,MATCH(B$627,'vehicles specifications'!$A$3:$A$166,0),MATCH(G691,'vehicles specifications'!$B$2:$CW$2,0))*INDEX('ei names mapping'!$B$137:$BL$300,MATCH(B$627,'ei names mapping'!$A$137:$A$300,0),MATCH(G691,'ei names mapping'!$B$136:$BL$136,0))</f>
        <v>3.824317729003007E-10</v>
      </c>
      <c r="D691" t="str">
        <f>INDEX('ei names mapping'!$B$104:$BL$133,MATCH(B$234,'ei names mapping'!$A$4:$A$33,0),MATCH(G691,'ei names mapping'!$B$3:$BL$3,0))</f>
        <v>kilogram</v>
      </c>
      <c r="E691" t="str">
        <f>INDEX('ei names mapping'!$B$305:$BL$335,MATCH(B$234,'ei names mapping'!$A$4:$A$33,0),MATCH(G691,'ei names mapping'!$B$3:$BL$3,0))</f>
        <v>air::urban air close to ground</v>
      </c>
      <c r="F691" t="s">
        <v>167</v>
      </c>
      <c r="G691" t="s">
        <v>524</v>
      </c>
    </row>
    <row r="692" spans="1:8" x14ac:dyDescent="0.2">
      <c r="A692" t="str">
        <f>INDEX('ei names mapping'!$B$4:$BL$33,MATCH(B$234,'ei names mapping'!$A$4:$A$33,0),MATCH(G692,'ei names mapping'!$B$3:$BL$3,0))</f>
        <v>Chromium</v>
      </c>
      <c r="B692" s="7">
        <f>INDEX('vehicles specifications'!$B$3:$CW$166,MATCH(B$627,'vehicles specifications'!$A$3:$A$166,0),MATCH(G692,'vehicles specifications'!$B$2:$CW$2,0))*INDEX('ei names mapping'!$B$137:$BL$300,MATCH(B$627,'ei names mapping'!$A$137:$A$300,0),MATCH(G692,'ei names mapping'!$B$136:$BL$136,0))</f>
        <v>4.7068525895421627E-10</v>
      </c>
      <c r="D692" t="str">
        <f>INDEX('ei names mapping'!$B$104:$BL$133,MATCH(B$234,'ei names mapping'!$A$4:$A$33,0),MATCH(G692,'ei names mapping'!$B$3:$BL$3,0))</f>
        <v>kilogram</v>
      </c>
      <c r="E692" t="str">
        <f>INDEX('ei names mapping'!$B$305:$BL$335,MATCH(B$234,'ei names mapping'!$A$4:$A$33,0),MATCH(G692,'ei names mapping'!$B$3:$BL$3,0))</f>
        <v>air::urban air close to ground</v>
      </c>
      <c r="F692" t="s">
        <v>167</v>
      </c>
      <c r="G692" t="s">
        <v>523</v>
      </c>
    </row>
    <row r="693" spans="1:8" x14ac:dyDescent="0.2">
      <c r="A693" t="str">
        <f>INDEX('ei names mapping'!$B$4:$BL$33,MATCH(B$234,'ei names mapping'!$A$4:$A$33,0),MATCH(G693,'ei names mapping'!$B$3:$BL$3,0))</f>
        <v>Chromium VI</v>
      </c>
      <c r="B693" s="7">
        <f>INDEX('vehicles specifications'!$B$3:$CW$166,MATCH(B$627,'vehicles specifications'!$A$3:$A$166,0),MATCH(G693,'vehicles specifications'!$B$2:$CW$2,0))*INDEX('ei names mapping'!$B$137:$BL$300,MATCH(B$627,'ei names mapping'!$A$137:$A$300,0),MATCH(G693,'ei names mapping'!$B$136:$BL$136,0))</f>
        <v>9.4137051790843233E-13</v>
      </c>
      <c r="D693" t="str">
        <f>INDEX('ei names mapping'!$B$104:$BL$133,MATCH(B$234,'ei names mapping'!$A$4:$A$33,0),MATCH(G693,'ei names mapping'!$B$3:$BL$3,0))</f>
        <v>kilogram</v>
      </c>
      <c r="E693" t="str">
        <f>INDEX('ei names mapping'!$B$305:$BL$335,MATCH(B$234,'ei names mapping'!$A$4:$A$33,0),MATCH(G693,'ei names mapping'!$B$3:$BL$3,0))</f>
        <v>air::urban air close to ground</v>
      </c>
      <c r="F693" t="s">
        <v>167</v>
      </c>
      <c r="G693" t="s">
        <v>567</v>
      </c>
    </row>
    <row r="694" spans="1:8" x14ac:dyDescent="0.2">
      <c r="A694" t="str">
        <f>INDEX('ei names mapping'!$B$4:$BL$33,MATCH(B$234,'ei names mapping'!$A$4:$A$33,0),MATCH(G694,'ei names mapping'!$B$3:$BL$3,0))</f>
        <v>Mercury</v>
      </c>
      <c r="B694" s="7">
        <f>INDEX('vehicles specifications'!$B$3:$CW$166,MATCH(B$627,'vehicles specifications'!$A$3:$A$166,0),MATCH(G694,'vehicles specifications'!$B$2:$CW$2,0))*INDEX('ei names mapping'!$B$137:$BL$300,MATCH(B$627,'ei names mapping'!$A$137:$A$300,0),MATCH(G694,'ei names mapping'!$B$136:$BL$136,0))</f>
        <v>2.559351095563551E-10</v>
      </c>
      <c r="D694" t="str">
        <f>INDEX('ei names mapping'!$B$104:$BL$133,MATCH(B$234,'ei names mapping'!$A$4:$A$33,0),MATCH(G694,'ei names mapping'!$B$3:$BL$3,0))</f>
        <v>kilogram</v>
      </c>
      <c r="E694" t="str">
        <f>INDEX('ei names mapping'!$B$305:$BL$335,MATCH(B$234,'ei names mapping'!$A$4:$A$33,0),MATCH(G694,'ei names mapping'!$B$3:$BL$3,0))</f>
        <v>air::urban air close to ground</v>
      </c>
      <c r="F694" t="s">
        <v>167</v>
      </c>
      <c r="G694" t="s">
        <v>565</v>
      </c>
    </row>
    <row r="695" spans="1:8" x14ac:dyDescent="0.2">
      <c r="A695" t="str">
        <f>INDEX('ei names mapping'!$B$4:$BL$33,MATCH(B$234,'ei names mapping'!$A$4:$A$33,0),MATCH(G695,'ei names mapping'!$B$3:$BL$3,0))</f>
        <v>Cadmium</v>
      </c>
      <c r="B695" s="7">
        <f>INDEX('vehicles specifications'!$B$3:$CW$166,MATCH(B$627,'vehicles specifications'!$A$3:$A$166,0),MATCH(G695,'vehicles specifications'!$B$2:$CW$2,0))*INDEX('ei names mapping'!$B$137:$BL$300,MATCH(B$627,'ei names mapping'!$A$137:$A$300,0),MATCH(G695,'ei names mapping'!$B$136:$BL$136,0))</f>
        <v>3.1771254979409605E-10</v>
      </c>
      <c r="D695" t="str">
        <f>INDEX('ei names mapping'!$B$104:$BL$133,MATCH(B$234,'ei names mapping'!$A$4:$A$33,0),MATCH(G695,'ei names mapping'!$B$3:$BL$3,0))</f>
        <v>kilogram</v>
      </c>
      <c r="E695" t="str">
        <f>INDEX('ei names mapping'!$B$305:$BL$335,MATCH(B$234,'ei names mapping'!$A$4:$A$33,0),MATCH(G695,'ei names mapping'!$B$3:$BL$3,0))</f>
        <v>air::urban air close to ground</v>
      </c>
      <c r="F695" t="s">
        <v>167</v>
      </c>
      <c r="G695" t="s">
        <v>566</v>
      </c>
    </row>
    <row r="696" spans="1:8" x14ac:dyDescent="0.2">
      <c r="A696" t="str">
        <f>INDEX('ei names mapping'!$B$4:$BL$33,MATCH(B624,'ei names mapping'!$A$4:$A$33,0),MATCH(G696,'ei names mapping'!$B$3:$BL$3,0))</f>
        <v>treatment of road wear emissions, passenger car</v>
      </c>
      <c r="B696" s="7">
        <f>INDEX('vehicles specifications'!$B$3:$CW$166,MATCH(B627,'vehicles specifications'!$A$3:$A$166,0),MATCH(G696,'vehicles specifications'!$B$2:$CW$2,0))*INDEX('ei names mapping'!$B$137:$BL$300,MATCH(B627,'ei names mapping'!$A$137:$A$300,0),MATCH(G696,'ei names mapping'!$B$136:$BL$136,0))</f>
        <v>-6.2119350791340172E-6</v>
      </c>
      <c r="C696" t="str">
        <f>INDEX('ei names mapping'!$B$38:$BL$67,MATCH(B624,'ei names mapping'!$A$4:$A$33,0),MATCH(G696,'ei names mapping'!$B$3:$BL$3,0))</f>
        <v>RER</v>
      </c>
      <c r="D696" t="str">
        <f>INDEX('ei names mapping'!$B$104:$BL$133,MATCH(B624,'ei names mapping'!$A$4:$A$33,0),MATCH(G696,'ei names mapping'!$B$3:$BL$3,0))</f>
        <v>kilogram</v>
      </c>
      <c r="F696" t="s">
        <v>89</v>
      </c>
      <c r="G696" t="s">
        <v>29</v>
      </c>
      <c r="H696" t="str">
        <f>INDEX('ei names mapping'!$B$71:$BL$100,MATCH(B624,'ei names mapping'!$A$4:$A$33,0),MATCH(G696,'ei names mapping'!$B$3:$BL$3,0))</f>
        <v>road wear emissions, passenger car</v>
      </c>
    </row>
    <row r="697" spans="1:8" x14ac:dyDescent="0.2">
      <c r="A697" t="str">
        <f>INDEX('ei names mapping'!$B$4:$BL$33,MATCH(B624,'ei names mapping'!$A$4:$A$33,0),MATCH(G697,'ei names mapping'!$B$3:$BL$3,0))</f>
        <v>treatment of tyre wear emissions, passenger car</v>
      </c>
      <c r="B697" s="7">
        <f>INDEX('vehicles specifications'!$B$3:$CW$166,MATCH(B627,'vehicles specifications'!$A$3:$A$166,0),MATCH(G697,'vehicles specifications'!$B$2:$CW$2,0))*INDEX('ei names mapping'!$B$137:$BL$300,MATCH(B627,'ei names mapping'!$A$137:$A$300,0),MATCH(G697,'ei names mapping'!$B$136:$BL$136,0))</f>
        <v>-5.0811234404962358E-6</v>
      </c>
      <c r="C697" t="str">
        <f>INDEX('ei names mapping'!$B$38:$BL$67,MATCH(B624,'ei names mapping'!$A$4:$A$33,0),MATCH(G697,'ei names mapping'!$B$3:$BL$3,0))</f>
        <v>RER</v>
      </c>
      <c r="D697" t="str">
        <f>INDEX('ei names mapping'!$B$104:$BL$133,MATCH(B624,'ei names mapping'!$A$4:$A$33,0),MATCH(G697,'ei names mapping'!$B$3:$BL$3,0))</f>
        <v>kilogram</v>
      </c>
      <c r="F697" t="s">
        <v>89</v>
      </c>
      <c r="G697" t="s">
        <v>30</v>
      </c>
      <c r="H697" t="str">
        <f>INDEX('ei names mapping'!$B$71:$BL$100,MATCH(B624,'ei names mapping'!$A$4:$A$33,0),MATCH(G697,'ei names mapping'!$B$3:$BL$3,0))</f>
        <v>tyre wear emissions, passenger car</v>
      </c>
    </row>
    <row r="698" spans="1:8" x14ac:dyDescent="0.2">
      <c r="A698" t="str">
        <f>INDEX('ei names mapping'!$B$4:$BL$33,MATCH(B624,'ei names mapping'!$A$4:$A$33,0),MATCH(G698,'ei names mapping'!$B$3:$BL$3,0))</f>
        <v>treatment of brake wear emissions, passenger car</v>
      </c>
      <c r="B698" s="7">
        <f>INDEX('vehicles specifications'!$B$3:$CW$166,MATCH(B627,'vehicles specifications'!$A$3:$A$166,0),MATCH(G698,'vehicles specifications'!$B$2:$CW$2,0))*INDEX('ei names mapping'!$B$137:$BL$300,MATCH(B627,'ei names mapping'!$A$137:$A$300,0),MATCH(G698,'ei names mapping'!$B$136:$BL$136,0))</f>
        <v>-3.5389141066009498E-6</v>
      </c>
      <c r="C698" t="str">
        <f>INDEX('ei names mapping'!$B$38:$BL$67,MATCH(B624,'ei names mapping'!$A$4:$A$33,0),MATCH(G698,'ei names mapping'!$B$3:$BL$3,0))</f>
        <v>RER</v>
      </c>
      <c r="D698" t="str">
        <f>INDEX('ei names mapping'!$B$104:$BL$133,MATCH(B624,'ei names mapping'!$A$4:$A$33,0),MATCH(G698,'ei names mapping'!$B$3:$BL$3,0))</f>
        <v>kilogram</v>
      </c>
      <c r="F698" t="s">
        <v>89</v>
      </c>
      <c r="G698" t="s">
        <v>31</v>
      </c>
      <c r="H698" t="str">
        <f>INDEX('ei names mapping'!$B$71:$BL$100,MATCH(B624,'ei names mapping'!$A$4:$A$33,0),MATCH(G698,'ei names mapping'!$B$3:$BL$3,0))</f>
        <v>brake wear emissions, passenger car</v>
      </c>
    </row>
    <row r="702" spans="1:8" x14ac:dyDescent="0.2">
      <c r="B702" s="11"/>
    </row>
    <row r="703" spans="1:8" x14ac:dyDescent="0.2">
      <c r="B703" s="12"/>
    </row>
    <row r="704" spans="1:8" x14ac:dyDescent="0.2">
      <c r="B704" s="11"/>
    </row>
    <row r="706" spans="1:2" ht="16" x14ac:dyDescent="0.2">
      <c r="A706" s="10"/>
      <c r="B706" s="8"/>
    </row>
    <row r="729" spans="1:2" x14ac:dyDescent="0.2">
      <c r="B729" s="6"/>
    </row>
    <row r="731" spans="1:2" ht="16" x14ac:dyDescent="0.2">
      <c r="A731" s="10"/>
    </row>
    <row r="735" spans="1:2" x14ac:dyDescent="0.2">
      <c r="B735" s="11"/>
    </row>
    <row r="736" spans="1:2" x14ac:dyDescent="0.2">
      <c r="B736" s="12"/>
    </row>
    <row r="737" spans="1:2" x14ac:dyDescent="0.2">
      <c r="B737" s="11"/>
    </row>
    <row r="739" spans="1:2" ht="16" x14ac:dyDescent="0.2">
      <c r="A739" s="10"/>
      <c r="B739" s="8"/>
    </row>
    <row r="762" spans="1:2" x14ac:dyDescent="0.2">
      <c r="B762" s="6"/>
    </row>
    <row r="764" spans="1:2" ht="16" x14ac:dyDescent="0.2">
      <c r="A764" s="10"/>
    </row>
    <row r="768" spans="1:2" x14ac:dyDescent="0.2">
      <c r="B768" s="11"/>
    </row>
    <row r="769" spans="2:2" x14ac:dyDescent="0.2">
      <c r="B769" s="12"/>
    </row>
    <row r="770" spans="2:2" x14ac:dyDescent="0.2">
      <c r="B770" s="11"/>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770"/>
  <sheetViews>
    <sheetView topLeftCell="A637" workbookViewId="0">
      <selection activeCell="A695" sqref="A69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Scooter, gasoline, 4-11kW, EURO-3, 2006</v>
      </c>
    </row>
    <row r="2" spans="1:2" x14ac:dyDescent="0.2">
      <c r="A2" t="s">
        <v>72</v>
      </c>
      <c r="B2" t="s">
        <v>37</v>
      </c>
    </row>
    <row r="3" spans="1:2" x14ac:dyDescent="0.2">
      <c r="A3" t="s">
        <v>86</v>
      </c>
      <c r="B3" t="s">
        <v>570</v>
      </c>
    </row>
    <row r="4" spans="1:2" x14ac:dyDescent="0.2">
      <c r="A4" t="s">
        <v>87</v>
      </c>
    </row>
    <row r="5" spans="1:2" x14ac:dyDescent="0.2">
      <c r="A5" t="s">
        <v>88</v>
      </c>
      <c r="B5">
        <v>2006</v>
      </c>
    </row>
    <row r="6" spans="1:2" x14ac:dyDescent="0.2">
      <c r="A6" t="s">
        <v>126</v>
      </c>
      <c r="B6" t="str">
        <f>B3&amp;" - "&amp;B5&amp;" - "&amp;B2</f>
        <v>Scooter, gasoline, 4-11kW, EURO-3 - 2006 - CH</v>
      </c>
    </row>
    <row r="7" spans="1:2" x14ac:dyDescent="0.2">
      <c r="A7" t="s">
        <v>73</v>
      </c>
      <c r="B7" t="str">
        <f>B3</f>
        <v>Scooter, gasoline, 4-11kW,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1.2</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1870</v>
      </c>
    </row>
    <row r="16" spans="1:2" x14ac:dyDescent="0.2">
      <c r="A16" t="s">
        <v>132</v>
      </c>
      <c r="B16" s="2">
        <f>INDEX('vehicles specifications'!$B$3:$CW$166,MATCH(B6,'vehicles specifications'!$A$3:$A$166,0),MATCH("Curb mass [kg]",'vehicles specifications'!$B$2:$CW$2,0))</f>
        <v>133.26249999999999</v>
      </c>
    </row>
    <row r="17" spans="1:8" x14ac:dyDescent="0.2">
      <c r="A17" t="s">
        <v>133</v>
      </c>
      <c r="B17">
        <f>INDEX('vehicles specifications'!$B$3:$CW$166,MATCH(B6,'vehicles specifications'!$A$3:$A$166,0),MATCH("Power [kW]",'vehicles specifications'!$B$2:$CW$2,0))</f>
        <v>8.8000000000000007</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79.875</v>
      </c>
    </row>
    <row r="21" spans="1:8" x14ac:dyDescent="0.2">
      <c r="A21" t="s">
        <v>139</v>
      </c>
      <c r="B21">
        <f>INDEX('vehicles specifications'!$B$3:$CW$166,MATCH(B6,'vehicles specifications'!$A$3:$A$166,0),MATCH("Fuel mass [kg]",'vehicles specifications'!$B$2:$CW$2,0))</f>
        <v>6.75</v>
      </c>
    </row>
    <row r="22" spans="1:8" x14ac:dyDescent="0.2">
      <c r="A22" t="s">
        <v>136</v>
      </c>
      <c r="B22" s="2">
        <f>INDEX('vehicles specifications'!$B$3:$CW$166,MATCH(B6,'vehicles specifications'!$A$3:$A$166,0),MATCH("Range [km]",'vehicles specifications'!$B$2:$CW$2,0))</f>
        <v>271.7451869178301</v>
      </c>
    </row>
    <row r="23" spans="1:8" x14ac:dyDescent="0.2">
      <c r="A23" t="s">
        <v>137</v>
      </c>
      <c r="B23" t="str">
        <f>INDEX('vehicles specifications'!$B$3:$CW$166,MATCH(B6,'vehicles specifications'!$A$3:$A$166,0),MATCH("Emission standard",'vehicles specifications'!$B$2:$CW$2,0))</f>
        <v>EURO-5</v>
      </c>
    </row>
    <row r="24" spans="1:8"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Scooter, gasoline, 4-11kW, EURO-3, 2006</v>
      </c>
      <c r="B31">
        <v>1</v>
      </c>
      <c r="C31" t="str">
        <f>B2</f>
        <v>CH</v>
      </c>
      <c r="D31" t="str">
        <f>B9</f>
        <v>unit</v>
      </c>
      <c r="F31" t="s">
        <v>84</v>
      </c>
      <c r="G31" t="s">
        <v>85</v>
      </c>
      <c r="H31" t="str">
        <f>B3</f>
        <v>Scooter, gasoline, 4-11kW, EURO-3</v>
      </c>
    </row>
    <row r="32" spans="1:8" x14ac:dyDescent="0.2">
      <c r="A32" t="str">
        <f>INDEX('ei names mapping'!$B$4:$R$33,MATCH(B3,'ei names mapping'!$A$4:$A$33,0),MATCH(G32,'ei names mapping'!$B$3:$R$3,0))</f>
        <v>motor scooter production</v>
      </c>
      <c r="B32" s="11">
        <f>INDEX('vehicles specifications'!$B$3:$CW$166,MATCH(B6,'vehicles specifications'!$A$3:$A$166,0),MATCH(G32,'vehicles specifications'!$B$2:$CW$2,0))*INDEX('ei names mapping'!$B$137:$BL$300,MATCH(B6,'ei names mapping'!$A$137:$A$300,0),MATCH(G32,'ei names mapping'!$B$136:$BL$136,0))</f>
        <v>0.77777777777777779</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11">
        <f>INDEX('vehicles specifications'!$B$3:$CW$166,MATCH(B6,'vehicles specifications'!$A$3:$A$166,0),MATCH(G33,'vehicles specifications'!$B$2:$CW$2,0))*INDEX('ei names mapping'!$B$137:$BL$300,MATCH(B6,'ei names mapping'!$A$137:$A$300,0),MATCH(G33,'ei names mapping'!$B$136:$BL$136,0))</f>
        <v>0.57777777777777783</v>
      </c>
      <c r="C33" t="str">
        <f>INDEX('ei names mapping'!$B$38:$R$67,MATCH(B3,'ei names mapping'!$A$4:$A$33,0),MATCH(G33,'ei names mapping'!$B$3:$R$3,0))</f>
        <v>RER</v>
      </c>
      <c r="D33" t="str">
        <f>INDEX('ei names mapping'!$B$104:$R$133,MATCH($B$3,'ei names mapping'!$A$4:$A$33,0),MATCH(G33,'ei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11">
        <f>INDEX('vehicles specifications'!$B$3:$CW$166,MATCH(B6,'vehicles specifications'!$A$3:$A$166,0),MATCH(G34,'vehicles specifications'!$B$2:$CW$2,0))*INDEX('ei names mapping'!$B$137:$BL$300,MATCH(B6,'ei names mapping'!$A$137:$A$300,0),MATCH(G34,'ei names mapping'!$B$136:$BL$136,0))</f>
        <v>1.0125</v>
      </c>
      <c r="C34" t="str">
        <f>INDEX('ei names mapping'!$B$38:$R$67,MATCH(B3,'ei names mapping'!$A$4:$A$33,0),MATCH(G34,'ei names mapping'!$B$3:$R$3,0))</f>
        <v>RER</v>
      </c>
      <c r="D34" t="str">
        <f>INDEX('ei names mapping'!$B$104:$R$133,MATCH($B$3,'ei names mapping'!$A$4:$A$33,0),MATCH(G34,'ei names mapping'!$B$3:$R$3,0))</f>
        <v>kilogram</v>
      </c>
      <c r="F34" t="s">
        <v>89</v>
      </c>
      <c r="G34" t="s">
        <v>24</v>
      </c>
      <c r="H34" t="str">
        <f>INDEX('ei names mapping'!$B$71:$R$100,MATCH(B3,'ei names mapping'!$A$4:$A$33,0),MATCH(G34,'ei names mapping'!$B$3:$R$3,0))</f>
        <v>polyethylene, high density, granulate</v>
      </c>
    </row>
    <row r="35" spans="1:8" x14ac:dyDescent="0.2">
      <c r="A35" t="s">
        <v>282</v>
      </c>
      <c r="B35" s="11">
        <f>B34/0.994</f>
        <v>1.0186116700201207</v>
      </c>
      <c r="C35" t="s">
        <v>92</v>
      </c>
      <c r="D35" t="s">
        <v>77</v>
      </c>
      <c r="F35" t="s">
        <v>89</v>
      </c>
      <c r="G35" t="s">
        <v>647</v>
      </c>
      <c r="H35" t="s">
        <v>282</v>
      </c>
    </row>
    <row r="36" spans="1:8" x14ac:dyDescent="0.2">
      <c r="A36" s="13" t="s">
        <v>840</v>
      </c>
      <c r="B36">
        <f>(B16/1000)*B27</f>
        <v>133.26249999999999</v>
      </c>
      <c r="C36" t="s">
        <v>92</v>
      </c>
      <c r="D36" t="s">
        <v>233</v>
      </c>
      <c r="F36" t="s">
        <v>89</v>
      </c>
      <c r="H36" s="13" t="s">
        <v>841</v>
      </c>
    </row>
    <row r="37" spans="1:8" x14ac:dyDescent="0.2">
      <c r="A37" s="13" t="s">
        <v>441</v>
      </c>
      <c r="B37" s="2">
        <f>(B16/1000)*B26</f>
        <v>2118.8737499999997</v>
      </c>
      <c r="C37" t="s">
        <v>95</v>
      </c>
      <c r="D37" t="s">
        <v>233</v>
      </c>
      <c r="F37" t="s">
        <v>89</v>
      </c>
      <c r="H37" s="13" t="s">
        <v>441</v>
      </c>
    </row>
    <row r="38" spans="1:8" x14ac:dyDescent="0.2">
      <c r="B38" s="11"/>
    </row>
    <row r="39" spans="1:8" ht="16" x14ac:dyDescent="0.2">
      <c r="A39" s="10" t="s">
        <v>71</v>
      </c>
      <c r="B39" s="8" t="str">
        <f>B41&amp;", "&amp;B43</f>
        <v>Scooter, gasoline, 4-11kW, EURO-4, 2016</v>
      </c>
    </row>
    <row r="40" spans="1:8" x14ac:dyDescent="0.2">
      <c r="A40" t="s">
        <v>72</v>
      </c>
      <c r="B40" t="s">
        <v>37</v>
      </c>
    </row>
    <row r="41" spans="1:8" x14ac:dyDescent="0.2">
      <c r="A41" t="s">
        <v>86</v>
      </c>
      <c r="B41" t="s">
        <v>571</v>
      </c>
    </row>
    <row r="42" spans="1:8" x14ac:dyDescent="0.2">
      <c r="A42" t="s">
        <v>87</v>
      </c>
    </row>
    <row r="43" spans="1:8" x14ac:dyDescent="0.2">
      <c r="A43" t="s">
        <v>88</v>
      </c>
      <c r="B43">
        <v>2016</v>
      </c>
    </row>
    <row r="44" spans="1:8" x14ac:dyDescent="0.2">
      <c r="A44" t="s">
        <v>126</v>
      </c>
      <c r="B44" t="str">
        <f>B41&amp;" - "&amp;B43&amp;" - "&amp;B40</f>
        <v>Scooter, gasoline, 4-11kW, EURO-4 - 2016 - CH</v>
      </c>
    </row>
    <row r="45" spans="1:8" x14ac:dyDescent="0.2">
      <c r="A45" t="s">
        <v>73</v>
      </c>
      <c r="B45" t="str">
        <f>B41</f>
        <v>Scooter, gasoline, 4-11kW, EURO-4</v>
      </c>
    </row>
    <row r="46" spans="1:8" x14ac:dyDescent="0.2">
      <c r="A46" t="s">
        <v>74</v>
      </c>
      <c r="B46" t="s">
        <v>75</v>
      </c>
    </row>
    <row r="47" spans="1:8" x14ac:dyDescent="0.2">
      <c r="A47" t="s">
        <v>76</v>
      </c>
      <c r="B47" t="s">
        <v>76</v>
      </c>
    </row>
    <row r="48" spans="1:8" x14ac:dyDescent="0.2">
      <c r="A48" t="s">
        <v>78</v>
      </c>
      <c r="B48" t="s">
        <v>1143</v>
      </c>
    </row>
    <row r="49" spans="1:2" x14ac:dyDescent="0.2">
      <c r="A49" t="s">
        <v>127</v>
      </c>
      <c r="B49">
        <f>INDEX('vehicles specifications'!$B$3:$CW$166,MATCH(B44,'vehicles specifications'!$A$3:$A$166,0),MATCH("Lifetime [km]",'vehicles specifications'!$B$2:$CW$2,0))</f>
        <v>30000</v>
      </c>
    </row>
    <row r="50" spans="1:2" x14ac:dyDescent="0.2">
      <c r="A50" t="s">
        <v>128</v>
      </c>
      <c r="B50">
        <f>INDEX('vehicles specifications'!$B$3:$CW$166,MATCH(B44,'vehicles specifications'!$A$3:$A$166,0),MATCH("Passengers [unit]",'vehicles specifications'!$B$2:$CW$2,0))</f>
        <v>1</v>
      </c>
    </row>
    <row r="51" spans="1:2" x14ac:dyDescent="0.2">
      <c r="A51" t="s">
        <v>129</v>
      </c>
      <c r="B51">
        <f>INDEX('vehicles specifications'!$B$3:$CW$166,MATCH(B44,'vehicles specifications'!$A$3:$A$166,0),MATCH("Servicing [unit]",'vehicles specifications'!$B$2:$CW$2,0))</f>
        <v>1.2</v>
      </c>
    </row>
    <row r="52" spans="1:2" x14ac:dyDescent="0.2">
      <c r="A52" t="s">
        <v>130</v>
      </c>
      <c r="B52">
        <f>INDEX('vehicles specifications'!$B$3:$CW$166,MATCH(B44,'vehicles specifications'!$A$3:$A$166,0),MATCH("Energy battery replacement [unit]",'vehicles specifications'!$B$2:$CW$2,0))</f>
        <v>0</v>
      </c>
    </row>
    <row r="53" spans="1:2" x14ac:dyDescent="0.2">
      <c r="A53" t="s">
        <v>131</v>
      </c>
      <c r="B53">
        <f>INDEX('vehicles specifications'!$B$3:$CW$166,MATCH(B44,'vehicles specifications'!$A$3:$A$166,0),MATCH("Annual kilometers [km]",'vehicles specifications'!$B$2:$CW$2,0))</f>
        <v>1870</v>
      </c>
    </row>
    <row r="54" spans="1:2" x14ac:dyDescent="0.2">
      <c r="A54" t="s">
        <v>132</v>
      </c>
      <c r="B54" s="2">
        <f>INDEX('vehicles specifications'!$B$3:$CW$166,MATCH(B44,'vehicles specifications'!$A$3:$A$166,0),MATCH("Curb mass [kg]",'vehicles specifications'!$B$2:$CW$2,0))</f>
        <v>131.16249999999999</v>
      </c>
    </row>
    <row r="55" spans="1:2" x14ac:dyDescent="0.2">
      <c r="A55" t="s">
        <v>133</v>
      </c>
      <c r="B55">
        <f>INDEX('vehicles specifications'!$B$3:$CW$166,MATCH(B44,'vehicles specifications'!$A$3:$A$166,0),MATCH("Power [kW]",'vehicles specifications'!$B$2:$CW$2,0))</f>
        <v>8.8000000000000007</v>
      </c>
    </row>
    <row r="56" spans="1:2" x14ac:dyDescent="0.2">
      <c r="A56" t="s">
        <v>134</v>
      </c>
      <c r="B56" t="str">
        <f>INDEX('vehicles specifications'!$B$3:$CW$166,MATCH(B44,'vehicles specifications'!$A$3:$A$166,0),MATCH("Energy battery mass [kg]",'vehicles specifications'!$B$2:$CW$2,0))</f>
        <v/>
      </c>
    </row>
    <row r="57" spans="1:2" x14ac:dyDescent="0.2">
      <c r="A57" t="s">
        <v>135</v>
      </c>
      <c r="B57">
        <f>INDEX('vehicles specifications'!$B$3:$CW$166,MATCH(B44,'vehicles specifications'!$A$3:$A$166,0),MATCH("Electric energy available [kWh]",'vehicles specifications'!$B$2:$CW$2,0))</f>
        <v>0</v>
      </c>
    </row>
    <row r="58" spans="1:2" x14ac:dyDescent="0.2">
      <c r="A58" t="s">
        <v>138</v>
      </c>
      <c r="B58" s="2">
        <f>INDEX('vehicles specifications'!$B$3:$CW$166,MATCH(B44,'vehicles specifications'!$A$3:$A$166,0),MATCH("Oxydation energy stored [kWh]",'vehicles specifications'!$B$2:$CW$2,0))</f>
        <v>79.875</v>
      </c>
    </row>
    <row r="59" spans="1:2" x14ac:dyDescent="0.2">
      <c r="A59" t="s">
        <v>139</v>
      </c>
      <c r="B59">
        <f>INDEX('vehicles specifications'!$B$3:$CW$166,MATCH(B44,'vehicles specifications'!$A$3:$A$166,0),MATCH("Fuel mass [kg]",'vehicles specifications'!$B$2:$CW$2,0))</f>
        <v>6.75</v>
      </c>
    </row>
    <row r="60" spans="1:2" x14ac:dyDescent="0.2">
      <c r="A60" t="s">
        <v>136</v>
      </c>
      <c r="B60" s="2">
        <f>INDEX('vehicles specifications'!$B$3:$CW$166,MATCH(B44,'vehicles specifications'!$A$3:$A$166,0),MATCH("Range [km]",'vehicles specifications'!$B$2:$CW$2,0))</f>
        <v>274.46263878700836</v>
      </c>
    </row>
    <row r="61" spans="1:2" x14ac:dyDescent="0.2">
      <c r="A61" t="s">
        <v>137</v>
      </c>
      <c r="B61" t="str">
        <f>INDEX('vehicles specifications'!$B$3:$CW$166,MATCH(B44,'vehicles specifications'!$A$3:$A$166,0),MATCH("Emission standard",'vehicles specifications'!$B$2:$CW$2,0))</f>
        <v>EURO-4</v>
      </c>
    </row>
    <row r="62" spans="1:2" x14ac:dyDescent="0.2">
      <c r="A62" t="s">
        <v>1174</v>
      </c>
      <c r="B62" s="6">
        <f>INDEX('vehicles specifications'!$B$3:$CW$166,MATCH(B44,'vehicles specifications'!$A$3:$A$166,0),MATCH("Lightweighting rate [%]",'vehicles specifications'!$B$2:$CW$2,0))</f>
        <v>-0.02</v>
      </c>
    </row>
    <row r="63" spans="1:2" x14ac:dyDescent="0.2">
      <c r="A63" t="s">
        <v>485</v>
      </c>
      <c r="B63" s="6" t="s">
        <v>486</v>
      </c>
    </row>
    <row r="64" spans="1:2" x14ac:dyDescent="0.2">
      <c r="A64" t="s">
        <v>487</v>
      </c>
      <c r="B64" s="2">
        <v>15900</v>
      </c>
    </row>
    <row r="65" spans="1:8" x14ac:dyDescent="0.2">
      <c r="A65" t="s">
        <v>488</v>
      </c>
      <c r="B65" s="2">
        <v>1000</v>
      </c>
    </row>
    <row r="66" spans="1:8" x14ac:dyDescent="0.2">
      <c r="A66" t="s">
        <v>83</v>
      </c>
      <c r="B66" t="str">
        <f>"Power: "&amp;B55&amp;" kW. Lifetime: "&amp;B49&amp;" km. Annual kilometers: "&amp;ROUND(B53,0)&amp;" km. Number of passengers: "&amp;ROUND(B50,1)&amp;". Curb mass: "&amp;ROUND(B54,1)&amp;" kg. Lightweighting of glider: "&amp;ROUND(B62*100,0)&amp;"%. Emission standard: "&amp;B61&amp;". Service visits throughout lifetime: "&amp;ROUND(B51,1)&amp;". Range: "&amp;ROUND(B60,0)&amp;" km. Fuel tank capacity: "&amp;ROUND(B58,1)&amp;" kWh. Fuel mass: "&amp;ROUND(B59,1)&amp;" kg. Origin of manufacture: "&amp;B63&amp;". Shipping distance: "&amp;B64&amp;" km. Lorry distribution distance: "&amp;B65&amp;" km. Documentation: "&amp;Readmefirst!$B$2&amp;", "&amp;Readmefirst!$B$3&amp;". "&amp;B48</f>
        <v>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tr">
        <f>B39</f>
        <v>Scooter, gasoline, 4-11kW, EURO-4, 2016</v>
      </c>
      <c r="B69">
        <v>1</v>
      </c>
      <c r="C69" t="str">
        <f>B40</f>
        <v>CH</v>
      </c>
      <c r="D69" t="str">
        <f>B47</f>
        <v>unit</v>
      </c>
      <c r="F69" t="s">
        <v>84</v>
      </c>
      <c r="G69" t="s">
        <v>85</v>
      </c>
      <c r="H69" t="str">
        <f>B41</f>
        <v>Scooter, gasoline, 4-11kW, EURO-4</v>
      </c>
    </row>
    <row r="70" spans="1:8" x14ac:dyDescent="0.2">
      <c r="A70" t="str">
        <f>INDEX('ei names mapping'!$B$4:$R$33,MATCH(B41,'ei names mapping'!$A$4:$A$33,0),MATCH(G70,'ei names mapping'!$B$3:$R$3,0))</f>
        <v>motor scooter production</v>
      </c>
      <c r="B70" s="11">
        <f>INDEX('vehicles specifications'!$B$3:$CW$166,MATCH(B44,'vehicles specifications'!$A$3:$A$166,0),MATCH(G70,'vehicles specifications'!$B$2:$CW$2,0))*INDEX('ei names mapping'!$B$137:$BL$300,MATCH(B44,'ei names mapping'!$A$137:$A$300,0),MATCH(G70,'ei names mapping'!$B$136:$BL$136,0))</f>
        <v>0.77777777777777779</v>
      </c>
      <c r="C70" t="str">
        <f>INDEX('ei names mapping'!$B$38:$R$67,MATCH(B41,'ei names mapping'!$A$4:$A$33,0),MATCH(G70,'ei names mapping'!$B$3:$R$3,0))</f>
        <v>RER</v>
      </c>
      <c r="D70" t="str">
        <f>INDEX('ei names mapping'!$B$104:$R$133,MATCH($B$3,'ei names mapping'!$A$4:$A$33,0),MATCH(G70,'ei names mapping'!$B$3:$R$3,0))</f>
        <v>unit</v>
      </c>
      <c r="F70" t="s">
        <v>89</v>
      </c>
      <c r="G70" t="s">
        <v>15</v>
      </c>
      <c r="H70" t="str">
        <f>INDEX('ei names mapping'!$B$71:$R$100,MATCH(B41,'ei names mapping'!$A$4:$A$33,0),MATCH(G70,'ei names mapping'!$B$3:$R$3,0))</f>
        <v>motor scooter, 50 cubic cm engine</v>
      </c>
    </row>
    <row r="71" spans="1:8" x14ac:dyDescent="0.2">
      <c r="A71" t="str">
        <f>INDEX('ei names mapping'!$B$4:$R$33,MATCH(B41,'ei names mapping'!$A$4:$A$33,0),MATCH(G71,'ei names mapping'!$B$3:$R$3,0))</f>
        <v>motor scooter production</v>
      </c>
      <c r="B71" s="11">
        <f>INDEX('vehicles specifications'!$B$3:$CW$166,MATCH(B44,'vehicles specifications'!$A$3:$A$166,0),MATCH(G71,'vehicles specifications'!$B$2:$CW$2,0))*INDEX('ei names mapping'!$B$137:$BL$300,MATCH(B44,'ei names mapping'!$A$137:$A$300,0),MATCH(G71,'ei names mapping'!$B$136:$BL$136,0))</f>
        <v>0.57777777777777783</v>
      </c>
      <c r="C71" t="str">
        <f>INDEX('ei names mapping'!$B$38:$R$67,MATCH(B41,'ei names mapping'!$A$4:$A$33,0),MATCH(G71,'ei names mapping'!$B$3:$R$3,0))</f>
        <v>RER</v>
      </c>
      <c r="D71" t="str">
        <f>INDEX('ei names mapping'!$B$104:$R$133,MATCH($B$3,'ei names mapping'!$A$4:$A$33,0),MATCH(G71,'ei names mapping'!$B$3:$R$3,0))</f>
        <v>unit</v>
      </c>
      <c r="F71" t="s">
        <v>89</v>
      </c>
      <c r="G71" t="s">
        <v>16</v>
      </c>
      <c r="H71" t="str">
        <f>INDEX('ei names mapping'!$B$71:$R$100,MATCH(B41,'ei names mapping'!$A$4:$A$33,0),MATCH(G71,'ei names mapping'!$B$3:$R$3,0))</f>
        <v>motor scooter, 50 cubic cm engine</v>
      </c>
    </row>
    <row r="72" spans="1:8" x14ac:dyDescent="0.2">
      <c r="A72" t="str">
        <f>INDEX('ei names mapping'!$B$4:$R$33,MATCH(B41,'ei names mapping'!$A$4:$A$33,0),MATCH(G72,'ei names mapping'!$B$3:$R$3,0))</f>
        <v>polyethylene production, high density, granulate</v>
      </c>
      <c r="B72" s="11">
        <f>INDEX('vehicles specifications'!$B$3:$CW$166,MATCH(B44,'vehicles specifications'!$A$3:$A$166,0),MATCH(G72,'vehicles specifications'!$B$2:$CW$2,0))*INDEX('ei names mapping'!$B$137:$BL$300,MATCH(B44,'ei names mapping'!$A$137:$A$300,0),MATCH(G72,'ei names mapping'!$B$136:$BL$136,0))</f>
        <v>1.0125</v>
      </c>
      <c r="C72" t="str">
        <f>INDEX('ei names mapping'!$B$38:$R$67,MATCH(B41,'ei names mapping'!$A$4:$A$33,0),MATCH(G72,'ei names mapping'!$B$3:$R$3,0))</f>
        <v>RER</v>
      </c>
      <c r="D72" t="str">
        <f>INDEX('ei names mapping'!$B$104:$R$133,MATCH($B$3,'ei names mapping'!$A$4:$A$33,0),MATCH(G72,'ei names mapping'!$B$3:$R$3,0))</f>
        <v>kilogram</v>
      </c>
      <c r="F72" t="s">
        <v>89</v>
      </c>
      <c r="G72" t="s">
        <v>24</v>
      </c>
      <c r="H72" t="str">
        <f>INDEX('ei names mapping'!$B$71:$R$100,MATCH(B41,'ei names mapping'!$A$4:$A$33,0),MATCH(G72,'ei names mapping'!$B$3:$R$3,0))</f>
        <v>polyethylene, high density, granulate</v>
      </c>
    </row>
    <row r="73" spans="1:8" x14ac:dyDescent="0.2">
      <c r="A73" t="s">
        <v>282</v>
      </c>
      <c r="B73" s="11">
        <f>B72/0.994</f>
        <v>1.0186116700201207</v>
      </c>
      <c r="C73" t="s">
        <v>92</v>
      </c>
      <c r="D73" t="s">
        <v>77</v>
      </c>
      <c r="F73" t="s">
        <v>89</v>
      </c>
      <c r="G73" t="s">
        <v>647</v>
      </c>
      <c r="H73" t="s">
        <v>282</v>
      </c>
    </row>
    <row r="74" spans="1:8" x14ac:dyDescent="0.2">
      <c r="A74" s="13" t="s">
        <v>840</v>
      </c>
      <c r="B74">
        <f>(B54/1000)*B65</f>
        <v>131.16249999999999</v>
      </c>
      <c r="C74" t="s">
        <v>92</v>
      </c>
      <c r="D74" t="s">
        <v>233</v>
      </c>
      <c r="F74" t="s">
        <v>89</v>
      </c>
      <c r="H74" s="13" t="s">
        <v>841</v>
      </c>
    </row>
    <row r="75" spans="1:8" x14ac:dyDescent="0.2">
      <c r="A75" s="13" t="s">
        <v>441</v>
      </c>
      <c r="B75" s="2">
        <f>(B54/1000)*B64</f>
        <v>2085.4837499999999</v>
      </c>
      <c r="C75" t="s">
        <v>95</v>
      </c>
      <c r="D75" t="s">
        <v>233</v>
      </c>
      <c r="F75" t="s">
        <v>89</v>
      </c>
      <c r="H75" s="13" t="s">
        <v>441</v>
      </c>
    </row>
    <row r="77" spans="1:8" ht="16" x14ac:dyDescent="0.2">
      <c r="A77" s="10" t="s">
        <v>71</v>
      </c>
      <c r="B77" s="8" t="str">
        <f>B79&amp;", "&amp;B81</f>
        <v>Scooter, gasoline, 4-11kW, EURO-5, 2020</v>
      </c>
    </row>
    <row r="78" spans="1:8" x14ac:dyDescent="0.2">
      <c r="A78" t="s">
        <v>72</v>
      </c>
      <c r="B78" t="s">
        <v>37</v>
      </c>
    </row>
    <row r="79" spans="1:8" x14ac:dyDescent="0.2">
      <c r="A79" t="s">
        <v>86</v>
      </c>
      <c r="B79" t="s">
        <v>572</v>
      </c>
    </row>
    <row r="80" spans="1:8" x14ac:dyDescent="0.2">
      <c r="A80" t="s">
        <v>87</v>
      </c>
    </row>
    <row r="81" spans="1:2" x14ac:dyDescent="0.2">
      <c r="A81" t="s">
        <v>88</v>
      </c>
      <c r="B81">
        <v>2020</v>
      </c>
    </row>
    <row r="82" spans="1:2" x14ac:dyDescent="0.2">
      <c r="A82" t="s">
        <v>126</v>
      </c>
      <c r="B82" t="str">
        <f>B79&amp;" - "&amp;B81&amp;" - "&amp;B78</f>
        <v>Scooter, gasoline, 4-11kW, EURO-5 - 2020 - CH</v>
      </c>
    </row>
    <row r="83" spans="1:2" x14ac:dyDescent="0.2">
      <c r="A83" t="s">
        <v>73</v>
      </c>
      <c r="B83" t="str">
        <f>B79</f>
        <v>Scooter, gasoline, 4-11kW, EURO-5</v>
      </c>
    </row>
    <row r="84" spans="1:2" x14ac:dyDescent="0.2">
      <c r="A84" t="s">
        <v>74</v>
      </c>
      <c r="B84" t="s">
        <v>75</v>
      </c>
    </row>
    <row r="85" spans="1:2" x14ac:dyDescent="0.2">
      <c r="A85" t="s">
        <v>76</v>
      </c>
      <c r="B85" t="s">
        <v>76</v>
      </c>
    </row>
    <row r="86" spans="1:2" x14ac:dyDescent="0.2">
      <c r="A86" t="s">
        <v>78</v>
      </c>
      <c r="B86" t="s">
        <v>1143</v>
      </c>
    </row>
    <row r="87" spans="1:2" x14ac:dyDescent="0.2">
      <c r="A87" t="s">
        <v>127</v>
      </c>
      <c r="B87">
        <f>INDEX('vehicles specifications'!$B$3:$CW$166,MATCH(B82,'vehicles specifications'!$A$3:$A$166,0),MATCH("Lifetime [km]",'vehicles specifications'!$B$2:$CW$2,0))</f>
        <v>30000</v>
      </c>
    </row>
    <row r="88" spans="1:2" x14ac:dyDescent="0.2">
      <c r="A88" t="s">
        <v>128</v>
      </c>
      <c r="B88">
        <f>INDEX('vehicles specifications'!$B$3:$CW$166,MATCH(B82,'vehicles specifications'!$A$3:$A$166,0),MATCH("Passengers [unit]",'vehicles specifications'!$B$2:$CW$2,0))</f>
        <v>1</v>
      </c>
    </row>
    <row r="89" spans="1:2" x14ac:dyDescent="0.2">
      <c r="A89" t="s">
        <v>129</v>
      </c>
      <c r="B89">
        <f>INDEX('vehicles specifications'!$B$3:$CW$166,MATCH(B82,'vehicles specifications'!$A$3:$A$166,0),MATCH("Servicing [unit]",'vehicles specifications'!$B$2:$CW$2,0))</f>
        <v>1.2</v>
      </c>
    </row>
    <row r="90" spans="1:2" x14ac:dyDescent="0.2">
      <c r="A90" t="s">
        <v>130</v>
      </c>
      <c r="B90">
        <f>INDEX('vehicles specifications'!$B$3:$CW$166,MATCH(B82,'vehicles specifications'!$A$3:$A$166,0),MATCH("Energy battery replacement [unit]",'vehicles specifications'!$B$2:$CW$2,0))</f>
        <v>0</v>
      </c>
    </row>
    <row r="91" spans="1:2" x14ac:dyDescent="0.2">
      <c r="A91" t="s">
        <v>131</v>
      </c>
      <c r="B91">
        <f>INDEX('vehicles specifications'!$B$3:$CW$166,MATCH(B82,'vehicles specifications'!$A$3:$A$166,0),MATCH("Annual kilometers [km]",'vehicles specifications'!$B$2:$CW$2,0))</f>
        <v>1870</v>
      </c>
    </row>
    <row r="92" spans="1:2" x14ac:dyDescent="0.2">
      <c r="A92" t="s">
        <v>132</v>
      </c>
      <c r="B92" s="2">
        <f>INDEX('vehicles specifications'!$B$3:$CW$166,MATCH(B82,'vehicles specifications'!$A$3:$A$166,0),MATCH("Curb mass [kg]",'vehicles specifications'!$B$2:$CW$2,0))</f>
        <v>129.76249999999999</v>
      </c>
    </row>
    <row r="93" spans="1:2" x14ac:dyDescent="0.2">
      <c r="A93" t="s">
        <v>133</v>
      </c>
      <c r="B93">
        <f>INDEX('vehicles specifications'!$B$3:$CW$166,MATCH(B82,'vehicles specifications'!$A$3:$A$166,0),MATCH("Power [kW]",'vehicles specifications'!$B$2:$CW$2,0))</f>
        <v>8.8000000000000007</v>
      </c>
    </row>
    <row r="94" spans="1:2" x14ac:dyDescent="0.2">
      <c r="A94" t="s">
        <v>134</v>
      </c>
      <c r="B94" t="str">
        <f>INDEX('vehicles specifications'!$B$3:$CW$166,MATCH(B82,'vehicles specifications'!$A$3:$A$166,0),MATCH("Energy battery mass [kg]",'vehicles specifications'!$B$2:$CW$2,0))</f>
        <v/>
      </c>
    </row>
    <row r="95" spans="1:2" x14ac:dyDescent="0.2">
      <c r="A95" t="s">
        <v>135</v>
      </c>
      <c r="B95">
        <f>INDEX('vehicles specifications'!$B$3:$CW$166,MATCH(B82,'vehicles specifications'!$A$3:$A$166,0),MATCH("Electric energy available [kWh]",'vehicles specifications'!$B$2:$CW$2,0))</f>
        <v>0</v>
      </c>
    </row>
    <row r="96" spans="1:2" x14ac:dyDescent="0.2">
      <c r="A96" t="s">
        <v>138</v>
      </c>
      <c r="B96" s="2">
        <f>INDEX('vehicles specifications'!$B$3:$CW$166,MATCH(B82,'vehicles specifications'!$A$3:$A$166,0),MATCH("Oxydation energy stored [kWh]",'vehicles specifications'!$B$2:$CW$2,0))</f>
        <v>79.875</v>
      </c>
    </row>
    <row r="97" spans="1:8" x14ac:dyDescent="0.2">
      <c r="A97" t="s">
        <v>139</v>
      </c>
      <c r="B97">
        <f>INDEX('vehicles specifications'!$B$3:$CW$166,MATCH(B82,'vehicles specifications'!$A$3:$A$166,0),MATCH("Fuel mass [kg]",'vehicles specifications'!$B$2:$CW$2,0))</f>
        <v>6.75</v>
      </c>
    </row>
    <row r="98" spans="1:8" x14ac:dyDescent="0.2">
      <c r="A98" t="s">
        <v>136</v>
      </c>
      <c r="B98" s="2">
        <f>INDEX('vehicles specifications'!$B$3:$CW$166,MATCH(B82,'vehicles specifications'!$A$3:$A$166,0),MATCH("Range [km]",'vehicles specifications'!$B$2:$CW$2,0))</f>
        <v>277.23498867374587</v>
      </c>
    </row>
    <row r="99" spans="1:8" x14ac:dyDescent="0.2">
      <c r="A99" t="s">
        <v>137</v>
      </c>
      <c r="B99" t="str">
        <f>INDEX('vehicles specifications'!$B$3:$CW$166,MATCH(B82,'vehicles specifications'!$A$3:$A$166,0),MATCH("Emission standard",'vehicles specifications'!$B$2:$CW$2,0))</f>
        <v>EURO-5</v>
      </c>
    </row>
    <row r="100" spans="1:8" x14ac:dyDescent="0.2">
      <c r="A100" t="s">
        <v>1174</v>
      </c>
      <c r="B100" s="6">
        <f>INDEX('vehicles specifications'!$B$3:$CW$166,MATCH(B82,'vehicles specifications'!$A$3:$A$166,0),MATCH("Lightweighting rate [%]",'vehicles specifications'!$B$2:$CW$2,0))</f>
        <v>0</v>
      </c>
    </row>
    <row r="101" spans="1:8" x14ac:dyDescent="0.2">
      <c r="A101" t="s">
        <v>485</v>
      </c>
      <c r="B101" s="6" t="s">
        <v>486</v>
      </c>
    </row>
    <row r="102" spans="1:8" x14ac:dyDescent="0.2">
      <c r="A102" t="s">
        <v>487</v>
      </c>
      <c r="B102" s="2">
        <v>15900</v>
      </c>
    </row>
    <row r="103" spans="1:8" x14ac:dyDescent="0.2">
      <c r="A103" t="s">
        <v>488</v>
      </c>
      <c r="B103" s="2">
        <v>1000</v>
      </c>
    </row>
    <row r="104" spans="1:8" x14ac:dyDescent="0.2">
      <c r="A104" t="s">
        <v>83</v>
      </c>
      <c r="B104" t="str">
        <f>"Power: "&amp;B93&amp;" kW. Lifetime: "&amp;B87&amp;" km. Annual kilometers: "&amp;ROUND(B91,0)&amp;" km. Number of passengers: "&amp;ROUND(B88,1)&amp;". Curb mass: "&amp;ROUND(B92,1)&amp;" kg. Lightweighting of glider: "&amp;ROUND(B100*100,0)&amp;"%. Emission standard: "&amp;B99&amp;". Service visits throughout lifetime: "&amp;ROUND(B89,1)&amp;". Range: "&amp;ROUND(B98,0)&amp;" km. Fuel tank capacity: "&amp;ROUND(B96,1)&amp;" kWh. Fuel mass: "&amp;ROUND(B97,1)&amp;" kg. Origin of manufacture: "&amp;B101&amp;". Shipping distance: "&amp;B102&amp;" km. Lorry distribution distance: "&amp;B103&amp;" km. Documentation: "&amp;Readmefirst!$B$2&amp;", "&amp;Readmefirst!$B$3&amp;". "&amp;B86</f>
        <v>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tr">
        <f>B77</f>
        <v>Scooter, gasoline, 4-11kW, EURO-5, 2020</v>
      </c>
      <c r="B107">
        <v>1</v>
      </c>
      <c r="C107" t="str">
        <f>B78</f>
        <v>CH</v>
      </c>
      <c r="D107" t="str">
        <f>B85</f>
        <v>unit</v>
      </c>
      <c r="F107" t="s">
        <v>84</v>
      </c>
      <c r="G107" t="s">
        <v>85</v>
      </c>
      <c r="H107" t="str">
        <f>B79</f>
        <v>Scooter, gasoline, 4-11kW, EURO-5</v>
      </c>
    </row>
    <row r="108" spans="1:8" x14ac:dyDescent="0.2">
      <c r="A108" t="str">
        <f>INDEX('ei names mapping'!$B$4:$R$33,MATCH(B79,'ei names mapping'!$A$4:$A$33,0),MATCH(G108,'ei names mapping'!$B$3:$R$3,0))</f>
        <v>motor scooter production</v>
      </c>
      <c r="B108" s="11">
        <f>INDEX('vehicles specifications'!$B$3:$CW$166,MATCH(B82,'vehicles specifications'!$A$3:$A$166,0),MATCH(G108,'vehicles specifications'!$B$2:$CW$2,0))*INDEX('ei names mapping'!$B$137:$BL$300,MATCH(B82,'ei names mapping'!$A$137:$A$300,0),MATCH(G108,'ei names mapping'!$B$136:$BL$136,0))</f>
        <v>0.77777777777777779</v>
      </c>
      <c r="C108" t="str">
        <f>INDEX('ei names mapping'!$B$38:$R$67,MATCH(B79,'ei names mapping'!$A$4:$A$33,0),MATCH(G108,'ei names mapping'!$B$3:$R$3,0))</f>
        <v>RER</v>
      </c>
      <c r="D108" t="str">
        <f>INDEX('ei names mapping'!$B$104:$R$133,MATCH($B$3,'ei names mapping'!$A$4:$A$33,0),MATCH(G108,'ei names mapping'!$B$3:$R$3,0))</f>
        <v>unit</v>
      </c>
      <c r="F108" t="s">
        <v>89</v>
      </c>
      <c r="G108" t="s">
        <v>15</v>
      </c>
      <c r="H108" t="str">
        <f>INDEX('ei names mapping'!$B$71:$R$100,MATCH(B79,'ei names mapping'!$A$4:$A$33,0),MATCH(G108,'ei names mapping'!$B$3:$R$3,0))</f>
        <v>motor scooter, 50 cubic cm engine</v>
      </c>
    </row>
    <row r="109" spans="1:8" x14ac:dyDescent="0.2">
      <c r="A109" t="str">
        <f>INDEX('ei names mapping'!$B$4:$R$33,MATCH(B79,'ei names mapping'!$A$4:$A$33,0),MATCH(G109,'ei names mapping'!$B$3:$R$3,0))</f>
        <v>motor scooter production</v>
      </c>
      <c r="B109" s="11">
        <f>INDEX('vehicles specifications'!$B$3:$CW$166,MATCH(B82,'vehicles specifications'!$A$3:$A$166,0),MATCH(G109,'vehicles specifications'!$B$2:$CW$2,0))*INDEX('ei names mapping'!$B$137:$BL$300,MATCH(B82,'ei names mapping'!$A$137:$A$300,0),MATCH(G109,'ei names mapping'!$B$136:$BL$136,0))</f>
        <v>0.57777777777777783</v>
      </c>
      <c r="C109" t="str">
        <f>INDEX('ei names mapping'!$B$38:$R$67,MATCH(B79,'ei names mapping'!$A$4:$A$33,0),MATCH(G109,'ei names mapping'!$B$3:$R$3,0))</f>
        <v>RER</v>
      </c>
      <c r="D109" t="str">
        <f>INDEX('ei names mapping'!$B$104:$R$133,MATCH($B$3,'ei names mapping'!$A$4:$A$33,0),MATCH(G109,'ei names mapping'!$B$3:$R$3,0))</f>
        <v>unit</v>
      </c>
      <c r="F109" t="s">
        <v>89</v>
      </c>
      <c r="G109" t="s">
        <v>16</v>
      </c>
      <c r="H109" t="str">
        <f>INDEX('ei names mapping'!$B$71:$R$100,MATCH(B79,'ei names mapping'!$A$4:$A$33,0),MATCH(G109,'ei names mapping'!$B$3:$R$3,0))</f>
        <v>motor scooter, 50 cubic cm engine</v>
      </c>
    </row>
    <row r="110" spans="1:8" x14ac:dyDescent="0.2">
      <c r="A110" t="str">
        <f>INDEX('ei names mapping'!$B$4:$R$33,MATCH(B79,'ei names mapping'!$A$4:$A$33,0),MATCH(G110,'ei names mapping'!$B$3:$R$3,0))</f>
        <v>polyethylene production, high density, granulate</v>
      </c>
      <c r="B110" s="11">
        <f>INDEX('vehicles specifications'!$B$3:$CW$166,MATCH(B82,'vehicles specifications'!$A$3:$A$166,0),MATCH(G110,'vehicles specifications'!$B$2:$CW$2,0))*INDEX('ei names mapping'!$B$137:$BL$300,MATCH(B82,'ei names mapping'!$A$137:$A$300,0),MATCH(G110,'ei names mapping'!$B$136:$BL$136,0))</f>
        <v>1.0125</v>
      </c>
      <c r="C110" t="str">
        <f>INDEX('ei names mapping'!$B$38:$R$67,MATCH(B79,'ei names mapping'!$A$4:$A$33,0),MATCH(G110,'ei names mapping'!$B$3:$R$3,0))</f>
        <v>RER</v>
      </c>
      <c r="D110" t="str">
        <f>INDEX('ei names mapping'!$B$104:$R$133,MATCH($B$3,'ei names mapping'!$A$4:$A$33,0),MATCH(G110,'ei names mapping'!$B$3:$R$3,0))</f>
        <v>kilogram</v>
      </c>
      <c r="F110" t="s">
        <v>89</v>
      </c>
      <c r="G110" t="s">
        <v>24</v>
      </c>
      <c r="H110" t="str">
        <f>INDEX('ei names mapping'!$B$71:$R$100,MATCH(B79,'ei names mapping'!$A$4:$A$33,0),MATCH(G110,'ei names mapping'!$B$3:$R$3,0))</f>
        <v>polyethylene, high density, granulate</v>
      </c>
    </row>
    <row r="111" spans="1:8" x14ac:dyDescent="0.2">
      <c r="A111" t="s">
        <v>282</v>
      </c>
      <c r="B111" s="11">
        <f>B110/0.994</f>
        <v>1.0186116700201207</v>
      </c>
      <c r="C111" t="s">
        <v>92</v>
      </c>
      <c r="D111" t="s">
        <v>77</v>
      </c>
      <c r="F111" t="s">
        <v>89</v>
      </c>
      <c r="G111" t="s">
        <v>647</v>
      </c>
      <c r="H111" t="s">
        <v>282</v>
      </c>
    </row>
    <row r="112" spans="1:8" x14ac:dyDescent="0.2">
      <c r="A112" s="13" t="s">
        <v>840</v>
      </c>
      <c r="B112">
        <f>(B92/1000)*B103</f>
        <v>129.76249999999999</v>
      </c>
      <c r="C112" t="s">
        <v>92</v>
      </c>
      <c r="D112" t="s">
        <v>233</v>
      </c>
      <c r="F112" t="s">
        <v>89</v>
      </c>
      <c r="H112" s="13" t="s">
        <v>841</v>
      </c>
    </row>
    <row r="113" spans="1:8" x14ac:dyDescent="0.2">
      <c r="A113" s="13" t="s">
        <v>441</v>
      </c>
      <c r="B113" s="2">
        <f>(B92/1000)*B102</f>
        <v>2063.2237499999997</v>
      </c>
      <c r="C113" t="s">
        <v>95</v>
      </c>
      <c r="D113" t="s">
        <v>233</v>
      </c>
      <c r="F113" t="s">
        <v>89</v>
      </c>
      <c r="H113" s="13" t="s">
        <v>441</v>
      </c>
    </row>
    <row r="115" spans="1:8" ht="16" x14ac:dyDescent="0.2">
      <c r="A115" s="10" t="s">
        <v>71</v>
      </c>
      <c r="B115" s="8" t="str">
        <f>B117&amp;", "&amp;B119</f>
        <v>Scooter, gasoline, 4-11kW, EURO-5, 2030</v>
      </c>
    </row>
    <row r="116" spans="1:8" x14ac:dyDescent="0.2">
      <c r="A116" t="s">
        <v>72</v>
      </c>
      <c r="B116" t="s">
        <v>37</v>
      </c>
    </row>
    <row r="117" spans="1:8" x14ac:dyDescent="0.2">
      <c r="A117" t="s">
        <v>86</v>
      </c>
      <c r="B117" t="s">
        <v>572</v>
      </c>
    </row>
    <row r="118" spans="1:8" x14ac:dyDescent="0.2">
      <c r="A118" t="s">
        <v>87</v>
      </c>
    </row>
    <row r="119" spans="1:8" x14ac:dyDescent="0.2">
      <c r="A119" t="s">
        <v>88</v>
      </c>
      <c r="B119">
        <v>2030</v>
      </c>
    </row>
    <row r="120" spans="1:8" x14ac:dyDescent="0.2">
      <c r="A120" t="s">
        <v>126</v>
      </c>
      <c r="B120" t="str">
        <f>B117&amp;" - "&amp;B119&amp;" - "&amp;B116</f>
        <v>Scooter, gasoline, 4-11kW, EURO-5 - 2030 - CH</v>
      </c>
    </row>
    <row r="121" spans="1:8" x14ac:dyDescent="0.2">
      <c r="A121" t="s">
        <v>73</v>
      </c>
      <c r="B121" t="str">
        <f>B117</f>
        <v>Scooter, gasoline, 4-11kW, EURO-5</v>
      </c>
    </row>
    <row r="122" spans="1:8" x14ac:dyDescent="0.2">
      <c r="A122" t="s">
        <v>74</v>
      </c>
      <c r="B122" t="s">
        <v>75</v>
      </c>
    </row>
    <row r="123" spans="1:8" x14ac:dyDescent="0.2">
      <c r="A123" t="s">
        <v>76</v>
      </c>
      <c r="B123" t="s">
        <v>76</v>
      </c>
    </row>
    <row r="124" spans="1:8" x14ac:dyDescent="0.2">
      <c r="A124" t="s">
        <v>78</v>
      </c>
      <c r="B124" t="s">
        <v>1143</v>
      </c>
    </row>
    <row r="125" spans="1:8" x14ac:dyDescent="0.2">
      <c r="A125" t="s">
        <v>127</v>
      </c>
      <c r="B125">
        <f>INDEX('vehicles specifications'!$B$3:$CW$166,MATCH(B120,'vehicles specifications'!$A$3:$A$166,0),MATCH("Lifetime [km]",'vehicles specifications'!$B$2:$CW$2,0))</f>
        <v>30000</v>
      </c>
    </row>
    <row r="126" spans="1:8" x14ac:dyDescent="0.2">
      <c r="A126" t="s">
        <v>128</v>
      </c>
      <c r="B126">
        <f>INDEX('vehicles specifications'!$B$3:$CW$166,MATCH(B120,'vehicles specifications'!$A$3:$A$166,0),MATCH("Passengers [unit]",'vehicles specifications'!$B$2:$CW$2,0))</f>
        <v>1</v>
      </c>
    </row>
    <row r="127" spans="1:8" x14ac:dyDescent="0.2">
      <c r="A127" t="s">
        <v>129</v>
      </c>
      <c r="B127">
        <f>INDEX('vehicles specifications'!$B$3:$CW$166,MATCH(B120,'vehicles specifications'!$A$3:$A$166,0),MATCH("Servicing [unit]",'vehicles specifications'!$B$2:$CW$2,0))</f>
        <v>1.2</v>
      </c>
    </row>
    <row r="128" spans="1:8" x14ac:dyDescent="0.2">
      <c r="A128" t="s">
        <v>130</v>
      </c>
      <c r="B128">
        <f>INDEX('vehicles specifications'!$B$3:$CW$166,MATCH(B120,'vehicles specifications'!$A$3:$A$166,0),MATCH("Energy battery replacement [unit]",'vehicles specifications'!$B$2:$CW$2,0))</f>
        <v>0</v>
      </c>
    </row>
    <row r="129" spans="1:8" x14ac:dyDescent="0.2">
      <c r="A129" t="s">
        <v>131</v>
      </c>
      <c r="B129">
        <f>INDEX('vehicles specifications'!$B$3:$CW$166,MATCH(B120,'vehicles specifications'!$A$3:$A$166,0),MATCH("Annual kilometers [km]",'vehicles specifications'!$B$2:$CW$2,0))</f>
        <v>1870</v>
      </c>
    </row>
    <row r="130" spans="1:8" x14ac:dyDescent="0.2">
      <c r="A130" t="s">
        <v>132</v>
      </c>
      <c r="B130" s="2">
        <f>INDEX('vehicles specifications'!$B$3:$CW$166,MATCH(B120,'vehicles specifications'!$A$3:$A$166,0),MATCH("Curb mass [kg]",'vehicles specifications'!$B$2:$CW$2,0))</f>
        <v>126.66249999999999</v>
      </c>
    </row>
    <row r="131" spans="1:8" x14ac:dyDescent="0.2">
      <c r="A131" t="s">
        <v>133</v>
      </c>
      <c r="B131">
        <f>INDEX('vehicles specifications'!$B$3:$CW$166,MATCH(B120,'vehicles specifications'!$A$3:$A$166,0),MATCH("Power [kW]",'vehicles specifications'!$B$2:$CW$2,0))</f>
        <v>8.8000000000000007</v>
      </c>
    </row>
    <row r="132" spans="1:8" x14ac:dyDescent="0.2">
      <c r="A132" t="s">
        <v>134</v>
      </c>
      <c r="B132" t="str">
        <f>INDEX('vehicles specifications'!$B$3:$CW$166,MATCH(B120,'vehicles specifications'!$A$3:$A$166,0),MATCH("Energy battery mass [kg]",'vehicles specifications'!$B$2:$CW$2,0))</f>
        <v/>
      </c>
    </row>
    <row r="133" spans="1:8" x14ac:dyDescent="0.2">
      <c r="A133" t="s">
        <v>135</v>
      </c>
      <c r="B133">
        <f>INDEX('vehicles specifications'!$B$3:$CW$166,MATCH(B120,'vehicles specifications'!$A$3:$A$166,0),MATCH("Electric energy available [kWh]",'vehicles specifications'!$B$2:$CW$2,0))</f>
        <v>0</v>
      </c>
    </row>
    <row r="134" spans="1:8" x14ac:dyDescent="0.2">
      <c r="A134" t="s">
        <v>138</v>
      </c>
      <c r="B134" s="2">
        <f>INDEX('vehicles specifications'!$B$3:$CW$166,MATCH(B120,'vehicles specifications'!$A$3:$A$166,0),MATCH("Oxydation energy stored [kWh]",'vehicles specifications'!$B$2:$CW$2,0))</f>
        <v>79.875</v>
      </c>
    </row>
    <row r="135" spans="1:8" x14ac:dyDescent="0.2">
      <c r="A135" t="s">
        <v>139</v>
      </c>
      <c r="B135">
        <f>INDEX('vehicles specifications'!$B$3:$CW$166,MATCH(B120,'vehicles specifications'!$A$3:$A$166,0),MATCH("Fuel mass [kg]",'vehicles specifications'!$B$2:$CW$2,0))</f>
        <v>6.75</v>
      </c>
    </row>
    <row r="136" spans="1:8" x14ac:dyDescent="0.2">
      <c r="A136" t="s">
        <v>136</v>
      </c>
      <c r="B136" s="2">
        <f>INDEX('vehicles specifications'!$B$3:$CW$166,MATCH(B120,'vehicles specifications'!$A$3:$A$166,0),MATCH("Range [km]",'vehicles specifications'!$B$2:$CW$2,0))</f>
        <v>280.03534209469279</v>
      </c>
    </row>
    <row r="137" spans="1:8" x14ac:dyDescent="0.2">
      <c r="A137" t="s">
        <v>137</v>
      </c>
      <c r="B137" t="str">
        <f>INDEX('vehicles specifications'!$B$3:$CW$166,MATCH(B120,'vehicles specifications'!$A$3:$A$166,0),MATCH("Emission standard",'vehicles specifications'!$B$2:$CW$2,0))</f>
        <v>EURO-5</v>
      </c>
    </row>
    <row r="138" spans="1:8" x14ac:dyDescent="0.2">
      <c r="A138" t="s">
        <v>1174</v>
      </c>
      <c r="B138" s="6">
        <f>INDEX('vehicles specifications'!$B$3:$CW$166,MATCH(B120,'vehicles specifications'!$A$3:$A$166,0),MATCH("Lightweighting rate [%]",'vehicles specifications'!$B$2:$CW$2,0))</f>
        <v>0.03</v>
      </c>
    </row>
    <row r="139" spans="1:8" x14ac:dyDescent="0.2">
      <c r="A139" t="s">
        <v>485</v>
      </c>
      <c r="B139" s="6" t="s">
        <v>486</v>
      </c>
    </row>
    <row r="140" spans="1:8" x14ac:dyDescent="0.2">
      <c r="A140" t="s">
        <v>487</v>
      </c>
      <c r="B140" s="2">
        <v>15900</v>
      </c>
    </row>
    <row r="141" spans="1:8" x14ac:dyDescent="0.2">
      <c r="A141" t="s">
        <v>488</v>
      </c>
      <c r="B141" s="2">
        <v>1000</v>
      </c>
    </row>
    <row r="142" spans="1:8" x14ac:dyDescent="0.2">
      <c r="A142" t="s">
        <v>83</v>
      </c>
      <c r="B142" t="str">
        <f>"Power: "&amp;B131&amp;" kW. Lifetime: "&amp;B125&amp;" km. Annual kilometers: "&amp;ROUND(B129,0)&amp;" km. Number of passengers: "&amp;ROUND(B126,1)&amp;". Curb mass: "&amp;ROUND(B130,1)&amp;" kg. Lightweighting of glider: "&amp;ROUND(B138*100,0)&amp;"%. Emission standard: "&amp;B137&amp;". Service visits throughout lifetime: "&amp;ROUND(B127,1)&amp;". Range: "&amp;ROUND(B136,0)&amp;" km. Fuel tank capacity: "&amp;ROUND(B134,1)&amp;" kWh. Fuel mass: "&amp;ROUND(B135,1)&amp;" kg. Origin of manufacture: "&amp;B139&amp;". Shipping distance: "&amp;B140&amp;" km. Lorry distribution distance: "&amp;B141&amp;" km. Documentation: "&amp;Readmefirst!$B$2&amp;", "&amp;Readmefirst!$B$3&amp;". "&amp;B124</f>
        <v>Power: 8.8 kW. Lifetime: 30000 km. Annual kilometers: 1870 km. Number of passengers: 1. Curb mass: 126.7 kg. Lightweighting of glider: 3%. Emission standard: EURO-5. Service visits throughout lifetime: 1.2.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3" spans="1:8" ht="16" x14ac:dyDescent="0.2">
      <c r="A143" s="10" t="s">
        <v>79</v>
      </c>
    </row>
    <row r="144" spans="1:8" x14ac:dyDescent="0.2">
      <c r="A144" t="s">
        <v>80</v>
      </c>
      <c r="B144" t="s">
        <v>81</v>
      </c>
      <c r="C144" t="s">
        <v>72</v>
      </c>
      <c r="D144" t="s">
        <v>76</v>
      </c>
      <c r="E144" t="s">
        <v>82</v>
      </c>
      <c r="F144" t="s">
        <v>74</v>
      </c>
      <c r="G144" t="s">
        <v>83</v>
      </c>
      <c r="H144" t="s">
        <v>73</v>
      </c>
    </row>
    <row r="145" spans="1:8" x14ac:dyDescent="0.2">
      <c r="A145" t="str">
        <f>B115</f>
        <v>Scooter, gasoline, 4-11kW, EURO-5, 2030</v>
      </c>
      <c r="B145">
        <v>1</v>
      </c>
      <c r="C145" t="str">
        <f>B116</f>
        <v>CH</v>
      </c>
      <c r="D145" t="str">
        <f>B123</f>
        <v>unit</v>
      </c>
      <c r="F145" t="s">
        <v>84</v>
      </c>
      <c r="G145" t="s">
        <v>85</v>
      </c>
      <c r="H145" t="str">
        <f>B117</f>
        <v>Scooter, gasoline, 4-11kW, EURO-5</v>
      </c>
    </row>
    <row r="146" spans="1:8" x14ac:dyDescent="0.2">
      <c r="A146" t="str">
        <f>INDEX('ei names mapping'!$B$4:$R$33,MATCH(B117,'ei names mapping'!$A$4:$A$33,0),MATCH(G146,'ei names mapping'!$B$3:$R$3,0))</f>
        <v>motor scooter production</v>
      </c>
      <c r="B146" s="11">
        <f>INDEX('vehicles specifications'!$B$3:$CW$166,MATCH(B120,'vehicles specifications'!$A$3:$A$166,0),MATCH(G146,'vehicles specifications'!$B$2:$CW$2,0))*INDEX('ei names mapping'!$B$137:$BL$300,MATCH(B120,'ei names mapping'!$A$137:$A$300,0),MATCH(G146,'ei names mapping'!$B$136:$BL$136,0))</f>
        <v>0.77777777777777779</v>
      </c>
      <c r="C146" t="str">
        <f>INDEX('ei names mapping'!$B$38:$R$67,MATCH(B117,'ei names mapping'!$A$4:$A$33,0),MATCH(G146,'ei names mapping'!$B$3:$R$3,0))</f>
        <v>RER</v>
      </c>
      <c r="D146" t="str">
        <f>INDEX('ei names mapping'!$B$104:$R$133,MATCH($B$3,'ei names mapping'!$A$4:$A$33,0),MATCH(G146,'ei names mapping'!$B$3:$R$3,0))</f>
        <v>unit</v>
      </c>
      <c r="F146" t="s">
        <v>89</v>
      </c>
      <c r="G146" t="s">
        <v>15</v>
      </c>
      <c r="H146" t="str">
        <f>INDEX('ei names mapping'!$B$71:$R$100,MATCH(B117,'ei names mapping'!$A$4:$A$33,0),MATCH(G146,'ei names mapping'!$B$3:$R$3,0))</f>
        <v>motor scooter, 50 cubic cm engine</v>
      </c>
    </row>
    <row r="147" spans="1:8" x14ac:dyDescent="0.2">
      <c r="A147" t="str">
        <f>INDEX('ei names mapping'!$B$4:$R$33,MATCH(B117,'ei names mapping'!$A$4:$A$33,0),MATCH(G147,'ei names mapping'!$B$3:$R$3,0))</f>
        <v>motor scooter production</v>
      </c>
      <c r="B147" s="11">
        <f>INDEX('vehicles specifications'!$B$3:$CW$166,MATCH(B120,'vehicles specifications'!$A$3:$A$166,0),MATCH(G147,'vehicles specifications'!$B$2:$CW$2,0))*INDEX('ei names mapping'!$B$137:$BL$300,MATCH(B120,'ei names mapping'!$A$137:$A$300,0),MATCH(G147,'ei names mapping'!$B$136:$BL$136,0))</f>
        <v>0.56666666666666665</v>
      </c>
      <c r="C147" t="str">
        <f>INDEX('ei names mapping'!$B$38:$R$67,MATCH(B117,'ei names mapping'!$A$4:$A$33,0),MATCH(G147,'ei names mapping'!$B$3:$R$3,0))</f>
        <v>RER</v>
      </c>
      <c r="D147" t="str">
        <f>INDEX('ei names mapping'!$B$104:$R$133,MATCH($B$3,'ei names mapping'!$A$4:$A$33,0),MATCH(G147,'ei names mapping'!$B$3:$R$3,0))</f>
        <v>unit</v>
      </c>
      <c r="F147" t="s">
        <v>89</v>
      </c>
      <c r="G147" t="s">
        <v>16</v>
      </c>
      <c r="H147" t="str">
        <f>INDEX('ei names mapping'!$B$71:$R$100,MATCH(B117,'ei names mapping'!$A$4:$A$33,0),MATCH(G147,'ei names mapping'!$B$3:$R$3,0))</f>
        <v>motor scooter, 50 cubic cm engine</v>
      </c>
    </row>
    <row r="148" spans="1:8" x14ac:dyDescent="0.2">
      <c r="A148" t="str">
        <f>INDEX('ei names mapping'!$B$4:$R$33,MATCH(B117,'ei names mapping'!$A$4:$A$33,0),MATCH(G148,'ei names mapping'!$B$3:$R$3,0))</f>
        <v>Glider lightweighting</v>
      </c>
      <c r="B148" s="11">
        <f>INDEX('vehicles specifications'!$B$3:$CW$166,MATCH(B120,'vehicles specifications'!$A$3:$A$166,0),MATCH(G148,'vehicles specifications'!$B$2:$CW$2,0))*INDEX('ei names mapping'!$B$137:$BL$300,MATCH(B120,'ei names mapping'!$A$137:$A$300,0),MATCH(G148,'ei names mapping'!$B$136:$BL$136,0))</f>
        <v>2.1</v>
      </c>
      <c r="C148" t="str">
        <f>INDEX('ei names mapping'!$B$38:$R$67,MATCH(B117,'ei names mapping'!$A$4:$A$33,0),MATCH(G148,'ei names mapping'!$B$3:$R$3,0))</f>
        <v>GLO</v>
      </c>
      <c r="D148" t="str">
        <f>INDEX('ei names mapping'!$B$104:$R$133,MATCH(B117,'ei names mapping'!$A$4:$A$33,0),MATCH(G148,'ei names mapping'!$B$3:$R$3,0))</f>
        <v>kilogram</v>
      </c>
      <c r="F148" t="s">
        <v>89</v>
      </c>
      <c r="G148" t="s">
        <v>14</v>
      </c>
      <c r="H148" t="str">
        <f>INDEX('ei names mapping'!$B$71:$R$100,MATCH(B117,'ei names mapping'!$A$4:$A$33,0),MATCH(G148,'ei names mapping'!$B$3:$R$3,0))</f>
        <v>Glider lightweighting</v>
      </c>
    </row>
    <row r="149" spans="1:8" x14ac:dyDescent="0.2">
      <c r="A149" t="str">
        <f>INDEX('ei names mapping'!$B$4:$R$33,MATCH(B117,'ei names mapping'!$A$4:$A$33,0),MATCH(G149,'ei names mapping'!$B$3:$R$3,0))</f>
        <v>polyethylene production, high density, granulate</v>
      </c>
      <c r="B149" s="11">
        <f>INDEX('vehicles specifications'!$B$3:$CW$166,MATCH(B120,'vehicles specifications'!$A$3:$A$166,0),MATCH(G149,'vehicles specifications'!$B$2:$CW$2,0))*INDEX('ei names mapping'!$B$137:$BL$300,MATCH(B120,'ei names mapping'!$A$137:$A$300,0),MATCH(G149,'ei names mapping'!$B$136:$BL$136,0))</f>
        <v>1.0125</v>
      </c>
      <c r="C149" t="str">
        <f>INDEX('ei names mapping'!$B$38:$R$67,MATCH(B117,'ei names mapping'!$A$4:$A$33,0),MATCH(G149,'ei names mapping'!$B$3:$R$3,0))</f>
        <v>RER</v>
      </c>
      <c r="D149" t="str">
        <f>INDEX('ei names mapping'!$B$104:$R$133,MATCH($B$3,'ei names mapping'!$A$4:$A$33,0),MATCH(G149,'ei names mapping'!$B$3:$R$3,0))</f>
        <v>kilogram</v>
      </c>
      <c r="F149" t="s">
        <v>89</v>
      </c>
      <c r="G149" t="s">
        <v>24</v>
      </c>
      <c r="H149" t="str">
        <f>INDEX('ei names mapping'!$B$71:$R$100,MATCH(B117,'ei names mapping'!$A$4:$A$33,0),MATCH(G149,'ei names mapping'!$B$3:$R$3,0))</f>
        <v>polyethylene, high density, granulate</v>
      </c>
    </row>
    <row r="150" spans="1:8" x14ac:dyDescent="0.2">
      <c r="A150" t="s">
        <v>282</v>
      </c>
      <c r="B150" s="11">
        <f>B149/0.994</f>
        <v>1.0186116700201207</v>
      </c>
      <c r="C150" t="s">
        <v>92</v>
      </c>
      <c r="D150" t="s">
        <v>77</v>
      </c>
      <c r="F150" t="s">
        <v>89</v>
      </c>
      <c r="G150" t="s">
        <v>647</v>
      </c>
      <c r="H150" t="s">
        <v>282</v>
      </c>
    </row>
    <row r="151" spans="1:8" x14ac:dyDescent="0.2">
      <c r="A151" s="13" t="s">
        <v>840</v>
      </c>
      <c r="B151">
        <f>(B130/1000)*B141</f>
        <v>126.66249999999998</v>
      </c>
      <c r="C151" t="s">
        <v>92</v>
      </c>
      <c r="D151" t="s">
        <v>233</v>
      </c>
      <c r="F151" t="s">
        <v>89</v>
      </c>
      <c r="H151" s="13" t="s">
        <v>841</v>
      </c>
    </row>
    <row r="152" spans="1:8" x14ac:dyDescent="0.2">
      <c r="A152" s="13" t="s">
        <v>441</v>
      </c>
      <c r="B152" s="2">
        <f>(B130/1000)*B140</f>
        <v>2013.9337499999997</v>
      </c>
      <c r="C152" t="s">
        <v>95</v>
      </c>
      <c r="D152" t="s">
        <v>233</v>
      </c>
      <c r="F152" t="s">
        <v>89</v>
      </c>
      <c r="H152" s="13" t="s">
        <v>441</v>
      </c>
    </row>
    <row r="154" spans="1:8" ht="16" x14ac:dyDescent="0.2">
      <c r="A154" s="10" t="s">
        <v>71</v>
      </c>
      <c r="B154" s="8" t="str">
        <f>B156&amp;", "&amp;B158</f>
        <v>Scooter, gasoline, 4-11kW, EURO-5, 2040</v>
      </c>
    </row>
    <row r="155" spans="1:8" x14ac:dyDescent="0.2">
      <c r="A155" t="s">
        <v>72</v>
      </c>
      <c r="B155" t="s">
        <v>37</v>
      </c>
    </row>
    <row r="156" spans="1:8" x14ac:dyDescent="0.2">
      <c r="A156" t="s">
        <v>86</v>
      </c>
      <c r="B156" t="s">
        <v>572</v>
      </c>
    </row>
    <row r="157" spans="1:8" x14ac:dyDescent="0.2">
      <c r="A157" t="s">
        <v>87</v>
      </c>
    </row>
    <row r="158" spans="1:8" x14ac:dyDescent="0.2">
      <c r="A158" t="s">
        <v>88</v>
      </c>
      <c r="B158">
        <v>2040</v>
      </c>
    </row>
    <row r="159" spans="1:8" x14ac:dyDescent="0.2">
      <c r="A159" t="s">
        <v>126</v>
      </c>
      <c r="B159" t="str">
        <f>B156&amp;" - "&amp;B158&amp;" - "&amp;B155</f>
        <v>Scooter, gasoline, 4-11kW, EURO-5 - 2040 - CH</v>
      </c>
    </row>
    <row r="160" spans="1:8" x14ac:dyDescent="0.2">
      <c r="A160" t="s">
        <v>73</v>
      </c>
      <c r="B160" t="str">
        <f>B156</f>
        <v>Scooter, gasoline, 4-11kW, EURO-5</v>
      </c>
    </row>
    <row r="161" spans="1:2" x14ac:dyDescent="0.2">
      <c r="A161" t="s">
        <v>74</v>
      </c>
      <c r="B161" t="s">
        <v>75</v>
      </c>
    </row>
    <row r="162" spans="1:2" x14ac:dyDescent="0.2">
      <c r="A162" t="s">
        <v>76</v>
      </c>
      <c r="B162" t="s">
        <v>76</v>
      </c>
    </row>
    <row r="163" spans="1:2" x14ac:dyDescent="0.2">
      <c r="A163" t="s">
        <v>78</v>
      </c>
      <c r="B163" t="s">
        <v>1143</v>
      </c>
    </row>
    <row r="164" spans="1:2" x14ac:dyDescent="0.2">
      <c r="A164" t="s">
        <v>127</v>
      </c>
      <c r="B164">
        <f>INDEX('vehicles specifications'!$B$3:$CW$166,MATCH(B159,'vehicles specifications'!$A$3:$A$166,0),MATCH("Lifetime [km]",'vehicles specifications'!$B$2:$CW$2,0))</f>
        <v>30000</v>
      </c>
    </row>
    <row r="165" spans="1:2" x14ac:dyDescent="0.2">
      <c r="A165" t="s">
        <v>128</v>
      </c>
      <c r="B165">
        <f>INDEX('vehicles specifications'!$B$3:$CW$166,MATCH(B159,'vehicles specifications'!$A$3:$A$166,0),MATCH("Passengers [unit]",'vehicles specifications'!$B$2:$CW$2,0))</f>
        <v>1</v>
      </c>
    </row>
    <row r="166" spans="1:2" x14ac:dyDescent="0.2">
      <c r="A166" t="s">
        <v>129</v>
      </c>
      <c r="B166">
        <f>INDEX('vehicles specifications'!$B$3:$CW$166,MATCH(B159,'vehicles specifications'!$A$3:$A$166,0),MATCH("Servicing [unit]",'vehicles specifications'!$B$2:$CW$2,0))</f>
        <v>1.2</v>
      </c>
    </row>
    <row r="167" spans="1:2" x14ac:dyDescent="0.2">
      <c r="A167" t="s">
        <v>130</v>
      </c>
      <c r="B167">
        <f>INDEX('vehicles specifications'!$B$3:$CW$166,MATCH(B159,'vehicles specifications'!$A$3:$A$166,0),MATCH("Energy battery replacement [unit]",'vehicles specifications'!$B$2:$CW$2,0))</f>
        <v>0</v>
      </c>
    </row>
    <row r="168" spans="1:2" x14ac:dyDescent="0.2">
      <c r="A168" t="s">
        <v>131</v>
      </c>
      <c r="B168">
        <f>INDEX('vehicles specifications'!$B$3:$CW$166,MATCH(B159,'vehicles specifications'!$A$3:$A$166,0),MATCH("Annual kilometers [km]",'vehicles specifications'!$B$2:$CW$2,0))</f>
        <v>1870</v>
      </c>
    </row>
    <row r="169" spans="1:2" x14ac:dyDescent="0.2">
      <c r="A169" t="s">
        <v>132</v>
      </c>
      <c r="B169" s="2">
        <f>INDEX('vehicles specifications'!$B$3:$CW$166,MATCH(B159,'vehicles specifications'!$A$3:$A$166,0),MATCH("Curb mass [kg]",'vehicles specifications'!$B$2:$CW$2,0))</f>
        <v>124.2625</v>
      </c>
    </row>
    <row r="170" spans="1:2" x14ac:dyDescent="0.2">
      <c r="A170" t="s">
        <v>133</v>
      </c>
      <c r="B170">
        <f>INDEX('vehicles specifications'!$B$3:$CW$166,MATCH(B159,'vehicles specifications'!$A$3:$A$166,0),MATCH("Power [kW]",'vehicles specifications'!$B$2:$CW$2,0))</f>
        <v>8.8000000000000007</v>
      </c>
    </row>
    <row r="171" spans="1:2" x14ac:dyDescent="0.2">
      <c r="A171" t="s">
        <v>134</v>
      </c>
      <c r="B171" t="str">
        <f>INDEX('vehicles specifications'!$B$3:$CW$166,MATCH(B159,'vehicles specifications'!$A$3:$A$166,0),MATCH("Energy battery mass [kg]",'vehicles specifications'!$B$2:$CW$2,0))</f>
        <v/>
      </c>
    </row>
    <row r="172" spans="1:2" x14ac:dyDescent="0.2">
      <c r="A172" t="s">
        <v>135</v>
      </c>
      <c r="B172">
        <f>INDEX('vehicles specifications'!$B$3:$CW$166,MATCH(B159,'vehicles specifications'!$A$3:$A$166,0),MATCH("Electric energy available [kWh]",'vehicles specifications'!$B$2:$CW$2,0))</f>
        <v>0</v>
      </c>
    </row>
    <row r="173" spans="1:2" x14ac:dyDescent="0.2">
      <c r="A173" t="s">
        <v>138</v>
      </c>
      <c r="B173" s="2">
        <f>INDEX('vehicles specifications'!$B$3:$CW$166,MATCH(B159,'vehicles specifications'!$A$3:$A$166,0),MATCH("Oxydation energy stored [kWh]",'vehicles specifications'!$B$2:$CW$2,0))</f>
        <v>79.875</v>
      </c>
    </row>
    <row r="174" spans="1:2" x14ac:dyDescent="0.2">
      <c r="A174" t="s">
        <v>139</v>
      </c>
      <c r="B174">
        <f>INDEX('vehicles specifications'!$B$3:$CW$166,MATCH(B159,'vehicles specifications'!$A$3:$A$166,0),MATCH("Fuel mass [kg]",'vehicles specifications'!$B$2:$CW$2,0))</f>
        <v>6.75</v>
      </c>
    </row>
    <row r="175" spans="1:2" x14ac:dyDescent="0.2">
      <c r="A175" t="s">
        <v>136</v>
      </c>
      <c r="B175" s="2">
        <f>INDEX('vehicles specifications'!$B$3:$CW$166,MATCH(B159,'vehicles specifications'!$A$3:$A$166,0),MATCH("Range [km]",'vehicles specifications'!$B$2:$CW$2,0))</f>
        <v>282.86398191383108</v>
      </c>
    </row>
    <row r="176" spans="1:2" x14ac:dyDescent="0.2">
      <c r="A176" t="s">
        <v>137</v>
      </c>
      <c r="B176" t="str">
        <f>INDEX('vehicles specifications'!$B$3:$CW$166,MATCH(B159,'vehicles specifications'!$A$3:$A$166,0),MATCH("Emission standard",'vehicles specifications'!$B$2:$CW$2,0))</f>
        <v>EURO-5</v>
      </c>
    </row>
    <row r="177" spans="1:8" x14ac:dyDescent="0.2">
      <c r="A177" t="s">
        <v>1174</v>
      </c>
      <c r="B177" s="6">
        <f>INDEX('vehicles specifications'!$B$3:$CW$166,MATCH(B159,'vehicles specifications'!$A$3:$A$166,0),MATCH("Lightweighting rate [%]",'vehicles specifications'!$B$2:$CW$2,0))</f>
        <v>0.05</v>
      </c>
    </row>
    <row r="178" spans="1:8" x14ac:dyDescent="0.2">
      <c r="A178" t="s">
        <v>485</v>
      </c>
      <c r="B178" s="6" t="s">
        <v>486</v>
      </c>
    </row>
    <row r="179" spans="1:8" x14ac:dyDescent="0.2">
      <c r="A179" t="s">
        <v>487</v>
      </c>
      <c r="B179" s="2">
        <v>15900</v>
      </c>
    </row>
    <row r="180" spans="1:8" x14ac:dyDescent="0.2">
      <c r="A180" t="s">
        <v>488</v>
      </c>
      <c r="B180" s="2">
        <v>1000</v>
      </c>
    </row>
    <row r="181" spans="1:8" x14ac:dyDescent="0.2">
      <c r="A181" t="s">
        <v>83</v>
      </c>
      <c r="B181" t="str">
        <f>"Power: "&amp;B170&amp;" kW. Lifetime: "&amp;B164&amp;" km. Annual kilometers: "&amp;ROUND(B168,0)&amp;" km. Number of passengers: "&amp;ROUND(B165,1)&amp;". Curb mass: "&amp;ROUND(B169,1)&amp;" kg. Lightweighting of glider: "&amp;ROUND(B177*100,0)&amp;"%. Emission standard: "&amp;B176&amp;". Service visits throughout lifetime: "&amp;ROUND(B166,1)&amp;". Range: "&amp;ROUND(B175,0)&amp;" km. Fuel tank capacity: "&amp;ROUND(B173,1)&amp;" kWh. Fuel mass: "&amp;ROUND(B174,1)&amp;" kg. Origin of manufacture: "&amp;B178&amp;". Shipping distance: "&amp;B179&amp;" km. Lorry distribution distance: "&amp;B180&amp;" km. Documentation: "&amp;Readmefirst!$B$2&amp;", "&amp;Readmefirst!$B$3&amp;". "&amp;B163</f>
        <v>Power: 8.8 kW. Lifetime: 30000 km. Annual kilometers: 1870 km. Number of passengers: 1. Curb mass: 124.3 kg. Lightweighting of glider: 5%. Emission standard: EURO-5. Service visits throughout lifetime: 1.2.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82" spans="1:8" ht="16" x14ac:dyDescent="0.2">
      <c r="A182" s="10" t="s">
        <v>79</v>
      </c>
    </row>
    <row r="183" spans="1:8" x14ac:dyDescent="0.2">
      <c r="A183" t="s">
        <v>80</v>
      </c>
      <c r="B183" t="s">
        <v>81</v>
      </c>
      <c r="C183" t="s">
        <v>72</v>
      </c>
      <c r="D183" t="s">
        <v>76</v>
      </c>
      <c r="E183" t="s">
        <v>82</v>
      </c>
      <c r="F183" t="s">
        <v>74</v>
      </c>
      <c r="G183" t="s">
        <v>83</v>
      </c>
      <c r="H183" t="s">
        <v>73</v>
      </c>
    </row>
    <row r="184" spans="1:8" x14ac:dyDescent="0.2">
      <c r="A184" t="str">
        <f>B154</f>
        <v>Scooter, gasoline, 4-11kW, EURO-5, 2040</v>
      </c>
      <c r="B184">
        <v>1</v>
      </c>
      <c r="C184" t="str">
        <f>B155</f>
        <v>CH</v>
      </c>
      <c r="D184" t="str">
        <f>B162</f>
        <v>unit</v>
      </c>
      <c r="F184" t="s">
        <v>84</v>
      </c>
      <c r="G184" t="s">
        <v>85</v>
      </c>
      <c r="H184" t="str">
        <f>B156</f>
        <v>Scooter, gasoline, 4-11kW, EURO-5</v>
      </c>
    </row>
    <row r="185" spans="1:8" x14ac:dyDescent="0.2">
      <c r="A185" t="str">
        <f>INDEX('ei names mapping'!$B$4:$R$33,MATCH(B156,'ei names mapping'!$A$4:$A$33,0),MATCH(G185,'ei names mapping'!$B$3:$R$3,0))</f>
        <v>motor scooter production</v>
      </c>
      <c r="B185" s="11">
        <f>INDEX('vehicles specifications'!$B$3:$CW$166,MATCH(B159,'vehicles specifications'!$A$3:$A$166,0),MATCH(G185,'vehicles specifications'!$B$2:$CW$2,0))*INDEX('ei names mapping'!$B$137:$BL$300,MATCH(B159,'ei names mapping'!$A$137:$A$300,0),MATCH(G185,'ei names mapping'!$B$136:$BL$136,0))</f>
        <v>0.77777777777777779</v>
      </c>
      <c r="C185" t="str">
        <f>INDEX('ei names mapping'!$B$38:$R$67,MATCH(B156,'ei names mapping'!$A$4:$A$33,0),MATCH(G185,'ei names mapping'!$B$3:$R$3,0))</f>
        <v>RER</v>
      </c>
      <c r="D185" t="str">
        <f>INDEX('ei names mapping'!$B$104:$R$133,MATCH($B$3,'ei names mapping'!$A$4:$A$33,0),MATCH(G185,'ei names mapping'!$B$3:$R$3,0))</f>
        <v>unit</v>
      </c>
      <c r="F185" t="s">
        <v>89</v>
      </c>
      <c r="G185" t="s">
        <v>15</v>
      </c>
      <c r="H185" t="str">
        <f>INDEX('ei names mapping'!$B$71:$R$100,MATCH(B156,'ei names mapping'!$A$4:$A$33,0),MATCH(G185,'ei names mapping'!$B$3:$R$3,0))</f>
        <v>motor scooter, 50 cubic cm engine</v>
      </c>
    </row>
    <row r="186" spans="1:8" x14ac:dyDescent="0.2">
      <c r="A186" t="str">
        <f>INDEX('ei names mapping'!$B$4:$R$33,MATCH(B156,'ei names mapping'!$A$4:$A$33,0),MATCH(G186,'ei names mapping'!$B$3:$R$3,0))</f>
        <v>motor scooter production</v>
      </c>
      <c r="B186" s="11">
        <f>INDEX('vehicles specifications'!$B$3:$CW$166,MATCH(B159,'vehicles specifications'!$A$3:$A$166,0),MATCH(G186,'vehicles specifications'!$B$2:$CW$2,0))*INDEX('ei names mapping'!$B$137:$BL$300,MATCH(B159,'ei names mapping'!$A$137:$A$300,0),MATCH(G186,'ei names mapping'!$B$136:$BL$136,0))</f>
        <v>0.55555555555555558</v>
      </c>
      <c r="C186" t="str">
        <f>INDEX('ei names mapping'!$B$38:$R$67,MATCH(B156,'ei names mapping'!$A$4:$A$33,0),MATCH(G186,'ei names mapping'!$B$3:$R$3,0))</f>
        <v>RER</v>
      </c>
      <c r="D186" t="str">
        <f>INDEX('ei names mapping'!$B$104:$R$133,MATCH($B$3,'ei names mapping'!$A$4:$A$33,0),MATCH(G186,'ei names mapping'!$B$3:$R$3,0))</f>
        <v>unit</v>
      </c>
      <c r="F186" t="s">
        <v>89</v>
      </c>
      <c r="G186" t="s">
        <v>16</v>
      </c>
      <c r="H186" t="str">
        <f>INDEX('ei names mapping'!$B$71:$R$100,MATCH(B156,'ei names mapping'!$A$4:$A$33,0),MATCH(G186,'ei names mapping'!$B$3:$R$3,0))</f>
        <v>motor scooter, 50 cubic cm engine</v>
      </c>
    </row>
    <row r="187" spans="1:8" x14ac:dyDescent="0.2">
      <c r="A187" t="str">
        <f>INDEX('ei names mapping'!$B$4:$R$33,MATCH(B156,'ei names mapping'!$A$4:$A$33,0),MATCH(G187,'ei names mapping'!$B$3:$R$3,0))</f>
        <v>Glider lightweighting</v>
      </c>
      <c r="B187" s="11">
        <f>INDEX('vehicles specifications'!$B$3:$CW$166,MATCH(B159,'vehicles specifications'!$A$3:$A$166,0),MATCH(G187,'vehicles specifications'!$B$2:$CW$2,0))*INDEX('ei names mapping'!$B$137:$BL$300,MATCH(B159,'ei names mapping'!$A$137:$A$300,0),MATCH(G187,'ei names mapping'!$B$136:$BL$136,0))</f>
        <v>3.5</v>
      </c>
      <c r="C187" t="str">
        <f>INDEX('ei names mapping'!$B$38:$R$67,MATCH(B156,'ei names mapping'!$A$4:$A$33,0),MATCH(G187,'ei names mapping'!$B$3:$R$3,0))</f>
        <v>GLO</v>
      </c>
      <c r="D187" t="str">
        <f>INDEX('ei names mapping'!$B$104:$R$133,MATCH(B156,'ei names mapping'!$A$4:$A$33,0),MATCH(G187,'ei names mapping'!$B$3:$R$3,0))</f>
        <v>kilogram</v>
      </c>
      <c r="F187" t="s">
        <v>89</v>
      </c>
      <c r="G187" t="s">
        <v>14</v>
      </c>
      <c r="H187" t="str">
        <f>INDEX('ei names mapping'!$B$71:$R$100,MATCH(B156,'ei names mapping'!$A$4:$A$33,0),MATCH(G187,'ei names mapping'!$B$3:$R$3,0))</f>
        <v>Glider lightweighting</v>
      </c>
    </row>
    <row r="188" spans="1:8" x14ac:dyDescent="0.2">
      <c r="A188" t="str">
        <f>INDEX('ei names mapping'!$B$4:$R$33,MATCH(B156,'ei names mapping'!$A$4:$A$33,0),MATCH(G188,'ei names mapping'!$B$3:$R$3,0))</f>
        <v>polyethylene production, high density, granulate</v>
      </c>
      <c r="B188" s="11">
        <f>INDEX('vehicles specifications'!$B$3:$CW$166,MATCH(B159,'vehicles specifications'!$A$3:$A$166,0),MATCH(G188,'vehicles specifications'!$B$2:$CW$2,0))*INDEX('ei names mapping'!$B$137:$BL$300,MATCH(B159,'ei names mapping'!$A$137:$A$300,0),MATCH(G188,'ei names mapping'!$B$136:$BL$136,0))</f>
        <v>1.0125</v>
      </c>
      <c r="C188" t="str">
        <f>INDEX('ei names mapping'!$B$38:$R$67,MATCH(B156,'ei names mapping'!$A$4:$A$33,0),MATCH(G188,'ei names mapping'!$B$3:$R$3,0))</f>
        <v>RER</v>
      </c>
      <c r="D188" t="str">
        <f>INDEX('ei names mapping'!$B$104:$R$133,MATCH($B$3,'ei names mapping'!$A$4:$A$33,0),MATCH(G188,'ei names mapping'!$B$3:$R$3,0))</f>
        <v>kilogram</v>
      </c>
      <c r="F188" t="s">
        <v>89</v>
      </c>
      <c r="G188" t="s">
        <v>24</v>
      </c>
      <c r="H188" t="str">
        <f>INDEX('ei names mapping'!$B$71:$R$100,MATCH(B156,'ei names mapping'!$A$4:$A$33,0),MATCH(G188,'ei names mapping'!$B$3:$R$3,0))</f>
        <v>polyethylene, high density, granulate</v>
      </c>
    </row>
    <row r="189" spans="1:8" x14ac:dyDescent="0.2">
      <c r="A189" t="s">
        <v>282</v>
      </c>
      <c r="B189" s="11">
        <f>B188/0.994</f>
        <v>1.0186116700201207</v>
      </c>
      <c r="C189" t="s">
        <v>92</v>
      </c>
      <c r="D189" t="s">
        <v>77</v>
      </c>
      <c r="F189" t="s">
        <v>89</v>
      </c>
      <c r="G189" t="s">
        <v>647</v>
      </c>
      <c r="H189" t="s">
        <v>282</v>
      </c>
    </row>
    <row r="190" spans="1:8" x14ac:dyDescent="0.2">
      <c r="A190" s="13" t="s">
        <v>840</v>
      </c>
      <c r="B190">
        <f>(B169/1000)*B180</f>
        <v>124.2625</v>
      </c>
      <c r="C190" t="s">
        <v>92</v>
      </c>
      <c r="D190" t="s">
        <v>233</v>
      </c>
      <c r="F190" t="s">
        <v>89</v>
      </c>
      <c r="H190" s="13" t="s">
        <v>841</v>
      </c>
    </row>
    <row r="191" spans="1:8" x14ac:dyDescent="0.2">
      <c r="A191" s="13" t="s">
        <v>441</v>
      </c>
      <c r="B191" s="2">
        <f>(B169/1000)*B179</f>
        <v>1975.7737500000001</v>
      </c>
      <c r="C191" t="s">
        <v>95</v>
      </c>
      <c r="D191" t="s">
        <v>233</v>
      </c>
      <c r="F191" t="s">
        <v>89</v>
      </c>
      <c r="H191" s="13" t="s">
        <v>441</v>
      </c>
    </row>
    <row r="193" spans="1:2" ht="16" x14ac:dyDescent="0.2">
      <c r="A193" s="10" t="s">
        <v>71</v>
      </c>
      <c r="B193" s="8" t="str">
        <f>B195&amp;", "&amp;B197</f>
        <v>Scooter, gasoline, 4-11kW, EURO-5, 2050</v>
      </c>
    </row>
    <row r="194" spans="1:2" x14ac:dyDescent="0.2">
      <c r="A194" t="s">
        <v>72</v>
      </c>
      <c r="B194" t="s">
        <v>37</v>
      </c>
    </row>
    <row r="195" spans="1:2" x14ac:dyDescent="0.2">
      <c r="A195" t="s">
        <v>86</v>
      </c>
      <c r="B195" t="s">
        <v>572</v>
      </c>
    </row>
    <row r="196" spans="1:2" x14ac:dyDescent="0.2">
      <c r="A196" t="s">
        <v>87</v>
      </c>
    </row>
    <row r="197" spans="1:2" x14ac:dyDescent="0.2">
      <c r="A197" t="s">
        <v>88</v>
      </c>
      <c r="B197">
        <v>2050</v>
      </c>
    </row>
    <row r="198" spans="1:2" x14ac:dyDescent="0.2">
      <c r="A198" t="s">
        <v>126</v>
      </c>
      <c r="B198" t="str">
        <f>B195&amp;" - "&amp;B197&amp;" - "&amp;B194</f>
        <v>Scooter, gasoline, 4-11kW, EURO-5 - 2050 - CH</v>
      </c>
    </row>
    <row r="199" spans="1:2" x14ac:dyDescent="0.2">
      <c r="A199" t="s">
        <v>73</v>
      </c>
      <c r="B199" t="str">
        <f>B195</f>
        <v>Scooter, gasoline, 4-11kW, EURO-5</v>
      </c>
    </row>
    <row r="200" spans="1:2" x14ac:dyDescent="0.2">
      <c r="A200" t="s">
        <v>74</v>
      </c>
      <c r="B200" t="s">
        <v>75</v>
      </c>
    </row>
    <row r="201" spans="1:2" x14ac:dyDescent="0.2">
      <c r="A201" t="s">
        <v>76</v>
      </c>
      <c r="B201" t="s">
        <v>76</v>
      </c>
    </row>
    <row r="202" spans="1:2" x14ac:dyDescent="0.2">
      <c r="A202" t="s">
        <v>78</v>
      </c>
      <c r="B202" t="s">
        <v>1143</v>
      </c>
    </row>
    <row r="203" spans="1:2" x14ac:dyDescent="0.2">
      <c r="A203" t="s">
        <v>127</v>
      </c>
      <c r="B203">
        <f>INDEX('vehicles specifications'!$B$3:$CW$166,MATCH(B198,'vehicles specifications'!$A$3:$A$166,0),MATCH("Lifetime [km]",'vehicles specifications'!$B$2:$CW$2,0))</f>
        <v>30000</v>
      </c>
    </row>
    <row r="204" spans="1:2" x14ac:dyDescent="0.2">
      <c r="A204" t="s">
        <v>128</v>
      </c>
      <c r="B204">
        <f>INDEX('vehicles specifications'!$B$3:$CW$166,MATCH(B198,'vehicles specifications'!$A$3:$A$166,0),MATCH("Passengers [unit]",'vehicles specifications'!$B$2:$CW$2,0))</f>
        <v>1</v>
      </c>
    </row>
    <row r="205" spans="1:2" x14ac:dyDescent="0.2">
      <c r="A205" t="s">
        <v>129</v>
      </c>
      <c r="B205">
        <f>INDEX('vehicles specifications'!$B$3:$CW$166,MATCH(B198,'vehicles specifications'!$A$3:$A$166,0),MATCH("Servicing [unit]",'vehicles specifications'!$B$2:$CW$2,0))</f>
        <v>1.2</v>
      </c>
    </row>
    <row r="206" spans="1:2" x14ac:dyDescent="0.2">
      <c r="A206" t="s">
        <v>130</v>
      </c>
      <c r="B206">
        <f>INDEX('vehicles specifications'!$B$3:$CW$166,MATCH(B198,'vehicles specifications'!$A$3:$A$166,0),MATCH("Energy battery replacement [unit]",'vehicles specifications'!$B$2:$CW$2,0))</f>
        <v>0</v>
      </c>
    </row>
    <row r="207" spans="1:2" x14ac:dyDescent="0.2">
      <c r="A207" t="s">
        <v>131</v>
      </c>
      <c r="B207">
        <f>INDEX('vehicles specifications'!$B$3:$CW$166,MATCH(B198,'vehicles specifications'!$A$3:$A$166,0),MATCH("Annual kilometers [km]",'vehicles specifications'!$B$2:$CW$2,0))</f>
        <v>1870</v>
      </c>
    </row>
    <row r="208" spans="1:2" x14ac:dyDescent="0.2">
      <c r="A208" t="s">
        <v>132</v>
      </c>
      <c r="B208" s="2">
        <f>INDEX('vehicles specifications'!$B$3:$CW$166,MATCH(B198,'vehicles specifications'!$A$3:$A$166,0),MATCH("Curb mass [kg]",'vehicles specifications'!$B$2:$CW$2,0))</f>
        <v>122.8625</v>
      </c>
    </row>
    <row r="209" spans="1:8" x14ac:dyDescent="0.2">
      <c r="A209" t="s">
        <v>133</v>
      </c>
      <c r="B209">
        <f>INDEX('vehicles specifications'!$B$3:$CW$166,MATCH(B198,'vehicles specifications'!$A$3:$A$166,0),MATCH("Power [kW]",'vehicles specifications'!$B$2:$CW$2,0))</f>
        <v>8.8000000000000007</v>
      </c>
    </row>
    <row r="210" spans="1:8" x14ac:dyDescent="0.2">
      <c r="A210" t="s">
        <v>134</v>
      </c>
      <c r="B210" t="str">
        <f>INDEX('vehicles specifications'!$B$3:$CW$166,MATCH(B198,'vehicles specifications'!$A$3:$A$166,0),MATCH("Energy battery mass [kg]",'vehicles specifications'!$B$2:$CW$2,0))</f>
        <v/>
      </c>
    </row>
    <row r="211" spans="1:8" x14ac:dyDescent="0.2">
      <c r="A211" t="s">
        <v>135</v>
      </c>
      <c r="B211">
        <f>INDEX('vehicles specifications'!$B$3:$CW$166,MATCH(B198,'vehicles specifications'!$A$3:$A$166,0),MATCH("Electric energy available [kWh]",'vehicles specifications'!$B$2:$CW$2,0))</f>
        <v>0</v>
      </c>
    </row>
    <row r="212" spans="1:8" x14ac:dyDescent="0.2">
      <c r="A212" t="s">
        <v>138</v>
      </c>
      <c r="B212" s="2">
        <f>INDEX('vehicles specifications'!$B$3:$CW$166,MATCH(B198,'vehicles specifications'!$A$3:$A$166,0),MATCH("Oxydation energy stored [kWh]",'vehicles specifications'!$B$2:$CW$2,0))</f>
        <v>79.875</v>
      </c>
    </row>
    <row r="213" spans="1:8" x14ac:dyDescent="0.2">
      <c r="A213" t="s">
        <v>139</v>
      </c>
      <c r="B213">
        <f>INDEX('vehicles specifications'!$B$3:$CW$166,MATCH(B198,'vehicles specifications'!$A$3:$A$166,0),MATCH("Fuel mass [kg]",'vehicles specifications'!$B$2:$CW$2,0))</f>
        <v>6.75</v>
      </c>
    </row>
    <row r="214" spans="1:8" x14ac:dyDescent="0.2">
      <c r="A214" t="s">
        <v>136</v>
      </c>
      <c r="B214" s="2">
        <f>INDEX('vehicles specifications'!$B$3:$CW$166,MATCH(B198,'vehicles specifications'!$A$3:$A$166,0),MATCH("Range [km]",'vehicles specifications'!$B$2:$CW$2,0))</f>
        <v>285.72119385235459</v>
      </c>
    </row>
    <row r="215" spans="1:8" x14ac:dyDescent="0.2">
      <c r="A215" t="s">
        <v>137</v>
      </c>
      <c r="B215" t="str">
        <f>INDEX('vehicles specifications'!$B$3:$CW$166,MATCH(B198,'vehicles specifications'!$A$3:$A$166,0),MATCH("Emission standard",'vehicles specifications'!$B$2:$CW$2,0))</f>
        <v>EURO-5</v>
      </c>
    </row>
    <row r="216" spans="1:8" x14ac:dyDescent="0.2">
      <c r="A216" t="s">
        <v>1174</v>
      </c>
      <c r="B216" s="6">
        <f>INDEX('vehicles specifications'!$B$3:$CW$166,MATCH(B198,'vehicles specifications'!$A$3:$A$166,0),MATCH("Lightweighting rate [%]",'vehicles specifications'!$B$2:$CW$2,0))</f>
        <v>7.0000000000000007E-2</v>
      </c>
    </row>
    <row r="217" spans="1:8" x14ac:dyDescent="0.2">
      <c r="A217" t="s">
        <v>485</v>
      </c>
      <c r="B217" s="6" t="s">
        <v>486</v>
      </c>
    </row>
    <row r="218" spans="1:8" x14ac:dyDescent="0.2">
      <c r="A218" t="s">
        <v>487</v>
      </c>
      <c r="B218" s="2">
        <v>15900</v>
      </c>
    </row>
    <row r="219" spans="1:8" x14ac:dyDescent="0.2">
      <c r="A219" t="s">
        <v>488</v>
      </c>
      <c r="B219" s="2">
        <v>1000</v>
      </c>
    </row>
    <row r="220" spans="1:8" x14ac:dyDescent="0.2">
      <c r="A220" t="s">
        <v>83</v>
      </c>
      <c r="B220" t="str">
        <f>"Power: "&amp;B209&amp;" kW. Lifetime: "&amp;B203&amp;" km. Annual kilometers: "&amp;ROUND(B207,0)&amp;" km. Number of passengers: "&amp;ROUND(B204,1)&amp;". Curb mass: "&amp;ROUND(B208,1)&amp;" kg. Lightweighting of glider: "&amp;ROUND(B216*100,0)&amp;"%. Emission standard: "&amp;B215&amp;". Service visits throughout lifetime: "&amp;ROUND(B205,1)&amp;". Range: "&amp;ROUND(B214,0)&amp;" km. Fuel tank capacity: "&amp;ROUND(B212,1)&amp;" kWh. Fuel mass: "&amp;ROUND(B213,1)&amp;" kg. Origin of manufacture: "&amp;B217&amp;". Shipping distance: "&amp;B218&amp;" km. Lorry distribution distance: "&amp;B219&amp;" km. Documentation: "&amp;Readmefirst!$B$2&amp;", "&amp;Readmefirst!$B$3&amp;". "&amp;B202</f>
        <v>Power: 8.8 kW. Lifetime: 30000 km. Annual kilometers: 1870 km. Number of passengers: 1. Curb mass: 122.9 kg. Lightweighting of glider: 7%. Emission standard: EURO-5. Service visits throughout lifetime: 1.2.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21" spans="1:8" ht="16" x14ac:dyDescent="0.2">
      <c r="A221" s="10" t="s">
        <v>79</v>
      </c>
    </row>
    <row r="222" spans="1:8" x14ac:dyDescent="0.2">
      <c r="A222" t="s">
        <v>80</v>
      </c>
      <c r="B222" t="s">
        <v>81</v>
      </c>
      <c r="C222" t="s">
        <v>72</v>
      </c>
      <c r="D222" t="s">
        <v>76</v>
      </c>
      <c r="E222" t="s">
        <v>82</v>
      </c>
      <c r="F222" t="s">
        <v>74</v>
      </c>
      <c r="G222" t="s">
        <v>83</v>
      </c>
      <c r="H222" t="s">
        <v>73</v>
      </c>
    </row>
    <row r="223" spans="1:8" x14ac:dyDescent="0.2">
      <c r="A223" t="str">
        <f>B193</f>
        <v>Scooter, gasoline, 4-11kW, EURO-5, 2050</v>
      </c>
      <c r="B223">
        <v>1</v>
      </c>
      <c r="C223" t="str">
        <f>B194</f>
        <v>CH</v>
      </c>
      <c r="D223" t="str">
        <f>B201</f>
        <v>unit</v>
      </c>
      <c r="F223" t="s">
        <v>84</v>
      </c>
      <c r="G223" t="s">
        <v>85</v>
      </c>
      <c r="H223" t="str">
        <f>B195</f>
        <v>Scooter, gasoline, 4-11kW, EURO-5</v>
      </c>
    </row>
    <row r="224" spans="1:8" x14ac:dyDescent="0.2">
      <c r="A224" t="str">
        <f>INDEX('ei names mapping'!$B$4:$R$33,MATCH(B195,'ei names mapping'!$A$4:$A$33,0),MATCH(G224,'ei names mapping'!$B$3:$R$3,0))</f>
        <v>motor scooter production</v>
      </c>
      <c r="B224" s="11">
        <f>INDEX('vehicles specifications'!$B$3:$CW$166,MATCH(B198,'vehicles specifications'!$A$3:$A$166,0),MATCH(G224,'vehicles specifications'!$B$2:$CW$2,0))*INDEX('ei names mapping'!$B$137:$BL$300,MATCH(B198,'ei names mapping'!$A$137:$A$300,0),MATCH(G224,'ei names mapping'!$B$136:$BL$136,0))</f>
        <v>0.77777777777777779</v>
      </c>
      <c r="C224" t="str">
        <f>INDEX('ei names mapping'!$B$38:$R$67,MATCH(B195,'ei names mapping'!$A$4:$A$33,0),MATCH(G224,'ei names mapping'!$B$3:$R$3,0))</f>
        <v>RER</v>
      </c>
      <c r="D224" t="str">
        <f>INDEX('ei names mapping'!$B$104:$R$133,MATCH($B$3,'ei names mapping'!$A$4:$A$33,0),MATCH(G224,'ei names mapping'!$B$3:$R$3,0))</f>
        <v>unit</v>
      </c>
      <c r="F224" t="s">
        <v>89</v>
      </c>
      <c r="G224" t="s">
        <v>15</v>
      </c>
      <c r="H224" t="str">
        <f>INDEX('ei names mapping'!$B$71:$R$100,MATCH(B195,'ei names mapping'!$A$4:$A$33,0),MATCH(G224,'ei names mapping'!$B$3:$R$3,0))</f>
        <v>motor scooter, 50 cubic cm engine</v>
      </c>
    </row>
    <row r="225" spans="1:8" x14ac:dyDescent="0.2">
      <c r="A225" t="str">
        <f>INDEX('ei names mapping'!$B$4:$R$33,MATCH(B195,'ei names mapping'!$A$4:$A$33,0),MATCH(G225,'ei names mapping'!$B$3:$R$3,0))</f>
        <v>motor scooter production</v>
      </c>
      <c r="B225" s="11">
        <f>INDEX('vehicles specifications'!$B$3:$CW$166,MATCH(B198,'vehicles specifications'!$A$3:$A$166,0),MATCH(G225,'vehicles specifications'!$B$2:$CW$2,0))*INDEX('ei names mapping'!$B$137:$BL$300,MATCH(B198,'ei names mapping'!$A$137:$A$300,0),MATCH(G225,'ei names mapping'!$B$136:$BL$136,0))</f>
        <v>0.55555555555555558</v>
      </c>
      <c r="C225" t="str">
        <f>INDEX('ei names mapping'!$B$38:$R$67,MATCH(B195,'ei names mapping'!$A$4:$A$33,0),MATCH(G225,'ei names mapping'!$B$3:$R$3,0))</f>
        <v>RER</v>
      </c>
      <c r="D225" t="str">
        <f>INDEX('ei names mapping'!$B$104:$R$133,MATCH($B$3,'ei names mapping'!$A$4:$A$33,0),MATCH(G225,'ei names mapping'!$B$3:$R$3,0))</f>
        <v>unit</v>
      </c>
      <c r="F225" t="s">
        <v>89</v>
      </c>
      <c r="G225" t="s">
        <v>16</v>
      </c>
      <c r="H225" t="str">
        <f>INDEX('ei names mapping'!$B$71:$R$100,MATCH(B195,'ei names mapping'!$A$4:$A$33,0),MATCH(G225,'ei names mapping'!$B$3:$R$3,0))</f>
        <v>motor scooter, 50 cubic cm engine</v>
      </c>
    </row>
    <row r="226" spans="1:8" x14ac:dyDescent="0.2">
      <c r="A226" t="str">
        <f>INDEX('ei names mapping'!$B$4:$R$33,MATCH(B195,'ei names mapping'!$A$4:$A$33,0),MATCH(G226,'ei names mapping'!$B$3:$R$3,0))</f>
        <v>Glider lightweighting</v>
      </c>
      <c r="B226" s="11">
        <f>INDEX('vehicles specifications'!$B$3:$CW$166,MATCH(B198,'vehicles specifications'!$A$3:$A$166,0),MATCH(G226,'vehicles specifications'!$B$2:$CW$2,0))*INDEX('ei names mapping'!$B$137:$BL$300,MATCH(B198,'ei names mapping'!$A$137:$A$300,0),MATCH(G226,'ei names mapping'!$B$136:$BL$136,0))</f>
        <v>4.9000000000000004</v>
      </c>
      <c r="C226" t="str">
        <f>INDEX('ei names mapping'!$B$38:$R$67,MATCH(B195,'ei names mapping'!$A$4:$A$33,0),MATCH(G226,'ei names mapping'!$B$3:$R$3,0))</f>
        <v>GLO</v>
      </c>
      <c r="D226" t="str">
        <f>INDEX('ei names mapping'!$B$104:$R$133,MATCH(B195,'ei names mapping'!$A$4:$A$33,0),MATCH(G226,'ei names mapping'!$B$3:$R$3,0))</f>
        <v>kilogram</v>
      </c>
      <c r="F226" t="s">
        <v>89</v>
      </c>
      <c r="G226" t="s">
        <v>14</v>
      </c>
      <c r="H226" t="str">
        <f>INDEX('ei names mapping'!$B$71:$R$100,MATCH(B195,'ei names mapping'!$A$4:$A$33,0),MATCH(G226,'ei names mapping'!$B$3:$R$3,0))</f>
        <v>Glider lightweighting</v>
      </c>
    </row>
    <row r="227" spans="1:8" x14ac:dyDescent="0.2">
      <c r="A227" t="str">
        <f>INDEX('ei names mapping'!$B$4:$R$33,MATCH(B195,'ei names mapping'!$A$4:$A$33,0),MATCH(G227,'ei names mapping'!$B$3:$R$3,0))</f>
        <v>polyethylene production, high density, granulate</v>
      </c>
      <c r="B227" s="11">
        <f>INDEX('vehicles specifications'!$B$3:$CW$166,MATCH(B198,'vehicles specifications'!$A$3:$A$166,0),MATCH(G227,'vehicles specifications'!$B$2:$CW$2,0))*INDEX('ei names mapping'!$B$137:$BL$300,MATCH(B198,'ei names mapping'!$A$137:$A$300,0),MATCH(G227,'ei names mapping'!$B$136:$BL$136,0))</f>
        <v>1.0125</v>
      </c>
      <c r="C227" t="str">
        <f>INDEX('ei names mapping'!$B$38:$R$67,MATCH(B195,'ei names mapping'!$A$4:$A$33,0),MATCH(G227,'ei names mapping'!$B$3:$R$3,0))</f>
        <v>RER</v>
      </c>
      <c r="D227" t="str">
        <f>INDEX('ei names mapping'!$B$104:$R$133,MATCH($B$3,'ei names mapping'!$A$4:$A$33,0),MATCH(G227,'ei names mapping'!$B$3:$R$3,0))</f>
        <v>kilogram</v>
      </c>
      <c r="F227" t="s">
        <v>89</v>
      </c>
      <c r="G227" t="s">
        <v>24</v>
      </c>
      <c r="H227" t="str">
        <f>INDEX('ei names mapping'!$B$71:$R$100,MATCH(B195,'ei names mapping'!$A$4:$A$33,0),MATCH(G227,'ei names mapping'!$B$3:$R$3,0))</f>
        <v>polyethylene, high density, granulate</v>
      </c>
    </row>
    <row r="228" spans="1:8" x14ac:dyDescent="0.2">
      <c r="A228" t="s">
        <v>282</v>
      </c>
      <c r="B228" s="11">
        <f>B227/0.994</f>
        <v>1.0186116700201207</v>
      </c>
      <c r="C228" t="s">
        <v>92</v>
      </c>
      <c r="D228" t="s">
        <v>77</v>
      </c>
      <c r="F228" t="s">
        <v>89</v>
      </c>
      <c r="G228" t="s">
        <v>647</v>
      </c>
      <c r="H228" t="s">
        <v>282</v>
      </c>
    </row>
    <row r="229" spans="1:8" x14ac:dyDescent="0.2">
      <c r="A229" s="13" t="s">
        <v>840</v>
      </c>
      <c r="B229">
        <f>(B208/1000)*B219</f>
        <v>122.8625</v>
      </c>
      <c r="C229" t="s">
        <v>92</v>
      </c>
      <c r="D229" t="s">
        <v>233</v>
      </c>
      <c r="F229" t="s">
        <v>89</v>
      </c>
      <c r="H229" s="13" t="s">
        <v>841</v>
      </c>
    </row>
    <row r="230" spans="1:8" x14ac:dyDescent="0.2">
      <c r="A230" s="13" t="s">
        <v>441</v>
      </c>
      <c r="B230" s="2">
        <f>(B208/1000)*B218</f>
        <v>1953.5137500000001</v>
      </c>
      <c r="C230" t="s">
        <v>95</v>
      </c>
      <c r="D230" t="s">
        <v>233</v>
      </c>
      <c r="F230" t="s">
        <v>89</v>
      </c>
      <c r="H230" s="13" t="s">
        <v>441</v>
      </c>
    </row>
    <row r="232" spans="1:8" ht="16" x14ac:dyDescent="0.2">
      <c r="A232" s="10" t="s">
        <v>71</v>
      </c>
      <c r="B232" s="8" t="str">
        <f>"transport, "&amp;B234&amp;", "&amp;B236</f>
        <v>transport, Scooter, gasoline, 4-11kW, EURO-3, 2006</v>
      </c>
    </row>
    <row r="233" spans="1:8" x14ac:dyDescent="0.2">
      <c r="A233" t="s">
        <v>72</v>
      </c>
      <c r="B233" t="s">
        <v>37</v>
      </c>
    </row>
    <row r="234" spans="1:8" x14ac:dyDescent="0.2">
      <c r="A234" t="s">
        <v>86</v>
      </c>
      <c r="B234" t="s">
        <v>570</v>
      </c>
    </row>
    <row r="235" spans="1:8" x14ac:dyDescent="0.2">
      <c r="A235" t="s">
        <v>87</v>
      </c>
    </row>
    <row r="236" spans="1:8" x14ac:dyDescent="0.2">
      <c r="A236" t="s">
        <v>88</v>
      </c>
      <c r="B236">
        <v>2006</v>
      </c>
    </row>
    <row r="237" spans="1:8" x14ac:dyDescent="0.2">
      <c r="A237" t="s">
        <v>126</v>
      </c>
      <c r="B237" t="str">
        <f>B234&amp;" - "&amp;B236&amp;" - "&amp;B233</f>
        <v>Scooter, gasoline, 4-11kW, EURO-3 - 2006 - CH</v>
      </c>
    </row>
    <row r="238" spans="1:8" x14ac:dyDescent="0.2">
      <c r="A238" t="s">
        <v>73</v>
      </c>
      <c r="B238" t="str">
        <f>"transport, "&amp;B234</f>
        <v>transport, Scooter, gasoline, 4-11kW, EURO-3</v>
      </c>
    </row>
    <row r="239" spans="1:8" x14ac:dyDescent="0.2">
      <c r="A239" t="s">
        <v>74</v>
      </c>
      <c r="B239" t="s">
        <v>75</v>
      </c>
    </row>
    <row r="240" spans="1:8" x14ac:dyDescent="0.2">
      <c r="A240" t="s">
        <v>76</v>
      </c>
      <c r="B240" t="s">
        <v>166</v>
      </c>
    </row>
    <row r="241" spans="1:2" x14ac:dyDescent="0.2">
      <c r="A241" t="s">
        <v>78</v>
      </c>
      <c r="B241" t="s">
        <v>1143</v>
      </c>
    </row>
    <row r="242" spans="1:2" x14ac:dyDescent="0.2">
      <c r="A242" t="s">
        <v>127</v>
      </c>
      <c r="B242">
        <f>INDEX('vehicles specifications'!$B$3:$CW$166,MATCH(B237,'vehicles specifications'!$A$3:$A$166,0),MATCH("Lifetime [km]",'vehicles specifications'!$B$2:$CW$2,0))</f>
        <v>30000</v>
      </c>
    </row>
    <row r="243" spans="1:2" x14ac:dyDescent="0.2">
      <c r="A243" t="s">
        <v>128</v>
      </c>
      <c r="B243">
        <f>INDEX('vehicles specifications'!$B$3:$CW$166,MATCH(B237,'vehicles specifications'!$A$3:$A$166,0),MATCH("Passengers [unit]",'vehicles specifications'!$B$2:$CW$2,0))</f>
        <v>1</v>
      </c>
    </row>
    <row r="244" spans="1:2" x14ac:dyDescent="0.2">
      <c r="A244" t="s">
        <v>129</v>
      </c>
      <c r="B244">
        <f>INDEX('vehicles specifications'!$B$3:$CW$166,MATCH(B237,'vehicles specifications'!$A$3:$A$166,0),MATCH("Servicing [unit]",'vehicles specifications'!$B$2:$CW$2,0))</f>
        <v>1.2</v>
      </c>
    </row>
    <row r="245" spans="1:2" x14ac:dyDescent="0.2">
      <c r="A245" t="s">
        <v>130</v>
      </c>
      <c r="B245">
        <f>INDEX('vehicles specifications'!$B$3:$CW$166,MATCH(B237,'vehicles specifications'!$A$3:$A$166,0),MATCH("Energy battery replacement [unit]",'vehicles specifications'!$B$2:$CW$2,0))</f>
        <v>0</v>
      </c>
    </row>
    <row r="246" spans="1:2" x14ac:dyDescent="0.2">
      <c r="A246" t="s">
        <v>131</v>
      </c>
      <c r="B246">
        <f>INDEX('vehicles specifications'!$B$3:$CW$166,MATCH(B237,'vehicles specifications'!$A$3:$A$166,0),MATCH("Annual kilometers [km]",'vehicles specifications'!$B$2:$CW$2,0))</f>
        <v>1870</v>
      </c>
    </row>
    <row r="247" spans="1:2" x14ac:dyDescent="0.2">
      <c r="A247" t="s">
        <v>132</v>
      </c>
      <c r="B247" s="2">
        <f>INDEX('vehicles specifications'!$B$3:$CW$166,MATCH(B237,'vehicles specifications'!$A$3:$A$166,0),MATCH("Curb mass [kg]",'vehicles specifications'!$B$2:$CW$2,0))</f>
        <v>133.26249999999999</v>
      </c>
    </row>
    <row r="248" spans="1:2" x14ac:dyDescent="0.2">
      <c r="A248" t="s">
        <v>133</v>
      </c>
      <c r="B248">
        <f>INDEX('vehicles specifications'!$B$3:$CW$166,MATCH(B237,'vehicles specifications'!$A$3:$A$166,0),MATCH("Power [kW]",'vehicles specifications'!$B$2:$CW$2,0))</f>
        <v>8.8000000000000007</v>
      </c>
    </row>
    <row r="249" spans="1:2" x14ac:dyDescent="0.2">
      <c r="A249" t="s">
        <v>134</v>
      </c>
      <c r="B249" t="str">
        <f>INDEX('vehicles specifications'!$B$3:$CW$166,MATCH(B237,'vehicles specifications'!$A$3:$A$166,0),MATCH("Energy battery mass [kg]",'vehicles specifications'!$B$2:$CW$2,0))</f>
        <v/>
      </c>
    </row>
    <row r="250" spans="1:2" x14ac:dyDescent="0.2">
      <c r="A250" t="s">
        <v>135</v>
      </c>
      <c r="B250">
        <f>INDEX('vehicles specifications'!$B$3:$CW$166,MATCH(B237,'vehicles specifications'!$A$3:$A$166,0),MATCH("Electric energy available [kWh]",'vehicles specifications'!$B$2:$CW$2,0))</f>
        <v>0</v>
      </c>
    </row>
    <row r="251" spans="1:2" x14ac:dyDescent="0.2">
      <c r="A251" t="s">
        <v>138</v>
      </c>
      <c r="B251" s="2">
        <f>INDEX('vehicles specifications'!$B$3:$CW$166,MATCH(B237,'vehicles specifications'!$A$3:$A$166,0),MATCH("Oxydation energy stored [kWh]",'vehicles specifications'!$B$2:$CW$2,0))</f>
        <v>79.875</v>
      </c>
    </row>
    <row r="252" spans="1:2" x14ac:dyDescent="0.2">
      <c r="A252" t="s">
        <v>139</v>
      </c>
      <c r="B252">
        <f>INDEX('vehicles specifications'!$B$3:$CW$166,MATCH(B237,'vehicles specifications'!$A$3:$A$166,0),MATCH("Fuel mass [kg]",'vehicles specifications'!$B$2:$CW$2,0))</f>
        <v>6.75</v>
      </c>
    </row>
    <row r="253" spans="1:2" x14ac:dyDescent="0.2">
      <c r="A253" t="s">
        <v>136</v>
      </c>
      <c r="B253" s="2">
        <f>INDEX('vehicles specifications'!$B$3:$CW$166,MATCH(B237,'vehicles specifications'!$A$3:$A$166,0),MATCH("Range [km]",'vehicles specifications'!$B$2:$CW$2,0))</f>
        <v>271.7451869178301</v>
      </c>
    </row>
    <row r="254" spans="1:2" x14ac:dyDescent="0.2">
      <c r="A254" t="s">
        <v>137</v>
      </c>
      <c r="B254" t="str">
        <f>INDEX('vehicles specifications'!$B$3:$CW$166,MATCH(B237,'vehicles specifications'!$A$3:$A$166,0),MATCH("Emission standard",'vehicles specifications'!$B$2:$CW$2,0))</f>
        <v>EURO-5</v>
      </c>
    </row>
    <row r="255" spans="1:2" x14ac:dyDescent="0.2">
      <c r="A255" t="s">
        <v>1174</v>
      </c>
      <c r="B255" s="6">
        <f>INDEX('vehicles specifications'!$B$3:$CW$166,MATCH(B237,'vehicles specifications'!$A$3:$A$166,0),MATCH("Lightweighting rate [%]",'vehicles specifications'!$B$2:$CW$2,0))</f>
        <v>-0.05</v>
      </c>
    </row>
    <row r="256" spans="1:2" x14ac:dyDescent="0.2">
      <c r="A256" t="s">
        <v>83</v>
      </c>
      <c r="B256" t="str">
        <f>"Power: "&amp;B248&amp;" kW. Lifetime: "&amp;B242&amp;" km. Annual kilometers: "&amp;B246&amp;" km. Number of passengers: "&amp;B243&amp;". Curb mass: "&amp;ROUND(B247,1)&amp;" kg. Lightweighting of glider: "&amp;ROUND(B255*100,0)&amp;"%. Emission standard: "&amp;B254&amp;". Service visits throughout lifetime: "&amp;ROUND(B244,1)&amp;". Range: "&amp;ROUND(B253,0)&amp;" km. Fuel tank capacity: "&amp;ROUND(B251,1)&amp;" kWh. Fuel mass: "&amp;ROUND(B252,1)&amp;" kg. Documentation: "&amp;Readmefirst!$B$2&amp;", "&amp;Readmefirst!$B$3&amp;". "&amp;B241</f>
        <v>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v>
      </c>
    </row>
    <row r="257" spans="1:8" ht="16" x14ac:dyDescent="0.2">
      <c r="A257" s="10" t="s">
        <v>79</v>
      </c>
    </row>
    <row r="258" spans="1:8" x14ac:dyDescent="0.2">
      <c r="A258" t="s">
        <v>80</v>
      </c>
      <c r="B258" t="s">
        <v>81</v>
      </c>
      <c r="C258" t="s">
        <v>72</v>
      </c>
      <c r="D258" t="s">
        <v>76</v>
      </c>
      <c r="E258" t="s">
        <v>82</v>
      </c>
      <c r="F258" t="s">
        <v>74</v>
      </c>
      <c r="G258" t="s">
        <v>83</v>
      </c>
      <c r="H258" t="s">
        <v>73</v>
      </c>
    </row>
    <row r="259" spans="1:8" x14ac:dyDescent="0.2">
      <c r="A259" t="str">
        <f>B232</f>
        <v>transport, Scooter, gasoline, 4-11kW, EURO-3, 2006</v>
      </c>
      <c r="B259">
        <v>1</v>
      </c>
      <c r="C259" t="str">
        <f>B233</f>
        <v>CH</v>
      </c>
      <c r="D259" t="s">
        <v>166</v>
      </c>
      <c r="F259" t="s">
        <v>84</v>
      </c>
      <c r="G259" t="s">
        <v>85</v>
      </c>
      <c r="H259" t="str">
        <f>B238</f>
        <v>transport, Scooter, gasoline, 4-11kW, EURO-3</v>
      </c>
    </row>
    <row r="260" spans="1:8" x14ac:dyDescent="0.2">
      <c r="A260" t="str">
        <f>RIGHT(A259,LEN(A259)-11)</f>
        <v>Scooter, gasoline, 4-11kW, EURO-3, 2006</v>
      </c>
      <c r="B260" s="7">
        <f>1/B242</f>
        <v>3.3333333333333335E-5</v>
      </c>
      <c r="C260" t="str">
        <f>B233</f>
        <v>CH</v>
      </c>
      <c r="D260" t="s">
        <v>76</v>
      </c>
      <c r="F260" t="s">
        <v>89</v>
      </c>
      <c r="H260" t="str">
        <f>RIGHT(H259,LEN(H259)-11)</f>
        <v>Scooter, gasoline, 4-11kW, EURO-3</v>
      </c>
    </row>
    <row r="261" spans="1:8" x14ac:dyDescent="0.2">
      <c r="A261" t="str">
        <f>INDEX('ei names mapping'!$B$4:$R$33,MATCH(B234,'ei names mapping'!$A$4:$A$33,0),MATCH(G261,'ei names mapping'!$B$3:$R$3,0))</f>
        <v>road construction</v>
      </c>
      <c r="B261" s="7">
        <f>INDEX('vehicles specifications'!$B$3:$CW$166,MATCH(B237,'vehicles specifications'!$A$3:$A$166,0),MATCH(G261,'vehicles specifications'!$B$2:$CW$2,0))*INDEX('ei names mapping'!$B$137:$BL$300,MATCH(B237,'ei names mapping'!$A$137:$A$300,0),MATCH(G261,'ei names mapping'!$B$136:$BL$136,0))</f>
        <v>1.139849625E-4</v>
      </c>
      <c r="C261" t="str">
        <f>INDEX('ei names mapping'!$B$38:$R$67,MATCH(B234,'ei names mapping'!$A$4:$A$33,0),MATCH(G261,'ei names mapping'!$B$3:$R$3,0))</f>
        <v>CH</v>
      </c>
      <c r="D261" t="str">
        <f>INDEX('ei names mapping'!$B$104:$BL$133,MATCH(B234,'ei names mapping'!$A$4:$A$33,0),MATCH(G261,'ei names mapping'!$B$3:$BL$3,0))</f>
        <v>meter-year</v>
      </c>
      <c r="F261" t="s">
        <v>89</v>
      </c>
      <c r="G261" t="s">
        <v>105</v>
      </c>
      <c r="H261" t="str">
        <f>INDEX('ei names mapping'!$B$71:$BL$100,MATCH(B234,'ei names mapping'!$A$4:$A$33,0),MATCH(G261,'ei names mapping'!$B$3:$BL$3,0))</f>
        <v>road</v>
      </c>
    </row>
    <row r="262" spans="1:8" x14ac:dyDescent="0.2">
      <c r="A262" t="str">
        <f>INDEX('ei names mapping'!$B$4:$R$33,MATCH(B234,'ei names mapping'!$A$4:$A$33,0),MATCH(G262,'ei names mapping'!$B$3:$R$3,0))</f>
        <v>road maintenance</v>
      </c>
      <c r="B262" s="7">
        <f>INDEX('vehicles specifications'!$B$3:$CW$166,MATCH(B237,'vehicles specifications'!$A$3:$A$166,0),MATCH(G262,'vehicles specifications'!$B$2:$CW$2,0))*INDEX('ei names mapping'!$B$137:$BL$300,MATCH(B237,'ei names mapping'!$A$137:$A$300,0),MATCH(G262,'ei names mapping'!$B$136:$BL$136,0))</f>
        <v>1.2899999999999999E-3</v>
      </c>
      <c r="C262" t="str">
        <f>INDEX('ei names mapping'!$B$38:$R$67,MATCH(B234,'ei names mapping'!$A$4:$A$33,0),MATCH(G262,'ei names mapping'!$B$3:$R$3,0))</f>
        <v>CH</v>
      </c>
      <c r="D262" t="str">
        <f>INDEX('ei names mapping'!$B$104:$BL$133,MATCH(B234,'ei names mapping'!$A$4:$A$33,0),MATCH(G262,'ei names mapping'!$B$3:$BL$3,0))</f>
        <v>meter-year</v>
      </c>
      <c r="F262" t="s">
        <v>89</v>
      </c>
      <c r="G262" t="s">
        <v>112</v>
      </c>
      <c r="H262" t="str">
        <f>INDEX('ei names mapping'!$B$71:$BL$100,MATCH(B234,'ei names mapping'!$A$4:$A$33,0),MATCH(G262,'ei names mapping'!$B$3:$BL$3,0))</f>
        <v>road maintenance</v>
      </c>
    </row>
    <row r="263" spans="1:8" x14ac:dyDescent="0.2">
      <c r="A263" t="str">
        <f>INDEX('ei names mapping'!$B$4:$R$33,MATCH(B234,'ei names mapping'!$A$4:$A$33,0),MATCH(G263,'ei names mapping'!$B$3:$R$3,0))</f>
        <v>maintenance, motor scooter</v>
      </c>
      <c r="B263" s="7">
        <f>INDEX('vehicles specifications'!$B$3:$CW$166,MATCH(B237,'vehicles specifications'!$A$3:$A$166,0),MATCH(G263,'vehicles specifications'!$B$2:$CW$2,0))*INDEX('ei names mapping'!$B$137:$BL$300,MATCH(B237,'ei names mapping'!$A$137:$A$300,0),MATCH(G263,'ei names mapping'!$B$136:$BL$136,0))</f>
        <v>4.0000000000000003E-5</v>
      </c>
      <c r="C263" t="str">
        <f>INDEX('ei names mapping'!$B$38:$BL$67,MATCH(B234,'ei names mapping'!$A$4:$A$33,0),MATCH(G263,'ei names mapping'!$B$3:$BL$3,0))</f>
        <v>CH</v>
      </c>
      <c r="D263" t="str">
        <f>INDEX('ei names mapping'!$B$104:$BL$133,MATCH(B234,'ei names mapping'!$A$4:$A$33,0),MATCH(G263,'ei names mapping'!$B$3:$BL$3,0))</f>
        <v>unit</v>
      </c>
      <c r="F263" t="s">
        <v>89</v>
      </c>
      <c r="G263" t="s">
        <v>118</v>
      </c>
      <c r="H263" t="str">
        <f>INDEX('ei names mapping'!$B$71:$BL$100,MATCH(B234,'ei names mapping'!$A$4:$A$33,0),MATCH(G263,'ei names mapping'!$B$3:$BL$3,0))</f>
        <v>maintenance, motor scooter</v>
      </c>
    </row>
    <row r="264" spans="1:8" x14ac:dyDescent="0.2">
      <c r="A264" t="str">
        <f>INDEX('ei names mapping'!$B$4:$R$33,MATCH(B234,'ei names mapping'!$A$4:$A$33,0),MATCH(G264,'ei names mapping'!$B$3:$R$3,0))</f>
        <v>fuel supply for gasoline vehicles</v>
      </c>
      <c r="B264" s="7">
        <f>INDEX('vehicles specifications'!$B$3:$CW$166,MATCH(B237,'vehicles specifications'!$A$3:$A$166,0),MATCH(G264,'vehicles specifications'!$B$2:$CW$2,0))*INDEX('ei names mapping'!$B$137:$BL$300,MATCH(B237,'ei names mapping'!$A$137:$A$300,0),MATCH(G264,'ei names mapping'!$B$136:$BL$136,0))</f>
        <v>2.4839446381955812E-2</v>
      </c>
      <c r="C264" t="str">
        <f>INDEX('ei names mapping'!$B$38:$BL$67,MATCH(B234,'ei names mapping'!$A$4:$A$33,0),MATCH(G264,'ei names mapping'!$B$3:$BL$3,0))</f>
        <v>CH</v>
      </c>
      <c r="D264" t="str">
        <f>INDEX('ei names mapping'!$B$104:$BL$133,MATCH(B234,'ei names mapping'!$A$4:$A$33,0),MATCH(G264,'ei names mapping'!$B$3:$BL$3,0))</f>
        <v>kilogram</v>
      </c>
      <c r="F264" t="s">
        <v>89</v>
      </c>
      <c r="G264" t="s">
        <v>27</v>
      </c>
      <c r="H264" t="str">
        <f>INDEX('ei names mapping'!$B$71:$BL$100,MATCH(B234,'ei names mapping'!$A$4:$A$33,0),MATCH(G264,'ei names mapping'!$B$3:$BL$3,0))</f>
        <v>gasoline blend</v>
      </c>
    </row>
    <row r="265" spans="1:8" x14ac:dyDescent="0.2">
      <c r="A265" t="str">
        <f>INDEX('ei names mapping'!$B$4:$BL$33,MATCH(B234,'ei names mapping'!$A$4:$A$33,0),MATCH(G265,'ei names mapping'!$B$3:$BL$3,0))</f>
        <v>Carbon dioxide, fossil</v>
      </c>
      <c r="B265" s="11">
        <f>INDEX('vehicles specifications'!$B$3:$CW$166,MATCH(B237,'vehicles specifications'!$A$3:$A$166,0),MATCH(G265,'vehicles specifications'!$B$2:$CW$2,0))*INDEX('ei names mapping'!$B$137:$BL$300,MATCH(B237,'ei names mapping'!$A$137:$A$300,0),MATCH(G265,'ei names mapping'!$B$136:$BL$136,0))</f>
        <v>7.7059911299669145E-2</v>
      </c>
      <c r="D265" t="str">
        <f>INDEX('ei names mapping'!$B$104:$BL$133,MATCH(B234,'ei names mapping'!$A$4:$A$33,0),MATCH(G265,'ei names mapping'!$B$3:$BL$3,0))</f>
        <v>kilogram</v>
      </c>
      <c r="E265" t="str">
        <f>INDEX('ei names mapping'!$B$305:$BL$335,MATCH(B234,'ei names mapping'!$A$4:$A$33,0),MATCH(G265,'ei names mapping'!$B$3:$BL$3,0))</f>
        <v>air::urban air close to ground</v>
      </c>
      <c r="F265" t="s">
        <v>167</v>
      </c>
      <c r="G265" t="s">
        <v>66</v>
      </c>
    </row>
    <row r="266" spans="1:8" x14ac:dyDescent="0.2">
      <c r="A266" t="str">
        <f>INDEX('ei names mapping'!$B$4:$BL$33,MATCH(B234,'ei names mapping'!$A$4:$A$33,0),MATCH(G266,'ei names mapping'!$B$3:$BL$3,0))</f>
        <v>Carbon dioxide, from soil or biomass stock</v>
      </c>
      <c r="B266" s="11">
        <f>INDEX('vehicles specifications'!$B$3:$CW$166,MATCH(B237,'vehicles specifications'!$A$3:$A$166,0),MATCH(G266,'vehicles specifications'!$B$2:$CW$2,0))*INDEX('ei names mapping'!$B$137:$BL$300,MATCH(B237,'ei names mapping'!$A$137:$A$300,0),MATCH(G266,'ei names mapping'!$B$136:$BL$136,0))</f>
        <v>9.3595033967209498E-4</v>
      </c>
      <c r="D266" t="str">
        <f>INDEX('ei names mapping'!$B$104:$BL$133,MATCH(B234,'ei names mapping'!$A$4:$A$33,0),MATCH(G266,'ei names mapping'!$B$3:$BL$3,0))</f>
        <v>kilogram</v>
      </c>
      <c r="E266" t="str">
        <f>INDEX('ei names mapping'!$B$305:$BL$335,MATCH(B234,'ei names mapping'!$A$4:$A$33,0),MATCH(G266,'ei names mapping'!$B$3:$BL$3,0))</f>
        <v>air::urban air close to ground</v>
      </c>
      <c r="F266" t="s">
        <v>167</v>
      </c>
      <c r="G266" t="s">
        <v>843</v>
      </c>
    </row>
    <row r="267" spans="1:8" x14ac:dyDescent="0.2">
      <c r="A267" t="str">
        <f>INDEX('ei names mapping'!$B$4:$BL$33,MATCH(B234,'ei names mapping'!$A$4:$A$33,0),MATCH(G267,'ei names mapping'!$B$3:$BL$3,0))</f>
        <v>Sulfur dioxide</v>
      </c>
      <c r="B267" s="7">
        <f>INDEX('vehicles specifications'!$B$3:$CW$166,MATCH(B237,'vehicles specifications'!$A$3:$A$166,0),MATCH(G267,'vehicles specifications'!$B$2:$CW$2,0))*INDEX('ei names mapping'!$B$137:$BL$300,MATCH(B237,'ei names mapping'!$A$137:$A$300,0),MATCH(G267,'ei names mapping'!$B$136:$BL$136,0))</f>
        <v>3.9743114211129298E-7</v>
      </c>
      <c r="D267" t="str">
        <f>INDEX('ei names mapping'!$B$104:$BL$133,MATCH(B234,'ei names mapping'!$A$4:$A$33,0),MATCH(G267,'ei names mapping'!$B$3:$BL$3,0))</f>
        <v>kilogram</v>
      </c>
      <c r="E267" t="str">
        <f>INDEX('ei names mapping'!$B$305:$BL$335,MATCH(B234,'ei names mapping'!$A$4:$A$33,0),MATCH(G267,'ei names mapping'!$B$3:$BL$3,0))</f>
        <v>air::urban air close to ground</v>
      </c>
      <c r="F267" t="s">
        <v>167</v>
      </c>
      <c r="G267" t="s">
        <v>67</v>
      </c>
    </row>
    <row r="268" spans="1:8" x14ac:dyDescent="0.2">
      <c r="A268" t="str">
        <f>INDEX('ei names mapping'!$B$4:$BL$33,MATCH(B234,'ei names mapping'!$A$4:$A$33,0),MATCH(G268,'ei names mapping'!$B$3:$BL$3,0))</f>
        <v>Benzene</v>
      </c>
      <c r="B268" s="7">
        <f>INDEX('vehicles specifications'!$B$3:$CW$166,MATCH(B237,'vehicles specifications'!$A$3:$A$166,0),MATCH(G268,'vehicles specifications'!$B$2:$CW$2,0))*INDEX('ei names mapping'!$B$137:$BL$300,MATCH(B237,'ei names mapping'!$A$137:$A$300,0),MATCH(G268,'ei names mapping'!$B$136:$BL$136,0))</f>
        <v>3.8182695142197475E-5</v>
      </c>
      <c r="D268" t="str">
        <f>INDEX('ei names mapping'!$B$104:$BL$133,MATCH(B234,'ei names mapping'!$A$4:$A$33,0),MATCH(G268,'ei names mapping'!$B$3:$BL$3,0))</f>
        <v>kilogram</v>
      </c>
      <c r="E268" t="str">
        <f>INDEX('ei names mapping'!$B$305:$BL$335,MATCH(B234,'ei names mapping'!$A$4:$A$33,0),MATCH(G268,'ei names mapping'!$B$3:$BL$3,0))</f>
        <v>air::urban air close to ground</v>
      </c>
      <c r="F268" t="s">
        <v>167</v>
      </c>
      <c r="G268" t="s">
        <v>55</v>
      </c>
    </row>
    <row r="269" spans="1:8" x14ac:dyDescent="0.2">
      <c r="A269" t="str">
        <f>INDEX('ei names mapping'!$B$4:$BL$33,MATCH(B234,'ei names mapping'!$A$4:$A$33,0),MATCH(G269,'ei names mapping'!$B$3:$BL$3,0))</f>
        <v>Methane, fossil</v>
      </c>
      <c r="B269" s="7">
        <f>INDEX('vehicles specifications'!$B$3:$CW$166,MATCH(B237,'vehicles specifications'!$A$3:$A$166,0),MATCH(G269,'vehicles specifications'!$B$2:$CW$2,0))*INDEX('ei names mapping'!$B$137:$BL$300,MATCH(B237,'ei names mapping'!$A$137:$A$300,0),MATCH(G269,'ei names mapping'!$B$136:$BL$136,0))</f>
        <v>2.9172963769054263E-5</v>
      </c>
      <c r="D269" t="str">
        <f>INDEX('ei names mapping'!$B$104:$BL$133,MATCH(B234,'ei names mapping'!$A$4:$A$33,0),MATCH(G269,'ei names mapping'!$B$3:$BL$3,0))</f>
        <v>kilogram</v>
      </c>
      <c r="E269" t="str">
        <f>INDEX('ei names mapping'!$B$305:$BL$335,MATCH(B234,'ei names mapping'!$A$4:$A$33,0),MATCH(G269,'ei names mapping'!$B$3:$BL$3,0))</f>
        <v>air::urban air close to ground</v>
      </c>
      <c r="F269" t="s">
        <v>167</v>
      </c>
      <c r="G269" t="s">
        <v>56</v>
      </c>
    </row>
    <row r="270" spans="1:8" x14ac:dyDescent="0.2">
      <c r="A270" t="str">
        <f>INDEX('ei names mapping'!$B$4:$BL$33,MATCH(B234,'ei names mapping'!$A$4:$A$33,0),MATCH(G270,'ei names mapping'!$B$3:$BL$3,0))</f>
        <v>Carbon monoxide, fossil</v>
      </c>
      <c r="B270" s="7">
        <f>INDEX('vehicles specifications'!$B$3:$CW$166,MATCH(B237,'vehicles specifications'!$A$3:$A$166,0),MATCH(G270,'vehicles specifications'!$B$2:$CW$2,0))*INDEX('ei names mapping'!$B$137:$BL$300,MATCH(B237,'ei names mapping'!$A$137:$A$300,0),MATCH(G270,'ei names mapping'!$B$136:$BL$136,0))</f>
        <v>3.4177691287266706E-3</v>
      </c>
      <c r="D270" t="str">
        <f>INDEX('ei names mapping'!$B$104:$BL$133,MATCH(B234,'ei names mapping'!$A$4:$A$33,0),MATCH(G270,'ei names mapping'!$B$3:$BL$3,0))</f>
        <v>kilogram</v>
      </c>
      <c r="E270" t="str">
        <f>INDEX('ei names mapping'!$B$305:$BL$335,MATCH(B234,'ei names mapping'!$A$4:$A$33,0),MATCH(G270,'ei names mapping'!$B$3:$BL$3,0))</f>
        <v>air::urban air close to ground</v>
      </c>
      <c r="F270" t="s">
        <v>167</v>
      </c>
      <c r="G270" t="s">
        <v>57</v>
      </c>
    </row>
    <row r="271" spans="1:8" x14ac:dyDescent="0.2">
      <c r="A271" t="str">
        <f>INDEX('ei names mapping'!$B$4:$BL$33,MATCH(B234,'ei names mapping'!$A$4:$A$33,0),MATCH(G271,'ei names mapping'!$B$3:$BL$3,0))</f>
        <v>Dinitrogen monoxide</v>
      </c>
      <c r="B271" s="7">
        <f>INDEX('vehicles specifications'!$B$3:$CW$166,MATCH(B237,'vehicles specifications'!$A$3:$A$166,0),MATCH(G271,'vehicles specifications'!$B$2:$CW$2,0))*INDEX('ei names mapping'!$B$137:$BL$300,MATCH(B237,'ei names mapping'!$A$137:$A$300,0),MATCH(G271,'ei names mapping'!$B$136:$BL$136,0))</f>
        <v>1.4801097802665792E-6</v>
      </c>
      <c r="D271" t="str">
        <f>INDEX('ei names mapping'!$B$104:$BL$133,MATCH(B234,'ei names mapping'!$A$4:$A$33,0),MATCH(G271,'ei names mapping'!$B$3:$BL$3,0))</f>
        <v>kilogram</v>
      </c>
      <c r="E271" t="str">
        <f>INDEX('ei names mapping'!$B$305:$BL$335,MATCH(B234,'ei names mapping'!$A$4:$A$33,0),MATCH(G271,'ei names mapping'!$B$3:$BL$3,0))</f>
        <v>air::urban air close to ground</v>
      </c>
      <c r="F271" t="s">
        <v>167</v>
      </c>
      <c r="G271" t="s">
        <v>58</v>
      </c>
    </row>
    <row r="272" spans="1:8" x14ac:dyDescent="0.2">
      <c r="A272" t="str">
        <f>INDEX('ei names mapping'!$B$4:$BL$33,MATCH(B234,'ei names mapping'!$A$4:$A$33,0),MATCH(G272,'ei names mapping'!$B$3:$BL$3,0))</f>
        <v>Ammonia</v>
      </c>
      <c r="B272" s="7">
        <f>INDEX('vehicles specifications'!$B$3:$CW$166,MATCH(B237,'vehicles specifications'!$A$3:$A$166,0),MATCH(G272,'vehicles specifications'!$B$2:$CW$2,0))*INDEX('ei names mapping'!$B$137:$BL$300,MATCH(B237,'ei names mapping'!$A$137:$A$300,0),MATCH(G272,'ei names mapping'!$B$136:$BL$136,0))</f>
        <v>1.4801097802665792E-6</v>
      </c>
      <c r="D272" t="str">
        <f>INDEX('ei names mapping'!$B$104:$BL$133,MATCH(B234,'ei names mapping'!$A$4:$A$33,0),MATCH(G272,'ei names mapping'!$B$3:$BL$3,0))</f>
        <v>kilogram</v>
      </c>
      <c r="E272" t="str">
        <f>INDEX('ei names mapping'!$B$305:$BL$335,MATCH(B234,'ei names mapping'!$A$4:$A$33,0),MATCH(G272,'ei names mapping'!$B$3:$BL$3,0))</f>
        <v>air::urban air close to ground</v>
      </c>
      <c r="F272" t="s">
        <v>167</v>
      </c>
      <c r="G272" t="s">
        <v>59</v>
      </c>
    </row>
    <row r="273" spans="1:7" x14ac:dyDescent="0.2">
      <c r="A273" t="str">
        <f>INDEX('ei names mapping'!$B$4:$BL$33,MATCH(B234,'ei names mapping'!$A$4:$A$33,0),MATCH(G273,'ei names mapping'!$B$3:$BL$3,0))</f>
        <v>Nitrogen oxides</v>
      </c>
      <c r="B273" s="7">
        <f>INDEX('vehicles specifications'!$B$3:$CW$166,MATCH(B237,'vehicles specifications'!$A$3:$A$166,0),MATCH(G273,'vehicles specifications'!$B$2:$CW$2,0))*INDEX('ei names mapping'!$B$137:$BL$300,MATCH(B237,'ei names mapping'!$A$137:$A$300,0),MATCH(G273,'ei names mapping'!$B$136:$BL$136,0))</f>
        <v>1.1099448161280961E-4</v>
      </c>
      <c r="D273" t="str">
        <f>INDEX('ei names mapping'!$B$104:$BL$133,MATCH(B234,'ei names mapping'!$A$4:$A$33,0),MATCH(G273,'ei names mapping'!$B$3:$BL$3,0))</f>
        <v>kilogram</v>
      </c>
      <c r="E273" t="str">
        <f>INDEX('ei names mapping'!$B$305:$BL$335,MATCH(B234,'ei names mapping'!$A$4:$A$33,0),MATCH(G273,'ei names mapping'!$B$3:$BL$3,0))</f>
        <v>air::urban air close to ground</v>
      </c>
      <c r="F273" t="s">
        <v>167</v>
      </c>
      <c r="G273" t="s">
        <v>60</v>
      </c>
    </row>
    <row r="274" spans="1:7" x14ac:dyDescent="0.2">
      <c r="A274" t="str">
        <f>INDEX('ei names mapping'!$B$4:$BL$33,MATCH(B234,'ei names mapping'!$A$4:$A$33,0),MATCH(G274,'ei names mapping'!$B$3:$BL$3,0))</f>
        <v>Particulates, &lt; 2.5 um</v>
      </c>
      <c r="B274" s="7">
        <f>INDEX('vehicles specifications'!$B$3:$CW$166,MATCH(B$237,'vehicles specifications'!$A$3:$A$166,0),MATCH(G274,'vehicles specifications'!$B$2:$CW$2,0))*INDEX('ei names mapping'!$B$137:$BL$300,MATCH(B$237,'ei names mapping'!$A$137:$A$300,0),MATCH(G274,'ei names mapping'!$B$136:$BL$136,0))</f>
        <v>3.3198862371379369E-6</v>
      </c>
      <c r="D274" t="str">
        <f>INDEX('ei names mapping'!$B$104:$BL$133,MATCH(B234,'ei names mapping'!$A$4:$A$33,0),MATCH(G274,'ei names mapping'!$B$3:$BL$3,0))</f>
        <v>kilogram</v>
      </c>
      <c r="E274" t="str">
        <f>INDEX('ei names mapping'!$B$305:$BL$335,MATCH(B234,'ei names mapping'!$A$4:$A$33,0),MATCH(G274,'ei names mapping'!$B$3:$BL$3,0))</f>
        <v>air::urban air close to ground</v>
      </c>
      <c r="F274" t="s">
        <v>167</v>
      </c>
      <c r="G274" t="s">
        <v>62</v>
      </c>
    </row>
    <row r="275" spans="1:7" x14ac:dyDescent="0.2">
      <c r="A275" t="str">
        <f>INDEX('ei names mapping'!$B$4:$BL$33,MATCH(B$234,'ei names mapping'!$A$4:$A$33,0),MATCH(G275,'ei names mapping'!$B$3:$BL$3,0))</f>
        <v>NMVOC, non-methane volatile organic compounds, unspecified origin</v>
      </c>
      <c r="B275" s="7">
        <f>INDEX('vehicles specifications'!$B$3:$CW$166,MATCH(B$237,'vehicles specifications'!$A$3:$A$166,0),MATCH(G275,'vehicles specifications'!$B$2:$CW$2,0))*INDEX('ei names mapping'!$B$137:$BL$300,MATCH(B$237,'ei names mapping'!$A$137:$A$300,0),MATCH(G275,'ei names mapping'!$B$136:$BL$136,0))</f>
        <v>3.0791178756381718E-4</v>
      </c>
      <c r="D275" t="str">
        <f>INDEX('ei names mapping'!$B$104:$BL$133,MATCH(B$234,'ei names mapping'!$A$4:$A$33,0),MATCH(G275,'ei names mapping'!$B$3:$BL$3,0))</f>
        <v>kilogram</v>
      </c>
      <c r="E275" t="str">
        <f>INDEX('ei names mapping'!$B$305:$BL$335,MATCH(B$234,'ei names mapping'!$A$4:$A$33,0),MATCH(G275,'ei names mapping'!$B$3:$BL$3,0))</f>
        <v>air::urban air close to ground</v>
      </c>
      <c r="F275" t="s">
        <v>167</v>
      </c>
      <c r="G275" t="s">
        <v>593</v>
      </c>
    </row>
    <row r="276" spans="1:7" x14ac:dyDescent="0.2">
      <c r="A276" t="str">
        <f>INDEX('ei names mapping'!$B$4:$BL$33,MATCH(B$234,'ei names mapping'!$A$4:$A$33,0),MATCH(G276,'ei names mapping'!$B$3:$BL$3,0))</f>
        <v>Ethane</v>
      </c>
      <c r="B276" s="7">
        <f>INDEX('vehicles specifications'!$B$3:$CW$166,MATCH(B$237,'vehicles specifications'!$A$3:$A$166,0),MATCH(G276,'vehicles specifications'!$B$2:$CW$2,0))*INDEX('ei names mapping'!$B$137:$BL$300,MATCH(B$237,'ei names mapping'!$A$137:$A$300,0),MATCH(G276,'ei names mapping'!$B$136:$BL$136,0))</f>
        <v>2.1711728610269153E-5</v>
      </c>
      <c r="D276" t="str">
        <f>INDEX('ei names mapping'!$B$104:$BL$133,MATCH(B$234,'ei names mapping'!$A$4:$A$33,0),MATCH(G276,'ei names mapping'!$B$3:$BL$3,0))</f>
        <v>kilogram</v>
      </c>
      <c r="E276" t="str">
        <f>INDEX('ei names mapping'!$B$305:$BL$335,MATCH(B$234,'ei names mapping'!$A$4:$A$33,0),MATCH(G276,'ei names mapping'!$B$3:$BL$3,0))</f>
        <v>air::urban air close to ground</v>
      </c>
      <c r="F276" t="s">
        <v>167</v>
      </c>
      <c r="G276" t="s">
        <v>541</v>
      </c>
    </row>
    <row r="277" spans="1:7" x14ac:dyDescent="0.2">
      <c r="A277" t="str">
        <f>INDEX('ei names mapping'!$B$4:$BL$33,MATCH(B$234,'ei names mapping'!$A$4:$A$33,0),MATCH(G277,'ei names mapping'!$B$3:$BL$3,0))</f>
        <v>Propane</v>
      </c>
      <c r="B277" s="7">
        <f>INDEX('vehicles specifications'!$B$3:$CW$166,MATCH(B$237,'vehicles specifications'!$A$3:$A$166,0),MATCH(G277,'vehicles specifications'!$B$2:$CW$2,0))*INDEX('ei names mapping'!$B$137:$BL$300,MATCH(B$237,'ei names mapping'!$A$137:$A$300,0),MATCH(G277,'ei names mapping'!$B$136:$BL$136,0))</f>
        <v>4.4240199362617406E-6</v>
      </c>
      <c r="D277" t="str">
        <f>INDEX('ei names mapping'!$B$104:$BL$133,MATCH(B$234,'ei names mapping'!$A$4:$A$33,0),MATCH(G277,'ei names mapping'!$B$3:$BL$3,0))</f>
        <v>kilogram</v>
      </c>
      <c r="E277" t="str">
        <f>INDEX('ei names mapping'!$B$305:$BL$335,MATCH(B$234,'ei names mapping'!$A$4:$A$33,0),MATCH(G277,'ei names mapping'!$B$3:$BL$3,0))</f>
        <v>air::urban air close to ground</v>
      </c>
      <c r="F277" t="s">
        <v>167</v>
      </c>
      <c r="G277" t="s">
        <v>542</v>
      </c>
    </row>
    <row r="278" spans="1:7" x14ac:dyDescent="0.2">
      <c r="A278" t="str">
        <f>INDEX('ei names mapping'!$B$4:$BL$33,MATCH(B$234,'ei names mapping'!$A$4:$A$33,0),MATCH(G278,'ei names mapping'!$B$3:$BL$3,0))</f>
        <v>Butane</v>
      </c>
      <c r="B278" s="7">
        <f>INDEX('vehicles specifications'!$B$3:$CW$166,MATCH(B$237,'vehicles specifications'!$A$3:$A$166,0),MATCH(G278,'vehicles specifications'!$B$2:$CW$2,0))*INDEX('ei names mapping'!$B$137:$BL$300,MATCH(B$237,'ei names mapping'!$A$137:$A$300,0),MATCH(G278,'ei names mapping'!$B$136:$BL$136,0))</f>
        <v>3.5664406870786949E-5</v>
      </c>
      <c r="D278" t="str">
        <f>INDEX('ei names mapping'!$B$104:$BL$133,MATCH(B$234,'ei names mapping'!$A$4:$A$33,0),MATCH(G278,'ei names mapping'!$B$3:$BL$3,0))</f>
        <v>kilogram</v>
      </c>
      <c r="E278" t="str">
        <f>INDEX('ei names mapping'!$B$305:$BL$335,MATCH(B$234,'ei names mapping'!$A$4:$A$33,0),MATCH(G278,'ei names mapping'!$B$3:$BL$3,0))</f>
        <v>air::urban air close to ground</v>
      </c>
      <c r="F278" t="s">
        <v>167</v>
      </c>
      <c r="G278" t="s">
        <v>543</v>
      </c>
    </row>
    <row r="279" spans="1:7" x14ac:dyDescent="0.2">
      <c r="A279" t="str">
        <f>INDEX('ei names mapping'!$B$4:$BL$33,MATCH(B$234,'ei names mapping'!$A$4:$A$33,0),MATCH(G279,'ei names mapping'!$B$3:$BL$3,0))</f>
        <v>Pentane</v>
      </c>
      <c r="B279" s="7">
        <f>INDEX('vehicles specifications'!$B$3:$CW$166,MATCH(B$237,'vehicles specifications'!$A$3:$A$166,0),MATCH(G279,'vehicles specifications'!$B$2:$CW$2,0))*INDEX('ei names mapping'!$B$137:$BL$300,MATCH(B$237,'ei names mapping'!$A$137:$A$300,0),MATCH(G279,'ei names mapping'!$B$136:$BL$136,0))</f>
        <v>1.4633296712250369E-5</v>
      </c>
      <c r="D279" t="str">
        <f>INDEX('ei names mapping'!$B$104:$BL$133,MATCH(B$234,'ei names mapping'!$A$4:$A$33,0),MATCH(G279,'ei names mapping'!$B$3:$BL$3,0))</f>
        <v>kilogram</v>
      </c>
      <c r="E279" t="str">
        <f>INDEX('ei names mapping'!$B$305:$BL$335,MATCH(B$234,'ei names mapping'!$A$4:$A$33,0),MATCH(G279,'ei names mapping'!$B$3:$BL$3,0))</f>
        <v>air::urban air close to ground</v>
      </c>
      <c r="F279" t="s">
        <v>167</v>
      </c>
      <c r="G279" t="s">
        <v>544</v>
      </c>
    </row>
    <row r="280" spans="1:7" x14ac:dyDescent="0.2">
      <c r="A280" t="str">
        <f>INDEX('ei names mapping'!$B$4:$BL$33,MATCH(B$234,'ei names mapping'!$A$4:$A$33,0),MATCH(G280,'ei names mapping'!$B$3:$BL$3,0))</f>
        <v>Hexane</v>
      </c>
      <c r="B280" s="7">
        <f>INDEX('vehicles specifications'!$B$3:$CW$166,MATCH(B$237,'vehicles specifications'!$A$3:$A$166,0),MATCH(G280,'vehicles specifications'!$B$2:$CW$2,0))*INDEX('ei names mapping'!$B$137:$BL$300,MATCH(B$237,'ei names mapping'!$A$137:$A$300,0),MATCH(G280,'ei names mapping'!$B$136:$BL$136,0))</f>
        <v>1.0957957072894464E-5</v>
      </c>
      <c r="D280" t="str">
        <f>INDEX('ei names mapping'!$B$104:$BL$133,MATCH(B$234,'ei names mapping'!$A$4:$A$33,0),MATCH(G280,'ei names mapping'!$B$3:$BL$3,0))</f>
        <v>kilogram</v>
      </c>
      <c r="E280" t="str">
        <f>INDEX('ei names mapping'!$B$305:$BL$335,MATCH(B$234,'ei names mapping'!$A$4:$A$33,0),MATCH(G280,'ei names mapping'!$B$3:$BL$3,0))</f>
        <v>air::urban air close to ground</v>
      </c>
      <c r="F280" t="s">
        <v>167</v>
      </c>
      <c r="G280" t="s">
        <v>545</v>
      </c>
    </row>
    <row r="281" spans="1:7" x14ac:dyDescent="0.2">
      <c r="A281" t="str">
        <f>INDEX('ei names mapping'!$B$4:$BL$33,MATCH(B$234,'ei names mapping'!$A$4:$A$33,0),MATCH(G281,'ei names mapping'!$B$3:$BL$3,0))</f>
        <v>Cyclohexane</v>
      </c>
      <c r="B281" s="7">
        <f>INDEX('vehicles specifications'!$B$3:$CW$166,MATCH(B$237,'vehicles specifications'!$A$3:$A$166,0),MATCH(G281,'vehicles specifications'!$B$2:$CW$2,0))*INDEX('ei names mapping'!$B$137:$BL$300,MATCH(B$237,'ei names mapping'!$A$137:$A$300,0),MATCH(G281,'ei names mapping'!$B$136:$BL$136,0))</f>
        <v>7.7590503497513607E-6</v>
      </c>
      <c r="D281" t="str">
        <f>INDEX('ei names mapping'!$B$104:$BL$133,MATCH(B$234,'ei names mapping'!$A$4:$A$33,0),MATCH(G281,'ei names mapping'!$B$3:$BL$3,0))</f>
        <v>kilogram</v>
      </c>
      <c r="E281" t="str">
        <f>INDEX('ei names mapping'!$B$305:$BL$335,MATCH(B$234,'ei names mapping'!$A$4:$A$33,0),MATCH(G281,'ei names mapping'!$B$3:$BL$3,0))</f>
        <v>air::urban air close to ground</v>
      </c>
      <c r="F281" t="s">
        <v>167</v>
      </c>
      <c r="G281" t="s">
        <v>546</v>
      </c>
    </row>
    <row r="282" spans="1:7" x14ac:dyDescent="0.2">
      <c r="A282" t="str">
        <f>INDEX('ei names mapping'!$B$4:$BL$33,MATCH(B$234,'ei names mapping'!$A$4:$A$33,0),MATCH(G282,'ei names mapping'!$B$3:$BL$3,0))</f>
        <v>Heptane</v>
      </c>
      <c r="B282" s="7">
        <f>INDEX('vehicles specifications'!$B$3:$CW$166,MATCH(B$237,'vehicles specifications'!$A$3:$A$166,0),MATCH(G282,'vehicles specifications'!$B$2:$CW$2,0))*INDEX('ei names mapping'!$B$137:$BL$300,MATCH(B$237,'ei names mapping'!$A$137:$A$300,0),MATCH(G282,'ei names mapping'!$B$136:$BL$136,0))</f>
        <v>5.0365765428210587E-6</v>
      </c>
      <c r="D282" t="str">
        <f>INDEX('ei names mapping'!$B$104:$BL$133,MATCH(B$234,'ei names mapping'!$A$4:$A$33,0),MATCH(G282,'ei names mapping'!$B$3:$BL$3,0))</f>
        <v>kilogram</v>
      </c>
      <c r="E282" t="str">
        <f>INDEX('ei names mapping'!$B$305:$BL$335,MATCH(B$234,'ei names mapping'!$A$4:$A$33,0),MATCH(G282,'ei names mapping'!$B$3:$BL$3,0))</f>
        <v>air::urban air close to ground</v>
      </c>
      <c r="F282" t="s">
        <v>167</v>
      </c>
      <c r="G282" t="s">
        <v>547</v>
      </c>
    </row>
    <row r="283" spans="1:7" x14ac:dyDescent="0.2">
      <c r="A283" t="str">
        <f>INDEX('ei names mapping'!$B$4:$BL$33,MATCH(B$234,'ei names mapping'!$A$4:$A$33,0),MATCH(G283,'ei names mapping'!$B$3:$BL$3,0))</f>
        <v>Ethene</v>
      </c>
      <c r="B283" s="7">
        <f>INDEX('vehicles specifications'!$B$3:$CW$166,MATCH(B$237,'vehicles specifications'!$A$3:$A$166,0),MATCH(G283,'vehicles specifications'!$B$2:$CW$2,0))*INDEX('ei names mapping'!$B$137:$BL$300,MATCH(B$237,'ei names mapping'!$A$137:$A$300,0),MATCH(G283,'ei names mapping'!$B$136:$BL$136,0))</f>
        <v>4.9685146976478002E-5</v>
      </c>
      <c r="D283" t="str">
        <f>INDEX('ei names mapping'!$B$104:$BL$133,MATCH(B$234,'ei names mapping'!$A$4:$A$33,0),MATCH(G283,'ei names mapping'!$B$3:$BL$3,0))</f>
        <v>kilogram</v>
      </c>
      <c r="E283" t="str">
        <f>INDEX('ei names mapping'!$B$305:$BL$335,MATCH(B$234,'ei names mapping'!$A$4:$A$33,0),MATCH(G283,'ei names mapping'!$B$3:$BL$3,0))</f>
        <v>air::urban air close to ground</v>
      </c>
      <c r="F283" t="s">
        <v>167</v>
      </c>
      <c r="G283" t="s">
        <v>548</v>
      </c>
    </row>
    <row r="284" spans="1:7" x14ac:dyDescent="0.2">
      <c r="A284" t="str">
        <f>INDEX('ei names mapping'!$B$4:$BL$33,MATCH(B$234,'ei names mapping'!$A$4:$A$33,0),MATCH(G284,'ei names mapping'!$B$3:$BL$3,0))</f>
        <v>Propene</v>
      </c>
      <c r="B284" s="7">
        <f>INDEX('vehicles specifications'!$B$3:$CW$166,MATCH(B$237,'vehicles specifications'!$A$3:$A$166,0),MATCH(G284,'vehicles specifications'!$B$2:$CW$2,0))*INDEX('ei names mapping'!$B$137:$BL$300,MATCH(B$237,'ei names mapping'!$A$137:$A$300,0),MATCH(G284,'ei names mapping'!$B$136:$BL$136,0))</f>
        <v>2.5999624856184379E-5</v>
      </c>
      <c r="D284" t="str">
        <f>INDEX('ei names mapping'!$B$104:$BL$133,MATCH(B$234,'ei names mapping'!$A$4:$A$33,0),MATCH(G284,'ei names mapping'!$B$3:$BL$3,0))</f>
        <v>kilogram</v>
      </c>
      <c r="E284" t="str">
        <f>INDEX('ei names mapping'!$B$305:$BL$335,MATCH(B$234,'ei names mapping'!$A$4:$A$33,0),MATCH(G284,'ei names mapping'!$B$3:$BL$3,0))</f>
        <v>air::urban air close to ground</v>
      </c>
      <c r="F284" t="s">
        <v>167</v>
      </c>
      <c r="G284" t="s">
        <v>549</v>
      </c>
    </row>
    <row r="285" spans="1:7" x14ac:dyDescent="0.2">
      <c r="A285" t="str">
        <f>INDEX('ei names mapping'!$B$4:$BL$33,MATCH(B$234,'ei names mapping'!$A$4:$A$33,0),MATCH(G285,'ei names mapping'!$B$3:$BL$3,0))</f>
        <v>1-Pentene</v>
      </c>
      <c r="B285" s="7">
        <f>INDEX('vehicles specifications'!$B$3:$CW$166,MATCH(B$237,'vehicles specifications'!$A$3:$A$166,0),MATCH(G285,'vehicles specifications'!$B$2:$CW$2,0))*INDEX('ei names mapping'!$B$137:$BL$300,MATCH(B$237,'ei names mapping'!$A$137:$A$300,0),MATCH(G285,'ei names mapping'!$B$136:$BL$136,0))</f>
        <v>7.4868029690583294E-7</v>
      </c>
      <c r="D285" t="str">
        <f>INDEX('ei names mapping'!$B$104:$BL$133,MATCH(B$234,'ei names mapping'!$A$4:$A$33,0),MATCH(G285,'ei names mapping'!$B$3:$BL$3,0))</f>
        <v>kilogram</v>
      </c>
      <c r="E285" t="str">
        <f>INDEX('ei names mapping'!$B$305:$BL$335,MATCH(B$234,'ei names mapping'!$A$4:$A$33,0),MATCH(G285,'ei names mapping'!$B$3:$BL$3,0))</f>
        <v>air::urban air close to ground</v>
      </c>
      <c r="F285" t="s">
        <v>167</v>
      </c>
      <c r="G285" t="s">
        <v>550</v>
      </c>
    </row>
    <row r="286" spans="1:7" x14ac:dyDescent="0.2">
      <c r="A286" t="str">
        <f>INDEX('ei names mapping'!$B$4:$BL$33,MATCH(B$234,'ei names mapping'!$A$4:$A$33,0),MATCH(G286,'ei names mapping'!$B$3:$BL$3,0))</f>
        <v>Toluene</v>
      </c>
      <c r="B286" s="7">
        <f>INDEX('vehicles specifications'!$B$3:$CW$166,MATCH(B$237,'vehicles specifications'!$A$3:$A$166,0),MATCH(G286,'vehicles specifications'!$B$2:$CW$2,0))*INDEX('ei names mapping'!$B$137:$BL$300,MATCH(B$237,'ei names mapping'!$A$137:$A$300,0),MATCH(G286,'ei names mapping'!$B$136:$BL$136,0))</f>
        <v>7.4731906000236774E-5</v>
      </c>
      <c r="D286" t="str">
        <f>INDEX('ei names mapping'!$B$104:$BL$133,MATCH(B$234,'ei names mapping'!$A$4:$A$33,0),MATCH(G286,'ei names mapping'!$B$3:$BL$3,0))</f>
        <v>kilogram</v>
      </c>
      <c r="E286" t="str">
        <f>INDEX('ei names mapping'!$B$305:$BL$335,MATCH(B$234,'ei names mapping'!$A$4:$A$33,0),MATCH(G286,'ei names mapping'!$B$3:$BL$3,0))</f>
        <v>air::urban air close to ground</v>
      </c>
      <c r="F286" t="s">
        <v>167</v>
      </c>
      <c r="G286" t="s">
        <v>551</v>
      </c>
    </row>
    <row r="287" spans="1:7" x14ac:dyDescent="0.2">
      <c r="A287" t="str">
        <f>INDEX('ei names mapping'!$B$4:$BL$33,MATCH(B$234,'ei names mapping'!$A$4:$A$33,0),MATCH(G287,'ei names mapping'!$B$3:$BL$3,0))</f>
        <v>m-Xylene</v>
      </c>
      <c r="B287" s="7">
        <f>INDEX('vehicles specifications'!$B$3:$CW$166,MATCH(B$237,'vehicles specifications'!$A$3:$A$166,0),MATCH(G287,'vehicles specifications'!$B$2:$CW$2,0))*INDEX('ei names mapping'!$B$137:$BL$300,MATCH(B$237,'ei names mapping'!$A$137:$A$300,0),MATCH(G287,'ei names mapping'!$B$136:$BL$136,0))</f>
        <v>3.695758192907885E-5</v>
      </c>
      <c r="D287" t="str">
        <f>INDEX('ei names mapping'!$B$104:$BL$133,MATCH(B$234,'ei names mapping'!$A$4:$A$33,0),MATCH(G287,'ei names mapping'!$B$3:$BL$3,0))</f>
        <v>kilogram</v>
      </c>
      <c r="E287" t="str">
        <f>INDEX('ei names mapping'!$B$305:$BL$335,MATCH(B$234,'ei names mapping'!$A$4:$A$33,0),MATCH(G287,'ei names mapping'!$B$3:$BL$3,0))</f>
        <v>air::urban air close to ground</v>
      </c>
      <c r="F287" t="s">
        <v>167</v>
      </c>
      <c r="G287" t="s">
        <v>552</v>
      </c>
    </row>
    <row r="288" spans="1:7" x14ac:dyDescent="0.2">
      <c r="A288" t="str">
        <f>INDEX('ei names mapping'!$B$4:$BL$33,MATCH(B$234,'ei names mapping'!$A$4:$A$33,0),MATCH(G288,'ei names mapping'!$B$3:$BL$3,0))</f>
        <v>o-Xylene</v>
      </c>
      <c r="B288" s="7">
        <f>INDEX('vehicles specifications'!$B$3:$CW$166,MATCH(B$237,'vehicles specifications'!$A$3:$A$166,0),MATCH(G288,'vehicles specifications'!$B$2:$CW$2,0))*INDEX('ei names mapping'!$B$137:$BL$300,MATCH(B$237,'ei names mapping'!$A$137:$A$300,0),MATCH(G288,'ei names mapping'!$B$136:$BL$136,0))</f>
        <v>1.5381977009156206E-5</v>
      </c>
      <c r="D288" t="str">
        <f>INDEX('ei names mapping'!$B$104:$BL$133,MATCH(B$234,'ei names mapping'!$A$4:$A$33,0),MATCH(G288,'ei names mapping'!$B$3:$BL$3,0))</f>
        <v>kilogram</v>
      </c>
      <c r="E288" t="str">
        <f>INDEX('ei names mapping'!$B$305:$BL$335,MATCH(B$234,'ei names mapping'!$A$4:$A$33,0),MATCH(G288,'ei names mapping'!$B$3:$BL$3,0))</f>
        <v>air::urban air close to ground</v>
      </c>
      <c r="F288" t="s">
        <v>167</v>
      </c>
      <c r="G288" t="s">
        <v>553</v>
      </c>
    </row>
    <row r="289" spans="1:7" x14ac:dyDescent="0.2">
      <c r="A289" t="str">
        <f>INDEX('ei names mapping'!$B$4:$BL$33,MATCH(B$234,'ei names mapping'!$A$4:$A$33,0),MATCH(G289,'ei names mapping'!$B$3:$BL$3,0))</f>
        <v>Formaldehyde</v>
      </c>
      <c r="B289" s="7">
        <f>INDEX('vehicles specifications'!$B$3:$CW$166,MATCH(B$237,'vehicles specifications'!$A$3:$A$166,0),MATCH(G289,'vehicles specifications'!$B$2:$CW$2,0))*INDEX('ei names mapping'!$B$137:$BL$300,MATCH(B$237,'ei names mapping'!$A$137:$A$300,0),MATCH(G289,'ei names mapping'!$B$136:$BL$136,0))</f>
        <v>1.1570513679453783E-5</v>
      </c>
      <c r="D289" t="str">
        <f>INDEX('ei names mapping'!$B$104:$BL$133,MATCH(B$234,'ei names mapping'!$A$4:$A$33,0),MATCH(G289,'ei names mapping'!$B$3:$BL$3,0))</f>
        <v>kilogram</v>
      </c>
      <c r="E289" t="str">
        <f>INDEX('ei names mapping'!$B$305:$BL$335,MATCH(B$234,'ei names mapping'!$A$4:$A$33,0),MATCH(G289,'ei names mapping'!$B$3:$BL$3,0))</f>
        <v>air::urban air close to ground</v>
      </c>
      <c r="F289" t="s">
        <v>167</v>
      </c>
      <c r="G289" t="s">
        <v>554</v>
      </c>
    </row>
    <row r="290" spans="1:7" x14ac:dyDescent="0.2">
      <c r="A290" t="str">
        <f>INDEX('ei names mapping'!$B$4:$BL$33,MATCH(B$234,'ei names mapping'!$A$4:$A$33,0),MATCH(G290,'ei names mapping'!$B$3:$BL$3,0))</f>
        <v>Acetaldehyde</v>
      </c>
      <c r="B290" s="7">
        <f>INDEX('vehicles specifications'!$B$3:$CW$166,MATCH(B$237,'vehicles specifications'!$A$3:$A$166,0),MATCH(G290,'vehicles specifications'!$B$2:$CW$2,0))*INDEX('ei names mapping'!$B$137:$BL$300,MATCH(B$237,'ei names mapping'!$A$137:$A$300,0),MATCH(G290,'ei names mapping'!$B$136:$BL$136,0))</f>
        <v>5.1046383879943157E-6</v>
      </c>
      <c r="D290" t="str">
        <f>INDEX('ei names mapping'!$B$104:$BL$133,MATCH(B$234,'ei names mapping'!$A$4:$A$33,0),MATCH(G290,'ei names mapping'!$B$3:$BL$3,0))</f>
        <v>kilogram</v>
      </c>
      <c r="E290" t="str">
        <f>INDEX('ei names mapping'!$B$305:$BL$335,MATCH(B$234,'ei names mapping'!$A$4:$A$33,0),MATCH(G290,'ei names mapping'!$B$3:$BL$3,0))</f>
        <v>air::urban air close to ground</v>
      </c>
      <c r="F290" t="s">
        <v>167</v>
      </c>
      <c r="G290" t="s">
        <v>555</v>
      </c>
    </row>
    <row r="291" spans="1:7" x14ac:dyDescent="0.2">
      <c r="A291" t="str">
        <f>INDEX('ei names mapping'!$B$4:$BL$33,MATCH(B$234,'ei names mapping'!$A$4:$A$33,0),MATCH(G291,'ei names mapping'!$B$3:$BL$3,0))</f>
        <v>Benzaldehyde</v>
      </c>
      <c r="B291" s="7">
        <f>INDEX('vehicles specifications'!$B$3:$CW$166,MATCH(B$237,'vehicles specifications'!$A$3:$A$166,0),MATCH(G291,'vehicles specifications'!$B$2:$CW$2,0))*INDEX('ei names mapping'!$B$137:$BL$300,MATCH(B$237,'ei names mapping'!$A$137:$A$300,0),MATCH(G291,'ei names mapping'!$B$136:$BL$136,0))</f>
        <v>1.4973605938116659E-6</v>
      </c>
      <c r="D291" t="str">
        <f>INDEX('ei names mapping'!$B$104:$BL$133,MATCH(B$234,'ei names mapping'!$A$4:$A$33,0),MATCH(G291,'ei names mapping'!$B$3:$BL$3,0))</f>
        <v>kilogram</v>
      </c>
      <c r="E291" t="str">
        <f>INDEX('ei names mapping'!$B$305:$BL$335,MATCH(B$234,'ei names mapping'!$A$4:$A$33,0),MATCH(G291,'ei names mapping'!$B$3:$BL$3,0))</f>
        <v>air::urban air close to ground</v>
      </c>
      <c r="F291" t="s">
        <v>167</v>
      </c>
      <c r="G291" t="s">
        <v>556</v>
      </c>
    </row>
    <row r="292" spans="1:7" x14ac:dyDescent="0.2">
      <c r="A292" t="str">
        <f>INDEX('ei names mapping'!$B$4:$BL$33,MATCH(B$234,'ei names mapping'!$A$4:$A$33,0),MATCH(G292,'ei names mapping'!$B$3:$BL$3,0))</f>
        <v>Acetone</v>
      </c>
      <c r="B292" s="7">
        <f>INDEX('vehicles specifications'!$B$3:$CW$166,MATCH(B$237,'vehicles specifications'!$A$3:$A$166,0),MATCH(G292,'vehicles specifications'!$B$2:$CW$2,0))*INDEX('ei names mapping'!$B$137:$BL$300,MATCH(B$237,'ei names mapping'!$A$137:$A$300,0),MATCH(G292,'ei names mapping'!$B$136:$BL$136,0))</f>
        <v>4.1517725555687101E-6</v>
      </c>
      <c r="D292" t="str">
        <f>INDEX('ei names mapping'!$B$104:$BL$133,MATCH(B$234,'ei names mapping'!$A$4:$A$33,0),MATCH(G292,'ei names mapping'!$B$3:$BL$3,0))</f>
        <v>kilogram</v>
      </c>
      <c r="E292" t="str">
        <f>INDEX('ei names mapping'!$B$305:$BL$335,MATCH(B$234,'ei names mapping'!$A$4:$A$33,0),MATCH(G292,'ei names mapping'!$B$3:$BL$3,0))</f>
        <v>air::urban air close to ground</v>
      </c>
      <c r="F292" t="s">
        <v>167</v>
      </c>
      <c r="G292" t="s">
        <v>557</v>
      </c>
    </row>
    <row r="293" spans="1:7" x14ac:dyDescent="0.2">
      <c r="A293" t="str">
        <f>INDEX('ei names mapping'!$B$4:$BL$33,MATCH(B$234,'ei names mapping'!$A$4:$A$33,0),MATCH(G293,'ei names mapping'!$B$3:$BL$3,0))</f>
        <v>Methyl ethyl ketone</v>
      </c>
      <c r="B293" s="7">
        <f>INDEX('vehicles specifications'!$B$3:$CW$166,MATCH(B$237,'vehicles specifications'!$A$3:$A$166,0),MATCH(G293,'vehicles specifications'!$B$2:$CW$2,0))*INDEX('ei names mapping'!$B$137:$BL$300,MATCH(B$237,'ei names mapping'!$A$137:$A$300,0),MATCH(G293,'ei names mapping'!$B$136:$BL$136,0))</f>
        <v>0</v>
      </c>
      <c r="D293" t="str">
        <f>INDEX('ei names mapping'!$B$104:$BL$133,MATCH(B$234,'ei names mapping'!$A$4:$A$33,0),MATCH(G293,'ei names mapping'!$B$3:$BL$3,0))</f>
        <v>kilogram</v>
      </c>
      <c r="E293" t="str">
        <f>INDEX('ei names mapping'!$B$305:$BL$335,MATCH(B$234,'ei names mapping'!$A$4:$A$33,0),MATCH(G293,'ei names mapping'!$B$3:$BL$3,0))</f>
        <v>air::urban air close to ground</v>
      </c>
      <c r="F293" t="s">
        <v>167</v>
      </c>
      <c r="G293" t="s">
        <v>560</v>
      </c>
    </row>
    <row r="294" spans="1:7" x14ac:dyDescent="0.2">
      <c r="A294" t="str">
        <f>INDEX('ei names mapping'!$B$4:$BL$33,MATCH(B$234,'ei names mapping'!$A$4:$A$33,0),MATCH(G294,'ei names mapping'!$B$3:$BL$3,0))</f>
        <v>Acrolein</v>
      </c>
      <c r="B294" s="7">
        <f>INDEX('vehicles specifications'!$B$3:$CW$166,MATCH(B$237,'vehicles specifications'!$A$3:$A$166,0),MATCH(G294,'vehicles specifications'!$B$2:$CW$2,0))*INDEX('ei names mapping'!$B$137:$BL$300,MATCH(B$237,'ei names mapping'!$A$137:$A$300,0),MATCH(G294,'ei names mapping'!$B$136:$BL$136,0))</f>
        <v>1.2931750582918932E-6</v>
      </c>
      <c r="D294" t="str">
        <f>INDEX('ei names mapping'!$B$104:$BL$133,MATCH(B$234,'ei names mapping'!$A$4:$A$33,0),MATCH(G294,'ei names mapping'!$B$3:$BL$3,0))</f>
        <v>kilogram</v>
      </c>
      <c r="E294" t="str">
        <f>INDEX('ei names mapping'!$B$305:$BL$335,MATCH(B$234,'ei names mapping'!$A$4:$A$33,0),MATCH(G294,'ei names mapping'!$B$3:$BL$3,0))</f>
        <v>air::urban air close to ground</v>
      </c>
      <c r="F294" t="s">
        <v>167</v>
      </c>
      <c r="G294" t="s">
        <v>558</v>
      </c>
    </row>
    <row r="295" spans="1:7" x14ac:dyDescent="0.2">
      <c r="A295" t="str">
        <f>INDEX('ei names mapping'!$B$4:$BL$33,MATCH(B$234,'ei names mapping'!$A$4:$A$33,0),MATCH(G295,'ei names mapping'!$B$3:$BL$3,0))</f>
        <v>Styrene</v>
      </c>
      <c r="B295" s="7">
        <f>INDEX('vehicles specifications'!$B$3:$CW$166,MATCH(B$237,'vehicles specifications'!$A$3:$A$166,0),MATCH(G295,'vehicles specifications'!$B$2:$CW$2,0))*INDEX('ei names mapping'!$B$137:$BL$300,MATCH(B$237,'ei names mapping'!$A$137:$A$300,0),MATCH(G295,'ei names mapping'!$B$136:$BL$136,0))</f>
        <v>6.8742463624990121E-6</v>
      </c>
      <c r="D295" t="str">
        <f>INDEX('ei names mapping'!$B$104:$BL$133,MATCH(B$234,'ei names mapping'!$A$4:$A$33,0),MATCH(G295,'ei names mapping'!$B$3:$BL$3,0))</f>
        <v>kilogram</v>
      </c>
      <c r="E295" t="str">
        <f>INDEX('ei names mapping'!$B$305:$BL$335,MATCH(B$234,'ei names mapping'!$A$4:$A$33,0),MATCH(G295,'ei names mapping'!$B$3:$BL$3,0))</f>
        <v>air::urban air close to ground</v>
      </c>
      <c r="F295" t="s">
        <v>167</v>
      </c>
      <c r="G295" t="s">
        <v>559</v>
      </c>
    </row>
    <row r="296" spans="1:7" x14ac:dyDescent="0.2">
      <c r="A296" t="str">
        <f>INDEX('ei names mapping'!$B$4:$BL$33,MATCH(B$234,'ei names mapping'!$A$4:$A$33,0),MATCH(G296,'ei names mapping'!$B$3:$BL$3,0))</f>
        <v>PAH, polycyclic aromatic hydrocarbons</v>
      </c>
      <c r="B296" s="7">
        <f>INDEX('vehicles specifications'!$B$3:$CW$166,MATCH(B$237,'vehicles specifications'!$A$3:$A$166,0),MATCH(G296,'vehicles specifications'!$B$2:$CW$2,0))*INDEX('ei names mapping'!$B$137:$BL$300,MATCH(B$237,'ei names mapping'!$A$137:$A$300,0),MATCH(G296,'ei names mapping'!$B$136:$BL$136,0))</f>
        <v>8.6644664640757301E-10</v>
      </c>
      <c r="D296" t="str">
        <f>INDEX('ei names mapping'!$B$104:$BL$133,MATCH(B$234,'ei names mapping'!$A$4:$A$33,0),MATCH(G296,'ei names mapping'!$B$3:$BL$3,0))</f>
        <v>kilogram</v>
      </c>
      <c r="E296" t="str">
        <f>INDEX('ei names mapping'!$B$305:$BL$335,MATCH(B$234,'ei names mapping'!$A$4:$A$33,0),MATCH(G296,'ei names mapping'!$B$3:$BL$3,0))</f>
        <v>air::urban air close to ground</v>
      </c>
      <c r="F296" t="s">
        <v>167</v>
      </c>
      <c r="G296" t="s">
        <v>561</v>
      </c>
    </row>
    <row r="297" spans="1:7" x14ac:dyDescent="0.2">
      <c r="A297" t="str">
        <f>INDEX('ei names mapping'!$B$4:$BL$33,MATCH(B$234,'ei names mapping'!$A$4:$A$33,0),MATCH(G297,'ei names mapping'!$B$3:$BL$3,0))</f>
        <v>Arsenic</v>
      </c>
      <c r="B297" s="7">
        <f>INDEX('vehicles specifications'!$B$3:$CW$166,MATCH(B$237,'vehicles specifications'!$A$3:$A$166,0),MATCH(G297,'vehicles specifications'!$B$2:$CW$2,0))*INDEX('ei names mapping'!$B$137:$BL$300,MATCH(B$237,'ei names mapping'!$A$137:$A$300,0),MATCH(G297,'ei names mapping'!$B$136:$BL$136,0))</f>
        <v>7.4693676414445949E-12</v>
      </c>
      <c r="D297" t="str">
        <f>INDEX('ei names mapping'!$B$104:$BL$133,MATCH(B$234,'ei names mapping'!$A$4:$A$33,0),MATCH(G297,'ei names mapping'!$B$3:$BL$3,0))</f>
        <v>kilogram</v>
      </c>
      <c r="E297" t="str">
        <f>INDEX('ei names mapping'!$B$305:$BL$335,MATCH(B$234,'ei names mapping'!$A$4:$A$33,0),MATCH(G297,'ei names mapping'!$B$3:$BL$3,0))</f>
        <v>air::urban air close to ground</v>
      </c>
      <c r="F297" t="s">
        <v>167</v>
      </c>
      <c r="G297" t="s">
        <v>562</v>
      </c>
    </row>
    <row r="298" spans="1:7" x14ac:dyDescent="0.2">
      <c r="A298" t="str">
        <f>INDEX('ei names mapping'!$B$4:$BL$33,MATCH(B$234,'ei names mapping'!$A$4:$A$33,0),MATCH(G298,'ei names mapping'!$B$3:$BL$3,0))</f>
        <v>Selenium</v>
      </c>
      <c r="B298" s="7">
        <f>INDEX('vehicles specifications'!$B$3:$CW$166,MATCH(B$237,'vehicles specifications'!$A$3:$A$166,0),MATCH(G298,'vehicles specifications'!$B$2:$CW$2,0))*INDEX('ei names mapping'!$B$137:$BL$300,MATCH(B$237,'ei names mapping'!$A$137:$A$300,0),MATCH(G298,'ei names mapping'!$B$136:$BL$136,0))</f>
        <v>4.9795784276297299E-12</v>
      </c>
      <c r="D298" t="str">
        <f>INDEX('ei names mapping'!$B$104:$BL$133,MATCH(B$234,'ei names mapping'!$A$4:$A$33,0),MATCH(G298,'ei names mapping'!$B$3:$BL$3,0))</f>
        <v>kilogram</v>
      </c>
      <c r="E298" t="str">
        <f>INDEX('ei names mapping'!$B$305:$BL$335,MATCH(B$234,'ei names mapping'!$A$4:$A$33,0),MATCH(G298,'ei names mapping'!$B$3:$BL$3,0))</f>
        <v>air::urban air close to ground</v>
      </c>
      <c r="F298" t="s">
        <v>167</v>
      </c>
      <c r="G298" t="s">
        <v>563</v>
      </c>
    </row>
    <row r="299" spans="1:7" x14ac:dyDescent="0.2">
      <c r="A299" t="str">
        <f>INDEX('ei names mapping'!$B$4:$BL$33,MATCH(B$234,'ei names mapping'!$A$4:$A$33,0),MATCH(G299,'ei names mapping'!$B$3:$BL$3,0))</f>
        <v>Zinc</v>
      </c>
      <c r="B299" s="7">
        <f>INDEX('vehicles specifications'!$B$3:$CW$166,MATCH(B$237,'vehicles specifications'!$A$3:$A$166,0),MATCH(G299,'vehicles specifications'!$B$2:$CW$2,0))*INDEX('ei names mapping'!$B$137:$BL$300,MATCH(B$237,'ei names mapping'!$A$137:$A$300,0),MATCH(G299,'ei names mapping'!$B$136:$BL$136,0))</f>
        <v>5.3779447018401084E-8</v>
      </c>
      <c r="D299" t="str">
        <f>INDEX('ei names mapping'!$B$104:$BL$133,MATCH(B$234,'ei names mapping'!$A$4:$A$33,0),MATCH(G299,'ei names mapping'!$B$3:$BL$3,0))</f>
        <v>kilogram</v>
      </c>
      <c r="E299" t="str">
        <f>INDEX('ei names mapping'!$B$305:$BL$335,MATCH(B$234,'ei names mapping'!$A$4:$A$33,0),MATCH(G299,'ei names mapping'!$B$3:$BL$3,0))</f>
        <v>air::urban air close to ground</v>
      </c>
      <c r="F299" t="s">
        <v>167</v>
      </c>
      <c r="G299" t="s">
        <v>564</v>
      </c>
    </row>
    <row r="300" spans="1:7" x14ac:dyDescent="0.2">
      <c r="A300" t="str">
        <f>INDEX('ei names mapping'!$B$4:$BL$33,MATCH(B$234,'ei names mapping'!$A$4:$A$33,0),MATCH(G300,'ei names mapping'!$B$3:$BL$3,0))</f>
        <v>Copper</v>
      </c>
      <c r="B300" s="7">
        <f>INDEX('vehicles specifications'!$B$3:$CW$166,MATCH(B$237,'vehicles specifications'!$A$3:$A$166,0),MATCH(G300,'vehicles specifications'!$B$2:$CW$2,0))*INDEX('ei names mapping'!$B$137:$BL$300,MATCH(B$237,'ei names mapping'!$A$137:$A$300,0),MATCH(G300,'ei names mapping'!$B$136:$BL$136,0))</f>
        <v>1.0457114698022433E-9</v>
      </c>
      <c r="D300" s="7" t="str">
        <f>INDEX('ei names mapping'!$B$104:$BL$133,MATCH(B$234,'ei names mapping'!$A$4:$A$33,0),MATCH(G300,'ei names mapping'!$B$3:$BL$3,0))</f>
        <v>kilogram</v>
      </c>
      <c r="E300" t="str">
        <f>INDEX('ei names mapping'!$B$305:$BL$335,MATCH(B$234,'ei names mapping'!$A$4:$A$33,0),MATCH(G300,'ei names mapping'!$B$3:$BL$3,0))</f>
        <v>air::urban air close to ground</v>
      </c>
      <c r="F300" t="s">
        <v>167</v>
      </c>
      <c r="G300" t="s">
        <v>522</v>
      </c>
    </row>
    <row r="301" spans="1:7" x14ac:dyDescent="0.2">
      <c r="A301" t="str">
        <f>INDEX('ei names mapping'!$B$4:$BL$33,MATCH(B$234,'ei names mapping'!$A$4:$A$33,0),MATCH(G301,'ei names mapping'!$B$3:$BL$3,0))</f>
        <v>Nickel</v>
      </c>
      <c r="B301" s="7">
        <f>INDEX('vehicles specifications'!$B$3:$CW$166,MATCH(B$237,'vehicles specifications'!$A$3:$A$166,0),MATCH(G301,'vehicles specifications'!$B$2:$CW$2,0))*INDEX('ei names mapping'!$B$137:$BL$300,MATCH(B$237,'ei names mapping'!$A$137:$A$300,0),MATCH(G301,'ei names mapping'!$B$136:$BL$136,0))</f>
        <v>3.2367259779593247E-10</v>
      </c>
      <c r="D301" t="str">
        <f>INDEX('ei names mapping'!$B$104:$BL$133,MATCH(B$234,'ei names mapping'!$A$4:$A$33,0),MATCH(G301,'ei names mapping'!$B$3:$BL$3,0))</f>
        <v>kilogram</v>
      </c>
      <c r="E301" t="str">
        <f>INDEX('ei names mapping'!$B$305:$BL$335,MATCH(B$234,'ei names mapping'!$A$4:$A$33,0),MATCH(G301,'ei names mapping'!$B$3:$BL$3,0))</f>
        <v>air::urban air close to ground</v>
      </c>
      <c r="F301" t="s">
        <v>167</v>
      </c>
      <c r="G301" t="s">
        <v>524</v>
      </c>
    </row>
    <row r="302" spans="1:7" x14ac:dyDescent="0.2">
      <c r="A302" t="str">
        <f>INDEX('ei names mapping'!$B$4:$BL$33,MATCH(B$234,'ei names mapping'!$A$4:$A$33,0),MATCH(G302,'ei names mapping'!$B$3:$BL$3,0))</f>
        <v>Chromium</v>
      </c>
      <c r="B302" s="7">
        <f>INDEX('vehicles specifications'!$B$3:$CW$166,MATCH(B$237,'vehicles specifications'!$A$3:$A$166,0),MATCH(G302,'vehicles specifications'!$B$2:$CW$2,0))*INDEX('ei names mapping'!$B$137:$BL$300,MATCH(B$237,'ei names mapping'!$A$137:$A$300,0),MATCH(G302,'ei names mapping'!$B$136:$BL$136,0))</f>
        <v>3.9836627421037845E-10</v>
      </c>
      <c r="D302" t="str">
        <f>INDEX('ei names mapping'!$B$104:$BL$133,MATCH(B$234,'ei names mapping'!$A$4:$A$33,0),MATCH(G302,'ei names mapping'!$B$3:$BL$3,0))</f>
        <v>kilogram</v>
      </c>
      <c r="E302" t="str">
        <f>INDEX('ei names mapping'!$B$305:$BL$335,MATCH(B$234,'ei names mapping'!$A$4:$A$33,0),MATCH(G302,'ei names mapping'!$B$3:$BL$3,0))</f>
        <v>air::urban air close to ground</v>
      </c>
      <c r="F302" t="s">
        <v>167</v>
      </c>
      <c r="G302" t="s">
        <v>523</v>
      </c>
    </row>
    <row r="303" spans="1:7" x14ac:dyDescent="0.2">
      <c r="A303" t="str">
        <f>INDEX('ei names mapping'!$B$4:$BL$33,MATCH(B$234,'ei names mapping'!$A$4:$A$33,0),MATCH(G303,'ei names mapping'!$B$3:$BL$3,0))</f>
        <v>Chromium VI</v>
      </c>
      <c r="B303" s="7">
        <f>INDEX('vehicles specifications'!$B$3:$CW$166,MATCH(B$237,'vehicles specifications'!$A$3:$A$166,0),MATCH(G303,'vehicles specifications'!$B$2:$CW$2,0))*INDEX('ei names mapping'!$B$137:$BL$300,MATCH(B$237,'ei names mapping'!$A$137:$A$300,0),MATCH(G303,'ei names mapping'!$B$136:$BL$136,0))</f>
        <v>7.9673254842075675E-13</v>
      </c>
      <c r="D303" t="str">
        <f>INDEX('ei names mapping'!$B$104:$BL$133,MATCH(B$234,'ei names mapping'!$A$4:$A$33,0),MATCH(G303,'ei names mapping'!$B$3:$BL$3,0))</f>
        <v>kilogram</v>
      </c>
      <c r="E303" t="str">
        <f>INDEX('ei names mapping'!$B$305:$BL$335,MATCH(B$234,'ei names mapping'!$A$4:$A$33,0),MATCH(G303,'ei names mapping'!$B$3:$BL$3,0))</f>
        <v>air::urban air close to ground</v>
      </c>
      <c r="F303" t="s">
        <v>167</v>
      </c>
      <c r="G303" t="s">
        <v>567</v>
      </c>
    </row>
    <row r="304" spans="1:7" x14ac:dyDescent="0.2">
      <c r="A304" t="str">
        <f>INDEX('ei names mapping'!$B$4:$BL$33,MATCH(B$234,'ei names mapping'!$A$4:$A$33,0),MATCH(G304,'ei names mapping'!$B$3:$BL$3,0))</f>
        <v>Mercury</v>
      </c>
      <c r="B304" s="7">
        <f>INDEX('vehicles specifications'!$B$3:$CW$166,MATCH(B$237,'vehicles specifications'!$A$3:$A$166,0),MATCH(G304,'vehicles specifications'!$B$2:$CW$2,0))*INDEX('ei names mapping'!$B$137:$BL$300,MATCH(B$237,'ei names mapping'!$A$137:$A$300,0),MATCH(G304,'ei names mapping'!$B$136:$BL$136,0))</f>
        <v>2.1661166160189325E-10</v>
      </c>
      <c r="D304" t="str">
        <f>INDEX('ei names mapping'!$B$104:$BL$133,MATCH(B$234,'ei names mapping'!$A$4:$A$33,0),MATCH(G304,'ei names mapping'!$B$3:$BL$3,0))</f>
        <v>kilogram</v>
      </c>
      <c r="E304" t="str">
        <f>INDEX('ei names mapping'!$B$305:$BL$335,MATCH(B$234,'ei names mapping'!$A$4:$A$33,0),MATCH(G304,'ei names mapping'!$B$3:$BL$3,0))</f>
        <v>air::urban air close to ground</v>
      </c>
      <c r="F304" t="s">
        <v>167</v>
      </c>
      <c r="G304" t="s">
        <v>565</v>
      </c>
    </row>
    <row r="305" spans="1:8" x14ac:dyDescent="0.2">
      <c r="A305" t="str">
        <f>INDEX('ei names mapping'!$B$4:$BL$33,MATCH(B$234,'ei names mapping'!$A$4:$A$33,0),MATCH(G305,'ei names mapping'!$B$3:$BL$3,0))</f>
        <v>Cadmium</v>
      </c>
      <c r="B305" s="7">
        <f>INDEX('vehicles specifications'!$B$3:$CW$166,MATCH(B$237,'vehicles specifications'!$A$3:$A$166,0),MATCH(G305,'vehicles specifications'!$B$2:$CW$2,0))*INDEX('ei names mapping'!$B$137:$BL$300,MATCH(B$237,'ei names mapping'!$A$137:$A$300,0),MATCH(G305,'ei names mapping'!$B$136:$BL$136,0))</f>
        <v>2.688972350920055E-10</v>
      </c>
      <c r="D305" t="str">
        <f>INDEX('ei names mapping'!$B$104:$BL$133,MATCH(B$234,'ei names mapping'!$A$4:$A$33,0),MATCH(G305,'ei names mapping'!$B$3:$BL$3,0))</f>
        <v>kilogram</v>
      </c>
      <c r="E305" t="str">
        <f>INDEX('ei names mapping'!$B$305:$BL$335,MATCH(B$234,'ei names mapping'!$A$4:$A$33,0),MATCH(G305,'ei names mapping'!$B$3:$BL$3,0))</f>
        <v>air::urban air close to ground</v>
      </c>
      <c r="F305" t="s">
        <v>167</v>
      </c>
      <c r="G305" t="s">
        <v>566</v>
      </c>
    </row>
    <row r="306" spans="1:8" x14ac:dyDescent="0.2">
      <c r="A306" t="str">
        <f>INDEX('ei names mapping'!$B$4:$BL$33,MATCH(B234,'ei names mapping'!$A$4:$A$33,0),MATCH(G306,'ei names mapping'!$B$3:$BL$3,0))</f>
        <v>treatment of road wear emissions, passenger car</v>
      </c>
      <c r="B306" s="7">
        <f>INDEX('vehicles specifications'!$B$3:$CW$166,MATCH(B237,'vehicles specifications'!$A$3:$A$166,0),MATCH(G306,'vehicles specifications'!$B$2:$CW$2,0))*INDEX('ei names mapping'!$B$137:$BL$300,MATCH(B237,'ei names mapping'!$A$137:$A$300,0),MATCH(G306,'ei names mapping'!$B$136:$BL$136,0))</f>
        <v>-7.6373593576640838E-6</v>
      </c>
      <c r="C306" t="str">
        <f>INDEX('ei names mapping'!$B$38:$BL$67,MATCH(B234,'ei names mapping'!$A$4:$A$33,0),MATCH(G306,'ei names mapping'!$B$3:$BL$3,0))</f>
        <v>RER</v>
      </c>
      <c r="D306" t="str">
        <f>INDEX('ei names mapping'!$B$104:$BL$133,MATCH(B234,'ei names mapping'!$A$4:$A$33,0),MATCH(G306,'ei names mapping'!$B$3:$BL$3,0))</f>
        <v>kilogram</v>
      </c>
      <c r="F306" t="s">
        <v>89</v>
      </c>
      <c r="G306" t="s">
        <v>29</v>
      </c>
      <c r="H306" t="str">
        <f>INDEX('ei names mapping'!$B$71:$BL$100,MATCH(B234,'ei names mapping'!$A$4:$A$33,0),MATCH(G306,'ei names mapping'!$B$3:$BL$3,0))</f>
        <v>road wear emissions, passenger car</v>
      </c>
    </row>
    <row r="307" spans="1:8" x14ac:dyDescent="0.2">
      <c r="A307" t="str">
        <f>INDEX('ei names mapping'!$B$4:$BL$33,MATCH(B234,'ei names mapping'!$A$4:$A$33,0),MATCH(G307,'ei names mapping'!$B$3:$BL$3,0))</f>
        <v>treatment of tyre wear emissions, passenger car</v>
      </c>
      <c r="B307" s="7">
        <f>INDEX('vehicles specifications'!$B$3:$CW$166,MATCH(B237,'vehicles specifications'!$A$3:$A$166,0),MATCH(G307,'vehicles specifications'!$B$2:$CW$2,0))*INDEX('ei names mapping'!$B$137:$BL$300,MATCH(B237,'ei names mapping'!$A$137:$A$300,0),MATCH(G307,'ei names mapping'!$B$136:$BL$136,0))</f>
        <v>-5.8650969734680398E-6</v>
      </c>
      <c r="C307" t="str">
        <f>INDEX('ei names mapping'!$B$38:$BL$67,MATCH(B234,'ei names mapping'!$A$4:$A$33,0),MATCH(G307,'ei names mapping'!$B$3:$BL$3,0))</f>
        <v>RER</v>
      </c>
      <c r="D307" t="str">
        <f>INDEX('ei names mapping'!$B$104:$BL$133,MATCH(B234,'ei names mapping'!$A$4:$A$33,0),MATCH(G307,'ei names mapping'!$B$3:$BL$3,0))</f>
        <v>kilogram</v>
      </c>
      <c r="F307" t="s">
        <v>89</v>
      </c>
      <c r="G307" t="s">
        <v>30</v>
      </c>
      <c r="H307" t="str">
        <f>INDEX('ei names mapping'!$B$71:$BL$100,MATCH(B234,'ei names mapping'!$A$4:$A$33,0),MATCH(G307,'ei names mapping'!$B$3:$BL$3,0))</f>
        <v>tyre wear emissions, passenger car</v>
      </c>
    </row>
    <row r="308" spans="1:8" x14ac:dyDescent="0.2">
      <c r="A308" t="str">
        <f>INDEX('ei names mapping'!$B$4:$BL$33,MATCH(B234,'ei names mapping'!$A$4:$A$33,0),MATCH(G308,'ei names mapping'!$B$3:$BL$3,0))</f>
        <v>treatment of brake wear emissions, passenger car</v>
      </c>
      <c r="B308" s="7">
        <f>INDEX('vehicles specifications'!$B$3:$CW$166,MATCH(B237,'vehicles specifications'!$A$3:$A$166,0),MATCH(G308,'vehicles specifications'!$B$2:$CW$2,0))*INDEX('ei names mapping'!$B$137:$BL$300,MATCH(B237,'ei names mapping'!$A$137:$A$300,0),MATCH(G308,'ei names mapping'!$B$136:$BL$136,0))</f>
        <v>-4.1951287868901756E-6</v>
      </c>
      <c r="C308" t="str">
        <f>INDEX('ei names mapping'!$B$38:$BL$67,MATCH(B234,'ei names mapping'!$A$4:$A$33,0),MATCH(G308,'ei names mapping'!$B$3:$BL$3,0))</f>
        <v>RER</v>
      </c>
      <c r="D308" t="str">
        <f>INDEX('ei names mapping'!$B$104:$BL$133,MATCH(B234,'ei names mapping'!$A$4:$A$33,0),MATCH(G308,'ei names mapping'!$B$3:$BL$3,0))</f>
        <v>kilogram</v>
      </c>
      <c r="F308" t="s">
        <v>89</v>
      </c>
      <c r="G308" t="s">
        <v>31</v>
      </c>
      <c r="H308" t="str">
        <f>INDEX('ei names mapping'!$B$71:$BL$100,MATCH(B234,'ei names mapping'!$A$4:$A$33,0),MATCH(G308,'ei names mapping'!$B$3:$BL$3,0))</f>
        <v>brake wear emissions, passenger car</v>
      </c>
    </row>
    <row r="310" spans="1:8" ht="16" x14ac:dyDescent="0.2">
      <c r="A310" s="10" t="s">
        <v>71</v>
      </c>
      <c r="B310" s="8" t="str">
        <f>"transport, "&amp;B312&amp;", "&amp;B314</f>
        <v>transport, Scooter, gasoline, 4-11kW, EURO-4, 2016</v>
      </c>
    </row>
    <row r="311" spans="1:8" x14ac:dyDescent="0.2">
      <c r="A311" t="s">
        <v>72</v>
      </c>
      <c r="B311" t="s">
        <v>37</v>
      </c>
    </row>
    <row r="312" spans="1:8" x14ac:dyDescent="0.2">
      <c r="A312" t="s">
        <v>86</v>
      </c>
      <c r="B312" t="s">
        <v>571</v>
      </c>
    </row>
    <row r="313" spans="1:8" x14ac:dyDescent="0.2">
      <c r="A313" t="s">
        <v>87</v>
      </c>
    </row>
    <row r="314" spans="1:8" x14ac:dyDescent="0.2">
      <c r="A314" t="s">
        <v>88</v>
      </c>
      <c r="B314">
        <v>2016</v>
      </c>
    </row>
    <row r="315" spans="1:8" x14ac:dyDescent="0.2">
      <c r="A315" t="s">
        <v>126</v>
      </c>
      <c r="B315" t="str">
        <f>B312&amp;" - "&amp;B314&amp;" - "&amp;B311</f>
        <v>Scooter, gasoline, 4-11kW, EURO-4 - 2016 - CH</v>
      </c>
    </row>
    <row r="316" spans="1:8" x14ac:dyDescent="0.2">
      <c r="A316" t="s">
        <v>73</v>
      </c>
      <c r="B316" t="str">
        <f>"transport, "&amp;B312</f>
        <v>transport, Scooter, gasoline, 4-11kW, EURO-4</v>
      </c>
    </row>
    <row r="317" spans="1:8" x14ac:dyDescent="0.2">
      <c r="A317" t="s">
        <v>74</v>
      </c>
      <c r="B317" t="s">
        <v>75</v>
      </c>
    </row>
    <row r="318" spans="1:8" x14ac:dyDescent="0.2">
      <c r="A318" t="s">
        <v>76</v>
      </c>
      <c r="B318" t="s">
        <v>166</v>
      </c>
    </row>
    <row r="319" spans="1:8" x14ac:dyDescent="0.2">
      <c r="A319" t="s">
        <v>78</v>
      </c>
      <c r="B319" t="s">
        <v>1143</v>
      </c>
    </row>
    <row r="320" spans="1:8" x14ac:dyDescent="0.2">
      <c r="A320" t="s">
        <v>127</v>
      </c>
      <c r="B320">
        <f>INDEX('vehicles specifications'!$B$3:$CW$166,MATCH(B315,'vehicles specifications'!$A$3:$A$166,0),MATCH("Lifetime [km]",'vehicles specifications'!$B$2:$CW$2,0))</f>
        <v>30000</v>
      </c>
    </row>
    <row r="321" spans="1:8" x14ac:dyDescent="0.2">
      <c r="A321" t="s">
        <v>128</v>
      </c>
      <c r="B321">
        <f>INDEX('vehicles specifications'!$B$3:$CW$166,MATCH(B315,'vehicles specifications'!$A$3:$A$166,0),MATCH("Passengers [unit]",'vehicles specifications'!$B$2:$CW$2,0))</f>
        <v>1</v>
      </c>
    </row>
    <row r="322" spans="1:8" x14ac:dyDescent="0.2">
      <c r="A322" t="s">
        <v>129</v>
      </c>
      <c r="B322">
        <f>INDEX('vehicles specifications'!$B$3:$CW$166,MATCH(B315,'vehicles specifications'!$A$3:$A$166,0),MATCH("Servicing [unit]",'vehicles specifications'!$B$2:$CW$2,0))</f>
        <v>1.2</v>
      </c>
    </row>
    <row r="323" spans="1:8" x14ac:dyDescent="0.2">
      <c r="A323" t="s">
        <v>130</v>
      </c>
      <c r="B323">
        <f>INDEX('vehicles specifications'!$B$3:$CW$166,MATCH(B315,'vehicles specifications'!$A$3:$A$166,0),MATCH("Energy battery replacement [unit]",'vehicles specifications'!$B$2:$CW$2,0))</f>
        <v>0</v>
      </c>
    </row>
    <row r="324" spans="1:8" x14ac:dyDescent="0.2">
      <c r="A324" t="s">
        <v>131</v>
      </c>
      <c r="B324">
        <f>INDEX('vehicles specifications'!$B$3:$CW$166,MATCH(B315,'vehicles specifications'!$A$3:$A$166,0),MATCH("Annual kilometers [km]",'vehicles specifications'!$B$2:$CW$2,0))</f>
        <v>1870</v>
      </c>
    </row>
    <row r="325" spans="1:8" x14ac:dyDescent="0.2">
      <c r="A325" t="s">
        <v>132</v>
      </c>
      <c r="B325" s="2">
        <f>INDEX('vehicles specifications'!$B$3:$CW$166,MATCH(B315,'vehicles specifications'!$A$3:$A$166,0),MATCH("Curb mass [kg]",'vehicles specifications'!$B$2:$CW$2,0))</f>
        <v>131.16249999999999</v>
      </c>
    </row>
    <row r="326" spans="1:8" x14ac:dyDescent="0.2">
      <c r="A326" t="s">
        <v>133</v>
      </c>
      <c r="B326">
        <f>INDEX('vehicles specifications'!$B$3:$CW$166,MATCH(B315,'vehicles specifications'!$A$3:$A$166,0),MATCH("Power [kW]",'vehicles specifications'!$B$2:$CW$2,0))</f>
        <v>8.8000000000000007</v>
      </c>
    </row>
    <row r="327" spans="1:8" x14ac:dyDescent="0.2">
      <c r="A327" t="s">
        <v>134</v>
      </c>
      <c r="B327" t="str">
        <f>INDEX('vehicles specifications'!$B$3:$CW$166,MATCH(B315,'vehicles specifications'!$A$3:$A$166,0),MATCH("Energy battery mass [kg]",'vehicles specifications'!$B$2:$CW$2,0))</f>
        <v/>
      </c>
    </row>
    <row r="328" spans="1:8" x14ac:dyDescent="0.2">
      <c r="A328" t="s">
        <v>135</v>
      </c>
      <c r="B328">
        <f>INDEX('vehicles specifications'!$B$3:$CW$166,MATCH(B315,'vehicles specifications'!$A$3:$A$166,0),MATCH("Electric energy available [kWh]",'vehicles specifications'!$B$2:$CW$2,0))</f>
        <v>0</v>
      </c>
    </row>
    <row r="329" spans="1:8" x14ac:dyDescent="0.2">
      <c r="A329" t="s">
        <v>138</v>
      </c>
      <c r="B329" s="2">
        <f>INDEX('vehicles specifications'!$B$3:$CW$166,MATCH(B315,'vehicles specifications'!$A$3:$A$166,0),MATCH("Oxydation energy stored [kWh]",'vehicles specifications'!$B$2:$CW$2,0))</f>
        <v>79.875</v>
      </c>
    </row>
    <row r="330" spans="1:8" x14ac:dyDescent="0.2">
      <c r="A330" t="s">
        <v>139</v>
      </c>
      <c r="B330">
        <f>INDEX('vehicles specifications'!$B$3:$CW$166,MATCH(B315,'vehicles specifications'!$A$3:$A$166,0),MATCH("Fuel mass [kg]",'vehicles specifications'!$B$2:$CW$2,0))</f>
        <v>6.75</v>
      </c>
    </row>
    <row r="331" spans="1:8" x14ac:dyDescent="0.2">
      <c r="A331" t="s">
        <v>136</v>
      </c>
      <c r="B331" s="2">
        <f>INDEX('vehicles specifications'!$B$3:$CW$166,MATCH(B315,'vehicles specifications'!$A$3:$A$166,0),MATCH("Range [km]",'vehicles specifications'!$B$2:$CW$2,0))</f>
        <v>274.46263878700836</v>
      </c>
    </row>
    <row r="332" spans="1:8" x14ac:dyDescent="0.2">
      <c r="A332" t="s">
        <v>137</v>
      </c>
      <c r="B332" t="str">
        <f>INDEX('vehicles specifications'!$B$3:$CW$166,MATCH(B315,'vehicles specifications'!$A$3:$A$166,0),MATCH("Emission standard",'vehicles specifications'!$B$2:$CW$2,0))</f>
        <v>EURO-4</v>
      </c>
    </row>
    <row r="333" spans="1:8" x14ac:dyDescent="0.2">
      <c r="A333" t="s">
        <v>1174</v>
      </c>
      <c r="B333" s="6">
        <f>INDEX('vehicles specifications'!$B$3:$CW$166,MATCH(B315,'vehicles specifications'!$A$3:$A$166,0),MATCH("Lightweighting rate [%]",'vehicles specifications'!$B$2:$CW$2,0))</f>
        <v>-0.02</v>
      </c>
    </row>
    <row r="334" spans="1:8" x14ac:dyDescent="0.2">
      <c r="A334" t="s">
        <v>83</v>
      </c>
      <c r="B334" t="str">
        <f>"Power: "&amp;B326&amp;" kW. Lifetime: "&amp;B320&amp;" km. Annual kilometers: "&amp;B324&amp;" km. Number of passengers: "&amp;B321&amp;". Curb mass: "&amp;ROUND(B325,1)&amp;" kg. Lightweighting of glider: "&amp;ROUND(B333*100,0)&amp;"%. Emission standard: "&amp;B332&amp;". Service visits throughout lifetime: "&amp;ROUND(B322,1)&amp;". Range: "&amp;ROUND(B331,0)&amp;" km. Fuel tank capacity: "&amp;ROUND(B329,1)&amp;" kWh. Fuel mass: "&amp;ROUND(B330,1)&amp;" kg. Documentation: "&amp;Readmefirst!$B$2&amp;", "&amp;Readmefirst!$B$3&amp;". "&amp;B319</f>
        <v>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v>
      </c>
    </row>
    <row r="335" spans="1:8" ht="16" x14ac:dyDescent="0.2">
      <c r="A335" s="10" t="s">
        <v>79</v>
      </c>
    </row>
    <row r="336" spans="1:8" x14ac:dyDescent="0.2">
      <c r="A336" t="s">
        <v>80</v>
      </c>
      <c r="B336" t="s">
        <v>81</v>
      </c>
      <c r="C336" t="s">
        <v>72</v>
      </c>
      <c r="D336" t="s">
        <v>76</v>
      </c>
      <c r="E336" t="s">
        <v>82</v>
      </c>
      <c r="F336" t="s">
        <v>74</v>
      </c>
      <c r="G336" t="s">
        <v>83</v>
      </c>
      <c r="H336" t="s">
        <v>73</v>
      </c>
    </row>
    <row r="337" spans="1:8" x14ac:dyDescent="0.2">
      <c r="A337" t="str">
        <f>B310</f>
        <v>transport, Scooter, gasoline, 4-11kW, EURO-4, 2016</v>
      </c>
      <c r="B337">
        <v>1</v>
      </c>
      <c r="C337" t="str">
        <f>B311</f>
        <v>CH</v>
      </c>
      <c r="D337" t="s">
        <v>166</v>
      </c>
      <c r="F337" t="s">
        <v>84</v>
      </c>
      <c r="G337" t="s">
        <v>85</v>
      </c>
      <c r="H337" t="str">
        <f>B316</f>
        <v>transport, Scooter, gasoline, 4-11kW, EURO-4</v>
      </c>
    </row>
    <row r="338" spans="1:8" x14ac:dyDescent="0.2">
      <c r="A338" t="str">
        <f>RIGHT(A337,LEN(A337)-11)</f>
        <v>Scooter, gasoline, 4-11kW, EURO-4, 2016</v>
      </c>
      <c r="B338" s="7">
        <f>1/B320</f>
        <v>3.3333333333333335E-5</v>
      </c>
      <c r="C338" t="str">
        <f>B311</f>
        <v>CH</v>
      </c>
      <c r="D338" t="s">
        <v>76</v>
      </c>
      <c r="F338" t="s">
        <v>89</v>
      </c>
      <c r="H338" t="str">
        <f>RIGHT(H337,LEN(H337)-11)</f>
        <v>Scooter, gasoline, 4-11kW, EURO-4</v>
      </c>
    </row>
    <row r="339" spans="1:8" x14ac:dyDescent="0.2">
      <c r="A339" t="str">
        <f>INDEX('ei names mapping'!$B$4:$R$33,MATCH(B312,'ei names mapping'!$A$4:$A$33,0),MATCH(G339,'ei names mapping'!$B$3:$R$3,0))</f>
        <v>road construction</v>
      </c>
      <c r="B339" s="7">
        <f>INDEX('vehicles specifications'!$B$3:$CW$166,MATCH(B315,'vehicles specifications'!$A$3:$A$166,0),MATCH(G339,'vehicles specifications'!$B$2:$CW$2,0))*INDEX('ei names mapping'!$B$137:$BL$300,MATCH(B315,'ei names mapping'!$A$137:$A$300,0),MATCH(G339,'ei names mapping'!$B$136:$BL$136,0))</f>
        <v>1.128572625E-4</v>
      </c>
      <c r="C339" t="str">
        <f>INDEX('ei names mapping'!$B$38:$R$67,MATCH(B312,'ei names mapping'!$A$4:$A$33,0),MATCH(G339,'ei names mapping'!$B$3:$R$3,0))</f>
        <v>CH</v>
      </c>
      <c r="D339" t="str">
        <f>INDEX('ei names mapping'!$B$104:$BL$133,MATCH(B312,'ei names mapping'!$A$4:$A$33,0),MATCH(G339,'ei names mapping'!$B$3:$BL$3,0))</f>
        <v>meter-year</v>
      </c>
      <c r="F339" t="s">
        <v>89</v>
      </c>
      <c r="G339" t="s">
        <v>105</v>
      </c>
      <c r="H339" t="str">
        <f>INDEX('ei names mapping'!$B$71:$BL$100,MATCH(B312,'ei names mapping'!$A$4:$A$33,0),MATCH(G339,'ei names mapping'!$B$3:$BL$3,0))</f>
        <v>road</v>
      </c>
    </row>
    <row r="340" spans="1:8" x14ac:dyDescent="0.2">
      <c r="A340" t="str">
        <f>INDEX('ei names mapping'!$B$4:$R$33,MATCH(B312,'ei names mapping'!$A$4:$A$33,0),MATCH(G340,'ei names mapping'!$B$3:$R$3,0))</f>
        <v>road maintenance</v>
      </c>
      <c r="B340" s="7">
        <f>INDEX('vehicles specifications'!$B$3:$CW$166,MATCH(B315,'vehicles specifications'!$A$3:$A$166,0),MATCH(G340,'vehicles specifications'!$B$2:$CW$2,0))*INDEX('ei names mapping'!$B$137:$BL$300,MATCH(B315,'ei names mapping'!$A$137:$A$300,0),MATCH(G340,'ei names mapping'!$B$136:$BL$136,0))</f>
        <v>1.2899999999999999E-3</v>
      </c>
      <c r="C340" t="str">
        <f>INDEX('ei names mapping'!$B$38:$R$67,MATCH(B312,'ei names mapping'!$A$4:$A$33,0),MATCH(G340,'ei names mapping'!$B$3:$R$3,0))</f>
        <v>CH</v>
      </c>
      <c r="D340" t="str">
        <f>INDEX('ei names mapping'!$B$104:$BL$133,MATCH(B312,'ei names mapping'!$A$4:$A$33,0),MATCH(G340,'ei names mapping'!$B$3:$BL$3,0))</f>
        <v>meter-year</v>
      </c>
      <c r="F340" t="s">
        <v>89</v>
      </c>
      <c r="G340" t="s">
        <v>112</v>
      </c>
      <c r="H340" t="str">
        <f>INDEX('ei names mapping'!$B$71:$BL$100,MATCH(B312,'ei names mapping'!$A$4:$A$33,0),MATCH(G340,'ei names mapping'!$B$3:$BL$3,0))</f>
        <v>road maintenance</v>
      </c>
    </row>
    <row r="341" spans="1:8" x14ac:dyDescent="0.2">
      <c r="A341" t="str">
        <f>INDEX('ei names mapping'!$B$4:$R$33,MATCH(B312,'ei names mapping'!$A$4:$A$33,0),MATCH(G341,'ei names mapping'!$B$3:$R$3,0))</f>
        <v>maintenance, motor scooter</v>
      </c>
      <c r="B341" s="7">
        <f>INDEX('vehicles specifications'!$B$3:$CW$166,MATCH(B315,'vehicles specifications'!$A$3:$A$166,0),MATCH(G341,'vehicles specifications'!$B$2:$CW$2,0))*INDEX('ei names mapping'!$B$137:$BL$300,MATCH(B315,'ei names mapping'!$A$137:$A$300,0),MATCH(G341,'ei names mapping'!$B$136:$BL$136,0))</f>
        <v>4.0000000000000003E-5</v>
      </c>
      <c r="C341" t="str">
        <f>INDEX('ei names mapping'!$B$38:$BL$67,MATCH(B312,'ei names mapping'!$A$4:$A$33,0),MATCH(G341,'ei names mapping'!$B$3:$BL$3,0))</f>
        <v>CH</v>
      </c>
      <c r="D341" t="str">
        <f>INDEX('ei names mapping'!$B$104:$BL$133,MATCH(B312,'ei names mapping'!$A$4:$A$33,0),MATCH(G341,'ei names mapping'!$B$3:$BL$3,0))</f>
        <v>unit</v>
      </c>
      <c r="F341" t="s">
        <v>89</v>
      </c>
      <c r="G341" t="s">
        <v>118</v>
      </c>
      <c r="H341" t="str">
        <f>INDEX('ei names mapping'!$B$71:$BL$100,MATCH(B312,'ei names mapping'!$A$4:$A$33,0),MATCH(G341,'ei names mapping'!$B$3:$BL$3,0))</f>
        <v>maintenance, motor scooter</v>
      </c>
    </row>
    <row r="342" spans="1:8" x14ac:dyDescent="0.2">
      <c r="A342" t="str">
        <f>INDEX('ei names mapping'!$B$4:$R$33,MATCH(B312,'ei names mapping'!$A$4:$A$33,0),MATCH(G342,'ei names mapping'!$B$3:$R$3,0))</f>
        <v>fuel supply for gasoline vehicles</v>
      </c>
      <c r="B342" s="7">
        <f>INDEX('vehicles specifications'!$B$3:$CW$166,MATCH(B315,'vehicles specifications'!$A$3:$A$166,0),MATCH(G342,'vehicles specifications'!$B$2:$CW$2,0))*INDEX('ei names mapping'!$B$137:$BL$300,MATCH(B315,'ei names mapping'!$A$137:$A$300,0),MATCH(G342,'ei names mapping'!$B$136:$BL$136,0))</f>
        <v>2.459351126926318E-2</v>
      </c>
      <c r="C342" t="str">
        <f>INDEX('ei names mapping'!$B$38:$BL$67,MATCH(B312,'ei names mapping'!$A$4:$A$33,0),MATCH(G342,'ei names mapping'!$B$3:$BL$3,0))</f>
        <v>CH</v>
      </c>
      <c r="D342" t="str">
        <f>INDEX('ei names mapping'!$B$104:$BL$133,MATCH(B312,'ei names mapping'!$A$4:$A$33,0),MATCH(G342,'ei names mapping'!$B$3:$BL$3,0))</f>
        <v>kilogram</v>
      </c>
      <c r="F342" t="s">
        <v>89</v>
      </c>
      <c r="G342" t="s">
        <v>27</v>
      </c>
      <c r="H342" t="str">
        <f>INDEX('ei names mapping'!$B$71:$BL$100,MATCH(B312,'ei names mapping'!$A$4:$A$33,0),MATCH(G342,'ei names mapping'!$B$3:$BL$3,0))</f>
        <v>gasoline blend</v>
      </c>
    </row>
    <row r="343" spans="1:8" x14ac:dyDescent="0.2">
      <c r="A343" t="str">
        <f>INDEX('ei names mapping'!$B$4:$BL$33,MATCH(B312,'ei names mapping'!$A$4:$A$33,0),MATCH(G343,'ei names mapping'!$B$3:$BL$3,0))</f>
        <v>Carbon dioxide, fossil</v>
      </c>
      <c r="B343" s="11">
        <f>INDEX('vehicles specifications'!$B$3:$CW$166,MATCH(B315,'vehicles specifications'!$A$3:$A$166,0),MATCH(G343,'vehicles specifications'!$B$2:$CW$2,0))*INDEX('ei names mapping'!$B$137:$BL$300,MATCH(B315,'ei names mapping'!$A$137:$A$300,0),MATCH(G343,'ei names mapping'!$B$136:$BL$136,0))</f>
        <v>7.6296941880860544E-2</v>
      </c>
      <c r="D343" t="str">
        <f>INDEX('ei names mapping'!$B$104:$BL$133,MATCH(B312,'ei names mapping'!$A$4:$A$33,0),MATCH(G343,'ei names mapping'!$B$3:$BL$3,0))</f>
        <v>kilogram</v>
      </c>
      <c r="E343" t="str">
        <f>INDEX('ei names mapping'!$B$305:$BL$335,MATCH(B312,'ei names mapping'!$A$4:$A$33,0),MATCH(G343,'ei names mapping'!$B$3:$BL$3,0))</f>
        <v>air::urban air close to ground</v>
      </c>
      <c r="F343" t="s">
        <v>167</v>
      </c>
      <c r="G343" t="s">
        <v>66</v>
      </c>
    </row>
    <row r="344" spans="1:8" x14ac:dyDescent="0.2">
      <c r="A344" t="str">
        <f>INDEX('ei names mapping'!$B$4:$BL$33,MATCH(B312,'ei names mapping'!$A$4:$A$33,0),MATCH(G344,'ei names mapping'!$B$3:$BL$3,0))</f>
        <v>Carbon dioxide, from soil or biomass stock</v>
      </c>
      <c r="B344" s="11">
        <f>INDEX('vehicles specifications'!$B$3:$CW$166,MATCH(B315,'vehicles specifications'!$A$3:$A$166,0),MATCH(G344,'vehicles specifications'!$B$2:$CW$2,0))*INDEX('ei names mapping'!$B$137:$BL$300,MATCH(B315,'ei names mapping'!$A$137:$A$300,0),MATCH(G344,'ei names mapping'!$B$136:$BL$136,0))</f>
        <v>9.2668350462583665E-4</v>
      </c>
      <c r="D344" t="str">
        <f>INDEX('ei names mapping'!$B$104:$BL$133,MATCH(B312,'ei names mapping'!$A$4:$A$33,0),MATCH(G344,'ei names mapping'!$B$3:$BL$3,0))</f>
        <v>kilogram</v>
      </c>
      <c r="E344" t="str">
        <f>INDEX('ei names mapping'!$B$305:$BL$335,MATCH(B312,'ei names mapping'!$A$4:$A$33,0),MATCH(G344,'ei names mapping'!$B$3:$BL$3,0))</f>
        <v>air::urban air close to ground</v>
      </c>
      <c r="F344" t="s">
        <v>167</v>
      </c>
      <c r="G344" t="s">
        <v>843</v>
      </c>
    </row>
    <row r="345" spans="1:8" x14ac:dyDescent="0.2">
      <c r="A345" t="str">
        <f>INDEX('ei names mapping'!$B$4:$BL$33,MATCH(B312,'ei names mapping'!$A$4:$A$33,0),MATCH(G345,'ei names mapping'!$B$3:$BL$3,0))</f>
        <v>Sulfur dioxide</v>
      </c>
      <c r="B345" s="7">
        <f>INDEX('vehicles specifications'!$B$3:$CW$166,MATCH(B315,'vehicles specifications'!$A$3:$A$166,0),MATCH(G345,'vehicles specifications'!$B$2:$CW$2,0))*INDEX('ei names mapping'!$B$137:$BL$300,MATCH(B315,'ei names mapping'!$A$137:$A$300,0),MATCH(G345,'ei names mapping'!$B$136:$BL$136,0))</f>
        <v>3.9349618030821087E-7</v>
      </c>
      <c r="D345" t="str">
        <f>INDEX('ei names mapping'!$B$104:$BL$133,MATCH(B312,'ei names mapping'!$A$4:$A$33,0),MATCH(G345,'ei names mapping'!$B$3:$BL$3,0))</f>
        <v>kilogram</v>
      </c>
      <c r="E345" t="str">
        <f>INDEX('ei names mapping'!$B$305:$BL$335,MATCH(B312,'ei names mapping'!$A$4:$A$33,0),MATCH(G345,'ei names mapping'!$B$3:$BL$3,0))</f>
        <v>air::urban air close to ground</v>
      </c>
      <c r="F345" t="s">
        <v>167</v>
      </c>
      <c r="G345" t="s">
        <v>67</v>
      </c>
    </row>
    <row r="346" spans="1:8" x14ac:dyDescent="0.2">
      <c r="A346" t="str">
        <f>INDEX('ei names mapping'!$B$4:$BL$33,MATCH(B312,'ei names mapping'!$A$4:$A$33,0),MATCH(G346,'ei names mapping'!$B$3:$BL$3,0))</f>
        <v>Benzene</v>
      </c>
      <c r="B346" s="7">
        <f>INDEX('vehicles specifications'!$B$3:$CW$166,MATCH(B315,'vehicles specifications'!$A$3:$A$166,0),MATCH(G346,'vehicles specifications'!$B$2:$CW$2,0))*INDEX('ei names mapping'!$B$137:$BL$300,MATCH(B315,'ei names mapping'!$A$137:$A$300,0),MATCH(G346,'ei names mapping'!$B$136:$BL$136,0))</f>
        <v>3.7804648655641067E-5</v>
      </c>
      <c r="D346" t="str">
        <f>INDEX('ei names mapping'!$B$104:$BL$133,MATCH(B312,'ei names mapping'!$A$4:$A$33,0),MATCH(G346,'ei names mapping'!$B$3:$BL$3,0))</f>
        <v>kilogram</v>
      </c>
      <c r="E346" t="str">
        <f>INDEX('ei names mapping'!$B$305:$BL$335,MATCH(B312,'ei names mapping'!$A$4:$A$33,0),MATCH(G346,'ei names mapping'!$B$3:$BL$3,0))</f>
        <v>air::urban air close to ground</v>
      </c>
      <c r="F346" t="s">
        <v>167</v>
      </c>
      <c r="G346" t="s">
        <v>55</v>
      </c>
    </row>
    <row r="347" spans="1:8" x14ac:dyDescent="0.2">
      <c r="A347" t="str">
        <f>INDEX('ei names mapping'!$B$4:$BL$33,MATCH(B312,'ei names mapping'!$A$4:$A$33,0),MATCH(G347,'ei names mapping'!$B$3:$BL$3,0))</f>
        <v>Methane, fossil</v>
      </c>
      <c r="B347" s="7">
        <f>INDEX('vehicles specifications'!$B$3:$CW$166,MATCH(B315,'vehicles specifications'!$A$3:$A$166,0),MATCH(G347,'vehicles specifications'!$B$2:$CW$2,0))*INDEX('ei names mapping'!$B$137:$BL$300,MATCH(B315,'ei names mapping'!$A$137:$A$300,0),MATCH(G347,'ei names mapping'!$B$136:$BL$136,0))</f>
        <v>2.8884122543618082E-5</v>
      </c>
      <c r="D347" t="str">
        <f>INDEX('ei names mapping'!$B$104:$BL$133,MATCH(B312,'ei names mapping'!$A$4:$A$33,0),MATCH(G347,'ei names mapping'!$B$3:$BL$3,0))</f>
        <v>kilogram</v>
      </c>
      <c r="E347" t="str">
        <f>INDEX('ei names mapping'!$B$305:$BL$335,MATCH(B312,'ei names mapping'!$A$4:$A$33,0),MATCH(G347,'ei names mapping'!$B$3:$BL$3,0))</f>
        <v>air::urban air close to ground</v>
      </c>
      <c r="F347" t="s">
        <v>167</v>
      </c>
      <c r="G347" t="s">
        <v>56</v>
      </c>
    </row>
    <row r="348" spans="1:8" x14ac:dyDescent="0.2">
      <c r="A348" t="str">
        <f>INDEX('ei names mapping'!$B$4:$BL$33,MATCH(B312,'ei names mapping'!$A$4:$A$33,0),MATCH(G348,'ei names mapping'!$B$3:$BL$3,0))</f>
        <v>Carbon monoxide, fossil</v>
      </c>
      <c r="B348" s="7">
        <f>INDEX('vehicles specifications'!$B$3:$CW$166,MATCH(B315,'vehicles specifications'!$A$3:$A$166,0),MATCH(G348,'vehicles specifications'!$B$2:$CW$2,0))*INDEX('ei names mapping'!$B$137:$BL$300,MATCH(B315,'ei names mapping'!$A$137:$A$300,0),MATCH(G348,'ei names mapping'!$B$136:$BL$136,0))</f>
        <v>3.383929830422446E-3</v>
      </c>
      <c r="D348" t="str">
        <f>INDEX('ei names mapping'!$B$104:$BL$133,MATCH(B312,'ei names mapping'!$A$4:$A$33,0),MATCH(G348,'ei names mapping'!$B$3:$BL$3,0))</f>
        <v>kilogram</v>
      </c>
      <c r="E348" t="str">
        <f>INDEX('ei names mapping'!$B$305:$BL$335,MATCH(B312,'ei names mapping'!$A$4:$A$33,0),MATCH(G348,'ei names mapping'!$B$3:$BL$3,0))</f>
        <v>air::urban air close to ground</v>
      </c>
      <c r="F348" t="s">
        <v>167</v>
      </c>
      <c r="G348" t="s">
        <v>57</v>
      </c>
    </row>
    <row r="349" spans="1:8" x14ac:dyDescent="0.2">
      <c r="A349" t="str">
        <f>INDEX('ei names mapping'!$B$4:$BL$33,MATCH(B312,'ei names mapping'!$A$4:$A$33,0),MATCH(G349,'ei names mapping'!$B$3:$BL$3,0))</f>
        <v>Dinitrogen monoxide</v>
      </c>
      <c r="B349" s="7">
        <f>INDEX('vehicles specifications'!$B$3:$CW$166,MATCH(B315,'vehicles specifications'!$A$3:$A$166,0),MATCH(G349,'vehicles specifications'!$B$2:$CW$2,0))*INDEX('ei names mapping'!$B$137:$BL$300,MATCH(B315,'ei names mapping'!$A$137:$A$300,0),MATCH(G349,'ei names mapping'!$B$136:$BL$136,0))</f>
        <v>1.465455227986712E-6</v>
      </c>
      <c r="D349" t="str">
        <f>INDEX('ei names mapping'!$B$104:$BL$133,MATCH(B312,'ei names mapping'!$A$4:$A$33,0),MATCH(G349,'ei names mapping'!$B$3:$BL$3,0))</f>
        <v>kilogram</v>
      </c>
      <c r="E349" t="str">
        <f>INDEX('ei names mapping'!$B$305:$BL$335,MATCH(B312,'ei names mapping'!$A$4:$A$33,0),MATCH(G349,'ei names mapping'!$B$3:$BL$3,0))</f>
        <v>air::urban air close to ground</v>
      </c>
      <c r="F349" t="s">
        <v>167</v>
      </c>
      <c r="G349" t="s">
        <v>58</v>
      </c>
    </row>
    <row r="350" spans="1:8" x14ac:dyDescent="0.2">
      <c r="A350" t="str">
        <f>INDEX('ei names mapping'!$B$4:$BL$33,MATCH(B312,'ei names mapping'!$A$4:$A$33,0),MATCH(G350,'ei names mapping'!$B$3:$BL$3,0))</f>
        <v>Ammonia</v>
      </c>
      <c r="B350" s="7">
        <f>INDEX('vehicles specifications'!$B$3:$CW$166,MATCH(B315,'vehicles specifications'!$A$3:$A$166,0),MATCH(G350,'vehicles specifications'!$B$2:$CW$2,0))*INDEX('ei names mapping'!$B$137:$BL$300,MATCH(B315,'ei names mapping'!$A$137:$A$300,0),MATCH(G350,'ei names mapping'!$B$136:$BL$136,0))</f>
        <v>1.465455227986712E-6</v>
      </c>
      <c r="D350" t="str">
        <f>INDEX('ei names mapping'!$B$104:$BL$133,MATCH(B312,'ei names mapping'!$A$4:$A$33,0),MATCH(G350,'ei names mapping'!$B$3:$BL$3,0))</f>
        <v>kilogram</v>
      </c>
      <c r="E350" t="str">
        <f>INDEX('ei names mapping'!$B$305:$BL$335,MATCH(B312,'ei names mapping'!$A$4:$A$33,0),MATCH(G350,'ei names mapping'!$B$3:$BL$3,0))</f>
        <v>air::urban air close to ground</v>
      </c>
      <c r="F350" t="s">
        <v>167</v>
      </c>
      <c r="G350" t="s">
        <v>59</v>
      </c>
    </row>
    <row r="351" spans="1:8" x14ac:dyDescent="0.2">
      <c r="A351" t="str">
        <f>INDEX('ei names mapping'!$B$4:$BL$33,MATCH(B312,'ei names mapping'!$A$4:$A$33,0),MATCH(G351,'ei names mapping'!$B$3:$BL$3,0))</f>
        <v>Nitrogen oxides</v>
      </c>
      <c r="B351" s="7">
        <f>INDEX('vehicles specifications'!$B$3:$CW$166,MATCH(B315,'vehicles specifications'!$A$3:$A$166,0),MATCH(G351,'vehicles specifications'!$B$2:$CW$2,0))*INDEX('ei names mapping'!$B$137:$BL$300,MATCH(B315,'ei names mapping'!$A$137:$A$300,0),MATCH(G351,'ei names mapping'!$B$136:$BL$136,0))</f>
        <v>1.0989552634931646E-4</v>
      </c>
      <c r="D351" t="str">
        <f>INDEX('ei names mapping'!$B$104:$BL$133,MATCH(B312,'ei names mapping'!$A$4:$A$33,0),MATCH(G351,'ei names mapping'!$B$3:$BL$3,0))</f>
        <v>kilogram</v>
      </c>
      <c r="E351" t="str">
        <f>INDEX('ei names mapping'!$B$305:$BL$335,MATCH(B312,'ei names mapping'!$A$4:$A$33,0),MATCH(G351,'ei names mapping'!$B$3:$BL$3,0))</f>
        <v>air::urban air close to ground</v>
      </c>
      <c r="F351" t="s">
        <v>167</v>
      </c>
      <c r="G351" t="s">
        <v>60</v>
      </c>
    </row>
    <row r="352" spans="1:8" x14ac:dyDescent="0.2">
      <c r="A352" t="str">
        <f>INDEX('ei names mapping'!$B$4:$BL$33,MATCH(B312,'ei names mapping'!$A$4:$A$33,0),MATCH(G352,'ei names mapping'!$B$3:$BL$3,0))</f>
        <v>Particulates, &lt; 2.5 um</v>
      </c>
      <c r="B352" s="7">
        <f>INDEX('vehicles specifications'!$B$3:$CW$166,MATCH(B$315,'vehicles specifications'!$A$3:$A$166,0),MATCH(G352,'vehicles specifications'!$B$2:$CW$2,0))*INDEX('ei names mapping'!$B$137:$BL$300,MATCH(B$315,'ei names mapping'!$A$137:$A$300,0),MATCH(G352,'ei names mapping'!$B$136:$BL$136,0))</f>
        <v>3.2870160763741949E-6</v>
      </c>
      <c r="D352" t="str">
        <f>INDEX('ei names mapping'!$B$104:$BL$133,MATCH(B312,'ei names mapping'!$A$4:$A$33,0),MATCH(G352,'ei names mapping'!$B$3:$BL$3,0))</f>
        <v>kilogram</v>
      </c>
      <c r="E352" t="str">
        <f>INDEX('ei names mapping'!$B$305:$BL$335,MATCH(B312,'ei names mapping'!$A$4:$A$33,0),MATCH(G352,'ei names mapping'!$B$3:$BL$3,0))</f>
        <v>air::urban air close to ground</v>
      </c>
      <c r="F352" t="s">
        <v>167</v>
      </c>
      <c r="G352" t="s">
        <v>62</v>
      </c>
    </row>
    <row r="353" spans="1:7" x14ac:dyDescent="0.2">
      <c r="A353" t="str">
        <f>INDEX('ei names mapping'!$B$4:$BL$33,MATCH(B$234,'ei names mapping'!$A$4:$A$33,0),MATCH(G353,'ei names mapping'!$B$3:$BL$3,0))</f>
        <v>NMVOC, non-methane volatile organic compounds, unspecified origin</v>
      </c>
      <c r="B353" s="7">
        <f>INDEX('vehicles specifications'!$B$3:$CW$166,MATCH(B$315,'vehicles specifications'!$A$3:$A$166,0),MATCH(G353,'vehicles specifications'!$B$2:$CW$2,0))*INDEX('ei names mapping'!$B$137:$BL$300,MATCH(B$315,'ei names mapping'!$A$137:$A$300,0),MATCH(G353,'ei names mapping'!$B$136:$BL$136,0))</f>
        <v>3.0486315600377939E-4</v>
      </c>
      <c r="D353" t="str">
        <f>INDEX('ei names mapping'!$B$104:$BL$133,MATCH(B$234,'ei names mapping'!$A$4:$A$33,0),MATCH(G353,'ei names mapping'!$B$3:$BL$3,0))</f>
        <v>kilogram</v>
      </c>
      <c r="E353" t="str">
        <f>INDEX('ei names mapping'!$B$305:$BL$335,MATCH(B$234,'ei names mapping'!$A$4:$A$33,0),MATCH(G353,'ei names mapping'!$B$3:$BL$3,0))</f>
        <v>air::urban air close to ground</v>
      </c>
      <c r="F353" t="s">
        <v>167</v>
      </c>
      <c r="G353" t="s">
        <v>593</v>
      </c>
    </row>
    <row r="354" spans="1:7" x14ac:dyDescent="0.2">
      <c r="A354" t="str">
        <f>INDEX('ei names mapping'!$B$4:$BL$33,MATCH(B$234,'ei names mapping'!$A$4:$A$33,0),MATCH(G354,'ei names mapping'!$B$3:$BL$3,0))</f>
        <v>Ethane</v>
      </c>
      <c r="B354" s="7">
        <f>INDEX('vehicles specifications'!$B$3:$CW$166,MATCH(B$315,'vehicles specifications'!$A$3:$A$166,0),MATCH(G354,'vehicles specifications'!$B$2:$CW$2,0))*INDEX('ei names mapping'!$B$137:$BL$300,MATCH(B$315,'ei names mapping'!$A$137:$A$300,0),MATCH(G354,'ei names mapping'!$B$136:$BL$136,0))</f>
        <v>2.1496761000266487E-5</v>
      </c>
      <c r="D354" t="str">
        <f>INDEX('ei names mapping'!$B$104:$BL$133,MATCH(B$234,'ei names mapping'!$A$4:$A$33,0),MATCH(G354,'ei names mapping'!$B$3:$BL$3,0))</f>
        <v>kilogram</v>
      </c>
      <c r="E354" t="str">
        <f>INDEX('ei names mapping'!$B$305:$BL$335,MATCH(B$234,'ei names mapping'!$A$4:$A$33,0),MATCH(G354,'ei names mapping'!$B$3:$BL$3,0))</f>
        <v>air::urban air close to ground</v>
      </c>
      <c r="F354" t="s">
        <v>167</v>
      </c>
      <c r="G354" t="s">
        <v>541</v>
      </c>
    </row>
    <row r="355" spans="1:7" x14ac:dyDescent="0.2">
      <c r="A355" t="str">
        <f>INDEX('ei names mapping'!$B$4:$BL$33,MATCH(B$234,'ei names mapping'!$A$4:$A$33,0),MATCH(G355,'ei names mapping'!$B$3:$BL$3,0))</f>
        <v>Propane</v>
      </c>
      <c r="B355" s="7">
        <f>INDEX('vehicles specifications'!$B$3:$CW$166,MATCH(B$315,'vehicles specifications'!$A$3:$A$166,0),MATCH(G355,'vehicles specifications'!$B$2:$CW$2,0))*INDEX('ei names mapping'!$B$137:$BL$300,MATCH(B$315,'ei names mapping'!$A$137:$A$300,0),MATCH(G355,'ei names mapping'!$B$136:$BL$136,0))</f>
        <v>4.3802177586749907E-6</v>
      </c>
      <c r="D355" t="str">
        <f>INDEX('ei names mapping'!$B$104:$BL$133,MATCH(B$234,'ei names mapping'!$A$4:$A$33,0),MATCH(G355,'ei names mapping'!$B$3:$BL$3,0))</f>
        <v>kilogram</v>
      </c>
      <c r="E355" t="str">
        <f>INDEX('ei names mapping'!$B$305:$BL$335,MATCH(B$234,'ei names mapping'!$A$4:$A$33,0),MATCH(G355,'ei names mapping'!$B$3:$BL$3,0))</f>
        <v>air::urban air close to ground</v>
      </c>
      <c r="F355" t="s">
        <v>167</v>
      </c>
      <c r="G355" t="s">
        <v>542</v>
      </c>
    </row>
    <row r="356" spans="1:7" x14ac:dyDescent="0.2">
      <c r="A356" t="str">
        <f>INDEX('ei names mapping'!$B$4:$BL$33,MATCH(B$234,'ei names mapping'!$A$4:$A$33,0),MATCH(G356,'ei names mapping'!$B$3:$BL$3,0))</f>
        <v>Butane</v>
      </c>
      <c r="B356" s="7">
        <f>INDEX('vehicles specifications'!$B$3:$CW$166,MATCH(B$315,'vehicles specifications'!$A$3:$A$166,0),MATCH(G356,'vehicles specifications'!$B$2:$CW$2,0))*INDEX('ei names mapping'!$B$137:$BL$300,MATCH(B$315,'ei names mapping'!$A$137:$A$300,0),MATCH(G356,'ei names mapping'!$B$136:$BL$136,0))</f>
        <v>3.5311293931472228E-5</v>
      </c>
      <c r="D356" t="str">
        <f>INDEX('ei names mapping'!$B$104:$BL$133,MATCH(B$234,'ei names mapping'!$A$4:$A$33,0),MATCH(G356,'ei names mapping'!$B$3:$BL$3,0))</f>
        <v>kilogram</v>
      </c>
      <c r="E356" t="str">
        <f>INDEX('ei names mapping'!$B$305:$BL$335,MATCH(B$234,'ei names mapping'!$A$4:$A$33,0),MATCH(G356,'ei names mapping'!$B$3:$BL$3,0))</f>
        <v>air::urban air close to ground</v>
      </c>
      <c r="F356" t="s">
        <v>167</v>
      </c>
      <c r="G356" t="s">
        <v>543</v>
      </c>
    </row>
    <row r="357" spans="1:7" x14ac:dyDescent="0.2">
      <c r="A357" t="str">
        <f>INDEX('ei names mapping'!$B$4:$BL$33,MATCH(B$234,'ei names mapping'!$A$4:$A$33,0),MATCH(G357,'ei names mapping'!$B$3:$BL$3,0))</f>
        <v>Pentane</v>
      </c>
      <c r="B357" s="7">
        <f>INDEX('vehicles specifications'!$B$3:$CW$166,MATCH(B$315,'vehicles specifications'!$A$3:$A$166,0),MATCH(G357,'vehicles specifications'!$B$2:$CW$2,0))*INDEX('ei names mapping'!$B$137:$BL$300,MATCH(B$315,'ei names mapping'!$A$137:$A$300,0),MATCH(G357,'ei names mapping'!$B$136:$BL$136,0))</f>
        <v>1.4488412586386504E-5</v>
      </c>
      <c r="D357" t="str">
        <f>INDEX('ei names mapping'!$B$104:$BL$133,MATCH(B$234,'ei names mapping'!$A$4:$A$33,0),MATCH(G357,'ei names mapping'!$B$3:$BL$3,0))</f>
        <v>kilogram</v>
      </c>
      <c r="E357" t="str">
        <f>INDEX('ei names mapping'!$B$305:$BL$335,MATCH(B$234,'ei names mapping'!$A$4:$A$33,0),MATCH(G357,'ei names mapping'!$B$3:$BL$3,0))</f>
        <v>air::urban air close to ground</v>
      </c>
      <c r="F357" t="s">
        <v>167</v>
      </c>
      <c r="G357" t="s">
        <v>544</v>
      </c>
    </row>
    <row r="358" spans="1:7" x14ac:dyDescent="0.2">
      <c r="A358" t="str">
        <f>INDEX('ei names mapping'!$B$4:$BL$33,MATCH(B$234,'ei names mapping'!$A$4:$A$33,0),MATCH(G358,'ei names mapping'!$B$3:$BL$3,0))</f>
        <v>Hexane</v>
      </c>
      <c r="B358" s="7">
        <f>INDEX('vehicles specifications'!$B$3:$CW$166,MATCH(B$315,'vehicles specifications'!$A$3:$A$166,0),MATCH(G358,'vehicles specifications'!$B$2:$CW$2,0))*INDEX('ei names mapping'!$B$137:$BL$300,MATCH(B$315,'ei names mapping'!$A$137:$A$300,0),MATCH(G358,'ei names mapping'!$B$136:$BL$136,0))</f>
        <v>1.0849462448410361E-5</v>
      </c>
      <c r="D358" t="str">
        <f>INDEX('ei names mapping'!$B$104:$BL$133,MATCH(B$234,'ei names mapping'!$A$4:$A$33,0),MATCH(G358,'ei names mapping'!$B$3:$BL$3,0))</f>
        <v>kilogram</v>
      </c>
      <c r="E358" t="str">
        <f>INDEX('ei names mapping'!$B$305:$BL$335,MATCH(B$234,'ei names mapping'!$A$4:$A$33,0),MATCH(G358,'ei names mapping'!$B$3:$BL$3,0))</f>
        <v>air::urban air close to ground</v>
      </c>
      <c r="F358" t="s">
        <v>167</v>
      </c>
      <c r="G358" t="s">
        <v>545</v>
      </c>
    </row>
    <row r="359" spans="1:7" x14ac:dyDescent="0.2">
      <c r="A359" t="str">
        <f>INDEX('ei names mapping'!$B$4:$BL$33,MATCH(B$234,'ei names mapping'!$A$4:$A$33,0),MATCH(G359,'ei names mapping'!$B$3:$BL$3,0))</f>
        <v>Cyclohexane</v>
      </c>
      <c r="B359" s="7">
        <f>INDEX('vehicles specifications'!$B$3:$CW$166,MATCH(B$315,'vehicles specifications'!$A$3:$A$166,0),MATCH(G359,'vehicles specifications'!$B$2:$CW$2,0))*INDEX('ei names mapping'!$B$137:$BL$300,MATCH(B$315,'ei names mapping'!$A$137:$A$300,0),MATCH(G359,'ei names mapping'!$B$136:$BL$136,0))</f>
        <v>7.6822280690607534E-6</v>
      </c>
      <c r="D359" t="str">
        <f>INDEX('ei names mapping'!$B$104:$BL$133,MATCH(B$234,'ei names mapping'!$A$4:$A$33,0),MATCH(G359,'ei names mapping'!$B$3:$BL$3,0))</f>
        <v>kilogram</v>
      </c>
      <c r="E359" t="str">
        <f>INDEX('ei names mapping'!$B$305:$BL$335,MATCH(B$234,'ei names mapping'!$A$4:$A$33,0),MATCH(G359,'ei names mapping'!$B$3:$BL$3,0))</f>
        <v>air::urban air close to ground</v>
      </c>
      <c r="F359" t="s">
        <v>167</v>
      </c>
      <c r="G359" t="s">
        <v>546</v>
      </c>
    </row>
    <row r="360" spans="1:7" x14ac:dyDescent="0.2">
      <c r="A360" t="str">
        <f>INDEX('ei names mapping'!$B$4:$BL$33,MATCH(B$234,'ei names mapping'!$A$4:$A$33,0),MATCH(G360,'ei names mapping'!$B$3:$BL$3,0))</f>
        <v>Heptane</v>
      </c>
      <c r="B360" s="7">
        <f>INDEX('vehicles specifications'!$B$3:$CW$166,MATCH(B$315,'vehicles specifications'!$A$3:$A$166,0),MATCH(G360,'vehicles specifications'!$B$2:$CW$2,0))*INDEX('ei names mapping'!$B$137:$BL$300,MATCH(B$315,'ei names mapping'!$A$137:$A$300,0),MATCH(G360,'ei names mapping'!$B$136:$BL$136,0))</f>
        <v>4.986709448337682E-6</v>
      </c>
      <c r="D360" t="str">
        <f>INDEX('ei names mapping'!$B$104:$BL$133,MATCH(B$234,'ei names mapping'!$A$4:$A$33,0),MATCH(G360,'ei names mapping'!$B$3:$BL$3,0))</f>
        <v>kilogram</v>
      </c>
      <c r="E360" t="str">
        <f>INDEX('ei names mapping'!$B$305:$BL$335,MATCH(B$234,'ei names mapping'!$A$4:$A$33,0),MATCH(G360,'ei names mapping'!$B$3:$BL$3,0))</f>
        <v>air::urban air close to ground</v>
      </c>
      <c r="F360" t="s">
        <v>167</v>
      </c>
      <c r="G360" t="s">
        <v>547</v>
      </c>
    </row>
    <row r="361" spans="1:7" x14ac:dyDescent="0.2">
      <c r="A361" t="str">
        <f>INDEX('ei names mapping'!$B$4:$BL$33,MATCH(B$234,'ei names mapping'!$A$4:$A$33,0),MATCH(G361,'ei names mapping'!$B$3:$BL$3,0))</f>
        <v>Ethene</v>
      </c>
      <c r="B361" s="7">
        <f>INDEX('vehicles specifications'!$B$3:$CW$166,MATCH(B$315,'vehicles specifications'!$A$3:$A$166,0),MATCH(G361,'vehicles specifications'!$B$2:$CW$2,0))*INDEX('ei names mapping'!$B$137:$BL$300,MATCH(B$315,'ei names mapping'!$A$137:$A$300,0),MATCH(G361,'ei names mapping'!$B$136:$BL$136,0))</f>
        <v>4.9193214828196046E-5</v>
      </c>
      <c r="D361" t="str">
        <f>INDEX('ei names mapping'!$B$104:$BL$133,MATCH(B$234,'ei names mapping'!$A$4:$A$33,0),MATCH(G361,'ei names mapping'!$B$3:$BL$3,0))</f>
        <v>kilogram</v>
      </c>
      <c r="E361" t="str">
        <f>INDEX('ei names mapping'!$B$305:$BL$335,MATCH(B$234,'ei names mapping'!$A$4:$A$33,0),MATCH(G361,'ei names mapping'!$B$3:$BL$3,0))</f>
        <v>air::urban air close to ground</v>
      </c>
      <c r="F361" t="s">
        <v>167</v>
      </c>
      <c r="G361" t="s">
        <v>548</v>
      </c>
    </row>
    <row r="362" spans="1:7" x14ac:dyDescent="0.2">
      <c r="A362" t="str">
        <f>INDEX('ei names mapping'!$B$4:$BL$33,MATCH(B$234,'ei names mapping'!$A$4:$A$33,0),MATCH(G362,'ei names mapping'!$B$3:$BL$3,0))</f>
        <v>Propene</v>
      </c>
      <c r="B362" s="7">
        <f>INDEX('vehicles specifications'!$B$3:$CW$166,MATCH(B$315,'vehicles specifications'!$A$3:$A$166,0),MATCH(G362,'vehicles specifications'!$B$2:$CW$2,0))*INDEX('ei names mapping'!$B$137:$BL$300,MATCH(B$315,'ei names mapping'!$A$137:$A$300,0),MATCH(G362,'ei names mapping'!$B$136:$BL$136,0))</f>
        <v>2.5742202827905325E-5</v>
      </c>
      <c r="D362" t="str">
        <f>INDEX('ei names mapping'!$B$104:$BL$133,MATCH(B$234,'ei names mapping'!$A$4:$A$33,0),MATCH(G362,'ei names mapping'!$B$3:$BL$3,0))</f>
        <v>kilogram</v>
      </c>
      <c r="E362" t="str">
        <f>INDEX('ei names mapping'!$B$305:$BL$335,MATCH(B$234,'ei names mapping'!$A$4:$A$33,0),MATCH(G362,'ei names mapping'!$B$3:$BL$3,0))</f>
        <v>air::urban air close to ground</v>
      </c>
      <c r="F362" t="s">
        <v>167</v>
      </c>
      <c r="G362" t="s">
        <v>549</v>
      </c>
    </row>
    <row r="363" spans="1:7" x14ac:dyDescent="0.2">
      <c r="A363" t="str">
        <f>INDEX('ei names mapping'!$B$4:$BL$33,MATCH(B$234,'ei names mapping'!$A$4:$A$33,0),MATCH(G363,'ei names mapping'!$B$3:$BL$3,0))</f>
        <v>1-Pentene</v>
      </c>
      <c r="B363" s="7">
        <f>INDEX('vehicles specifications'!$B$3:$CW$166,MATCH(B$315,'vehicles specifications'!$A$3:$A$166,0),MATCH(G363,'vehicles specifications'!$B$2:$CW$2,0))*INDEX('ei names mapping'!$B$137:$BL$300,MATCH(B$315,'ei names mapping'!$A$137:$A$300,0),MATCH(G363,'ei names mapping'!$B$136:$BL$136,0))</f>
        <v>7.412676206988445E-7</v>
      </c>
      <c r="D363" t="str">
        <f>INDEX('ei names mapping'!$B$104:$BL$133,MATCH(B$234,'ei names mapping'!$A$4:$A$33,0),MATCH(G363,'ei names mapping'!$B$3:$BL$3,0))</f>
        <v>kilogram</v>
      </c>
      <c r="E363" t="str">
        <f>INDEX('ei names mapping'!$B$305:$BL$335,MATCH(B$234,'ei names mapping'!$A$4:$A$33,0),MATCH(G363,'ei names mapping'!$B$3:$BL$3,0))</f>
        <v>air::urban air close to ground</v>
      </c>
      <c r="F363" t="s">
        <v>167</v>
      </c>
      <c r="G363" t="s">
        <v>550</v>
      </c>
    </row>
    <row r="364" spans="1:7" x14ac:dyDescent="0.2">
      <c r="A364" t="str">
        <f>INDEX('ei names mapping'!$B$4:$BL$33,MATCH(B$234,'ei names mapping'!$A$4:$A$33,0),MATCH(G364,'ei names mapping'!$B$3:$BL$3,0))</f>
        <v>Toluene</v>
      </c>
      <c r="B364" s="7">
        <f>INDEX('vehicles specifications'!$B$3:$CW$166,MATCH(B$315,'vehicles specifications'!$A$3:$A$166,0),MATCH(G364,'vehicles specifications'!$B$2:$CW$2,0))*INDEX('ei names mapping'!$B$137:$BL$300,MATCH(B$315,'ei names mapping'!$A$137:$A$300,0),MATCH(G364,'ei names mapping'!$B$136:$BL$136,0))</f>
        <v>7.3991986138848291E-5</v>
      </c>
      <c r="D364" t="str">
        <f>INDEX('ei names mapping'!$B$104:$BL$133,MATCH(B$234,'ei names mapping'!$A$4:$A$33,0),MATCH(G364,'ei names mapping'!$B$3:$BL$3,0))</f>
        <v>kilogram</v>
      </c>
      <c r="E364" t="str">
        <f>INDEX('ei names mapping'!$B$305:$BL$335,MATCH(B$234,'ei names mapping'!$A$4:$A$33,0),MATCH(G364,'ei names mapping'!$B$3:$BL$3,0))</f>
        <v>air::urban air close to ground</v>
      </c>
      <c r="F364" t="s">
        <v>167</v>
      </c>
      <c r="G364" t="s">
        <v>551</v>
      </c>
    </row>
    <row r="365" spans="1:7" x14ac:dyDescent="0.2">
      <c r="A365" t="str">
        <f>INDEX('ei names mapping'!$B$4:$BL$33,MATCH(B$234,'ei names mapping'!$A$4:$A$33,0),MATCH(G365,'ei names mapping'!$B$3:$BL$3,0))</f>
        <v>m-Xylene</v>
      </c>
      <c r="B365" s="7">
        <f>INDEX('vehicles specifications'!$B$3:$CW$166,MATCH(B$315,'vehicles specifications'!$A$3:$A$166,0),MATCH(G365,'vehicles specifications'!$B$2:$CW$2,0))*INDEX('ei names mapping'!$B$137:$BL$300,MATCH(B$315,'ei names mapping'!$A$137:$A$300,0),MATCH(G365,'ei names mapping'!$B$136:$BL$136,0))</f>
        <v>3.6591665276315688E-5</v>
      </c>
      <c r="D365" t="str">
        <f>INDEX('ei names mapping'!$B$104:$BL$133,MATCH(B$234,'ei names mapping'!$A$4:$A$33,0),MATCH(G365,'ei names mapping'!$B$3:$BL$3,0))</f>
        <v>kilogram</v>
      </c>
      <c r="E365" t="str">
        <f>INDEX('ei names mapping'!$B$305:$BL$335,MATCH(B$234,'ei names mapping'!$A$4:$A$33,0),MATCH(G365,'ei names mapping'!$B$3:$BL$3,0))</f>
        <v>air::urban air close to ground</v>
      </c>
      <c r="F365" t="s">
        <v>167</v>
      </c>
      <c r="G365" t="s">
        <v>552</v>
      </c>
    </row>
    <row r="366" spans="1:7" x14ac:dyDescent="0.2">
      <c r="A366" t="str">
        <f>INDEX('ei names mapping'!$B$4:$BL$33,MATCH(B$234,'ei names mapping'!$A$4:$A$33,0),MATCH(G366,'ei names mapping'!$B$3:$BL$3,0))</f>
        <v>o-Xylene</v>
      </c>
      <c r="B366" s="7">
        <f>INDEX('vehicles specifications'!$B$3:$CW$166,MATCH(B$315,'vehicles specifications'!$A$3:$A$166,0),MATCH(G366,'vehicles specifications'!$B$2:$CW$2,0))*INDEX('ei names mapping'!$B$137:$BL$300,MATCH(B$315,'ei names mapping'!$A$137:$A$300,0),MATCH(G366,'ei names mapping'!$B$136:$BL$136,0))</f>
        <v>1.522968020708535E-5</v>
      </c>
      <c r="D366" t="str">
        <f>INDEX('ei names mapping'!$B$104:$BL$133,MATCH(B$234,'ei names mapping'!$A$4:$A$33,0),MATCH(G366,'ei names mapping'!$B$3:$BL$3,0))</f>
        <v>kilogram</v>
      </c>
      <c r="E366" t="str">
        <f>INDEX('ei names mapping'!$B$305:$BL$335,MATCH(B$234,'ei names mapping'!$A$4:$A$33,0),MATCH(G366,'ei names mapping'!$B$3:$BL$3,0))</f>
        <v>air::urban air close to ground</v>
      </c>
      <c r="F366" t="s">
        <v>167</v>
      </c>
      <c r="G366" t="s">
        <v>553</v>
      </c>
    </row>
    <row r="367" spans="1:7" x14ac:dyDescent="0.2">
      <c r="A367" t="str">
        <f>INDEX('ei names mapping'!$B$4:$BL$33,MATCH(B$234,'ei names mapping'!$A$4:$A$33,0),MATCH(G367,'ei names mapping'!$B$3:$BL$3,0))</f>
        <v>Formaldehyde</v>
      </c>
      <c r="B367" s="7">
        <f>INDEX('vehicles specifications'!$B$3:$CW$166,MATCH(B$315,'vehicles specifications'!$A$3:$A$166,0),MATCH(G367,'vehicles specifications'!$B$2:$CW$2,0))*INDEX('ei names mapping'!$B$137:$BL$300,MATCH(B$315,'ei names mapping'!$A$137:$A$300,0),MATCH(G367,'ei names mapping'!$B$136:$BL$136,0))</f>
        <v>1.1455954138073051E-5</v>
      </c>
      <c r="D367" t="str">
        <f>INDEX('ei names mapping'!$B$104:$BL$133,MATCH(B$234,'ei names mapping'!$A$4:$A$33,0),MATCH(G367,'ei names mapping'!$B$3:$BL$3,0))</f>
        <v>kilogram</v>
      </c>
      <c r="E367" t="str">
        <f>INDEX('ei names mapping'!$B$305:$BL$335,MATCH(B$234,'ei names mapping'!$A$4:$A$33,0),MATCH(G367,'ei names mapping'!$B$3:$BL$3,0))</f>
        <v>air::urban air close to ground</v>
      </c>
      <c r="F367" t="s">
        <v>167</v>
      </c>
      <c r="G367" t="s">
        <v>554</v>
      </c>
    </row>
    <row r="368" spans="1:7" x14ac:dyDescent="0.2">
      <c r="A368" t="str">
        <f>INDEX('ei names mapping'!$B$4:$BL$33,MATCH(B$234,'ei names mapping'!$A$4:$A$33,0),MATCH(G368,'ei names mapping'!$B$3:$BL$3,0))</f>
        <v>Acetaldehyde</v>
      </c>
      <c r="B368" s="7">
        <f>INDEX('vehicles specifications'!$B$3:$CW$166,MATCH(B$315,'vehicles specifications'!$A$3:$A$166,0),MATCH(G368,'vehicles specifications'!$B$2:$CW$2,0))*INDEX('ei names mapping'!$B$137:$BL$300,MATCH(B$315,'ei names mapping'!$A$137:$A$300,0),MATCH(G368,'ei names mapping'!$B$136:$BL$136,0))</f>
        <v>5.0540974138557577E-6</v>
      </c>
      <c r="D368" t="str">
        <f>INDEX('ei names mapping'!$B$104:$BL$133,MATCH(B$234,'ei names mapping'!$A$4:$A$33,0),MATCH(G368,'ei names mapping'!$B$3:$BL$3,0))</f>
        <v>kilogram</v>
      </c>
      <c r="E368" t="str">
        <f>INDEX('ei names mapping'!$B$305:$BL$335,MATCH(B$234,'ei names mapping'!$A$4:$A$33,0),MATCH(G368,'ei names mapping'!$B$3:$BL$3,0))</f>
        <v>air::urban air close to ground</v>
      </c>
      <c r="F368" t="s">
        <v>167</v>
      </c>
      <c r="G368" t="s">
        <v>555</v>
      </c>
    </row>
    <row r="369" spans="1:8" x14ac:dyDescent="0.2">
      <c r="A369" t="str">
        <f>INDEX('ei names mapping'!$B$4:$BL$33,MATCH(B$234,'ei names mapping'!$A$4:$A$33,0),MATCH(G369,'ei names mapping'!$B$3:$BL$3,0))</f>
        <v>Benzaldehyde</v>
      </c>
      <c r="B369" s="7">
        <f>INDEX('vehicles specifications'!$B$3:$CW$166,MATCH(B$315,'vehicles specifications'!$A$3:$A$166,0),MATCH(G369,'vehicles specifications'!$B$2:$CW$2,0))*INDEX('ei names mapping'!$B$137:$BL$300,MATCH(B$315,'ei names mapping'!$A$137:$A$300,0),MATCH(G369,'ei names mapping'!$B$136:$BL$136,0))</f>
        <v>1.482535241397689E-6</v>
      </c>
      <c r="D369" t="str">
        <f>INDEX('ei names mapping'!$B$104:$BL$133,MATCH(B$234,'ei names mapping'!$A$4:$A$33,0),MATCH(G369,'ei names mapping'!$B$3:$BL$3,0))</f>
        <v>kilogram</v>
      </c>
      <c r="E369" t="str">
        <f>INDEX('ei names mapping'!$B$305:$BL$335,MATCH(B$234,'ei names mapping'!$A$4:$A$33,0),MATCH(G369,'ei names mapping'!$B$3:$BL$3,0))</f>
        <v>air::urban air close to ground</v>
      </c>
      <c r="F369" t="s">
        <v>167</v>
      </c>
      <c r="G369" t="s">
        <v>556</v>
      </c>
    </row>
    <row r="370" spans="1:8" x14ac:dyDescent="0.2">
      <c r="A370" t="str">
        <f>INDEX('ei names mapping'!$B$4:$BL$33,MATCH(B$234,'ei names mapping'!$A$4:$A$33,0),MATCH(G370,'ei names mapping'!$B$3:$BL$3,0))</f>
        <v>Acetone</v>
      </c>
      <c r="B370" s="7">
        <f>INDEX('vehicles specifications'!$B$3:$CW$166,MATCH(B$315,'vehicles specifications'!$A$3:$A$166,0),MATCH(G370,'vehicles specifications'!$B$2:$CW$2,0))*INDEX('ei names mapping'!$B$137:$BL$300,MATCH(B$315,'ei names mapping'!$A$137:$A$300,0),MATCH(G370,'ei names mapping'!$B$136:$BL$136,0))</f>
        <v>4.1106658966026837E-6</v>
      </c>
      <c r="D370" t="str">
        <f>INDEX('ei names mapping'!$B$104:$BL$133,MATCH(B$234,'ei names mapping'!$A$4:$A$33,0),MATCH(G370,'ei names mapping'!$B$3:$BL$3,0))</f>
        <v>kilogram</v>
      </c>
      <c r="E370" t="str">
        <f>INDEX('ei names mapping'!$B$305:$BL$335,MATCH(B$234,'ei names mapping'!$A$4:$A$33,0),MATCH(G370,'ei names mapping'!$B$3:$BL$3,0))</f>
        <v>air::urban air close to ground</v>
      </c>
      <c r="F370" t="s">
        <v>167</v>
      </c>
      <c r="G370" t="s">
        <v>557</v>
      </c>
    </row>
    <row r="371" spans="1:8" x14ac:dyDescent="0.2">
      <c r="A371" t="str">
        <f>INDEX('ei names mapping'!$B$4:$BL$33,MATCH(B$234,'ei names mapping'!$A$4:$A$33,0),MATCH(G371,'ei names mapping'!$B$3:$BL$3,0))</f>
        <v>Methyl ethyl ketone</v>
      </c>
      <c r="B371" s="7">
        <f>INDEX('vehicles specifications'!$B$3:$CW$166,MATCH(B$315,'vehicles specifications'!$A$3:$A$166,0),MATCH(G371,'vehicles specifications'!$B$2:$CW$2,0))*INDEX('ei names mapping'!$B$137:$BL$300,MATCH(B$315,'ei names mapping'!$A$137:$A$300,0),MATCH(G371,'ei names mapping'!$B$136:$BL$136,0))</f>
        <v>0</v>
      </c>
      <c r="D371" t="str">
        <f>INDEX('ei names mapping'!$B$104:$BL$133,MATCH(B$234,'ei names mapping'!$A$4:$A$33,0),MATCH(G371,'ei names mapping'!$B$3:$BL$3,0))</f>
        <v>kilogram</v>
      </c>
      <c r="E371" t="str">
        <f>INDEX('ei names mapping'!$B$305:$BL$335,MATCH(B$234,'ei names mapping'!$A$4:$A$33,0),MATCH(G371,'ei names mapping'!$B$3:$BL$3,0))</f>
        <v>air::urban air close to ground</v>
      </c>
      <c r="F371" t="s">
        <v>167</v>
      </c>
      <c r="G371" t="s">
        <v>560</v>
      </c>
    </row>
    <row r="372" spans="1:8" x14ac:dyDescent="0.2">
      <c r="A372" t="str">
        <f>INDEX('ei names mapping'!$B$4:$BL$33,MATCH(B$234,'ei names mapping'!$A$4:$A$33,0),MATCH(G372,'ei names mapping'!$B$3:$BL$3,0))</f>
        <v>Acrolein</v>
      </c>
      <c r="B372" s="7">
        <f>INDEX('vehicles specifications'!$B$3:$CW$166,MATCH(B$315,'vehicles specifications'!$A$3:$A$166,0),MATCH(G372,'vehicles specifications'!$B$2:$CW$2,0))*INDEX('ei names mapping'!$B$137:$BL$300,MATCH(B$315,'ei names mapping'!$A$137:$A$300,0),MATCH(G372,'ei names mapping'!$B$136:$BL$136,0))</f>
        <v>1.2803713448434585E-6</v>
      </c>
      <c r="D372" t="str">
        <f>INDEX('ei names mapping'!$B$104:$BL$133,MATCH(B$234,'ei names mapping'!$A$4:$A$33,0),MATCH(G372,'ei names mapping'!$B$3:$BL$3,0))</f>
        <v>kilogram</v>
      </c>
      <c r="E372" t="str">
        <f>INDEX('ei names mapping'!$B$305:$BL$335,MATCH(B$234,'ei names mapping'!$A$4:$A$33,0),MATCH(G372,'ei names mapping'!$B$3:$BL$3,0))</f>
        <v>air::urban air close to ground</v>
      </c>
      <c r="F372" t="s">
        <v>167</v>
      </c>
      <c r="G372" t="s">
        <v>558</v>
      </c>
    </row>
    <row r="373" spans="1:8" x14ac:dyDescent="0.2">
      <c r="A373" t="str">
        <f>INDEX('ei names mapping'!$B$4:$BL$33,MATCH(B$234,'ei names mapping'!$A$4:$A$33,0),MATCH(G373,'ei names mapping'!$B$3:$BL$3,0))</f>
        <v>Styrene</v>
      </c>
      <c r="B373" s="7">
        <f>INDEX('vehicles specifications'!$B$3:$CW$166,MATCH(B$315,'vehicles specifications'!$A$3:$A$166,0),MATCH(G373,'vehicles specifications'!$B$2:$CW$2,0))*INDEX('ei names mapping'!$B$137:$BL$300,MATCH(B$315,'ei names mapping'!$A$137:$A$300,0),MATCH(G373,'ei names mapping'!$B$136:$BL$136,0))</f>
        <v>6.8061845173257543E-6</v>
      </c>
      <c r="D373" t="str">
        <f>INDEX('ei names mapping'!$B$104:$BL$133,MATCH(B$234,'ei names mapping'!$A$4:$A$33,0),MATCH(G373,'ei names mapping'!$B$3:$BL$3,0))</f>
        <v>kilogram</v>
      </c>
      <c r="E373" t="str">
        <f>INDEX('ei names mapping'!$B$305:$BL$335,MATCH(B$234,'ei names mapping'!$A$4:$A$33,0),MATCH(G373,'ei names mapping'!$B$3:$BL$3,0))</f>
        <v>air::urban air close to ground</v>
      </c>
      <c r="F373" t="s">
        <v>167</v>
      </c>
      <c r="G373" t="s">
        <v>559</v>
      </c>
    </row>
    <row r="374" spans="1:8" x14ac:dyDescent="0.2">
      <c r="A374" t="str">
        <f>INDEX('ei names mapping'!$B$4:$BL$33,MATCH(B$234,'ei names mapping'!$A$4:$A$33,0),MATCH(G374,'ei names mapping'!$B$3:$BL$3,0))</f>
        <v>PAH, polycyclic aromatic hydrocarbons</v>
      </c>
      <c r="B374" s="7">
        <f>INDEX('vehicles specifications'!$B$3:$CW$166,MATCH(B$315,'vehicles specifications'!$A$3:$A$166,0),MATCH(G374,'vehicles specifications'!$B$2:$CW$2,0))*INDEX('ei names mapping'!$B$137:$BL$300,MATCH(B$315,'ei names mapping'!$A$137:$A$300,0),MATCH(G374,'ei names mapping'!$B$136:$BL$136,0))</f>
        <v>8.5786796674017128E-10</v>
      </c>
      <c r="D374" t="str">
        <f>INDEX('ei names mapping'!$B$104:$BL$133,MATCH(B$234,'ei names mapping'!$A$4:$A$33,0),MATCH(G374,'ei names mapping'!$B$3:$BL$3,0))</f>
        <v>kilogram</v>
      </c>
      <c r="E374" t="str">
        <f>INDEX('ei names mapping'!$B$305:$BL$335,MATCH(B$234,'ei names mapping'!$A$4:$A$33,0),MATCH(G374,'ei names mapping'!$B$3:$BL$3,0))</f>
        <v>air::urban air close to ground</v>
      </c>
      <c r="F374" t="s">
        <v>167</v>
      </c>
      <c r="G374" t="s">
        <v>561</v>
      </c>
    </row>
    <row r="375" spans="1:8" x14ac:dyDescent="0.2">
      <c r="A375" t="str">
        <f>INDEX('ei names mapping'!$B$4:$BL$33,MATCH(B$234,'ei names mapping'!$A$4:$A$33,0),MATCH(G375,'ei names mapping'!$B$3:$BL$3,0))</f>
        <v>Arsenic</v>
      </c>
      <c r="B375" s="7">
        <f>INDEX('vehicles specifications'!$B$3:$CW$166,MATCH(B$315,'vehicles specifications'!$A$3:$A$166,0),MATCH(G375,'vehicles specifications'!$B$2:$CW$2,0))*INDEX('ei names mapping'!$B$137:$BL$300,MATCH(B$315,'ei names mapping'!$A$137:$A$300,0),MATCH(G375,'ei names mapping'!$B$136:$BL$136,0))</f>
        <v>7.3954135063807875E-12</v>
      </c>
      <c r="D375" t="str">
        <f>INDEX('ei names mapping'!$B$104:$BL$133,MATCH(B$234,'ei names mapping'!$A$4:$A$33,0),MATCH(G375,'ei names mapping'!$B$3:$BL$3,0))</f>
        <v>kilogram</v>
      </c>
      <c r="E375" t="str">
        <f>INDEX('ei names mapping'!$B$305:$BL$335,MATCH(B$234,'ei names mapping'!$A$4:$A$33,0),MATCH(G375,'ei names mapping'!$B$3:$BL$3,0))</f>
        <v>air::urban air close to ground</v>
      </c>
      <c r="F375" t="s">
        <v>167</v>
      </c>
      <c r="G375" t="s">
        <v>562</v>
      </c>
    </row>
    <row r="376" spans="1:8" x14ac:dyDescent="0.2">
      <c r="A376" t="str">
        <f>INDEX('ei names mapping'!$B$4:$BL$33,MATCH(B$234,'ei names mapping'!$A$4:$A$33,0),MATCH(G376,'ei names mapping'!$B$3:$BL$3,0))</f>
        <v>Selenium</v>
      </c>
      <c r="B376" s="7">
        <f>INDEX('vehicles specifications'!$B$3:$CW$166,MATCH(B$315,'vehicles specifications'!$A$3:$A$166,0),MATCH(G376,'vehicles specifications'!$B$2:$CW$2,0))*INDEX('ei names mapping'!$B$137:$BL$300,MATCH(B$315,'ei names mapping'!$A$137:$A$300,0),MATCH(G376,'ei names mapping'!$B$136:$BL$136,0))</f>
        <v>4.9302756709205247E-12</v>
      </c>
      <c r="D376" t="str">
        <f>INDEX('ei names mapping'!$B$104:$BL$133,MATCH(B$234,'ei names mapping'!$A$4:$A$33,0),MATCH(G376,'ei names mapping'!$B$3:$BL$3,0))</f>
        <v>kilogram</v>
      </c>
      <c r="E376" t="str">
        <f>INDEX('ei names mapping'!$B$305:$BL$335,MATCH(B$234,'ei names mapping'!$A$4:$A$33,0),MATCH(G376,'ei names mapping'!$B$3:$BL$3,0))</f>
        <v>air::urban air close to ground</v>
      </c>
      <c r="F376" t="s">
        <v>167</v>
      </c>
      <c r="G376" t="s">
        <v>563</v>
      </c>
    </row>
    <row r="377" spans="1:8" x14ac:dyDescent="0.2">
      <c r="A377" t="str">
        <f>INDEX('ei names mapping'!$B$4:$BL$33,MATCH(B$234,'ei names mapping'!$A$4:$A$33,0),MATCH(G377,'ei names mapping'!$B$3:$BL$3,0))</f>
        <v>Zinc</v>
      </c>
      <c r="B377" s="7">
        <f>INDEX('vehicles specifications'!$B$3:$CW$166,MATCH(B$315,'vehicles specifications'!$A$3:$A$166,0),MATCH(G377,'vehicles specifications'!$B$2:$CW$2,0))*INDEX('ei names mapping'!$B$137:$BL$300,MATCH(B$315,'ei names mapping'!$A$137:$A$300,0),MATCH(G377,'ei names mapping'!$B$136:$BL$136,0))</f>
        <v>5.324697724594167E-8</v>
      </c>
      <c r="D377" t="str">
        <f>INDEX('ei names mapping'!$B$104:$BL$133,MATCH(B$234,'ei names mapping'!$A$4:$A$33,0),MATCH(G377,'ei names mapping'!$B$3:$BL$3,0))</f>
        <v>kilogram</v>
      </c>
      <c r="E377" t="str">
        <f>INDEX('ei names mapping'!$B$305:$BL$335,MATCH(B$234,'ei names mapping'!$A$4:$A$33,0),MATCH(G377,'ei names mapping'!$B$3:$BL$3,0))</f>
        <v>air::urban air close to ground</v>
      </c>
      <c r="F377" t="s">
        <v>167</v>
      </c>
      <c r="G377" t="s">
        <v>564</v>
      </c>
    </row>
    <row r="378" spans="1:8" x14ac:dyDescent="0.2">
      <c r="A378" t="str">
        <f>INDEX('ei names mapping'!$B$4:$BL$33,MATCH(B$234,'ei names mapping'!$A$4:$A$33,0),MATCH(G378,'ei names mapping'!$B$3:$BL$3,0))</f>
        <v>Copper</v>
      </c>
      <c r="B378" s="7">
        <f>INDEX('vehicles specifications'!$B$3:$CW$166,MATCH(B$315,'vehicles specifications'!$A$3:$A$166,0),MATCH(G378,'vehicles specifications'!$B$2:$CW$2,0))*INDEX('ei names mapping'!$B$137:$BL$300,MATCH(B$315,'ei names mapping'!$A$137:$A$300,0),MATCH(G378,'ei names mapping'!$B$136:$BL$136,0))</f>
        <v>1.0353578908933101E-9</v>
      </c>
      <c r="D378" t="str">
        <f>INDEX('ei names mapping'!$B$104:$BL$133,MATCH(B$234,'ei names mapping'!$A$4:$A$33,0),MATCH(G378,'ei names mapping'!$B$3:$BL$3,0))</f>
        <v>kilogram</v>
      </c>
      <c r="E378" t="str">
        <f>INDEX('ei names mapping'!$B$305:$BL$335,MATCH(B$234,'ei names mapping'!$A$4:$A$33,0),MATCH(G378,'ei names mapping'!$B$3:$BL$3,0))</f>
        <v>air::urban air close to ground</v>
      </c>
      <c r="F378" t="s">
        <v>167</v>
      </c>
      <c r="G378" t="s">
        <v>522</v>
      </c>
    </row>
    <row r="379" spans="1:8" x14ac:dyDescent="0.2">
      <c r="A379" t="str">
        <f>INDEX('ei names mapping'!$B$4:$BL$33,MATCH(B$234,'ei names mapping'!$A$4:$A$33,0),MATCH(G379,'ei names mapping'!$B$3:$BL$3,0))</f>
        <v>Nickel</v>
      </c>
      <c r="B379" s="7">
        <f>INDEX('vehicles specifications'!$B$3:$CW$166,MATCH(B$315,'vehicles specifications'!$A$3:$A$166,0),MATCH(G379,'vehicles specifications'!$B$2:$CW$2,0))*INDEX('ei names mapping'!$B$137:$BL$300,MATCH(B$315,'ei names mapping'!$A$137:$A$300,0),MATCH(G379,'ei names mapping'!$B$136:$BL$136,0))</f>
        <v>3.2046791860983413E-10</v>
      </c>
      <c r="D379" t="str">
        <f>INDEX('ei names mapping'!$B$104:$BL$133,MATCH(B$234,'ei names mapping'!$A$4:$A$33,0),MATCH(G379,'ei names mapping'!$B$3:$BL$3,0))</f>
        <v>kilogram</v>
      </c>
      <c r="E379" t="str">
        <f>INDEX('ei names mapping'!$B$305:$BL$335,MATCH(B$234,'ei names mapping'!$A$4:$A$33,0),MATCH(G379,'ei names mapping'!$B$3:$BL$3,0))</f>
        <v>air::urban air close to ground</v>
      </c>
      <c r="F379" t="s">
        <v>167</v>
      </c>
      <c r="G379" t="s">
        <v>524</v>
      </c>
    </row>
    <row r="380" spans="1:8" x14ac:dyDescent="0.2">
      <c r="A380" t="str">
        <f>INDEX('ei names mapping'!$B$4:$BL$33,MATCH(B$234,'ei names mapping'!$A$4:$A$33,0),MATCH(G380,'ei names mapping'!$B$3:$BL$3,0))</f>
        <v>Chromium</v>
      </c>
      <c r="B380" s="7">
        <f>INDEX('vehicles specifications'!$B$3:$CW$166,MATCH(B$315,'vehicles specifications'!$A$3:$A$166,0),MATCH(G380,'vehicles specifications'!$B$2:$CW$2,0))*INDEX('ei names mapping'!$B$137:$BL$300,MATCH(B$315,'ei names mapping'!$A$137:$A$300,0),MATCH(G380,'ei names mapping'!$B$136:$BL$136,0))</f>
        <v>3.9442205367364202E-10</v>
      </c>
      <c r="D380" t="str">
        <f>INDEX('ei names mapping'!$B$104:$BL$133,MATCH(B$234,'ei names mapping'!$A$4:$A$33,0),MATCH(G380,'ei names mapping'!$B$3:$BL$3,0))</f>
        <v>kilogram</v>
      </c>
      <c r="E380" t="str">
        <f>INDEX('ei names mapping'!$B$305:$BL$335,MATCH(B$234,'ei names mapping'!$A$4:$A$33,0),MATCH(G380,'ei names mapping'!$B$3:$BL$3,0))</f>
        <v>air::urban air close to ground</v>
      </c>
      <c r="F380" t="s">
        <v>167</v>
      </c>
      <c r="G380" t="s">
        <v>523</v>
      </c>
    </row>
    <row r="381" spans="1:8" x14ac:dyDescent="0.2">
      <c r="A381" t="str">
        <f>INDEX('ei names mapping'!$B$4:$BL$33,MATCH(B$234,'ei names mapping'!$A$4:$A$33,0),MATCH(G381,'ei names mapping'!$B$3:$BL$3,0))</f>
        <v>Chromium VI</v>
      </c>
      <c r="B381" s="7">
        <f>INDEX('vehicles specifications'!$B$3:$CW$166,MATCH(B$315,'vehicles specifications'!$A$3:$A$166,0),MATCH(G381,'vehicles specifications'!$B$2:$CW$2,0))*INDEX('ei names mapping'!$B$137:$BL$300,MATCH(B$315,'ei names mapping'!$A$137:$A$300,0),MATCH(G381,'ei names mapping'!$B$136:$BL$136,0))</f>
        <v>7.8884410734728391E-13</v>
      </c>
      <c r="D381" t="str">
        <f>INDEX('ei names mapping'!$B$104:$BL$133,MATCH(B$234,'ei names mapping'!$A$4:$A$33,0),MATCH(G381,'ei names mapping'!$B$3:$BL$3,0))</f>
        <v>kilogram</v>
      </c>
      <c r="E381" t="str">
        <f>INDEX('ei names mapping'!$B$305:$BL$335,MATCH(B$234,'ei names mapping'!$A$4:$A$33,0),MATCH(G381,'ei names mapping'!$B$3:$BL$3,0))</f>
        <v>air::urban air close to ground</v>
      </c>
      <c r="F381" t="s">
        <v>167</v>
      </c>
      <c r="G381" t="s">
        <v>567</v>
      </c>
    </row>
    <row r="382" spans="1:8" x14ac:dyDescent="0.2">
      <c r="A382" t="str">
        <f>INDEX('ei names mapping'!$B$4:$BL$33,MATCH(B$234,'ei names mapping'!$A$4:$A$33,0),MATCH(G382,'ei names mapping'!$B$3:$BL$3,0))</f>
        <v>Mercury</v>
      </c>
      <c r="B382" s="7">
        <f>INDEX('vehicles specifications'!$B$3:$CW$166,MATCH(B$315,'vehicles specifications'!$A$3:$A$166,0),MATCH(G382,'vehicles specifications'!$B$2:$CW$2,0))*INDEX('ei names mapping'!$B$137:$BL$300,MATCH(B$315,'ei names mapping'!$A$137:$A$300,0),MATCH(G382,'ei names mapping'!$B$136:$BL$136,0))</f>
        <v>2.1446699168504282E-10</v>
      </c>
      <c r="D382" t="str">
        <f>INDEX('ei names mapping'!$B$104:$BL$133,MATCH(B$234,'ei names mapping'!$A$4:$A$33,0),MATCH(G382,'ei names mapping'!$B$3:$BL$3,0))</f>
        <v>kilogram</v>
      </c>
      <c r="E382" t="str">
        <f>INDEX('ei names mapping'!$B$305:$BL$335,MATCH(B$234,'ei names mapping'!$A$4:$A$33,0),MATCH(G382,'ei names mapping'!$B$3:$BL$3,0))</f>
        <v>air::urban air close to ground</v>
      </c>
      <c r="F382" t="s">
        <v>167</v>
      </c>
      <c r="G382" t="s">
        <v>565</v>
      </c>
    </row>
    <row r="383" spans="1:8" x14ac:dyDescent="0.2">
      <c r="A383" t="str">
        <f>INDEX('ei names mapping'!$B$4:$BL$33,MATCH(B$234,'ei names mapping'!$A$4:$A$33,0),MATCH(G383,'ei names mapping'!$B$3:$BL$3,0))</f>
        <v>Cadmium</v>
      </c>
      <c r="B383" s="7">
        <f>INDEX('vehicles specifications'!$B$3:$CW$166,MATCH(B$315,'vehicles specifications'!$A$3:$A$166,0),MATCH(G383,'vehicles specifications'!$B$2:$CW$2,0))*INDEX('ei names mapping'!$B$137:$BL$300,MATCH(B$315,'ei names mapping'!$A$137:$A$300,0),MATCH(G383,'ei names mapping'!$B$136:$BL$136,0))</f>
        <v>2.6623488622970838E-10</v>
      </c>
      <c r="D383" t="str">
        <f>INDEX('ei names mapping'!$B$104:$BL$133,MATCH(B$234,'ei names mapping'!$A$4:$A$33,0),MATCH(G383,'ei names mapping'!$B$3:$BL$3,0))</f>
        <v>kilogram</v>
      </c>
      <c r="E383" t="str">
        <f>INDEX('ei names mapping'!$B$305:$BL$335,MATCH(B$234,'ei names mapping'!$A$4:$A$33,0),MATCH(G383,'ei names mapping'!$B$3:$BL$3,0))</f>
        <v>air::urban air close to ground</v>
      </c>
      <c r="F383" t="s">
        <v>167</v>
      </c>
      <c r="G383" t="s">
        <v>566</v>
      </c>
    </row>
    <row r="384" spans="1:8" x14ac:dyDescent="0.2">
      <c r="A384" t="str">
        <f>INDEX('ei names mapping'!$B$4:$BL$33,MATCH(B312,'ei names mapping'!$A$4:$A$33,0),MATCH(G384,'ei names mapping'!$B$3:$BL$3,0))</f>
        <v>treatment of road wear emissions, passenger car</v>
      </c>
      <c r="B384" s="7">
        <f>INDEX('vehicles specifications'!$B$3:$CW$166,MATCH(B315,'vehicles specifications'!$A$3:$A$166,0),MATCH(G384,'vehicles specifications'!$B$2:$CW$2,0))*INDEX('ei names mapping'!$B$137:$BL$300,MATCH(B315,'ei names mapping'!$A$137:$A$300,0),MATCH(G384,'ei names mapping'!$B$136:$BL$136,0))</f>
        <v>-7.5773180063729661E-6</v>
      </c>
      <c r="C384" t="str">
        <f>INDEX('ei names mapping'!$B$38:$BL$67,MATCH(B312,'ei names mapping'!$A$4:$A$33,0),MATCH(G384,'ei names mapping'!$B$3:$BL$3,0))</f>
        <v>RER</v>
      </c>
      <c r="D384" t="str">
        <f>INDEX('ei names mapping'!$B$104:$BL$133,MATCH(B312,'ei names mapping'!$A$4:$A$33,0),MATCH(G384,'ei names mapping'!$B$3:$BL$3,0))</f>
        <v>kilogram</v>
      </c>
      <c r="F384" t="s">
        <v>89</v>
      </c>
      <c r="G384" t="s">
        <v>29</v>
      </c>
      <c r="H384" t="str">
        <f>INDEX('ei names mapping'!$B$71:$BL$100,MATCH(B312,'ei names mapping'!$A$4:$A$33,0),MATCH(G384,'ei names mapping'!$B$3:$BL$3,0))</f>
        <v>road wear emissions, passenger car</v>
      </c>
    </row>
    <row r="385" spans="1:8" x14ac:dyDescent="0.2">
      <c r="A385" t="str">
        <f>INDEX('ei names mapping'!$B$4:$BL$33,MATCH(B312,'ei names mapping'!$A$4:$A$33,0),MATCH(G385,'ei names mapping'!$B$3:$BL$3,0))</f>
        <v>treatment of tyre wear emissions, passenger car</v>
      </c>
      <c r="B385" s="7">
        <f>INDEX('vehicles specifications'!$B$3:$CW$166,MATCH(B315,'vehicles specifications'!$A$3:$A$166,0),MATCH(G385,'vehicles specifications'!$B$2:$CW$2,0))*INDEX('ei names mapping'!$B$137:$BL$300,MATCH(B315,'ei names mapping'!$A$137:$A$300,0),MATCH(G385,'ei names mapping'!$B$136:$BL$136,0))</f>
        <v>-5.8342899858966527E-6</v>
      </c>
      <c r="C385" t="str">
        <f>INDEX('ei names mapping'!$B$38:$BL$67,MATCH(B312,'ei names mapping'!$A$4:$A$33,0),MATCH(G385,'ei names mapping'!$B$3:$BL$3,0))</f>
        <v>RER</v>
      </c>
      <c r="D385" t="str">
        <f>INDEX('ei names mapping'!$B$104:$BL$133,MATCH(B312,'ei names mapping'!$A$4:$A$33,0),MATCH(G385,'ei names mapping'!$B$3:$BL$3,0))</f>
        <v>kilogram</v>
      </c>
      <c r="F385" t="s">
        <v>89</v>
      </c>
      <c r="G385" t="s">
        <v>30</v>
      </c>
      <c r="H385" t="str">
        <f>INDEX('ei names mapping'!$B$71:$BL$100,MATCH(B312,'ei names mapping'!$A$4:$A$33,0),MATCH(G385,'ei names mapping'!$B$3:$BL$3,0))</f>
        <v>tyre wear emissions, passenger car</v>
      </c>
    </row>
    <row r="386" spans="1:8" x14ac:dyDescent="0.2">
      <c r="A386" t="str">
        <f>INDEX('ei names mapping'!$B$4:$BL$33,MATCH(B312,'ei names mapping'!$A$4:$A$33,0),MATCH(G386,'ei names mapping'!$B$3:$BL$3,0))</f>
        <v>treatment of brake wear emissions, passenger car</v>
      </c>
      <c r="B386" s="7">
        <f>INDEX('vehicles specifications'!$B$3:$CW$166,MATCH(B315,'vehicles specifications'!$A$3:$A$166,0),MATCH(G386,'vehicles specifications'!$B$2:$CW$2,0))*INDEX('ei names mapping'!$B$137:$BL$300,MATCH(B315,'ei names mapping'!$A$137:$A$300,0),MATCH(G386,'ei names mapping'!$B$136:$BL$136,0))</f>
        <v>-4.1686167334246386E-6</v>
      </c>
      <c r="C386" t="str">
        <f>INDEX('ei names mapping'!$B$38:$BL$67,MATCH(B312,'ei names mapping'!$A$4:$A$33,0),MATCH(G386,'ei names mapping'!$B$3:$BL$3,0))</f>
        <v>RER</v>
      </c>
      <c r="D386" t="str">
        <f>INDEX('ei names mapping'!$B$104:$BL$133,MATCH(B312,'ei names mapping'!$A$4:$A$33,0),MATCH(G386,'ei names mapping'!$B$3:$BL$3,0))</f>
        <v>kilogram</v>
      </c>
      <c r="F386" t="s">
        <v>89</v>
      </c>
      <c r="G386" t="s">
        <v>31</v>
      </c>
      <c r="H386" t="str">
        <f>INDEX('ei names mapping'!$B$71:$BL$100,MATCH(B312,'ei names mapping'!$A$4:$A$33,0),MATCH(G386,'ei names mapping'!$B$3:$BL$3,0))</f>
        <v>brake wear emissions, passenger car</v>
      </c>
    </row>
    <row r="388" spans="1:8" ht="16" x14ac:dyDescent="0.2">
      <c r="A388" s="10" t="s">
        <v>71</v>
      </c>
      <c r="B388" s="8" t="str">
        <f>"transport, "&amp;B390&amp;", "&amp;B392</f>
        <v>transport, Scooter, gasoline, 4-11kW, EURO-5, 2020</v>
      </c>
    </row>
    <row r="389" spans="1:8" x14ac:dyDescent="0.2">
      <c r="A389" t="s">
        <v>72</v>
      </c>
      <c r="B389" t="s">
        <v>37</v>
      </c>
    </row>
    <row r="390" spans="1:8" x14ac:dyDescent="0.2">
      <c r="A390" t="s">
        <v>86</v>
      </c>
      <c r="B390" t="s">
        <v>572</v>
      </c>
    </row>
    <row r="391" spans="1:8" x14ac:dyDescent="0.2">
      <c r="A391" t="s">
        <v>87</v>
      </c>
    </row>
    <row r="392" spans="1:8" x14ac:dyDescent="0.2">
      <c r="A392" t="s">
        <v>88</v>
      </c>
      <c r="B392">
        <v>2020</v>
      </c>
    </row>
    <row r="393" spans="1:8" x14ac:dyDescent="0.2">
      <c r="A393" t="s">
        <v>126</v>
      </c>
      <c r="B393" t="str">
        <f>B390&amp;" - "&amp;B392&amp;" - "&amp;B389</f>
        <v>Scooter, gasoline, 4-11kW, EURO-5 - 2020 - CH</v>
      </c>
    </row>
    <row r="394" spans="1:8" x14ac:dyDescent="0.2">
      <c r="A394" t="s">
        <v>73</v>
      </c>
      <c r="B394" t="str">
        <f>"transport, "&amp;B390</f>
        <v>transport, Scooter, gasoline, 4-11kW, EURO-5</v>
      </c>
    </row>
    <row r="395" spans="1:8" x14ac:dyDescent="0.2">
      <c r="A395" t="s">
        <v>74</v>
      </c>
      <c r="B395" t="s">
        <v>75</v>
      </c>
    </row>
    <row r="396" spans="1:8" x14ac:dyDescent="0.2">
      <c r="A396" t="s">
        <v>76</v>
      </c>
      <c r="B396" t="s">
        <v>166</v>
      </c>
    </row>
    <row r="397" spans="1:8" x14ac:dyDescent="0.2">
      <c r="A397" t="s">
        <v>78</v>
      </c>
      <c r="B397" t="s">
        <v>1143</v>
      </c>
    </row>
    <row r="398" spans="1:8" x14ac:dyDescent="0.2">
      <c r="A398" t="s">
        <v>127</v>
      </c>
      <c r="B398">
        <f>INDEX('vehicles specifications'!$B$3:$CW$166,MATCH(B393,'vehicles specifications'!$A$3:$A$166,0),MATCH("Lifetime [km]",'vehicles specifications'!$B$2:$CW$2,0))</f>
        <v>30000</v>
      </c>
    </row>
    <row r="399" spans="1:8" x14ac:dyDescent="0.2">
      <c r="A399" t="s">
        <v>128</v>
      </c>
      <c r="B399">
        <f>INDEX('vehicles specifications'!$B$3:$CW$166,MATCH(B393,'vehicles specifications'!$A$3:$A$166,0),MATCH("Passengers [unit]",'vehicles specifications'!$B$2:$CW$2,0))</f>
        <v>1</v>
      </c>
    </row>
    <row r="400" spans="1:8" x14ac:dyDescent="0.2">
      <c r="A400" t="s">
        <v>129</v>
      </c>
      <c r="B400">
        <f>INDEX('vehicles specifications'!$B$3:$CW$166,MATCH(B393,'vehicles specifications'!$A$3:$A$166,0),MATCH("Servicing [unit]",'vehicles specifications'!$B$2:$CW$2,0))</f>
        <v>1.2</v>
      </c>
    </row>
    <row r="401" spans="1:8" x14ac:dyDescent="0.2">
      <c r="A401" t="s">
        <v>130</v>
      </c>
      <c r="B401">
        <f>INDEX('vehicles specifications'!$B$3:$CW$166,MATCH(B393,'vehicles specifications'!$A$3:$A$166,0),MATCH("Energy battery replacement [unit]",'vehicles specifications'!$B$2:$CW$2,0))</f>
        <v>0</v>
      </c>
    </row>
    <row r="402" spans="1:8" x14ac:dyDescent="0.2">
      <c r="A402" t="s">
        <v>131</v>
      </c>
      <c r="B402">
        <f>INDEX('vehicles specifications'!$B$3:$CW$166,MATCH(B393,'vehicles specifications'!$A$3:$A$166,0),MATCH("Annual kilometers [km]",'vehicles specifications'!$B$2:$CW$2,0))</f>
        <v>1870</v>
      </c>
    </row>
    <row r="403" spans="1:8" x14ac:dyDescent="0.2">
      <c r="A403" t="s">
        <v>132</v>
      </c>
      <c r="B403" s="2">
        <f>INDEX('vehicles specifications'!$B$3:$CW$166,MATCH(B393,'vehicles specifications'!$A$3:$A$166,0),MATCH("Curb mass [kg]",'vehicles specifications'!$B$2:$CW$2,0))</f>
        <v>129.76249999999999</v>
      </c>
    </row>
    <row r="404" spans="1:8" x14ac:dyDescent="0.2">
      <c r="A404" t="s">
        <v>133</v>
      </c>
      <c r="B404">
        <f>INDEX('vehicles specifications'!$B$3:$CW$166,MATCH(B393,'vehicles specifications'!$A$3:$A$166,0),MATCH("Power [kW]",'vehicles specifications'!$B$2:$CW$2,0))</f>
        <v>8.8000000000000007</v>
      </c>
    </row>
    <row r="405" spans="1:8" x14ac:dyDescent="0.2">
      <c r="A405" t="s">
        <v>134</v>
      </c>
      <c r="B405" t="str">
        <f>INDEX('vehicles specifications'!$B$3:$CW$166,MATCH(B393,'vehicles specifications'!$A$3:$A$166,0),MATCH("Energy battery mass [kg]",'vehicles specifications'!$B$2:$CW$2,0))</f>
        <v/>
      </c>
    </row>
    <row r="406" spans="1:8" x14ac:dyDescent="0.2">
      <c r="A406" t="s">
        <v>135</v>
      </c>
      <c r="B406">
        <f>INDEX('vehicles specifications'!$B$3:$CW$166,MATCH(B393,'vehicles specifications'!$A$3:$A$166,0),MATCH("Electric energy available [kWh]",'vehicles specifications'!$B$2:$CW$2,0))</f>
        <v>0</v>
      </c>
    </row>
    <row r="407" spans="1:8" x14ac:dyDescent="0.2">
      <c r="A407" t="s">
        <v>138</v>
      </c>
      <c r="B407" s="2">
        <f>INDEX('vehicles specifications'!$B$3:$CW$166,MATCH(B393,'vehicles specifications'!$A$3:$A$166,0),MATCH("Oxydation energy stored [kWh]",'vehicles specifications'!$B$2:$CW$2,0))</f>
        <v>79.875</v>
      </c>
    </row>
    <row r="408" spans="1:8" x14ac:dyDescent="0.2">
      <c r="A408" t="s">
        <v>139</v>
      </c>
      <c r="B408">
        <f>INDEX('vehicles specifications'!$B$3:$CW$166,MATCH(B393,'vehicles specifications'!$A$3:$A$166,0),MATCH("Fuel mass [kg]",'vehicles specifications'!$B$2:$CW$2,0))</f>
        <v>6.75</v>
      </c>
    </row>
    <row r="409" spans="1:8" x14ac:dyDescent="0.2">
      <c r="A409" t="s">
        <v>136</v>
      </c>
      <c r="B409" s="2">
        <f>INDEX('vehicles specifications'!$B$3:$CW$166,MATCH(B393,'vehicles specifications'!$A$3:$A$166,0),MATCH("Range [km]",'vehicles specifications'!$B$2:$CW$2,0))</f>
        <v>277.23498867374587</v>
      </c>
    </row>
    <row r="410" spans="1:8" x14ac:dyDescent="0.2">
      <c r="A410" t="s">
        <v>137</v>
      </c>
      <c r="B410" t="str">
        <f>INDEX('vehicles specifications'!$B$3:$CW$166,MATCH(B393,'vehicles specifications'!$A$3:$A$166,0),MATCH("Emission standard",'vehicles specifications'!$B$2:$CW$2,0))</f>
        <v>EURO-5</v>
      </c>
    </row>
    <row r="411" spans="1:8" x14ac:dyDescent="0.2">
      <c r="A411" t="s">
        <v>1174</v>
      </c>
      <c r="B411" s="6">
        <f>INDEX('vehicles specifications'!$B$3:$CW$166,MATCH(B393,'vehicles specifications'!$A$3:$A$166,0),MATCH("Lightweighting rate [%]",'vehicles specifications'!$B$2:$CW$2,0))</f>
        <v>0</v>
      </c>
    </row>
    <row r="412" spans="1:8" x14ac:dyDescent="0.2">
      <c r="A412" t="s">
        <v>83</v>
      </c>
      <c r="B412" t="str">
        <f>"Power: "&amp;B404&amp;" kW. Lifetime: "&amp;B398&amp;" km. Annual kilometers: "&amp;B402&amp;" km. Number of passengers: "&amp;B399&amp;". Curb mass: "&amp;ROUND(B403,1)&amp;" kg. Lightweighting of glider: "&amp;ROUND(B411*100,0)&amp;"%. Emission standard: "&amp;B410&amp;". Service visits throughout lifetime: "&amp;ROUND(B400,1)&amp;". Range: "&amp;ROUND(B409,0)&amp;" km. Fuel tank capacity: "&amp;ROUND(B407,1)&amp;" kWh. Fuel mass: "&amp;ROUND(B408,1)&amp;" kg. Documentation: "&amp;Readmefirst!$B$2&amp;", "&amp;Readmefirst!$B$3&amp;". "&amp;B397</f>
        <v>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v>
      </c>
    </row>
    <row r="413" spans="1:8" ht="16" x14ac:dyDescent="0.2">
      <c r="A413" s="10" t="s">
        <v>79</v>
      </c>
    </row>
    <row r="414" spans="1:8" x14ac:dyDescent="0.2">
      <c r="A414" t="s">
        <v>80</v>
      </c>
      <c r="B414" t="s">
        <v>81</v>
      </c>
      <c r="C414" t="s">
        <v>72</v>
      </c>
      <c r="D414" t="s">
        <v>76</v>
      </c>
      <c r="E414" t="s">
        <v>82</v>
      </c>
      <c r="F414" t="s">
        <v>74</v>
      </c>
      <c r="G414" t="s">
        <v>83</v>
      </c>
      <c r="H414" t="s">
        <v>73</v>
      </c>
    </row>
    <row r="415" spans="1:8" x14ac:dyDescent="0.2">
      <c r="A415" t="str">
        <f>B388</f>
        <v>transport, Scooter, gasoline, 4-11kW, EURO-5, 2020</v>
      </c>
      <c r="B415">
        <v>1</v>
      </c>
      <c r="C415" t="str">
        <f>B389</f>
        <v>CH</v>
      </c>
      <c r="D415" t="s">
        <v>166</v>
      </c>
      <c r="F415" t="s">
        <v>84</v>
      </c>
      <c r="G415" t="s">
        <v>85</v>
      </c>
      <c r="H415" t="str">
        <f>B394</f>
        <v>transport, Scooter, gasoline, 4-11kW, EURO-5</v>
      </c>
    </row>
    <row r="416" spans="1:8" x14ac:dyDescent="0.2">
      <c r="A416" t="str">
        <f>RIGHT(A415,LEN(A415)-11)</f>
        <v>Scooter, gasoline, 4-11kW, EURO-5, 2020</v>
      </c>
      <c r="B416" s="7">
        <f>1/B398</f>
        <v>3.3333333333333335E-5</v>
      </c>
      <c r="C416" t="str">
        <f>B389</f>
        <v>CH</v>
      </c>
      <c r="D416" t="s">
        <v>76</v>
      </c>
      <c r="F416" t="s">
        <v>89</v>
      </c>
      <c r="H416" t="str">
        <f>RIGHT(H415,LEN(H415)-11)</f>
        <v>Scooter, gasoline, 4-11kW, EURO-5</v>
      </c>
    </row>
    <row r="417" spans="1:8" x14ac:dyDescent="0.2">
      <c r="A417" t="str">
        <f>INDEX('ei names mapping'!$B$4:$R$33,MATCH(B390,'ei names mapping'!$A$4:$A$33,0),MATCH(G417,'ei names mapping'!$B$3:$R$3,0))</f>
        <v>road construction</v>
      </c>
      <c r="B417" s="7">
        <f>INDEX('vehicles specifications'!$B$3:$CW$166,MATCH(B393,'vehicles specifications'!$A$3:$A$166,0),MATCH(G417,'vehicles specifications'!$B$2:$CW$2,0))*INDEX('ei names mapping'!$B$137:$BL$300,MATCH(B393,'ei names mapping'!$A$137:$A$300,0),MATCH(G417,'ei names mapping'!$B$136:$BL$136,0))</f>
        <v>1.1210546249999999E-4</v>
      </c>
      <c r="C417" t="str">
        <f>INDEX('ei names mapping'!$B$38:$R$67,MATCH(B390,'ei names mapping'!$A$4:$A$33,0),MATCH(G417,'ei names mapping'!$B$3:$R$3,0))</f>
        <v>CH</v>
      </c>
      <c r="D417" t="str">
        <f>INDEX('ei names mapping'!$B$104:$BL$133,MATCH(B390,'ei names mapping'!$A$4:$A$33,0),MATCH(G417,'ei names mapping'!$B$3:$BL$3,0))</f>
        <v>meter-year</v>
      </c>
      <c r="F417" t="s">
        <v>89</v>
      </c>
      <c r="G417" t="s">
        <v>105</v>
      </c>
      <c r="H417" t="str">
        <f>INDEX('ei names mapping'!$B$71:$BL$100,MATCH(B390,'ei names mapping'!$A$4:$A$33,0),MATCH(G417,'ei names mapping'!$B$3:$BL$3,0))</f>
        <v>road</v>
      </c>
    </row>
    <row r="418" spans="1:8" x14ac:dyDescent="0.2">
      <c r="A418" t="str">
        <f>INDEX('ei names mapping'!$B$4:$R$33,MATCH(B390,'ei names mapping'!$A$4:$A$33,0),MATCH(G418,'ei names mapping'!$B$3:$R$3,0))</f>
        <v>road maintenance</v>
      </c>
      <c r="B418" s="7">
        <f>INDEX('vehicles specifications'!$B$3:$CW$166,MATCH(B393,'vehicles specifications'!$A$3:$A$166,0),MATCH(G418,'vehicles specifications'!$B$2:$CW$2,0))*INDEX('ei names mapping'!$B$137:$BL$300,MATCH(B393,'ei names mapping'!$A$137:$A$300,0),MATCH(G418,'ei names mapping'!$B$136:$BL$136,0))</f>
        <v>1.2899999999999999E-3</v>
      </c>
      <c r="C418" t="str">
        <f>INDEX('ei names mapping'!$B$38:$R$67,MATCH(B390,'ei names mapping'!$A$4:$A$33,0),MATCH(G418,'ei names mapping'!$B$3:$R$3,0))</f>
        <v>CH</v>
      </c>
      <c r="D418" t="str">
        <f>INDEX('ei names mapping'!$B$104:$BL$133,MATCH(B390,'ei names mapping'!$A$4:$A$33,0),MATCH(G418,'ei names mapping'!$B$3:$BL$3,0))</f>
        <v>meter-year</v>
      </c>
      <c r="F418" t="s">
        <v>89</v>
      </c>
      <c r="G418" t="s">
        <v>112</v>
      </c>
      <c r="H418" t="str">
        <f>INDEX('ei names mapping'!$B$71:$BL$100,MATCH(B390,'ei names mapping'!$A$4:$A$33,0),MATCH(G418,'ei names mapping'!$B$3:$BL$3,0))</f>
        <v>road maintenance</v>
      </c>
    </row>
    <row r="419" spans="1:8" x14ac:dyDescent="0.2">
      <c r="A419" t="str">
        <f>INDEX('ei names mapping'!$B$4:$R$33,MATCH(B390,'ei names mapping'!$A$4:$A$33,0),MATCH(G419,'ei names mapping'!$B$3:$R$3,0))</f>
        <v>maintenance, motor scooter</v>
      </c>
      <c r="B419" s="7">
        <f>INDEX('vehicles specifications'!$B$3:$CW$166,MATCH(B393,'vehicles specifications'!$A$3:$A$166,0),MATCH(G419,'vehicles specifications'!$B$2:$CW$2,0))*INDEX('ei names mapping'!$B$137:$BL$300,MATCH(B393,'ei names mapping'!$A$137:$A$300,0),MATCH(G419,'ei names mapping'!$B$136:$BL$136,0))</f>
        <v>4.0000000000000003E-5</v>
      </c>
      <c r="C419" t="str">
        <f>INDEX('ei names mapping'!$B$38:$BL$67,MATCH(B390,'ei names mapping'!$A$4:$A$33,0),MATCH(G419,'ei names mapping'!$B$3:$BL$3,0))</f>
        <v>CH</v>
      </c>
      <c r="D419" t="str">
        <f>INDEX('ei names mapping'!$B$104:$BL$133,MATCH(B390,'ei names mapping'!$A$4:$A$33,0),MATCH(G419,'ei names mapping'!$B$3:$BL$3,0))</f>
        <v>unit</v>
      </c>
      <c r="F419" t="s">
        <v>89</v>
      </c>
      <c r="G419" t="s">
        <v>118</v>
      </c>
      <c r="H419" t="str">
        <f>INDEX('ei names mapping'!$B$71:$BL$100,MATCH(B390,'ei names mapping'!$A$4:$A$33,0),MATCH(G419,'ei names mapping'!$B$3:$BL$3,0))</f>
        <v>maintenance, motor scooter</v>
      </c>
    </row>
    <row r="420" spans="1:8" x14ac:dyDescent="0.2">
      <c r="A420" t="str">
        <f>INDEX('ei names mapping'!$B$4:$R$33,MATCH(B390,'ei names mapping'!$A$4:$A$33,0),MATCH(G420,'ei names mapping'!$B$3:$R$3,0))</f>
        <v>fuel supply for gasoline vehicles</v>
      </c>
      <c r="B420" s="7">
        <f>INDEX('vehicles specifications'!$B$3:$CW$166,MATCH(B393,'vehicles specifications'!$A$3:$A$166,0),MATCH(G420,'vehicles specifications'!$B$2:$CW$2,0))*INDEX('ei names mapping'!$B$137:$BL$300,MATCH(B393,'ei names mapping'!$A$137:$A$300,0),MATCH(G420,'ei names mapping'!$B$136:$BL$136,0))</f>
        <v>2.4347576156570547E-2</v>
      </c>
      <c r="C420" t="str">
        <f>INDEX('ei names mapping'!$B$38:$BL$67,MATCH(B390,'ei names mapping'!$A$4:$A$33,0),MATCH(G420,'ei names mapping'!$B$3:$BL$3,0))</f>
        <v>CH</v>
      </c>
      <c r="D420" t="str">
        <f>INDEX('ei names mapping'!$B$104:$BL$133,MATCH(B390,'ei names mapping'!$A$4:$A$33,0),MATCH(G420,'ei names mapping'!$B$3:$BL$3,0))</f>
        <v>kilogram</v>
      </c>
      <c r="F420" t="s">
        <v>89</v>
      </c>
      <c r="G420" t="s">
        <v>27</v>
      </c>
      <c r="H420" t="str">
        <f>INDEX('ei names mapping'!$B$71:$BL$100,MATCH(B390,'ei names mapping'!$A$4:$A$33,0),MATCH(G420,'ei names mapping'!$B$3:$BL$3,0))</f>
        <v>gasoline blend</v>
      </c>
    </row>
    <row r="421" spans="1:8" x14ac:dyDescent="0.2">
      <c r="A421" t="str">
        <f>INDEX('ei names mapping'!$B$4:$BL$33,MATCH(B390,'ei names mapping'!$A$4:$A$33,0),MATCH(G421,'ei names mapping'!$B$3:$BL$3,0))</f>
        <v>Carbon dioxide, fossil</v>
      </c>
      <c r="B421" s="11">
        <f>INDEX('vehicles specifications'!$B$3:$CW$166,MATCH(B393,'vehicles specifications'!$A$3:$A$166,0),MATCH(G421,'vehicles specifications'!$B$2:$CW$2,0))*INDEX('ei names mapping'!$B$137:$BL$300,MATCH(B393,'ei names mapping'!$A$137:$A$300,0),MATCH(G421,'ei names mapping'!$B$136:$BL$136,0))</f>
        <v>7.5533972462051943E-2</v>
      </c>
      <c r="D421" t="str">
        <f>INDEX('ei names mapping'!$B$104:$BL$133,MATCH(B390,'ei names mapping'!$A$4:$A$33,0),MATCH(G421,'ei names mapping'!$B$3:$BL$3,0))</f>
        <v>kilogram</v>
      </c>
      <c r="E421" t="str">
        <f>INDEX('ei names mapping'!$B$305:$BL$335,MATCH(B390,'ei names mapping'!$A$4:$A$33,0),MATCH(G421,'ei names mapping'!$B$3:$BL$3,0))</f>
        <v>air::urban air close to ground</v>
      </c>
      <c r="F421" t="s">
        <v>167</v>
      </c>
      <c r="G421" t="s">
        <v>66</v>
      </c>
    </row>
    <row r="422" spans="1:8" x14ac:dyDescent="0.2">
      <c r="A422" t="str">
        <f>INDEX('ei names mapping'!$B$4:$BL$33,MATCH(B390,'ei names mapping'!$A$4:$A$33,0),MATCH(G422,'ei names mapping'!$B$3:$BL$3,0))</f>
        <v>Carbon dioxide, from soil or biomass stock</v>
      </c>
      <c r="B422" s="11">
        <f>INDEX('vehicles specifications'!$B$3:$CW$166,MATCH(B393,'vehicles specifications'!$A$3:$A$166,0),MATCH(G422,'vehicles specifications'!$B$2:$CW$2,0))*INDEX('ei names mapping'!$B$137:$BL$300,MATCH(B393,'ei names mapping'!$A$137:$A$300,0),MATCH(G422,'ei names mapping'!$B$136:$BL$136,0))</f>
        <v>9.1741666957957831E-4</v>
      </c>
      <c r="D422" t="str">
        <f>INDEX('ei names mapping'!$B$104:$BL$133,MATCH(B390,'ei names mapping'!$A$4:$A$33,0),MATCH(G422,'ei names mapping'!$B$3:$BL$3,0))</f>
        <v>kilogram</v>
      </c>
      <c r="E422" t="str">
        <f>INDEX('ei names mapping'!$B$305:$BL$335,MATCH(B390,'ei names mapping'!$A$4:$A$33,0),MATCH(G422,'ei names mapping'!$B$3:$BL$3,0))</f>
        <v>air::urban air close to ground</v>
      </c>
      <c r="F422" t="s">
        <v>167</v>
      </c>
      <c r="G422" t="s">
        <v>843</v>
      </c>
    </row>
    <row r="423" spans="1:8" x14ac:dyDescent="0.2">
      <c r="A423" t="str">
        <f>INDEX('ei names mapping'!$B$4:$BL$33,MATCH(B390,'ei names mapping'!$A$4:$A$33,0),MATCH(G423,'ei names mapping'!$B$3:$BL$3,0))</f>
        <v>Sulfur dioxide</v>
      </c>
      <c r="B423" s="7">
        <f>INDEX('vehicles specifications'!$B$3:$CW$166,MATCH(B393,'vehicles specifications'!$A$3:$A$166,0),MATCH(G423,'vehicles specifications'!$B$2:$CW$2,0))*INDEX('ei names mapping'!$B$137:$BL$300,MATCH(B393,'ei names mapping'!$A$137:$A$300,0),MATCH(G423,'ei names mapping'!$B$136:$BL$136,0))</f>
        <v>3.8956121850512876E-7</v>
      </c>
      <c r="D423" t="str">
        <f>INDEX('ei names mapping'!$B$104:$BL$133,MATCH(B390,'ei names mapping'!$A$4:$A$33,0),MATCH(G423,'ei names mapping'!$B$3:$BL$3,0))</f>
        <v>kilogram</v>
      </c>
      <c r="E423" t="str">
        <f>INDEX('ei names mapping'!$B$305:$BL$335,MATCH(B390,'ei names mapping'!$A$4:$A$33,0),MATCH(G423,'ei names mapping'!$B$3:$BL$3,0))</f>
        <v>air::urban air close to ground</v>
      </c>
      <c r="F423" t="s">
        <v>167</v>
      </c>
      <c r="G423" t="s">
        <v>67</v>
      </c>
    </row>
    <row r="424" spans="1:8" x14ac:dyDescent="0.2">
      <c r="A424" t="str">
        <f>INDEX('ei names mapping'!$B$4:$BL$33,MATCH(B390,'ei names mapping'!$A$4:$A$33,0),MATCH(G424,'ei names mapping'!$B$3:$BL$3,0))</f>
        <v>Benzene</v>
      </c>
      <c r="B424" s="7">
        <f>INDEX('vehicles specifications'!$B$3:$CW$166,MATCH(B393,'vehicles specifications'!$A$3:$A$166,0),MATCH(G424,'vehicles specifications'!$B$2:$CW$2,0))*INDEX('ei names mapping'!$B$137:$BL$300,MATCH(B393,'ei names mapping'!$A$137:$A$300,0),MATCH(G424,'ei names mapping'!$B$136:$BL$136,0))</f>
        <v>3.7426602169084653E-5</v>
      </c>
      <c r="D424" t="str">
        <f>INDEX('ei names mapping'!$B$104:$BL$133,MATCH(B390,'ei names mapping'!$A$4:$A$33,0),MATCH(G424,'ei names mapping'!$B$3:$BL$3,0))</f>
        <v>kilogram</v>
      </c>
      <c r="E424" t="str">
        <f>INDEX('ei names mapping'!$B$305:$BL$335,MATCH(B390,'ei names mapping'!$A$4:$A$33,0),MATCH(G424,'ei names mapping'!$B$3:$BL$3,0))</f>
        <v>air::urban air close to ground</v>
      </c>
      <c r="F424" t="s">
        <v>167</v>
      </c>
      <c r="G424" t="s">
        <v>55</v>
      </c>
    </row>
    <row r="425" spans="1:8" x14ac:dyDescent="0.2">
      <c r="A425" t="str">
        <f>INDEX('ei names mapping'!$B$4:$BL$33,MATCH(B390,'ei names mapping'!$A$4:$A$33,0),MATCH(G425,'ei names mapping'!$B$3:$BL$3,0))</f>
        <v>Methane, fossil</v>
      </c>
      <c r="B425" s="7">
        <f>INDEX('vehicles specifications'!$B$3:$CW$166,MATCH(B393,'vehicles specifications'!$A$3:$A$166,0),MATCH(G425,'vehicles specifications'!$B$2:$CW$2,0))*INDEX('ei names mapping'!$B$137:$BL$300,MATCH(B393,'ei names mapping'!$A$137:$A$300,0),MATCH(G425,'ei names mapping'!$B$136:$BL$136,0))</f>
        <v>2.8595281318181901E-5</v>
      </c>
      <c r="D425" t="str">
        <f>INDEX('ei names mapping'!$B$104:$BL$133,MATCH(B390,'ei names mapping'!$A$4:$A$33,0),MATCH(G425,'ei names mapping'!$B$3:$BL$3,0))</f>
        <v>kilogram</v>
      </c>
      <c r="E425" t="str">
        <f>INDEX('ei names mapping'!$B$305:$BL$335,MATCH(B390,'ei names mapping'!$A$4:$A$33,0),MATCH(G425,'ei names mapping'!$B$3:$BL$3,0))</f>
        <v>air::urban air close to ground</v>
      </c>
      <c r="F425" t="s">
        <v>167</v>
      </c>
      <c r="G425" t="s">
        <v>56</v>
      </c>
    </row>
    <row r="426" spans="1:8" x14ac:dyDescent="0.2">
      <c r="A426" t="str">
        <f>INDEX('ei names mapping'!$B$4:$BL$33,MATCH(B390,'ei names mapping'!$A$4:$A$33,0),MATCH(G426,'ei names mapping'!$B$3:$BL$3,0))</f>
        <v>Carbon monoxide, fossil</v>
      </c>
      <c r="B426" s="7">
        <f>INDEX('vehicles specifications'!$B$3:$CW$166,MATCH(B393,'vehicles specifications'!$A$3:$A$166,0),MATCH(G426,'vehicles specifications'!$B$2:$CW$2,0))*INDEX('ei names mapping'!$B$137:$BL$300,MATCH(B393,'ei names mapping'!$A$137:$A$300,0),MATCH(G426,'ei names mapping'!$B$136:$BL$136,0))</f>
        <v>3.3500905321182215E-3</v>
      </c>
      <c r="D426" t="str">
        <f>INDEX('ei names mapping'!$B$104:$BL$133,MATCH(B390,'ei names mapping'!$A$4:$A$33,0),MATCH(G426,'ei names mapping'!$B$3:$BL$3,0))</f>
        <v>kilogram</v>
      </c>
      <c r="E426" t="str">
        <f>INDEX('ei names mapping'!$B$305:$BL$335,MATCH(B390,'ei names mapping'!$A$4:$A$33,0),MATCH(G426,'ei names mapping'!$B$3:$BL$3,0))</f>
        <v>air::urban air close to ground</v>
      </c>
      <c r="F426" t="s">
        <v>167</v>
      </c>
      <c r="G426" t="s">
        <v>57</v>
      </c>
    </row>
    <row r="427" spans="1:8" x14ac:dyDescent="0.2">
      <c r="A427" t="str">
        <f>INDEX('ei names mapping'!$B$4:$BL$33,MATCH(B390,'ei names mapping'!$A$4:$A$33,0),MATCH(G427,'ei names mapping'!$B$3:$BL$3,0))</f>
        <v>Dinitrogen monoxide</v>
      </c>
      <c r="B427" s="7">
        <f>INDEX('vehicles specifications'!$B$3:$CW$166,MATCH(B393,'vehicles specifications'!$A$3:$A$166,0),MATCH(G427,'vehicles specifications'!$B$2:$CW$2,0))*INDEX('ei names mapping'!$B$137:$BL$300,MATCH(B393,'ei names mapping'!$A$137:$A$300,0),MATCH(G427,'ei names mapping'!$B$136:$BL$136,0))</f>
        <v>1.4508006757068449E-6</v>
      </c>
      <c r="D427" t="str">
        <f>INDEX('ei names mapping'!$B$104:$BL$133,MATCH(B390,'ei names mapping'!$A$4:$A$33,0),MATCH(G427,'ei names mapping'!$B$3:$BL$3,0))</f>
        <v>kilogram</v>
      </c>
      <c r="E427" t="str">
        <f>INDEX('ei names mapping'!$B$305:$BL$335,MATCH(B390,'ei names mapping'!$A$4:$A$33,0),MATCH(G427,'ei names mapping'!$B$3:$BL$3,0))</f>
        <v>air::urban air close to ground</v>
      </c>
      <c r="F427" t="s">
        <v>167</v>
      </c>
      <c r="G427" t="s">
        <v>58</v>
      </c>
    </row>
    <row r="428" spans="1:8" x14ac:dyDescent="0.2">
      <c r="A428" t="str">
        <f>INDEX('ei names mapping'!$B$4:$BL$33,MATCH(B390,'ei names mapping'!$A$4:$A$33,0),MATCH(G428,'ei names mapping'!$B$3:$BL$3,0))</f>
        <v>Ammonia</v>
      </c>
      <c r="B428" s="7">
        <f>INDEX('vehicles specifications'!$B$3:$CW$166,MATCH(B393,'vehicles specifications'!$A$3:$A$166,0),MATCH(G428,'vehicles specifications'!$B$2:$CW$2,0))*INDEX('ei names mapping'!$B$137:$BL$300,MATCH(B393,'ei names mapping'!$A$137:$A$300,0),MATCH(G428,'ei names mapping'!$B$136:$BL$136,0))</f>
        <v>1.4508006757068449E-6</v>
      </c>
      <c r="D428" t="str">
        <f>INDEX('ei names mapping'!$B$104:$BL$133,MATCH(B390,'ei names mapping'!$A$4:$A$33,0),MATCH(G428,'ei names mapping'!$B$3:$BL$3,0))</f>
        <v>kilogram</v>
      </c>
      <c r="E428" t="str">
        <f>INDEX('ei names mapping'!$B$305:$BL$335,MATCH(B390,'ei names mapping'!$A$4:$A$33,0),MATCH(G428,'ei names mapping'!$B$3:$BL$3,0))</f>
        <v>air::urban air close to ground</v>
      </c>
      <c r="F428" t="s">
        <v>167</v>
      </c>
      <c r="G428" t="s">
        <v>59</v>
      </c>
    </row>
    <row r="429" spans="1:8" x14ac:dyDescent="0.2">
      <c r="A429" t="str">
        <f>INDEX('ei names mapping'!$B$4:$BL$33,MATCH(B390,'ei names mapping'!$A$4:$A$33,0),MATCH(G429,'ei names mapping'!$B$3:$BL$3,0))</f>
        <v>Nitrogen oxides</v>
      </c>
      <c r="B429" s="7">
        <f>INDEX('vehicles specifications'!$B$3:$CW$166,MATCH(B393,'vehicles specifications'!$A$3:$A$166,0),MATCH(G429,'vehicles specifications'!$B$2:$CW$2,0))*INDEX('ei names mapping'!$B$137:$BL$300,MATCH(B393,'ei names mapping'!$A$137:$A$300,0),MATCH(G429,'ei names mapping'!$B$136:$BL$136,0))</f>
        <v>1.0879657108582329E-4</v>
      </c>
      <c r="D429" t="str">
        <f>INDEX('ei names mapping'!$B$104:$BL$133,MATCH(B390,'ei names mapping'!$A$4:$A$33,0),MATCH(G429,'ei names mapping'!$B$3:$BL$3,0))</f>
        <v>kilogram</v>
      </c>
      <c r="E429" t="str">
        <f>INDEX('ei names mapping'!$B$305:$BL$335,MATCH(B390,'ei names mapping'!$A$4:$A$33,0),MATCH(G429,'ei names mapping'!$B$3:$BL$3,0))</f>
        <v>air::urban air close to ground</v>
      </c>
      <c r="F429" t="s">
        <v>167</v>
      </c>
      <c r="G429" t="s">
        <v>60</v>
      </c>
    </row>
    <row r="430" spans="1:8" x14ac:dyDescent="0.2">
      <c r="A430" t="str">
        <f>INDEX('ei names mapping'!$B$4:$BL$33,MATCH(B390,'ei names mapping'!$A$4:$A$33,0),MATCH(G430,'ei names mapping'!$B$3:$BL$3,0))</f>
        <v>Particulates, &lt; 2.5 um</v>
      </c>
      <c r="B430" s="7">
        <f>INDEX('vehicles specifications'!$B$3:$CW$166,MATCH(B$393,'vehicles specifications'!$A$3:$A$166,0),MATCH(G430,'vehicles specifications'!$B$2:$CW$2,0))*INDEX('ei names mapping'!$B$137:$BL$300,MATCH(B$393,'ei names mapping'!$A$137:$A$300,0),MATCH(G430,'ei names mapping'!$B$136:$BL$136,0))</f>
        <v>3.2541459156104529E-6</v>
      </c>
      <c r="D430" t="str">
        <f>INDEX('ei names mapping'!$B$104:$BL$133,MATCH(B390,'ei names mapping'!$A$4:$A$33,0),MATCH(G430,'ei names mapping'!$B$3:$BL$3,0))</f>
        <v>kilogram</v>
      </c>
      <c r="E430" t="str">
        <f>INDEX('ei names mapping'!$B$305:$BL$335,MATCH(B390,'ei names mapping'!$A$4:$A$33,0),MATCH(G430,'ei names mapping'!$B$3:$BL$3,0))</f>
        <v>air::urban air close to ground</v>
      </c>
      <c r="F430" t="s">
        <v>167</v>
      </c>
      <c r="G430" t="s">
        <v>62</v>
      </c>
    </row>
    <row r="431" spans="1:8" x14ac:dyDescent="0.2">
      <c r="A431" t="str">
        <f>INDEX('ei names mapping'!$B$4:$BL$33,MATCH(B$234,'ei names mapping'!$A$4:$A$33,0),MATCH(G431,'ei names mapping'!$B$3:$BL$3,0))</f>
        <v>NMVOC, non-methane volatile organic compounds, unspecified origin</v>
      </c>
      <c r="B431" s="7">
        <f>INDEX('vehicles specifications'!$B$3:$CW$166,MATCH(B$393,'vehicles specifications'!$A$3:$A$166,0),MATCH(G431,'vehicles specifications'!$B$2:$CW$2,0))*INDEX('ei names mapping'!$B$137:$BL$300,MATCH(B$393,'ei names mapping'!$A$137:$A$300,0),MATCH(G431,'ei names mapping'!$B$136:$BL$136,0))</f>
        <v>3.018145244437416E-4</v>
      </c>
      <c r="D431" t="str">
        <f>INDEX('ei names mapping'!$B$104:$BL$133,MATCH(B$234,'ei names mapping'!$A$4:$A$33,0),MATCH(G431,'ei names mapping'!$B$3:$BL$3,0))</f>
        <v>kilogram</v>
      </c>
      <c r="E431" t="str">
        <f>INDEX('ei names mapping'!$B$305:$BL$335,MATCH(B$234,'ei names mapping'!$A$4:$A$33,0),MATCH(G431,'ei names mapping'!$B$3:$BL$3,0))</f>
        <v>air::urban air close to ground</v>
      </c>
      <c r="F431" t="s">
        <v>167</v>
      </c>
      <c r="G431" t="s">
        <v>593</v>
      </c>
    </row>
    <row r="432" spans="1:8" x14ac:dyDescent="0.2">
      <c r="A432" t="str">
        <f>INDEX('ei names mapping'!$B$4:$BL$33,MATCH(B$234,'ei names mapping'!$A$4:$A$33,0),MATCH(G432,'ei names mapping'!$B$3:$BL$3,0))</f>
        <v>Ethane</v>
      </c>
      <c r="B432" s="7">
        <f>INDEX('vehicles specifications'!$B$3:$CW$166,MATCH(B$393,'vehicles specifications'!$A$3:$A$166,0),MATCH(G432,'vehicles specifications'!$B$2:$CW$2,0))*INDEX('ei names mapping'!$B$137:$BL$300,MATCH(B$393,'ei names mapping'!$A$137:$A$300,0),MATCH(G432,'ei names mapping'!$B$136:$BL$136,0))</f>
        <v>2.1281793390263825E-5</v>
      </c>
      <c r="D432" t="str">
        <f>INDEX('ei names mapping'!$B$104:$BL$133,MATCH(B$234,'ei names mapping'!$A$4:$A$33,0),MATCH(G432,'ei names mapping'!$B$3:$BL$3,0))</f>
        <v>kilogram</v>
      </c>
      <c r="E432" t="str">
        <f>INDEX('ei names mapping'!$B$305:$BL$335,MATCH(B$234,'ei names mapping'!$A$4:$A$33,0),MATCH(G432,'ei names mapping'!$B$3:$BL$3,0))</f>
        <v>air::urban air close to ground</v>
      </c>
      <c r="F432" t="s">
        <v>167</v>
      </c>
      <c r="G432" t="s">
        <v>541</v>
      </c>
    </row>
    <row r="433" spans="1:7" x14ac:dyDescent="0.2">
      <c r="A433" t="str">
        <f>INDEX('ei names mapping'!$B$4:$BL$33,MATCH(B$234,'ei names mapping'!$A$4:$A$33,0),MATCH(G433,'ei names mapping'!$B$3:$BL$3,0))</f>
        <v>Propane</v>
      </c>
      <c r="B433" s="7">
        <f>INDEX('vehicles specifications'!$B$3:$CW$166,MATCH(B$393,'vehicles specifications'!$A$3:$A$166,0),MATCH(G433,'vehicles specifications'!$B$2:$CW$2,0))*INDEX('ei names mapping'!$B$137:$BL$300,MATCH(B$393,'ei names mapping'!$A$137:$A$300,0),MATCH(G433,'ei names mapping'!$B$136:$BL$136,0))</f>
        <v>4.3364155810882407E-6</v>
      </c>
      <c r="D433" t="str">
        <f>INDEX('ei names mapping'!$B$104:$BL$133,MATCH(B$234,'ei names mapping'!$A$4:$A$33,0),MATCH(G433,'ei names mapping'!$B$3:$BL$3,0))</f>
        <v>kilogram</v>
      </c>
      <c r="E433" t="str">
        <f>INDEX('ei names mapping'!$B$305:$BL$335,MATCH(B$234,'ei names mapping'!$A$4:$A$33,0),MATCH(G433,'ei names mapping'!$B$3:$BL$3,0))</f>
        <v>air::urban air close to ground</v>
      </c>
      <c r="F433" t="s">
        <v>167</v>
      </c>
      <c r="G433" t="s">
        <v>542</v>
      </c>
    </row>
    <row r="434" spans="1:7" x14ac:dyDescent="0.2">
      <c r="A434" t="str">
        <f>INDEX('ei names mapping'!$B$4:$BL$33,MATCH(B$234,'ei names mapping'!$A$4:$A$33,0),MATCH(G434,'ei names mapping'!$B$3:$BL$3,0))</f>
        <v>Butane</v>
      </c>
      <c r="B434" s="7">
        <f>INDEX('vehicles specifications'!$B$3:$CW$166,MATCH(B$393,'vehicles specifications'!$A$3:$A$166,0),MATCH(G434,'vehicles specifications'!$B$2:$CW$2,0))*INDEX('ei names mapping'!$B$137:$BL$300,MATCH(B$393,'ei names mapping'!$A$137:$A$300,0),MATCH(G434,'ei names mapping'!$B$136:$BL$136,0))</f>
        <v>3.4958180992157506E-5</v>
      </c>
      <c r="D434" t="str">
        <f>INDEX('ei names mapping'!$B$104:$BL$133,MATCH(B$234,'ei names mapping'!$A$4:$A$33,0),MATCH(G434,'ei names mapping'!$B$3:$BL$3,0))</f>
        <v>kilogram</v>
      </c>
      <c r="E434" t="str">
        <f>INDEX('ei names mapping'!$B$305:$BL$335,MATCH(B$234,'ei names mapping'!$A$4:$A$33,0),MATCH(G434,'ei names mapping'!$B$3:$BL$3,0))</f>
        <v>air::urban air close to ground</v>
      </c>
      <c r="F434" t="s">
        <v>167</v>
      </c>
      <c r="G434" t="s">
        <v>543</v>
      </c>
    </row>
    <row r="435" spans="1:7" x14ac:dyDescent="0.2">
      <c r="A435" t="str">
        <f>INDEX('ei names mapping'!$B$4:$BL$33,MATCH(B$234,'ei names mapping'!$A$4:$A$33,0),MATCH(G435,'ei names mapping'!$B$3:$BL$3,0))</f>
        <v>Pentane</v>
      </c>
      <c r="B435" s="7">
        <f>INDEX('vehicles specifications'!$B$3:$CW$166,MATCH(B$393,'vehicles specifications'!$A$3:$A$166,0),MATCH(G435,'vehicles specifications'!$B$2:$CW$2,0))*INDEX('ei names mapping'!$B$137:$BL$300,MATCH(B$393,'ei names mapping'!$A$137:$A$300,0),MATCH(G435,'ei names mapping'!$B$136:$BL$136,0))</f>
        <v>1.4343528460522639E-5</v>
      </c>
      <c r="D435" t="str">
        <f>INDEX('ei names mapping'!$B$104:$BL$133,MATCH(B$234,'ei names mapping'!$A$4:$A$33,0),MATCH(G435,'ei names mapping'!$B$3:$BL$3,0))</f>
        <v>kilogram</v>
      </c>
      <c r="E435" t="str">
        <f>INDEX('ei names mapping'!$B$305:$BL$335,MATCH(B$234,'ei names mapping'!$A$4:$A$33,0),MATCH(G435,'ei names mapping'!$B$3:$BL$3,0))</f>
        <v>air::urban air close to ground</v>
      </c>
      <c r="F435" t="s">
        <v>167</v>
      </c>
      <c r="G435" t="s">
        <v>544</v>
      </c>
    </row>
    <row r="436" spans="1:7" x14ac:dyDescent="0.2">
      <c r="A436" t="str">
        <f>INDEX('ei names mapping'!$B$4:$BL$33,MATCH(B$234,'ei names mapping'!$A$4:$A$33,0),MATCH(G436,'ei names mapping'!$B$3:$BL$3,0))</f>
        <v>Hexane</v>
      </c>
      <c r="B436" s="7">
        <f>INDEX('vehicles specifications'!$B$3:$CW$166,MATCH(B$393,'vehicles specifications'!$A$3:$A$166,0),MATCH(G436,'vehicles specifications'!$B$2:$CW$2,0))*INDEX('ei names mapping'!$B$137:$BL$300,MATCH(B$393,'ei names mapping'!$A$137:$A$300,0),MATCH(G436,'ei names mapping'!$B$136:$BL$136,0))</f>
        <v>1.0740967823926257E-5</v>
      </c>
      <c r="D436" t="str">
        <f>INDEX('ei names mapping'!$B$104:$BL$133,MATCH(B$234,'ei names mapping'!$A$4:$A$33,0),MATCH(G436,'ei names mapping'!$B$3:$BL$3,0))</f>
        <v>kilogram</v>
      </c>
      <c r="E436" t="str">
        <f>INDEX('ei names mapping'!$B$305:$BL$335,MATCH(B$234,'ei names mapping'!$A$4:$A$33,0),MATCH(G436,'ei names mapping'!$B$3:$BL$3,0))</f>
        <v>air::urban air close to ground</v>
      </c>
      <c r="F436" t="s">
        <v>167</v>
      </c>
      <c r="G436" t="s">
        <v>545</v>
      </c>
    </row>
    <row r="437" spans="1:7" x14ac:dyDescent="0.2">
      <c r="A437" t="str">
        <f>INDEX('ei names mapping'!$B$4:$BL$33,MATCH(B$234,'ei names mapping'!$A$4:$A$33,0),MATCH(G437,'ei names mapping'!$B$3:$BL$3,0))</f>
        <v>Cyclohexane</v>
      </c>
      <c r="B437" s="7">
        <f>INDEX('vehicles specifications'!$B$3:$CW$166,MATCH(B$393,'vehicles specifications'!$A$3:$A$166,0),MATCH(G437,'vehicles specifications'!$B$2:$CW$2,0))*INDEX('ei names mapping'!$B$137:$BL$300,MATCH(B$393,'ei names mapping'!$A$137:$A$300,0),MATCH(G437,'ei names mapping'!$B$136:$BL$136,0))</f>
        <v>7.6054057883701452E-6</v>
      </c>
      <c r="D437" t="str">
        <f>INDEX('ei names mapping'!$B$104:$BL$133,MATCH(B$234,'ei names mapping'!$A$4:$A$33,0),MATCH(G437,'ei names mapping'!$B$3:$BL$3,0))</f>
        <v>kilogram</v>
      </c>
      <c r="E437" t="str">
        <f>INDEX('ei names mapping'!$B$305:$BL$335,MATCH(B$234,'ei names mapping'!$A$4:$A$33,0),MATCH(G437,'ei names mapping'!$B$3:$BL$3,0))</f>
        <v>air::urban air close to ground</v>
      </c>
      <c r="F437" t="s">
        <v>167</v>
      </c>
      <c r="G437" t="s">
        <v>546</v>
      </c>
    </row>
    <row r="438" spans="1:7" x14ac:dyDescent="0.2">
      <c r="A438" t="str">
        <f>INDEX('ei names mapping'!$B$4:$BL$33,MATCH(B$234,'ei names mapping'!$A$4:$A$33,0),MATCH(G438,'ei names mapping'!$B$3:$BL$3,0))</f>
        <v>Heptane</v>
      </c>
      <c r="B438" s="7">
        <f>INDEX('vehicles specifications'!$B$3:$CW$166,MATCH(B$393,'vehicles specifications'!$A$3:$A$166,0),MATCH(G438,'vehicles specifications'!$B$2:$CW$2,0))*INDEX('ei names mapping'!$B$137:$BL$300,MATCH(B$393,'ei names mapping'!$A$137:$A$300,0),MATCH(G438,'ei names mapping'!$B$136:$BL$136,0))</f>
        <v>4.9368423538543053E-6</v>
      </c>
      <c r="D438" t="str">
        <f>INDEX('ei names mapping'!$B$104:$BL$133,MATCH(B$234,'ei names mapping'!$A$4:$A$33,0),MATCH(G438,'ei names mapping'!$B$3:$BL$3,0))</f>
        <v>kilogram</v>
      </c>
      <c r="E438" t="str">
        <f>INDEX('ei names mapping'!$B$305:$BL$335,MATCH(B$234,'ei names mapping'!$A$4:$A$33,0),MATCH(G438,'ei names mapping'!$B$3:$BL$3,0))</f>
        <v>air::urban air close to ground</v>
      </c>
      <c r="F438" t="s">
        <v>167</v>
      </c>
      <c r="G438" t="s">
        <v>547</v>
      </c>
    </row>
    <row r="439" spans="1:7" x14ac:dyDescent="0.2">
      <c r="A439" t="str">
        <f>INDEX('ei names mapping'!$B$4:$BL$33,MATCH(B$234,'ei names mapping'!$A$4:$A$33,0),MATCH(G439,'ei names mapping'!$B$3:$BL$3,0))</f>
        <v>Ethene</v>
      </c>
      <c r="B439" s="7">
        <f>INDEX('vehicles specifications'!$B$3:$CW$166,MATCH(B$393,'vehicles specifications'!$A$3:$A$166,0),MATCH(G439,'vehicles specifications'!$B$2:$CW$2,0))*INDEX('ei names mapping'!$B$137:$BL$300,MATCH(B$393,'ei names mapping'!$A$137:$A$300,0),MATCH(G439,'ei names mapping'!$B$136:$BL$136,0))</f>
        <v>4.8701282679914084E-5</v>
      </c>
      <c r="D439" t="str">
        <f>INDEX('ei names mapping'!$B$104:$BL$133,MATCH(B$234,'ei names mapping'!$A$4:$A$33,0),MATCH(G439,'ei names mapping'!$B$3:$BL$3,0))</f>
        <v>kilogram</v>
      </c>
      <c r="E439" t="str">
        <f>INDEX('ei names mapping'!$B$305:$BL$335,MATCH(B$234,'ei names mapping'!$A$4:$A$33,0),MATCH(G439,'ei names mapping'!$B$3:$BL$3,0))</f>
        <v>air::urban air close to ground</v>
      </c>
      <c r="F439" t="s">
        <v>167</v>
      </c>
      <c r="G439" t="s">
        <v>548</v>
      </c>
    </row>
    <row r="440" spans="1:7" x14ac:dyDescent="0.2">
      <c r="A440" t="str">
        <f>INDEX('ei names mapping'!$B$4:$BL$33,MATCH(B$234,'ei names mapping'!$A$4:$A$33,0),MATCH(G440,'ei names mapping'!$B$3:$BL$3,0))</f>
        <v>Propene</v>
      </c>
      <c r="B440" s="7">
        <f>INDEX('vehicles specifications'!$B$3:$CW$166,MATCH(B$393,'vehicles specifications'!$A$3:$A$166,0),MATCH(G440,'vehicles specifications'!$B$2:$CW$2,0))*INDEX('ei names mapping'!$B$137:$BL$300,MATCH(B$393,'ei names mapping'!$A$137:$A$300,0),MATCH(G440,'ei names mapping'!$B$136:$BL$136,0))</f>
        <v>2.5484780799626274E-5</v>
      </c>
      <c r="D440" t="str">
        <f>INDEX('ei names mapping'!$B$104:$BL$133,MATCH(B$234,'ei names mapping'!$A$4:$A$33,0),MATCH(G440,'ei names mapping'!$B$3:$BL$3,0))</f>
        <v>kilogram</v>
      </c>
      <c r="E440" t="str">
        <f>INDEX('ei names mapping'!$B$305:$BL$335,MATCH(B$234,'ei names mapping'!$A$4:$A$33,0),MATCH(G440,'ei names mapping'!$B$3:$BL$3,0))</f>
        <v>air::urban air close to ground</v>
      </c>
      <c r="F440" t="s">
        <v>167</v>
      </c>
      <c r="G440" t="s">
        <v>549</v>
      </c>
    </row>
    <row r="441" spans="1:7" x14ac:dyDescent="0.2">
      <c r="A441" t="str">
        <f>INDEX('ei names mapping'!$B$4:$BL$33,MATCH(B$234,'ei names mapping'!$A$4:$A$33,0),MATCH(G441,'ei names mapping'!$B$3:$BL$3,0))</f>
        <v>1-Pentene</v>
      </c>
      <c r="B441" s="7">
        <f>INDEX('vehicles specifications'!$B$3:$CW$166,MATCH(B$393,'vehicles specifications'!$A$3:$A$166,0),MATCH(G441,'vehicles specifications'!$B$2:$CW$2,0))*INDEX('ei names mapping'!$B$137:$BL$300,MATCH(B$393,'ei names mapping'!$A$137:$A$300,0),MATCH(G441,'ei names mapping'!$B$136:$BL$136,0))</f>
        <v>7.3385494449185606E-7</v>
      </c>
      <c r="D441" t="str">
        <f>INDEX('ei names mapping'!$B$104:$BL$133,MATCH(B$234,'ei names mapping'!$A$4:$A$33,0),MATCH(G441,'ei names mapping'!$B$3:$BL$3,0))</f>
        <v>kilogram</v>
      </c>
      <c r="E441" t="str">
        <f>INDEX('ei names mapping'!$B$305:$BL$335,MATCH(B$234,'ei names mapping'!$A$4:$A$33,0),MATCH(G441,'ei names mapping'!$B$3:$BL$3,0))</f>
        <v>air::urban air close to ground</v>
      </c>
      <c r="F441" t="s">
        <v>167</v>
      </c>
      <c r="G441" t="s">
        <v>550</v>
      </c>
    </row>
    <row r="442" spans="1:7" x14ac:dyDescent="0.2">
      <c r="A442" t="str">
        <f>INDEX('ei names mapping'!$B$4:$BL$33,MATCH(B$234,'ei names mapping'!$A$4:$A$33,0),MATCH(G442,'ei names mapping'!$B$3:$BL$3,0))</f>
        <v>Toluene</v>
      </c>
      <c r="B442" s="7">
        <f>INDEX('vehicles specifications'!$B$3:$CW$166,MATCH(B$393,'vehicles specifications'!$A$3:$A$166,0),MATCH(G442,'vehicles specifications'!$B$2:$CW$2,0))*INDEX('ei names mapping'!$B$137:$BL$300,MATCH(B$393,'ei names mapping'!$A$137:$A$300,0),MATCH(G442,'ei names mapping'!$B$136:$BL$136,0))</f>
        <v>7.3252066277459808E-5</v>
      </c>
      <c r="D442" t="str">
        <f>INDEX('ei names mapping'!$B$104:$BL$133,MATCH(B$234,'ei names mapping'!$A$4:$A$33,0),MATCH(G442,'ei names mapping'!$B$3:$BL$3,0))</f>
        <v>kilogram</v>
      </c>
      <c r="E442" t="str">
        <f>INDEX('ei names mapping'!$B$305:$BL$335,MATCH(B$234,'ei names mapping'!$A$4:$A$33,0),MATCH(G442,'ei names mapping'!$B$3:$BL$3,0))</f>
        <v>air::urban air close to ground</v>
      </c>
      <c r="F442" t="s">
        <v>167</v>
      </c>
      <c r="G442" t="s">
        <v>551</v>
      </c>
    </row>
    <row r="443" spans="1:7" x14ac:dyDescent="0.2">
      <c r="A443" t="str">
        <f>INDEX('ei names mapping'!$B$4:$BL$33,MATCH(B$234,'ei names mapping'!$A$4:$A$33,0),MATCH(G443,'ei names mapping'!$B$3:$BL$3,0))</f>
        <v>m-Xylene</v>
      </c>
      <c r="B443" s="7">
        <f>INDEX('vehicles specifications'!$B$3:$CW$166,MATCH(B$393,'vehicles specifications'!$A$3:$A$166,0),MATCH(G443,'vehicles specifications'!$B$2:$CW$2,0))*INDEX('ei names mapping'!$B$137:$BL$300,MATCH(B$393,'ei names mapping'!$A$137:$A$300,0),MATCH(G443,'ei names mapping'!$B$136:$BL$136,0))</f>
        <v>3.6225748623552532E-5</v>
      </c>
      <c r="D443" t="str">
        <f>INDEX('ei names mapping'!$B$104:$BL$133,MATCH(B$234,'ei names mapping'!$A$4:$A$33,0),MATCH(G443,'ei names mapping'!$B$3:$BL$3,0))</f>
        <v>kilogram</v>
      </c>
      <c r="E443" t="str">
        <f>INDEX('ei names mapping'!$B$305:$BL$335,MATCH(B$234,'ei names mapping'!$A$4:$A$33,0),MATCH(G443,'ei names mapping'!$B$3:$BL$3,0))</f>
        <v>air::urban air close to ground</v>
      </c>
      <c r="F443" t="s">
        <v>167</v>
      </c>
      <c r="G443" t="s">
        <v>552</v>
      </c>
    </row>
    <row r="444" spans="1:7" x14ac:dyDescent="0.2">
      <c r="A444" t="str">
        <f>INDEX('ei names mapping'!$B$4:$BL$33,MATCH(B$234,'ei names mapping'!$A$4:$A$33,0),MATCH(G444,'ei names mapping'!$B$3:$BL$3,0))</f>
        <v>o-Xylene</v>
      </c>
      <c r="B444" s="7">
        <f>INDEX('vehicles specifications'!$B$3:$CW$166,MATCH(B$393,'vehicles specifications'!$A$3:$A$166,0),MATCH(G444,'vehicles specifications'!$B$2:$CW$2,0))*INDEX('ei names mapping'!$B$137:$BL$300,MATCH(B$393,'ei names mapping'!$A$137:$A$300,0),MATCH(G444,'ei names mapping'!$B$136:$BL$136,0))</f>
        <v>1.5077383405014497E-5</v>
      </c>
      <c r="D444" t="str">
        <f>INDEX('ei names mapping'!$B$104:$BL$133,MATCH(B$234,'ei names mapping'!$A$4:$A$33,0),MATCH(G444,'ei names mapping'!$B$3:$BL$3,0))</f>
        <v>kilogram</v>
      </c>
      <c r="E444" t="str">
        <f>INDEX('ei names mapping'!$B$305:$BL$335,MATCH(B$234,'ei names mapping'!$A$4:$A$33,0),MATCH(G444,'ei names mapping'!$B$3:$BL$3,0))</f>
        <v>air::urban air close to ground</v>
      </c>
      <c r="F444" t="s">
        <v>167</v>
      </c>
      <c r="G444" t="s">
        <v>553</v>
      </c>
    </row>
    <row r="445" spans="1:7" x14ac:dyDescent="0.2">
      <c r="A445" t="str">
        <f>INDEX('ei names mapping'!$B$4:$BL$33,MATCH(B$234,'ei names mapping'!$A$4:$A$33,0),MATCH(G445,'ei names mapping'!$B$3:$BL$3,0))</f>
        <v>Formaldehyde</v>
      </c>
      <c r="B445" s="7">
        <f>INDEX('vehicles specifications'!$B$3:$CW$166,MATCH(B$393,'vehicles specifications'!$A$3:$A$166,0),MATCH(G445,'vehicles specifications'!$B$2:$CW$2,0))*INDEX('ei names mapping'!$B$137:$BL$300,MATCH(B$393,'ei names mapping'!$A$137:$A$300,0),MATCH(G445,'ei names mapping'!$B$136:$BL$136,0))</f>
        <v>1.1341394596692321E-5</v>
      </c>
      <c r="D445" t="str">
        <f>INDEX('ei names mapping'!$B$104:$BL$133,MATCH(B$234,'ei names mapping'!$A$4:$A$33,0),MATCH(G445,'ei names mapping'!$B$3:$BL$3,0))</f>
        <v>kilogram</v>
      </c>
      <c r="E445" t="str">
        <f>INDEX('ei names mapping'!$B$305:$BL$335,MATCH(B$234,'ei names mapping'!$A$4:$A$33,0),MATCH(G445,'ei names mapping'!$B$3:$BL$3,0))</f>
        <v>air::urban air close to ground</v>
      </c>
      <c r="F445" t="s">
        <v>167</v>
      </c>
      <c r="G445" t="s">
        <v>554</v>
      </c>
    </row>
    <row r="446" spans="1:7" x14ac:dyDescent="0.2">
      <c r="A446" t="str">
        <f>INDEX('ei names mapping'!$B$4:$BL$33,MATCH(B$234,'ei names mapping'!$A$4:$A$33,0),MATCH(G446,'ei names mapping'!$B$3:$BL$3,0))</f>
        <v>Acetaldehyde</v>
      </c>
      <c r="B446" s="7">
        <f>INDEX('vehicles specifications'!$B$3:$CW$166,MATCH(B$393,'vehicles specifications'!$A$3:$A$166,0),MATCH(G446,'vehicles specifications'!$B$2:$CW$2,0))*INDEX('ei names mapping'!$B$137:$BL$300,MATCH(B$393,'ei names mapping'!$A$137:$A$300,0),MATCH(G446,'ei names mapping'!$B$136:$BL$136,0))</f>
        <v>5.0035564397171996E-6</v>
      </c>
      <c r="D446" t="str">
        <f>INDEX('ei names mapping'!$B$104:$BL$133,MATCH(B$234,'ei names mapping'!$A$4:$A$33,0),MATCH(G446,'ei names mapping'!$B$3:$BL$3,0))</f>
        <v>kilogram</v>
      </c>
      <c r="E446" t="str">
        <f>INDEX('ei names mapping'!$B$305:$BL$335,MATCH(B$234,'ei names mapping'!$A$4:$A$33,0),MATCH(G446,'ei names mapping'!$B$3:$BL$3,0))</f>
        <v>air::urban air close to ground</v>
      </c>
      <c r="F446" t="s">
        <v>167</v>
      </c>
      <c r="G446" t="s">
        <v>555</v>
      </c>
    </row>
    <row r="447" spans="1:7" x14ac:dyDescent="0.2">
      <c r="A447" t="str">
        <f>INDEX('ei names mapping'!$B$4:$BL$33,MATCH(B$234,'ei names mapping'!$A$4:$A$33,0),MATCH(G447,'ei names mapping'!$B$3:$BL$3,0))</f>
        <v>Benzaldehyde</v>
      </c>
      <c r="B447" s="7">
        <f>INDEX('vehicles specifications'!$B$3:$CW$166,MATCH(B$393,'vehicles specifications'!$A$3:$A$166,0),MATCH(G447,'vehicles specifications'!$B$2:$CW$2,0))*INDEX('ei names mapping'!$B$137:$BL$300,MATCH(B$393,'ei names mapping'!$A$137:$A$300,0),MATCH(G447,'ei names mapping'!$B$136:$BL$136,0))</f>
        <v>1.4677098889837121E-6</v>
      </c>
      <c r="D447" t="str">
        <f>INDEX('ei names mapping'!$B$104:$BL$133,MATCH(B$234,'ei names mapping'!$A$4:$A$33,0),MATCH(G447,'ei names mapping'!$B$3:$BL$3,0))</f>
        <v>kilogram</v>
      </c>
      <c r="E447" t="str">
        <f>INDEX('ei names mapping'!$B$305:$BL$335,MATCH(B$234,'ei names mapping'!$A$4:$A$33,0),MATCH(G447,'ei names mapping'!$B$3:$BL$3,0))</f>
        <v>air::urban air close to ground</v>
      </c>
      <c r="F447" t="s">
        <v>167</v>
      </c>
      <c r="G447" t="s">
        <v>556</v>
      </c>
    </row>
    <row r="448" spans="1:7" x14ac:dyDescent="0.2">
      <c r="A448" t="str">
        <f>INDEX('ei names mapping'!$B$4:$BL$33,MATCH(B$234,'ei names mapping'!$A$4:$A$33,0),MATCH(G448,'ei names mapping'!$B$3:$BL$3,0))</f>
        <v>Acetone</v>
      </c>
      <c r="B448" s="7">
        <f>INDEX('vehicles specifications'!$B$3:$CW$166,MATCH(B$393,'vehicles specifications'!$A$3:$A$166,0),MATCH(G448,'vehicles specifications'!$B$2:$CW$2,0))*INDEX('ei names mapping'!$B$137:$BL$300,MATCH(B$393,'ei names mapping'!$A$137:$A$300,0),MATCH(G448,'ei names mapping'!$B$136:$BL$136,0))</f>
        <v>4.0695592376366564E-6</v>
      </c>
      <c r="D448" t="str">
        <f>INDEX('ei names mapping'!$B$104:$BL$133,MATCH(B$234,'ei names mapping'!$A$4:$A$33,0),MATCH(G448,'ei names mapping'!$B$3:$BL$3,0))</f>
        <v>kilogram</v>
      </c>
      <c r="E448" t="str">
        <f>INDEX('ei names mapping'!$B$305:$BL$335,MATCH(B$234,'ei names mapping'!$A$4:$A$33,0),MATCH(G448,'ei names mapping'!$B$3:$BL$3,0))</f>
        <v>air::urban air close to ground</v>
      </c>
      <c r="F448" t="s">
        <v>167</v>
      </c>
      <c r="G448" t="s">
        <v>557</v>
      </c>
    </row>
    <row r="449" spans="1:8" x14ac:dyDescent="0.2">
      <c r="A449" t="str">
        <f>INDEX('ei names mapping'!$B$4:$BL$33,MATCH(B$234,'ei names mapping'!$A$4:$A$33,0),MATCH(G449,'ei names mapping'!$B$3:$BL$3,0))</f>
        <v>Methyl ethyl ketone</v>
      </c>
      <c r="B449" s="7">
        <f>INDEX('vehicles specifications'!$B$3:$CW$166,MATCH(B$393,'vehicles specifications'!$A$3:$A$166,0),MATCH(G449,'vehicles specifications'!$B$2:$CW$2,0))*INDEX('ei names mapping'!$B$137:$BL$300,MATCH(B$393,'ei names mapping'!$A$137:$A$300,0),MATCH(G449,'ei names mapping'!$B$136:$BL$136,0))</f>
        <v>0</v>
      </c>
      <c r="D449" t="str">
        <f>INDEX('ei names mapping'!$B$104:$BL$133,MATCH(B$234,'ei names mapping'!$A$4:$A$33,0),MATCH(G449,'ei names mapping'!$B$3:$BL$3,0))</f>
        <v>kilogram</v>
      </c>
      <c r="E449" t="str">
        <f>INDEX('ei names mapping'!$B$305:$BL$335,MATCH(B$234,'ei names mapping'!$A$4:$A$33,0),MATCH(G449,'ei names mapping'!$B$3:$BL$3,0))</f>
        <v>air::urban air close to ground</v>
      </c>
      <c r="F449" t="s">
        <v>167</v>
      </c>
      <c r="G449" t="s">
        <v>560</v>
      </c>
    </row>
    <row r="450" spans="1:8" x14ac:dyDescent="0.2">
      <c r="A450" t="str">
        <f>INDEX('ei names mapping'!$B$4:$BL$33,MATCH(B$234,'ei names mapping'!$A$4:$A$33,0),MATCH(G450,'ei names mapping'!$B$3:$BL$3,0))</f>
        <v>Acrolein</v>
      </c>
      <c r="B450" s="7">
        <f>INDEX('vehicles specifications'!$B$3:$CW$166,MATCH(B$393,'vehicles specifications'!$A$3:$A$166,0),MATCH(G450,'vehicles specifications'!$B$2:$CW$2,0))*INDEX('ei names mapping'!$B$137:$BL$300,MATCH(B$393,'ei names mapping'!$A$137:$A$300,0),MATCH(G450,'ei names mapping'!$B$136:$BL$136,0))</f>
        <v>1.2675676313950239E-6</v>
      </c>
      <c r="D450" t="str">
        <f>INDEX('ei names mapping'!$B$104:$BL$133,MATCH(B$234,'ei names mapping'!$A$4:$A$33,0),MATCH(G450,'ei names mapping'!$B$3:$BL$3,0))</f>
        <v>kilogram</v>
      </c>
      <c r="E450" t="str">
        <f>INDEX('ei names mapping'!$B$305:$BL$335,MATCH(B$234,'ei names mapping'!$A$4:$A$33,0),MATCH(G450,'ei names mapping'!$B$3:$BL$3,0))</f>
        <v>air::urban air close to ground</v>
      </c>
      <c r="F450" t="s">
        <v>167</v>
      </c>
      <c r="G450" t="s">
        <v>558</v>
      </c>
    </row>
    <row r="451" spans="1:8" x14ac:dyDescent="0.2">
      <c r="A451" t="str">
        <f>INDEX('ei names mapping'!$B$4:$BL$33,MATCH(B$234,'ei names mapping'!$A$4:$A$33,0),MATCH(G451,'ei names mapping'!$B$3:$BL$3,0))</f>
        <v>Styrene</v>
      </c>
      <c r="B451" s="7">
        <f>INDEX('vehicles specifications'!$B$3:$CW$166,MATCH(B$393,'vehicles specifications'!$A$3:$A$166,0),MATCH(G451,'vehicles specifications'!$B$2:$CW$2,0))*INDEX('ei names mapping'!$B$137:$BL$300,MATCH(B$393,'ei names mapping'!$A$137:$A$300,0),MATCH(G451,'ei names mapping'!$B$136:$BL$136,0))</f>
        <v>6.7381226721524973E-6</v>
      </c>
      <c r="D451" t="str">
        <f>INDEX('ei names mapping'!$B$104:$BL$133,MATCH(B$234,'ei names mapping'!$A$4:$A$33,0),MATCH(G451,'ei names mapping'!$B$3:$BL$3,0))</f>
        <v>kilogram</v>
      </c>
      <c r="E451" t="str">
        <f>INDEX('ei names mapping'!$B$305:$BL$335,MATCH(B$234,'ei names mapping'!$A$4:$A$33,0),MATCH(G451,'ei names mapping'!$B$3:$BL$3,0))</f>
        <v>air::urban air close to ground</v>
      </c>
      <c r="F451" t="s">
        <v>167</v>
      </c>
      <c r="G451" t="s">
        <v>559</v>
      </c>
    </row>
    <row r="452" spans="1:8" x14ac:dyDescent="0.2">
      <c r="A452" t="str">
        <f>INDEX('ei names mapping'!$B$4:$BL$33,MATCH(B$234,'ei names mapping'!$A$4:$A$33,0),MATCH(G452,'ei names mapping'!$B$3:$BL$3,0))</f>
        <v>PAH, polycyclic aromatic hydrocarbons</v>
      </c>
      <c r="B452" s="7">
        <f>INDEX('vehicles specifications'!$B$3:$CW$166,MATCH(B$393,'vehicles specifications'!$A$3:$A$166,0),MATCH(G452,'vehicles specifications'!$B$2:$CW$2,0))*INDEX('ei names mapping'!$B$137:$BL$300,MATCH(B$393,'ei names mapping'!$A$137:$A$300,0),MATCH(G452,'ei names mapping'!$B$136:$BL$136,0))</f>
        <v>8.4928928707276964E-10</v>
      </c>
      <c r="D452" t="str">
        <f>INDEX('ei names mapping'!$B$104:$BL$133,MATCH(B$234,'ei names mapping'!$A$4:$A$33,0),MATCH(G452,'ei names mapping'!$B$3:$BL$3,0))</f>
        <v>kilogram</v>
      </c>
      <c r="E452" t="str">
        <f>INDEX('ei names mapping'!$B$305:$BL$335,MATCH(B$234,'ei names mapping'!$A$4:$A$33,0),MATCH(G452,'ei names mapping'!$B$3:$BL$3,0))</f>
        <v>air::urban air close to ground</v>
      </c>
      <c r="F452" t="s">
        <v>167</v>
      </c>
      <c r="G452" t="s">
        <v>561</v>
      </c>
    </row>
    <row r="453" spans="1:8" x14ac:dyDescent="0.2">
      <c r="A453" t="str">
        <f>INDEX('ei names mapping'!$B$4:$BL$33,MATCH(B$234,'ei names mapping'!$A$4:$A$33,0),MATCH(G453,'ei names mapping'!$B$3:$BL$3,0))</f>
        <v>Arsenic</v>
      </c>
      <c r="B453" s="7">
        <f>INDEX('vehicles specifications'!$B$3:$CW$166,MATCH(B$393,'vehicles specifications'!$A$3:$A$166,0),MATCH(G453,'vehicles specifications'!$B$2:$CW$2,0))*INDEX('ei names mapping'!$B$137:$BL$300,MATCH(B$393,'ei names mapping'!$A$137:$A$300,0),MATCH(G453,'ei names mapping'!$B$136:$BL$136,0))</f>
        <v>7.3214593713169786E-12</v>
      </c>
      <c r="D453" t="str">
        <f>INDEX('ei names mapping'!$B$104:$BL$133,MATCH(B$234,'ei names mapping'!$A$4:$A$33,0),MATCH(G453,'ei names mapping'!$B$3:$BL$3,0))</f>
        <v>kilogram</v>
      </c>
      <c r="E453" t="str">
        <f>INDEX('ei names mapping'!$B$305:$BL$335,MATCH(B$234,'ei names mapping'!$A$4:$A$33,0),MATCH(G453,'ei names mapping'!$B$3:$BL$3,0))</f>
        <v>air::urban air close to ground</v>
      </c>
      <c r="F453" t="s">
        <v>167</v>
      </c>
      <c r="G453" t="s">
        <v>562</v>
      </c>
    </row>
    <row r="454" spans="1:8" x14ac:dyDescent="0.2">
      <c r="A454" t="str">
        <f>INDEX('ei names mapping'!$B$4:$BL$33,MATCH(B$234,'ei names mapping'!$A$4:$A$33,0),MATCH(G454,'ei names mapping'!$B$3:$BL$3,0))</f>
        <v>Selenium</v>
      </c>
      <c r="B454" s="7">
        <f>INDEX('vehicles specifications'!$B$3:$CW$166,MATCH(B$393,'vehicles specifications'!$A$3:$A$166,0),MATCH(G454,'vehicles specifications'!$B$2:$CW$2,0))*INDEX('ei names mapping'!$B$137:$BL$300,MATCH(B$393,'ei names mapping'!$A$137:$A$300,0),MATCH(G454,'ei names mapping'!$B$136:$BL$136,0))</f>
        <v>4.8809729142113196E-12</v>
      </c>
      <c r="D454" t="str">
        <f>INDEX('ei names mapping'!$B$104:$BL$133,MATCH(B$234,'ei names mapping'!$A$4:$A$33,0),MATCH(G454,'ei names mapping'!$B$3:$BL$3,0))</f>
        <v>kilogram</v>
      </c>
      <c r="E454" t="str">
        <f>INDEX('ei names mapping'!$B$305:$BL$335,MATCH(B$234,'ei names mapping'!$A$4:$A$33,0),MATCH(G454,'ei names mapping'!$B$3:$BL$3,0))</f>
        <v>air::urban air close to ground</v>
      </c>
      <c r="F454" t="s">
        <v>167</v>
      </c>
      <c r="G454" t="s">
        <v>563</v>
      </c>
    </row>
    <row r="455" spans="1:8" x14ac:dyDescent="0.2">
      <c r="A455" t="str">
        <f>INDEX('ei names mapping'!$B$4:$BL$33,MATCH(B$234,'ei names mapping'!$A$4:$A$33,0),MATCH(G455,'ei names mapping'!$B$3:$BL$3,0))</f>
        <v>Zinc</v>
      </c>
      <c r="B455" s="7">
        <f>INDEX('vehicles specifications'!$B$3:$CW$166,MATCH(B$393,'vehicles specifications'!$A$3:$A$166,0),MATCH(G455,'vehicles specifications'!$B$2:$CW$2,0))*INDEX('ei names mapping'!$B$137:$BL$300,MATCH(B$393,'ei names mapping'!$A$137:$A$300,0),MATCH(G455,'ei names mapping'!$B$136:$BL$136,0))</f>
        <v>5.271450747348225E-8</v>
      </c>
      <c r="D455" t="str">
        <f>INDEX('ei names mapping'!$B$104:$BL$133,MATCH(B$234,'ei names mapping'!$A$4:$A$33,0),MATCH(G455,'ei names mapping'!$B$3:$BL$3,0))</f>
        <v>kilogram</v>
      </c>
      <c r="E455" t="str">
        <f>INDEX('ei names mapping'!$B$305:$BL$335,MATCH(B$234,'ei names mapping'!$A$4:$A$33,0),MATCH(G455,'ei names mapping'!$B$3:$BL$3,0))</f>
        <v>air::urban air close to ground</v>
      </c>
      <c r="F455" t="s">
        <v>167</v>
      </c>
      <c r="G455" t="s">
        <v>564</v>
      </c>
    </row>
    <row r="456" spans="1:8" x14ac:dyDescent="0.2">
      <c r="A456" t="str">
        <f>INDEX('ei names mapping'!$B$4:$BL$33,MATCH(B$234,'ei names mapping'!$A$4:$A$33,0),MATCH(G456,'ei names mapping'!$B$3:$BL$3,0))</f>
        <v>Copper</v>
      </c>
      <c r="B456" s="7">
        <f>INDEX('vehicles specifications'!$B$3:$CW$166,MATCH(B$393,'vehicles specifications'!$A$3:$A$166,0),MATCH(G456,'vehicles specifications'!$B$2:$CW$2,0))*INDEX('ei names mapping'!$B$137:$BL$300,MATCH(B$393,'ei names mapping'!$A$137:$A$300,0),MATCH(G456,'ei names mapping'!$B$136:$BL$136,0))</f>
        <v>1.025004311984377E-9</v>
      </c>
      <c r="D456" t="str">
        <f>INDEX('ei names mapping'!$B$104:$BL$133,MATCH(B$234,'ei names mapping'!$A$4:$A$33,0),MATCH(G456,'ei names mapping'!$B$3:$BL$3,0))</f>
        <v>kilogram</v>
      </c>
      <c r="E456" t="str">
        <f>INDEX('ei names mapping'!$B$305:$BL$335,MATCH(B$234,'ei names mapping'!$A$4:$A$33,0),MATCH(G456,'ei names mapping'!$B$3:$BL$3,0))</f>
        <v>air::urban air close to ground</v>
      </c>
      <c r="F456" t="s">
        <v>167</v>
      </c>
      <c r="G456" t="s">
        <v>522</v>
      </c>
    </row>
    <row r="457" spans="1:8" x14ac:dyDescent="0.2">
      <c r="A457" t="str">
        <f>INDEX('ei names mapping'!$B$4:$BL$33,MATCH(B$234,'ei names mapping'!$A$4:$A$33,0),MATCH(G457,'ei names mapping'!$B$3:$BL$3,0))</f>
        <v>Nickel</v>
      </c>
      <c r="B457" s="7">
        <f>INDEX('vehicles specifications'!$B$3:$CW$166,MATCH(B$393,'vehicles specifications'!$A$3:$A$166,0),MATCH(G457,'vehicles specifications'!$B$2:$CW$2,0))*INDEX('ei names mapping'!$B$137:$BL$300,MATCH(B$393,'ei names mapping'!$A$137:$A$300,0),MATCH(G457,'ei names mapping'!$B$136:$BL$136,0))</f>
        <v>3.1726323942373574E-10</v>
      </c>
      <c r="D457" t="str">
        <f>INDEX('ei names mapping'!$B$104:$BL$133,MATCH(B$234,'ei names mapping'!$A$4:$A$33,0),MATCH(G457,'ei names mapping'!$B$3:$BL$3,0))</f>
        <v>kilogram</v>
      </c>
      <c r="E457" t="str">
        <f>INDEX('ei names mapping'!$B$305:$BL$335,MATCH(B$234,'ei names mapping'!$A$4:$A$33,0),MATCH(G457,'ei names mapping'!$B$3:$BL$3,0))</f>
        <v>air::urban air close to ground</v>
      </c>
      <c r="F457" t="s">
        <v>167</v>
      </c>
      <c r="G457" t="s">
        <v>524</v>
      </c>
    </row>
    <row r="458" spans="1:8" x14ac:dyDescent="0.2">
      <c r="A458" t="str">
        <f>INDEX('ei names mapping'!$B$4:$BL$33,MATCH(B$234,'ei names mapping'!$A$4:$A$33,0),MATCH(G458,'ei names mapping'!$B$3:$BL$3,0))</f>
        <v>Chromium</v>
      </c>
      <c r="B458" s="7">
        <f>INDEX('vehicles specifications'!$B$3:$CW$166,MATCH(B$393,'vehicles specifications'!$A$3:$A$166,0),MATCH(G458,'vehicles specifications'!$B$2:$CW$2,0))*INDEX('ei names mapping'!$B$137:$BL$300,MATCH(B$393,'ei names mapping'!$A$137:$A$300,0),MATCH(G458,'ei names mapping'!$B$136:$BL$136,0))</f>
        <v>3.9047783313690559E-10</v>
      </c>
      <c r="D458" t="str">
        <f>INDEX('ei names mapping'!$B$104:$BL$133,MATCH(B$234,'ei names mapping'!$A$4:$A$33,0),MATCH(G458,'ei names mapping'!$B$3:$BL$3,0))</f>
        <v>kilogram</v>
      </c>
      <c r="E458" t="str">
        <f>INDEX('ei names mapping'!$B$305:$BL$335,MATCH(B$234,'ei names mapping'!$A$4:$A$33,0),MATCH(G458,'ei names mapping'!$B$3:$BL$3,0))</f>
        <v>air::urban air close to ground</v>
      </c>
      <c r="F458" t="s">
        <v>167</v>
      </c>
      <c r="G458" t="s">
        <v>523</v>
      </c>
    </row>
    <row r="459" spans="1:8" x14ac:dyDescent="0.2">
      <c r="A459" t="str">
        <f>INDEX('ei names mapping'!$B$4:$BL$33,MATCH(B$234,'ei names mapping'!$A$4:$A$33,0),MATCH(G459,'ei names mapping'!$B$3:$BL$3,0))</f>
        <v>Chromium VI</v>
      </c>
      <c r="B459" s="7">
        <f>INDEX('vehicles specifications'!$B$3:$CW$166,MATCH(B$393,'vehicles specifications'!$A$3:$A$166,0),MATCH(G459,'vehicles specifications'!$B$2:$CW$2,0))*INDEX('ei names mapping'!$B$137:$BL$300,MATCH(B$393,'ei names mapping'!$A$137:$A$300,0),MATCH(G459,'ei names mapping'!$B$136:$BL$136,0))</f>
        <v>7.8095566627381107E-13</v>
      </c>
      <c r="D459" t="str">
        <f>INDEX('ei names mapping'!$B$104:$BL$133,MATCH(B$234,'ei names mapping'!$A$4:$A$33,0),MATCH(G459,'ei names mapping'!$B$3:$BL$3,0))</f>
        <v>kilogram</v>
      </c>
      <c r="E459" t="str">
        <f>INDEX('ei names mapping'!$B$305:$BL$335,MATCH(B$234,'ei names mapping'!$A$4:$A$33,0),MATCH(G459,'ei names mapping'!$B$3:$BL$3,0))</f>
        <v>air::urban air close to ground</v>
      </c>
      <c r="F459" t="s">
        <v>167</v>
      </c>
      <c r="G459" t="s">
        <v>567</v>
      </c>
    </row>
    <row r="460" spans="1:8" x14ac:dyDescent="0.2">
      <c r="A460" t="str">
        <f>INDEX('ei names mapping'!$B$4:$BL$33,MATCH(B$234,'ei names mapping'!$A$4:$A$33,0),MATCH(G460,'ei names mapping'!$B$3:$BL$3,0))</f>
        <v>Mercury</v>
      </c>
      <c r="B460" s="7">
        <f>INDEX('vehicles specifications'!$B$3:$CW$166,MATCH(B$393,'vehicles specifications'!$A$3:$A$166,0),MATCH(G460,'vehicles specifications'!$B$2:$CW$2,0))*INDEX('ei names mapping'!$B$137:$BL$300,MATCH(B$393,'ei names mapping'!$A$137:$A$300,0),MATCH(G460,'ei names mapping'!$B$136:$BL$136,0))</f>
        <v>2.1232232176819241E-10</v>
      </c>
      <c r="D460" t="str">
        <f>INDEX('ei names mapping'!$B$104:$BL$133,MATCH(B$234,'ei names mapping'!$A$4:$A$33,0),MATCH(G460,'ei names mapping'!$B$3:$BL$3,0))</f>
        <v>kilogram</v>
      </c>
      <c r="E460" t="str">
        <f>INDEX('ei names mapping'!$B$305:$BL$335,MATCH(B$234,'ei names mapping'!$A$4:$A$33,0),MATCH(G460,'ei names mapping'!$B$3:$BL$3,0))</f>
        <v>air::urban air close to ground</v>
      </c>
      <c r="F460" t="s">
        <v>167</v>
      </c>
      <c r="G460" t="s">
        <v>565</v>
      </c>
    </row>
    <row r="461" spans="1:8" x14ac:dyDescent="0.2">
      <c r="A461" t="str">
        <f>INDEX('ei names mapping'!$B$4:$BL$33,MATCH(B$234,'ei names mapping'!$A$4:$A$33,0),MATCH(G461,'ei names mapping'!$B$3:$BL$3,0))</f>
        <v>Cadmium</v>
      </c>
      <c r="B461" s="7">
        <f>INDEX('vehicles specifications'!$B$3:$CW$166,MATCH(B$393,'vehicles specifications'!$A$3:$A$166,0),MATCH(G461,'vehicles specifications'!$B$2:$CW$2,0))*INDEX('ei names mapping'!$B$137:$BL$300,MATCH(B$393,'ei names mapping'!$A$137:$A$300,0),MATCH(G461,'ei names mapping'!$B$136:$BL$136,0))</f>
        <v>2.6357253736741131E-10</v>
      </c>
      <c r="D461" t="str">
        <f>INDEX('ei names mapping'!$B$104:$BL$133,MATCH(B$234,'ei names mapping'!$A$4:$A$33,0),MATCH(G461,'ei names mapping'!$B$3:$BL$3,0))</f>
        <v>kilogram</v>
      </c>
      <c r="E461" t="str">
        <f>INDEX('ei names mapping'!$B$305:$BL$335,MATCH(B$234,'ei names mapping'!$A$4:$A$33,0),MATCH(G461,'ei names mapping'!$B$3:$BL$3,0))</f>
        <v>air::urban air close to ground</v>
      </c>
      <c r="F461" t="s">
        <v>167</v>
      </c>
      <c r="G461" t="s">
        <v>566</v>
      </c>
    </row>
    <row r="462" spans="1:8" x14ac:dyDescent="0.2">
      <c r="A462" t="str">
        <f>INDEX('ei names mapping'!$B$4:$BL$33,MATCH(B390,'ei names mapping'!$A$4:$A$33,0),MATCH(G462,'ei names mapping'!$B$3:$BL$3,0))</f>
        <v>treatment of road wear emissions, passenger car</v>
      </c>
      <c r="B462" s="7">
        <f>INDEX('vehicles specifications'!$B$3:$CW$166,MATCH(B393,'vehicles specifications'!$A$3:$A$166,0),MATCH(G462,'vehicles specifications'!$B$2:$CW$2,0))*INDEX('ei names mapping'!$B$137:$BL$300,MATCH(B393,'ei names mapping'!$A$137:$A$300,0),MATCH(G462,'ei names mapping'!$B$136:$BL$136,0))</f>
        <v>-7.5372278737950211E-6</v>
      </c>
      <c r="C462" t="str">
        <f>INDEX('ei names mapping'!$B$38:$BL$67,MATCH(B390,'ei names mapping'!$A$4:$A$33,0),MATCH(G462,'ei names mapping'!$B$3:$BL$3,0))</f>
        <v>RER</v>
      </c>
      <c r="D462" t="str">
        <f>INDEX('ei names mapping'!$B$104:$BL$133,MATCH(B390,'ei names mapping'!$A$4:$A$33,0),MATCH(G462,'ei names mapping'!$B$3:$BL$3,0))</f>
        <v>kilogram</v>
      </c>
      <c r="F462" t="s">
        <v>89</v>
      </c>
      <c r="G462" t="s">
        <v>29</v>
      </c>
      <c r="H462" t="str">
        <f>INDEX('ei names mapping'!$B$71:$BL$100,MATCH(B390,'ei names mapping'!$A$4:$A$33,0),MATCH(G462,'ei names mapping'!$B$3:$BL$3,0))</f>
        <v>road wear emissions, passenger car</v>
      </c>
    </row>
    <row r="463" spans="1:8" x14ac:dyDescent="0.2">
      <c r="A463" t="str">
        <f>INDEX('ei names mapping'!$B$4:$BL$33,MATCH(B390,'ei names mapping'!$A$4:$A$33,0),MATCH(G463,'ei names mapping'!$B$3:$BL$3,0))</f>
        <v>treatment of tyre wear emissions, passenger car</v>
      </c>
      <c r="B463" s="7">
        <f>INDEX('vehicles specifications'!$B$3:$CW$166,MATCH(B393,'vehicles specifications'!$A$3:$A$166,0),MATCH(G463,'vehicles specifications'!$B$2:$CW$2,0))*INDEX('ei names mapping'!$B$137:$BL$300,MATCH(B393,'ei names mapping'!$A$137:$A$300,0),MATCH(G463,'ei names mapping'!$B$136:$BL$136,0))</f>
        <v>-5.8136272579670234E-6</v>
      </c>
      <c r="C463" t="str">
        <f>INDEX('ei names mapping'!$B$38:$BL$67,MATCH(B390,'ei names mapping'!$A$4:$A$33,0),MATCH(G463,'ei names mapping'!$B$3:$BL$3,0))</f>
        <v>RER</v>
      </c>
      <c r="D463" t="str">
        <f>INDEX('ei names mapping'!$B$104:$BL$133,MATCH(B390,'ei names mapping'!$A$4:$A$33,0),MATCH(G463,'ei names mapping'!$B$3:$BL$3,0))</f>
        <v>kilogram</v>
      </c>
      <c r="F463" t="s">
        <v>89</v>
      </c>
      <c r="G463" t="s">
        <v>30</v>
      </c>
      <c r="H463" t="str">
        <f>INDEX('ei names mapping'!$B$71:$BL$100,MATCH(B390,'ei names mapping'!$A$4:$A$33,0),MATCH(G463,'ei names mapping'!$B$3:$BL$3,0))</f>
        <v>tyre wear emissions, passenger car</v>
      </c>
    </row>
    <row r="464" spans="1:8" x14ac:dyDescent="0.2">
      <c r="A464" t="str">
        <f>INDEX('ei names mapping'!$B$4:$BL$33,MATCH(B390,'ei names mapping'!$A$4:$A$33,0),MATCH(G464,'ei names mapping'!$B$3:$BL$3,0))</f>
        <v>treatment of brake wear emissions, passenger car</v>
      </c>
      <c r="B464" s="7">
        <f>INDEX('vehicles specifications'!$B$3:$CW$166,MATCH(B393,'vehicles specifications'!$A$3:$A$166,0),MATCH(G464,'vehicles specifications'!$B$2:$CW$2,0))*INDEX('ei names mapping'!$B$137:$BL$300,MATCH(B393,'ei names mapping'!$A$137:$A$300,0),MATCH(G464,'ei names mapping'!$B$136:$BL$136,0))</f>
        <v>-4.1508659623612624E-6</v>
      </c>
      <c r="C464" t="str">
        <f>INDEX('ei names mapping'!$B$38:$BL$67,MATCH(B390,'ei names mapping'!$A$4:$A$33,0),MATCH(G464,'ei names mapping'!$B$3:$BL$3,0))</f>
        <v>RER</v>
      </c>
      <c r="D464" t="str">
        <f>INDEX('ei names mapping'!$B$104:$BL$133,MATCH(B390,'ei names mapping'!$A$4:$A$33,0),MATCH(G464,'ei names mapping'!$B$3:$BL$3,0))</f>
        <v>kilogram</v>
      </c>
      <c r="F464" t="s">
        <v>89</v>
      </c>
      <c r="G464" t="s">
        <v>31</v>
      </c>
      <c r="H464" t="str">
        <f>INDEX('ei names mapping'!$B$71:$BL$100,MATCH(B390,'ei names mapping'!$A$4:$A$33,0),MATCH(G464,'ei names mapping'!$B$3:$BL$3,0))</f>
        <v>brake wear emissions, passenger car</v>
      </c>
    </row>
    <row r="465" spans="1:2" x14ac:dyDescent="0.2">
      <c r="B465" s="6"/>
    </row>
    <row r="466" spans="1:2" ht="16" x14ac:dyDescent="0.2">
      <c r="A466" s="10" t="s">
        <v>71</v>
      </c>
      <c r="B466" s="8" t="str">
        <f>"transport, "&amp;B468&amp;", "&amp;B470</f>
        <v>transport, Scooter, gasoline, 4-11kW, EURO-5, 2030</v>
      </c>
    </row>
    <row r="467" spans="1:2" x14ac:dyDescent="0.2">
      <c r="A467" t="s">
        <v>72</v>
      </c>
      <c r="B467" t="s">
        <v>37</v>
      </c>
    </row>
    <row r="468" spans="1:2" x14ac:dyDescent="0.2">
      <c r="A468" t="s">
        <v>86</v>
      </c>
      <c r="B468" t="s">
        <v>572</v>
      </c>
    </row>
    <row r="469" spans="1:2" x14ac:dyDescent="0.2">
      <c r="A469" t="s">
        <v>87</v>
      </c>
    </row>
    <row r="470" spans="1:2" x14ac:dyDescent="0.2">
      <c r="A470" t="s">
        <v>88</v>
      </c>
      <c r="B470">
        <v>2030</v>
      </c>
    </row>
    <row r="471" spans="1:2" x14ac:dyDescent="0.2">
      <c r="A471" t="s">
        <v>126</v>
      </c>
      <c r="B471" t="str">
        <f>B468&amp;" - "&amp;B470&amp;" - "&amp;B467</f>
        <v>Scooter, gasoline, 4-11kW, EURO-5 - 2030 - CH</v>
      </c>
    </row>
    <row r="472" spans="1:2" x14ac:dyDescent="0.2">
      <c r="A472" t="s">
        <v>73</v>
      </c>
      <c r="B472" t="str">
        <f>"transport, "&amp;B468</f>
        <v>transport, Scooter, gasoline, 4-11kW, EURO-5</v>
      </c>
    </row>
    <row r="473" spans="1:2" x14ac:dyDescent="0.2">
      <c r="A473" t="s">
        <v>74</v>
      </c>
      <c r="B473" t="s">
        <v>75</v>
      </c>
    </row>
    <row r="474" spans="1:2" x14ac:dyDescent="0.2">
      <c r="A474" t="s">
        <v>76</v>
      </c>
      <c r="B474" t="s">
        <v>166</v>
      </c>
    </row>
    <row r="475" spans="1:2" x14ac:dyDescent="0.2">
      <c r="A475" t="s">
        <v>78</v>
      </c>
      <c r="B475" t="s">
        <v>1143</v>
      </c>
    </row>
    <row r="476" spans="1:2" x14ac:dyDescent="0.2">
      <c r="A476" t="s">
        <v>127</v>
      </c>
      <c r="B476">
        <f>INDEX('vehicles specifications'!$B$3:$CW$166,MATCH(B471,'vehicles specifications'!$A$3:$A$166,0),MATCH("Lifetime [km]",'vehicles specifications'!$B$2:$CW$2,0))</f>
        <v>30000</v>
      </c>
    </row>
    <row r="477" spans="1:2" x14ac:dyDescent="0.2">
      <c r="A477" t="s">
        <v>128</v>
      </c>
      <c r="B477">
        <f>INDEX('vehicles specifications'!$B$3:$CW$166,MATCH(B471,'vehicles specifications'!$A$3:$A$166,0),MATCH("Passengers [unit]",'vehicles specifications'!$B$2:$CW$2,0))</f>
        <v>1</v>
      </c>
    </row>
    <row r="478" spans="1:2" x14ac:dyDescent="0.2">
      <c r="A478" t="s">
        <v>129</v>
      </c>
      <c r="B478">
        <f>INDEX('vehicles specifications'!$B$3:$CW$166,MATCH(B471,'vehicles specifications'!$A$3:$A$166,0),MATCH("Servicing [unit]",'vehicles specifications'!$B$2:$CW$2,0))</f>
        <v>1.2</v>
      </c>
    </row>
    <row r="479" spans="1:2" x14ac:dyDescent="0.2">
      <c r="A479" t="s">
        <v>130</v>
      </c>
      <c r="B479">
        <f>INDEX('vehicles specifications'!$B$3:$CW$166,MATCH(B471,'vehicles specifications'!$A$3:$A$166,0),MATCH("Energy battery replacement [unit]",'vehicles specifications'!$B$2:$CW$2,0))</f>
        <v>0</v>
      </c>
    </row>
    <row r="480" spans="1:2" x14ac:dyDescent="0.2">
      <c r="A480" t="s">
        <v>131</v>
      </c>
      <c r="B480">
        <f>INDEX('vehicles specifications'!$B$3:$CW$166,MATCH(B471,'vehicles specifications'!$A$3:$A$166,0),MATCH("Annual kilometers [km]",'vehicles specifications'!$B$2:$CW$2,0))</f>
        <v>1870</v>
      </c>
    </row>
    <row r="481" spans="1:8" x14ac:dyDescent="0.2">
      <c r="A481" t="s">
        <v>132</v>
      </c>
      <c r="B481" s="2">
        <f>INDEX('vehicles specifications'!$B$3:$CW$166,MATCH(B471,'vehicles specifications'!$A$3:$A$166,0),MATCH("Curb mass [kg]",'vehicles specifications'!$B$2:$CW$2,0))</f>
        <v>126.66249999999999</v>
      </c>
    </row>
    <row r="482" spans="1:8" x14ac:dyDescent="0.2">
      <c r="A482" t="s">
        <v>133</v>
      </c>
      <c r="B482">
        <f>INDEX('vehicles specifications'!$B$3:$CW$166,MATCH(B471,'vehicles specifications'!$A$3:$A$166,0),MATCH("Power [kW]",'vehicles specifications'!$B$2:$CW$2,0))</f>
        <v>8.8000000000000007</v>
      </c>
    </row>
    <row r="483" spans="1:8" x14ac:dyDescent="0.2">
      <c r="A483" t="s">
        <v>134</v>
      </c>
      <c r="B483" t="str">
        <f>INDEX('vehicles specifications'!$B$3:$CW$166,MATCH(B471,'vehicles specifications'!$A$3:$A$166,0),MATCH("Energy battery mass [kg]",'vehicles specifications'!$B$2:$CW$2,0))</f>
        <v/>
      </c>
    </row>
    <row r="484" spans="1:8" x14ac:dyDescent="0.2">
      <c r="A484" t="s">
        <v>135</v>
      </c>
      <c r="B484">
        <f>INDEX('vehicles specifications'!$B$3:$CW$166,MATCH(B471,'vehicles specifications'!$A$3:$A$166,0),MATCH("Electric energy available [kWh]",'vehicles specifications'!$B$2:$CW$2,0))</f>
        <v>0</v>
      </c>
    </row>
    <row r="485" spans="1:8" x14ac:dyDescent="0.2">
      <c r="A485" t="s">
        <v>138</v>
      </c>
      <c r="B485" s="2">
        <f>INDEX('vehicles specifications'!$B$3:$CW$166,MATCH(B471,'vehicles specifications'!$A$3:$A$166,0),MATCH("Oxydation energy stored [kWh]",'vehicles specifications'!$B$2:$CW$2,0))</f>
        <v>79.875</v>
      </c>
    </row>
    <row r="486" spans="1:8" x14ac:dyDescent="0.2">
      <c r="A486" t="s">
        <v>139</v>
      </c>
      <c r="B486">
        <f>INDEX('vehicles specifications'!$B$3:$CW$166,MATCH(B471,'vehicles specifications'!$A$3:$A$166,0),MATCH("Fuel mass [kg]",'vehicles specifications'!$B$2:$CW$2,0))</f>
        <v>6.75</v>
      </c>
    </row>
    <row r="487" spans="1:8" x14ac:dyDescent="0.2">
      <c r="A487" t="s">
        <v>136</v>
      </c>
      <c r="B487" s="2">
        <f>INDEX('vehicles specifications'!$B$3:$CW$166,MATCH(B471,'vehicles specifications'!$A$3:$A$166,0),MATCH("Range [km]",'vehicles specifications'!$B$2:$CW$2,0))</f>
        <v>280.03534209469279</v>
      </c>
    </row>
    <row r="488" spans="1:8" x14ac:dyDescent="0.2">
      <c r="A488" t="s">
        <v>137</v>
      </c>
      <c r="B488" t="str">
        <f>INDEX('vehicles specifications'!$B$3:$CW$166,MATCH(B471,'vehicles specifications'!$A$3:$A$166,0),MATCH("Emission standard",'vehicles specifications'!$B$2:$CW$2,0))</f>
        <v>EURO-5</v>
      </c>
    </row>
    <row r="489" spans="1:8" x14ac:dyDescent="0.2">
      <c r="A489" t="s">
        <v>1174</v>
      </c>
      <c r="B489" s="6">
        <f>INDEX('vehicles specifications'!$B$3:$CW$166,MATCH(B471,'vehicles specifications'!$A$3:$A$166,0),MATCH("Lightweighting rate [%]",'vehicles specifications'!$B$2:$CW$2,0))</f>
        <v>0.03</v>
      </c>
    </row>
    <row r="490" spans="1:8" x14ac:dyDescent="0.2">
      <c r="A490" t="s">
        <v>83</v>
      </c>
      <c r="B490" t="str">
        <f>"Power: "&amp;B482&amp;" kW. Lifetime: "&amp;B476&amp;" km. Annual kilometers: "&amp;B480&amp;" km. Number of passengers: "&amp;B477&amp;". Curb mass: "&amp;ROUND(B481,1)&amp;" kg. Lightweighting of glider: "&amp;ROUND(B489*100,0)&amp;"%. Emission standard: "&amp;B488&amp;". Service visits throughout lifetime: "&amp;ROUND(B478,1)&amp;". Range: "&amp;ROUND(B487,0)&amp;" km. Fuel tank capacity: "&amp;ROUND(B485,1)&amp;" kWh. Fuel mass: "&amp;ROUND(B486,1)&amp;" kg. Documentation: "&amp;Readmefirst!$B$2&amp;", "&amp;Readmefirst!$B$3&amp;". "&amp;B475</f>
        <v>Power: 8.8 kW. Lifetime: 30000 km. Annual kilometers: 1870 km. Number of passengers: 1. Curb mass: 126.7 kg. Lightweighting of glider: 3%. Emission standard: EURO-5. Service visits throughout lifetime: 1.2. Range: 280 km. Fuel tank capacity: 79.9 kWh. Fuel mass: 6.8 kg. Documentation: Life-cycle inventories for on-road vehicles, Sacchi R. (PSI), Bauer C. (PSI), 2021. Sacchi R., Bauer C. Life cycle inventories for on-road vehicles. Paul Scherrer Institut, 2021.</v>
      </c>
    </row>
    <row r="491" spans="1:8" ht="16" x14ac:dyDescent="0.2">
      <c r="A491" s="10" t="s">
        <v>79</v>
      </c>
    </row>
    <row r="492" spans="1:8" x14ac:dyDescent="0.2">
      <c r="A492" t="s">
        <v>80</v>
      </c>
      <c r="B492" t="s">
        <v>81</v>
      </c>
      <c r="C492" t="s">
        <v>72</v>
      </c>
      <c r="D492" t="s">
        <v>76</v>
      </c>
      <c r="E492" t="s">
        <v>82</v>
      </c>
      <c r="F492" t="s">
        <v>74</v>
      </c>
      <c r="G492" t="s">
        <v>83</v>
      </c>
      <c r="H492" t="s">
        <v>73</v>
      </c>
    </row>
    <row r="493" spans="1:8" x14ac:dyDescent="0.2">
      <c r="A493" t="str">
        <f>B466</f>
        <v>transport, Scooter, gasoline, 4-11kW, EURO-5, 2030</v>
      </c>
      <c r="B493">
        <v>1</v>
      </c>
      <c r="C493" t="str">
        <f>B467</f>
        <v>CH</v>
      </c>
      <c r="D493" t="s">
        <v>166</v>
      </c>
      <c r="F493" t="s">
        <v>84</v>
      </c>
      <c r="G493" t="s">
        <v>85</v>
      </c>
      <c r="H493" t="str">
        <f>B472</f>
        <v>transport, Scooter, gasoline, 4-11kW, EURO-5</v>
      </c>
    </row>
    <row r="494" spans="1:8" x14ac:dyDescent="0.2">
      <c r="A494" t="str">
        <f>RIGHT(A493,LEN(A493)-11)</f>
        <v>Scooter, gasoline, 4-11kW, EURO-5, 2030</v>
      </c>
      <c r="B494" s="7">
        <f>1/B476</f>
        <v>3.3333333333333335E-5</v>
      </c>
      <c r="C494" t="str">
        <f>B467</f>
        <v>CH</v>
      </c>
      <c r="D494" t="s">
        <v>76</v>
      </c>
      <c r="F494" t="s">
        <v>89</v>
      </c>
      <c r="H494" t="str">
        <f>RIGHT(H493,LEN(H493)-11)</f>
        <v>Scooter, gasoline, 4-11kW, EURO-5</v>
      </c>
    </row>
    <row r="495" spans="1:8" x14ac:dyDescent="0.2">
      <c r="A495" t="str">
        <f>INDEX('ei names mapping'!$B$4:$R$33,MATCH(B468,'ei names mapping'!$A$4:$A$33,0),MATCH(G495,'ei names mapping'!$B$3:$R$3,0))</f>
        <v>road construction</v>
      </c>
      <c r="B495" s="7">
        <f>INDEX('vehicles specifications'!$B$3:$CW$166,MATCH(B471,'vehicles specifications'!$A$3:$A$166,0),MATCH(G495,'vehicles specifications'!$B$2:$CW$2,0))*INDEX('ei names mapping'!$B$137:$BL$300,MATCH(B471,'ei names mapping'!$A$137:$A$300,0),MATCH(G495,'ei names mapping'!$B$136:$BL$136,0))</f>
        <v>1.104407625E-4</v>
      </c>
      <c r="C495" t="str">
        <f>INDEX('ei names mapping'!$B$38:$R$67,MATCH(B468,'ei names mapping'!$A$4:$A$33,0),MATCH(G495,'ei names mapping'!$B$3:$R$3,0))</f>
        <v>CH</v>
      </c>
      <c r="D495" t="str">
        <f>INDEX('ei names mapping'!$B$104:$BL$133,MATCH(B468,'ei names mapping'!$A$4:$A$33,0),MATCH(G495,'ei names mapping'!$B$3:$BL$3,0))</f>
        <v>meter-year</v>
      </c>
      <c r="F495" t="s">
        <v>89</v>
      </c>
      <c r="G495" t="s">
        <v>105</v>
      </c>
      <c r="H495" t="str">
        <f>INDEX('ei names mapping'!$B$71:$BL$100,MATCH(B468,'ei names mapping'!$A$4:$A$33,0),MATCH(G495,'ei names mapping'!$B$3:$BL$3,0))</f>
        <v>road</v>
      </c>
    </row>
    <row r="496" spans="1:8" x14ac:dyDescent="0.2">
      <c r="A496" t="str">
        <f>INDEX('ei names mapping'!$B$4:$R$33,MATCH(B468,'ei names mapping'!$A$4:$A$33,0),MATCH(G496,'ei names mapping'!$B$3:$R$3,0))</f>
        <v>road maintenance</v>
      </c>
      <c r="B496" s="7">
        <f>INDEX('vehicles specifications'!$B$3:$CW$166,MATCH(B471,'vehicles specifications'!$A$3:$A$166,0),MATCH(G496,'vehicles specifications'!$B$2:$CW$2,0))*INDEX('ei names mapping'!$B$137:$BL$300,MATCH(B471,'ei names mapping'!$A$137:$A$300,0),MATCH(G496,'ei names mapping'!$B$136:$BL$136,0))</f>
        <v>1.2899999999999999E-3</v>
      </c>
      <c r="C496" t="str">
        <f>INDEX('ei names mapping'!$B$38:$R$67,MATCH(B468,'ei names mapping'!$A$4:$A$33,0),MATCH(G496,'ei names mapping'!$B$3:$R$3,0))</f>
        <v>CH</v>
      </c>
      <c r="D496" t="str">
        <f>INDEX('ei names mapping'!$B$104:$BL$133,MATCH(B468,'ei names mapping'!$A$4:$A$33,0),MATCH(G496,'ei names mapping'!$B$3:$BL$3,0))</f>
        <v>meter-year</v>
      </c>
      <c r="F496" t="s">
        <v>89</v>
      </c>
      <c r="G496" t="s">
        <v>112</v>
      </c>
      <c r="H496" t="str">
        <f>INDEX('ei names mapping'!$B$71:$BL$100,MATCH(B468,'ei names mapping'!$A$4:$A$33,0),MATCH(G496,'ei names mapping'!$B$3:$BL$3,0))</f>
        <v>road maintenance</v>
      </c>
    </row>
    <row r="497" spans="1:8" x14ac:dyDescent="0.2">
      <c r="A497" t="str">
        <f>INDEX('ei names mapping'!$B$4:$R$33,MATCH(B468,'ei names mapping'!$A$4:$A$33,0),MATCH(G497,'ei names mapping'!$B$3:$R$3,0))</f>
        <v>maintenance, motor scooter</v>
      </c>
      <c r="B497" s="7">
        <f>INDEX('vehicles specifications'!$B$3:$CW$166,MATCH(B471,'vehicles specifications'!$A$3:$A$166,0),MATCH(G497,'vehicles specifications'!$B$2:$CW$2,0))*INDEX('ei names mapping'!$B$137:$BL$300,MATCH(B471,'ei names mapping'!$A$137:$A$300,0),MATCH(G497,'ei names mapping'!$B$136:$BL$136,0))</f>
        <v>4.0000000000000003E-5</v>
      </c>
      <c r="C497" t="str">
        <f>INDEX('ei names mapping'!$B$38:$BL$67,MATCH(B468,'ei names mapping'!$A$4:$A$33,0),MATCH(G497,'ei names mapping'!$B$3:$BL$3,0))</f>
        <v>CH</v>
      </c>
      <c r="D497" t="str">
        <f>INDEX('ei names mapping'!$B$104:$BL$133,MATCH(B468,'ei names mapping'!$A$4:$A$33,0),MATCH(G497,'ei names mapping'!$B$3:$BL$3,0))</f>
        <v>unit</v>
      </c>
      <c r="F497" t="s">
        <v>89</v>
      </c>
      <c r="G497" t="s">
        <v>118</v>
      </c>
      <c r="H497" t="str">
        <f>INDEX('ei names mapping'!$B$71:$BL$100,MATCH(B468,'ei names mapping'!$A$4:$A$33,0),MATCH(G497,'ei names mapping'!$B$3:$BL$3,0))</f>
        <v>maintenance, motor scooter</v>
      </c>
    </row>
    <row r="498" spans="1:8" x14ac:dyDescent="0.2">
      <c r="A498" t="str">
        <f>INDEX('ei names mapping'!$B$4:$R$33,MATCH(B468,'ei names mapping'!$A$4:$A$33,0),MATCH(G498,'ei names mapping'!$B$3:$R$3,0))</f>
        <v>fuel supply for gasoline vehicles</v>
      </c>
      <c r="B498" s="7">
        <f>INDEX('vehicles specifications'!$B$3:$CW$166,MATCH(B471,'vehicles specifications'!$A$3:$A$166,0),MATCH(G498,'vehicles specifications'!$B$2:$CW$2,0))*INDEX('ei names mapping'!$B$137:$BL$300,MATCH(B471,'ei names mapping'!$A$137:$A$300,0),MATCH(G498,'ei names mapping'!$B$136:$BL$136,0))</f>
        <v>2.4104100395004841E-2</v>
      </c>
      <c r="C498" t="str">
        <f>INDEX('ei names mapping'!$B$38:$BL$67,MATCH(B468,'ei names mapping'!$A$4:$A$33,0),MATCH(G498,'ei names mapping'!$B$3:$BL$3,0))</f>
        <v>CH</v>
      </c>
      <c r="D498" t="str">
        <f>INDEX('ei names mapping'!$B$104:$BL$133,MATCH(B468,'ei names mapping'!$A$4:$A$33,0),MATCH(G498,'ei names mapping'!$B$3:$BL$3,0))</f>
        <v>kilogram</v>
      </c>
      <c r="F498" t="s">
        <v>89</v>
      </c>
      <c r="G498" t="s">
        <v>27</v>
      </c>
      <c r="H498" t="str">
        <f>INDEX('ei names mapping'!$B$71:$BL$100,MATCH(B468,'ei names mapping'!$A$4:$A$33,0),MATCH(G498,'ei names mapping'!$B$3:$BL$3,0))</f>
        <v>gasoline blend</v>
      </c>
    </row>
    <row r="499" spans="1:8" x14ac:dyDescent="0.2">
      <c r="A499" t="str">
        <f>INDEX('ei names mapping'!$B$4:$BL$33,MATCH(B468,'ei names mapping'!$A$4:$A$33,0),MATCH(G499,'ei names mapping'!$B$3:$BL$3,0))</f>
        <v>Carbon dioxide, fossil</v>
      </c>
      <c r="B499" s="7">
        <f>INDEX('vehicles specifications'!$B$3:$CW$166,MATCH(B471,'vehicles specifications'!$A$3:$A$166,0),MATCH(G499,'vehicles specifications'!$B$2:$CW$2,0))*INDEX('ei names mapping'!$B$137:$BL$300,MATCH(B471,'ei names mapping'!$A$137:$A$300,0),MATCH(G499,'ei names mapping'!$B$136:$BL$136,0))</f>
        <v>7.4778632737431419E-2</v>
      </c>
      <c r="D499" t="str">
        <f>INDEX('ei names mapping'!$B$104:$BL$133,MATCH(B468,'ei names mapping'!$A$4:$A$33,0),MATCH(G499,'ei names mapping'!$B$3:$BL$3,0))</f>
        <v>kilogram</v>
      </c>
      <c r="E499" t="str">
        <f>INDEX('ei names mapping'!$B$305:$BL$335,MATCH(B468,'ei names mapping'!$A$4:$A$33,0),MATCH(G499,'ei names mapping'!$B$3:$BL$3,0))</f>
        <v>air::urban air close to ground</v>
      </c>
      <c r="F499" t="s">
        <v>167</v>
      </c>
      <c r="G499" t="s">
        <v>66</v>
      </c>
    </row>
    <row r="500" spans="1:8" x14ac:dyDescent="0.2">
      <c r="A500" t="str">
        <f>INDEX('ei names mapping'!$B$4:$BL$33,MATCH(B468,'ei names mapping'!$A$4:$A$33,0),MATCH(G500,'ei names mapping'!$B$3:$BL$3,0))</f>
        <v>Carbon dioxide, from soil or biomass stock</v>
      </c>
      <c r="B500" s="11">
        <f>INDEX('vehicles specifications'!$B$3:$CW$166,MATCH(B471,'vehicles specifications'!$A$3:$A$166,0),MATCH(G500,'vehicles specifications'!$B$2:$CW$2,0))*INDEX('ei names mapping'!$B$137:$BL$300,MATCH(B471,'ei names mapping'!$A$137:$A$300,0),MATCH(G500,'ei names mapping'!$B$136:$BL$136,0))</f>
        <v>9.0824250288378244E-4</v>
      </c>
      <c r="D500" t="str">
        <f>INDEX('ei names mapping'!$B$104:$BL$133,MATCH(B468,'ei names mapping'!$A$4:$A$33,0),MATCH(G500,'ei names mapping'!$B$3:$BL$3,0))</f>
        <v>kilogram</v>
      </c>
      <c r="E500" t="str">
        <f>INDEX('ei names mapping'!$B$305:$BL$335,MATCH(B468,'ei names mapping'!$A$4:$A$33,0),MATCH(G500,'ei names mapping'!$B$3:$BL$3,0))</f>
        <v>air::urban air close to ground</v>
      </c>
      <c r="F500" t="s">
        <v>167</v>
      </c>
      <c r="G500" t="s">
        <v>843</v>
      </c>
    </row>
    <row r="501" spans="1:8" x14ac:dyDescent="0.2">
      <c r="A501" t="str">
        <f>INDEX('ei names mapping'!$B$4:$BL$33,MATCH(B468,'ei names mapping'!$A$4:$A$33,0),MATCH(G501,'ei names mapping'!$B$3:$BL$3,0))</f>
        <v>Sulfur dioxide</v>
      </c>
      <c r="B501" s="7">
        <f>INDEX('vehicles specifications'!$B$3:$CW$166,MATCH(B471,'vehicles specifications'!$A$3:$A$166,0),MATCH(G501,'vehicles specifications'!$B$2:$CW$2,0))*INDEX('ei names mapping'!$B$137:$BL$300,MATCH(B471,'ei names mapping'!$A$137:$A$300,0),MATCH(G501,'ei names mapping'!$B$136:$BL$136,0))</f>
        <v>3.8566560632007743E-7</v>
      </c>
      <c r="D501" t="str">
        <f>INDEX('ei names mapping'!$B$104:$BL$133,MATCH(B468,'ei names mapping'!$A$4:$A$33,0),MATCH(G501,'ei names mapping'!$B$3:$BL$3,0))</f>
        <v>kilogram</v>
      </c>
      <c r="E501" t="str">
        <f>INDEX('ei names mapping'!$B$305:$BL$335,MATCH(B468,'ei names mapping'!$A$4:$A$33,0),MATCH(G501,'ei names mapping'!$B$3:$BL$3,0))</f>
        <v>air::urban air close to ground</v>
      </c>
      <c r="F501" t="s">
        <v>167</v>
      </c>
      <c r="G501" t="s">
        <v>67</v>
      </c>
    </row>
    <row r="502" spans="1:8" x14ac:dyDescent="0.2">
      <c r="A502" t="str">
        <f>INDEX('ei names mapping'!$B$4:$BL$33,MATCH(B468,'ei names mapping'!$A$4:$A$33,0),MATCH(G502,'ei names mapping'!$B$3:$BL$3,0))</f>
        <v>Benzene</v>
      </c>
      <c r="B502" s="7">
        <f>INDEX('vehicles specifications'!$B$3:$CW$166,MATCH(B471,'vehicles specifications'!$A$3:$A$166,0),MATCH(G502,'vehicles specifications'!$B$2:$CW$2,0))*INDEX('ei names mapping'!$B$137:$BL$300,MATCH(B471,'ei names mapping'!$A$137:$A$300,0),MATCH(G502,'ei names mapping'!$B$136:$BL$136,0))</f>
        <v>3.7052336147393805E-5</v>
      </c>
      <c r="D502" t="str">
        <f>INDEX('ei names mapping'!$B$104:$BL$133,MATCH(B468,'ei names mapping'!$A$4:$A$33,0),MATCH(G502,'ei names mapping'!$B$3:$BL$3,0))</f>
        <v>kilogram</v>
      </c>
      <c r="E502" t="str">
        <f>INDEX('ei names mapping'!$B$305:$BL$335,MATCH(B468,'ei names mapping'!$A$4:$A$33,0),MATCH(G502,'ei names mapping'!$B$3:$BL$3,0))</f>
        <v>air::urban air close to ground</v>
      </c>
      <c r="F502" t="s">
        <v>167</v>
      </c>
      <c r="G502" t="s">
        <v>55</v>
      </c>
    </row>
    <row r="503" spans="1:8" x14ac:dyDescent="0.2">
      <c r="A503" t="str">
        <f>INDEX('ei names mapping'!$B$4:$BL$33,MATCH(B468,'ei names mapping'!$A$4:$A$33,0),MATCH(G503,'ei names mapping'!$B$3:$BL$3,0))</f>
        <v>Methane, fossil</v>
      </c>
      <c r="B503" s="7">
        <f>INDEX('vehicles specifications'!$B$3:$CW$166,MATCH(B471,'vehicles specifications'!$A$3:$A$166,0),MATCH(G503,'vehicles specifications'!$B$2:$CW$2,0))*INDEX('ei names mapping'!$B$137:$BL$300,MATCH(B471,'ei names mapping'!$A$137:$A$300,0),MATCH(G503,'ei names mapping'!$B$136:$BL$136,0))</f>
        <v>2.8309328505000081E-5</v>
      </c>
      <c r="D503" t="str">
        <f>INDEX('ei names mapping'!$B$104:$BL$133,MATCH(B468,'ei names mapping'!$A$4:$A$33,0),MATCH(G503,'ei names mapping'!$B$3:$BL$3,0))</f>
        <v>kilogram</v>
      </c>
      <c r="E503" t="str">
        <f>INDEX('ei names mapping'!$B$305:$BL$335,MATCH(B468,'ei names mapping'!$A$4:$A$33,0),MATCH(G503,'ei names mapping'!$B$3:$BL$3,0))</f>
        <v>air::urban air close to ground</v>
      </c>
      <c r="F503" t="s">
        <v>167</v>
      </c>
      <c r="G503" t="s">
        <v>56</v>
      </c>
    </row>
    <row r="504" spans="1:8" x14ac:dyDescent="0.2">
      <c r="A504" t="str">
        <f>INDEX('ei names mapping'!$B$4:$BL$33,MATCH(B468,'ei names mapping'!$A$4:$A$33,0),MATCH(G504,'ei names mapping'!$B$3:$BL$3,0))</f>
        <v>Carbon monoxide, fossil</v>
      </c>
      <c r="B504" s="7">
        <f>INDEX('vehicles specifications'!$B$3:$CW$166,MATCH(B471,'vehicles specifications'!$A$3:$A$166,0),MATCH(G504,'vehicles specifications'!$B$2:$CW$2,0))*INDEX('ei names mapping'!$B$137:$BL$300,MATCH(B471,'ei names mapping'!$A$137:$A$300,0),MATCH(G504,'ei names mapping'!$B$136:$BL$136,0))</f>
        <v>3.3165896267970396E-3</v>
      </c>
      <c r="D504" t="str">
        <f>INDEX('ei names mapping'!$B$104:$BL$133,MATCH(B468,'ei names mapping'!$A$4:$A$33,0),MATCH(G504,'ei names mapping'!$B$3:$BL$3,0))</f>
        <v>kilogram</v>
      </c>
      <c r="E504" t="str">
        <f>INDEX('ei names mapping'!$B$305:$BL$335,MATCH(B468,'ei names mapping'!$A$4:$A$33,0),MATCH(G504,'ei names mapping'!$B$3:$BL$3,0))</f>
        <v>air::urban air close to ground</v>
      </c>
      <c r="F504" t="s">
        <v>167</v>
      </c>
      <c r="G504" t="s">
        <v>57</v>
      </c>
    </row>
    <row r="505" spans="1:8" x14ac:dyDescent="0.2">
      <c r="A505" t="str">
        <f>INDEX('ei names mapping'!$B$4:$BL$33,MATCH(B468,'ei names mapping'!$A$4:$A$33,0),MATCH(G505,'ei names mapping'!$B$3:$BL$3,0))</f>
        <v>Dinitrogen monoxide</v>
      </c>
      <c r="B505" s="7">
        <f>INDEX('vehicles specifications'!$B$3:$CW$166,MATCH(B471,'vehicles specifications'!$A$3:$A$166,0),MATCH(G505,'vehicles specifications'!$B$2:$CW$2,0))*INDEX('ei names mapping'!$B$137:$BL$300,MATCH(B471,'ei names mapping'!$A$137:$A$300,0),MATCH(G505,'ei names mapping'!$B$136:$BL$136,0))</f>
        <v>1.4362926689497763E-6</v>
      </c>
      <c r="D505" t="str">
        <f>INDEX('ei names mapping'!$B$104:$BL$133,MATCH(B468,'ei names mapping'!$A$4:$A$33,0),MATCH(G505,'ei names mapping'!$B$3:$BL$3,0))</f>
        <v>kilogram</v>
      </c>
      <c r="E505" t="str">
        <f>INDEX('ei names mapping'!$B$305:$BL$335,MATCH(B468,'ei names mapping'!$A$4:$A$33,0),MATCH(G505,'ei names mapping'!$B$3:$BL$3,0))</f>
        <v>air::urban air close to ground</v>
      </c>
      <c r="F505" t="s">
        <v>167</v>
      </c>
      <c r="G505" t="s">
        <v>58</v>
      </c>
    </row>
    <row r="506" spans="1:8" x14ac:dyDescent="0.2">
      <c r="A506" t="str">
        <f>INDEX('ei names mapping'!$B$4:$BL$33,MATCH(B468,'ei names mapping'!$A$4:$A$33,0),MATCH(G506,'ei names mapping'!$B$3:$BL$3,0))</f>
        <v>Ammonia</v>
      </c>
      <c r="B506" s="7">
        <f>INDEX('vehicles specifications'!$B$3:$CW$166,MATCH(B471,'vehicles specifications'!$A$3:$A$166,0),MATCH(G506,'vehicles specifications'!$B$2:$CW$2,0))*INDEX('ei names mapping'!$B$137:$BL$300,MATCH(B471,'ei names mapping'!$A$137:$A$300,0),MATCH(G506,'ei names mapping'!$B$136:$BL$136,0))</f>
        <v>1.4362926689497763E-6</v>
      </c>
      <c r="D506" t="str">
        <f>INDEX('ei names mapping'!$B$104:$BL$133,MATCH(B468,'ei names mapping'!$A$4:$A$33,0),MATCH(G506,'ei names mapping'!$B$3:$BL$3,0))</f>
        <v>kilogram</v>
      </c>
      <c r="E506" t="str">
        <f>INDEX('ei names mapping'!$B$305:$BL$335,MATCH(B468,'ei names mapping'!$A$4:$A$33,0),MATCH(G506,'ei names mapping'!$B$3:$BL$3,0))</f>
        <v>air::urban air close to ground</v>
      </c>
      <c r="F506" t="s">
        <v>167</v>
      </c>
      <c r="G506" t="s">
        <v>59</v>
      </c>
    </row>
    <row r="507" spans="1:8" x14ac:dyDescent="0.2">
      <c r="A507" t="str">
        <f>INDEX('ei names mapping'!$B$4:$BL$33,MATCH(B468,'ei names mapping'!$A$4:$A$33,0),MATCH(G507,'ei names mapping'!$B$3:$BL$3,0))</f>
        <v>Nitrogen oxides</v>
      </c>
      <c r="B507" s="7">
        <f>INDEX('vehicles specifications'!$B$3:$CW$166,MATCH(B471,'vehicles specifications'!$A$3:$A$166,0),MATCH(G507,'vehicles specifications'!$B$2:$CW$2,0))*INDEX('ei names mapping'!$B$137:$BL$300,MATCH(B471,'ei names mapping'!$A$137:$A$300,0),MATCH(G507,'ei names mapping'!$B$136:$BL$136,0))</f>
        <v>1.0770860537496506E-4</v>
      </c>
      <c r="D507" t="str">
        <f>INDEX('ei names mapping'!$B$104:$BL$133,MATCH(B468,'ei names mapping'!$A$4:$A$33,0),MATCH(G507,'ei names mapping'!$B$3:$BL$3,0))</f>
        <v>kilogram</v>
      </c>
      <c r="E507" t="str">
        <f>INDEX('ei names mapping'!$B$305:$BL$335,MATCH(B468,'ei names mapping'!$A$4:$A$33,0),MATCH(G507,'ei names mapping'!$B$3:$BL$3,0))</f>
        <v>air::urban air close to ground</v>
      </c>
      <c r="F507" t="s">
        <v>167</v>
      </c>
      <c r="G507" t="s">
        <v>60</v>
      </c>
    </row>
    <row r="508" spans="1:8" x14ac:dyDescent="0.2">
      <c r="A508" t="str">
        <f>INDEX('ei names mapping'!$B$4:$BL$33,MATCH(B468,'ei names mapping'!$A$4:$A$33,0),MATCH(G508,'ei names mapping'!$B$3:$BL$3,0))</f>
        <v>Particulates, &lt; 2.5 um</v>
      </c>
      <c r="B508" s="7">
        <f>INDEX('vehicles specifications'!$B$3:$CW$166,MATCH(B$471,'vehicles specifications'!$A$3:$A$166,0),MATCH(G508,'vehicles specifications'!$B$2:$CW$2,0))*INDEX('ei names mapping'!$B$137:$BL$300,MATCH(B$471,'ei names mapping'!$A$137:$A$300,0),MATCH(G508,'ei names mapping'!$B$136:$BL$136,0))</f>
        <v>3.2216044564543483E-6</v>
      </c>
      <c r="D508" t="str">
        <f>INDEX('ei names mapping'!$B$104:$BL$133,MATCH(B468,'ei names mapping'!$A$4:$A$33,0),MATCH(G508,'ei names mapping'!$B$3:$BL$3,0))</f>
        <v>kilogram</v>
      </c>
      <c r="E508" t="str">
        <f>INDEX('ei names mapping'!$B$305:$BL$335,MATCH(B468,'ei names mapping'!$A$4:$A$33,0),MATCH(G508,'ei names mapping'!$B$3:$BL$3,0))</f>
        <v>air::urban air close to ground</v>
      </c>
      <c r="F508" t="s">
        <v>167</v>
      </c>
      <c r="G508" t="s">
        <v>62</v>
      </c>
    </row>
    <row r="509" spans="1:8" x14ac:dyDescent="0.2">
      <c r="A509" t="str">
        <f>INDEX('ei names mapping'!$B$4:$BL$33,MATCH(B$234,'ei names mapping'!$A$4:$A$33,0),MATCH(G509,'ei names mapping'!$B$3:$BL$3,0))</f>
        <v>NMVOC, non-methane volatile organic compounds, unspecified origin</v>
      </c>
      <c r="B509" s="7">
        <f>INDEX('vehicles specifications'!$B$3:$CW$166,MATCH(B$471,'vehicles specifications'!$A$3:$A$166,0),MATCH(G509,'vehicles specifications'!$B$2:$CW$2,0))*INDEX('ei names mapping'!$B$137:$BL$300,MATCH(B$471,'ei names mapping'!$A$137:$A$300,0),MATCH(G509,'ei names mapping'!$B$136:$BL$136,0))</f>
        <v>2.9879637919930416E-4</v>
      </c>
      <c r="D509" t="str">
        <f>INDEX('ei names mapping'!$B$104:$BL$133,MATCH(B$234,'ei names mapping'!$A$4:$A$33,0),MATCH(G509,'ei names mapping'!$B$3:$BL$3,0))</f>
        <v>kilogram</v>
      </c>
      <c r="E509" t="str">
        <f>INDEX('ei names mapping'!$B$305:$BL$335,MATCH(B$234,'ei names mapping'!$A$4:$A$33,0),MATCH(G509,'ei names mapping'!$B$3:$BL$3,0))</f>
        <v>air::urban air close to ground</v>
      </c>
      <c r="F509" t="s">
        <v>167</v>
      </c>
      <c r="G509" t="s">
        <v>593</v>
      </c>
    </row>
    <row r="510" spans="1:8" x14ac:dyDescent="0.2">
      <c r="A510" t="str">
        <f>INDEX('ei names mapping'!$B$4:$BL$33,MATCH(B$234,'ei names mapping'!$A$4:$A$33,0),MATCH(G510,'ei names mapping'!$B$3:$BL$3,0))</f>
        <v>Ethane</v>
      </c>
      <c r="B510" s="7">
        <f>INDEX('vehicles specifications'!$B$3:$CW$166,MATCH(B$471,'vehicles specifications'!$A$3:$A$166,0),MATCH(G510,'vehicles specifications'!$B$2:$CW$2,0))*INDEX('ei names mapping'!$B$137:$BL$300,MATCH(B$471,'ei names mapping'!$A$137:$A$300,0),MATCH(G510,'ei names mapping'!$B$136:$BL$136,0))</f>
        <v>2.1068975456361185E-5</v>
      </c>
      <c r="D510" t="str">
        <f>INDEX('ei names mapping'!$B$104:$BL$133,MATCH(B$234,'ei names mapping'!$A$4:$A$33,0),MATCH(G510,'ei names mapping'!$B$3:$BL$3,0))</f>
        <v>kilogram</v>
      </c>
      <c r="E510" t="str">
        <f>INDEX('ei names mapping'!$B$305:$BL$335,MATCH(B$234,'ei names mapping'!$A$4:$A$33,0),MATCH(G510,'ei names mapping'!$B$3:$BL$3,0))</f>
        <v>air::urban air close to ground</v>
      </c>
      <c r="F510" t="s">
        <v>167</v>
      </c>
      <c r="G510" t="s">
        <v>541</v>
      </c>
    </row>
    <row r="511" spans="1:8" x14ac:dyDescent="0.2">
      <c r="A511" t="str">
        <f>INDEX('ei names mapping'!$B$4:$BL$33,MATCH(B$234,'ei names mapping'!$A$4:$A$33,0),MATCH(G511,'ei names mapping'!$B$3:$BL$3,0))</f>
        <v>Propane</v>
      </c>
      <c r="B511" s="7">
        <f>INDEX('vehicles specifications'!$B$3:$CW$166,MATCH(B$471,'vehicles specifications'!$A$3:$A$166,0),MATCH(G511,'vehicles specifications'!$B$2:$CW$2,0))*INDEX('ei names mapping'!$B$137:$BL$300,MATCH(B$471,'ei names mapping'!$A$137:$A$300,0),MATCH(G511,'ei names mapping'!$B$136:$BL$136,0))</f>
        <v>4.2930514252773583E-6</v>
      </c>
      <c r="D511" t="str">
        <f>INDEX('ei names mapping'!$B$104:$BL$133,MATCH(B$234,'ei names mapping'!$A$4:$A$33,0),MATCH(G511,'ei names mapping'!$B$3:$BL$3,0))</f>
        <v>kilogram</v>
      </c>
      <c r="E511" t="str">
        <f>INDEX('ei names mapping'!$B$305:$BL$335,MATCH(B$234,'ei names mapping'!$A$4:$A$33,0),MATCH(G511,'ei names mapping'!$B$3:$BL$3,0))</f>
        <v>air::urban air close to ground</v>
      </c>
      <c r="F511" t="s">
        <v>167</v>
      </c>
      <c r="G511" t="s">
        <v>542</v>
      </c>
    </row>
    <row r="512" spans="1:8" x14ac:dyDescent="0.2">
      <c r="A512" t="str">
        <f>INDEX('ei names mapping'!$B$4:$BL$33,MATCH(B$234,'ei names mapping'!$A$4:$A$33,0),MATCH(G512,'ei names mapping'!$B$3:$BL$3,0))</f>
        <v>Butane</v>
      </c>
      <c r="B512" s="7">
        <f>INDEX('vehicles specifications'!$B$3:$CW$166,MATCH(B$471,'vehicles specifications'!$A$3:$A$166,0),MATCH(G512,'vehicles specifications'!$B$2:$CW$2,0))*INDEX('ei names mapping'!$B$137:$BL$300,MATCH(B$471,'ei names mapping'!$A$137:$A$300,0),MATCH(G512,'ei names mapping'!$B$136:$BL$136,0))</f>
        <v>3.460859918223593E-5</v>
      </c>
      <c r="D512" t="str">
        <f>INDEX('ei names mapping'!$B$104:$BL$133,MATCH(B$234,'ei names mapping'!$A$4:$A$33,0),MATCH(G512,'ei names mapping'!$B$3:$BL$3,0))</f>
        <v>kilogram</v>
      </c>
      <c r="E512" t="str">
        <f>INDEX('ei names mapping'!$B$305:$BL$335,MATCH(B$234,'ei names mapping'!$A$4:$A$33,0),MATCH(G512,'ei names mapping'!$B$3:$BL$3,0))</f>
        <v>air::urban air close to ground</v>
      </c>
      <c r="F512" t="s">
        <v>167</v>
      </c>
      <c r="G512" t="s">
        <v>543</v>
      </c>
    </row>
    <row r="513" spans="1:7" x14ac:dyDescent="0.2">
      <c r="A513" t="str">
        <f>INDEX('ei names mapping'!$B$4:$BL$33,MATCH(B$234,'ei names mapping'!$A$4:$A$33,0),MATCH(G513,'ei names mapping'!$B$3:$BL$3,0))</f>
        <v>Pentane</v>
      </c>
      <c r="B513" s="7">
        <f>INDEX('vehicles specifications'!$B$3:$CW$166,MATCH(B$471,'vehicles specifications'!$A$3:$A$166,0),MATCH(G513,'vehicles specifications'!$B$2:$CW$2,0))*INDEX('ei names mapping'!$B$137:$BL$300,MATCH(B$471,'ei names mapping'!$A$137:$A$300,0),MATCH(G513,'ei names mapping'!$B$136:$BL$136,0))</f>
        <v>1.4200093175917414E-5</v>
      </c>
      <c r="D513" t="str">
        <f>INDEX('ei names mapping'!$B$104:$BL$133,MATCH(B$234,'ei names mapping'!$A$4:$A$33,0),MATCH(G513,'ei names mapping'!$B$3:$BL$3,0))</f>
        <v>kilogram</v>
      </c>
      <c r="E513" t="str">
        <f>INDEX('ei names mapping'!$B$305:$BL$335,MATCH(B$234,'ei names mapping'!$A$4:$A$33,0),MATCH(G513,'ei names mapping'!$B$3:$BL$3,0))</f>
        <v>air::urban air close to ground</v>
      </c>
      <c r="F513" t="s">
        <v>167</v>
      </c>
      <c r="G513" t="s">
        <v>544</v>
      </c>
    </row>
    <row r="514" spans="1:7" x14ac:dyDescent="0.2">
      <c r="A514" t="str">
        <f>INDEX('ei names mapping'!$B$4:$BL$33,MATCH(B$234,'ei names mapping'!$A$4:$A$33,0),MATCH(G514,'ei names mapping'!$B$3:$BL$3,0))</f>
        <v>Hexane</v>
      </c>
      <c r="B514" s="7">
        <f>INDEX('vehicles specifications'!$B$3:$CW$166,MATCH(B$471,'vehicles specifications'!$A$3:$A$166,0),MATCH(G514,'vehicles specifications'!$B$2:$CW$2,0))*INDEX('ei names mapping'!$B$137:$BL$300,MATCH(B$471,'ei names mapping'!$A$137:$A$300,0),MATCH(G514,'ei names mapping'!$B$136:$BL$136,0))</f>
        <v>1.0633558145686995E-5</v>
      </c>
      <c r="D514" t="str">
        <f>INDEX('ei names mapping'!$B$104:$BL$133,MATCH(B$234,'ei names mapping'!$A$4:$A$33,0),MATCH(G514,'ei names mapping'!$B$3:$BL$3,0))</f>
        <v>kilogram</v>
      </c>
      <c r="E514" t="str">
        <f>INDEX('ei names mapping'!$B$305:$BL$335,MATCH(B$234,'ei names mapping'!$A$4:$A$33,0),MATCH(G514,'ei names mapping'!$B$3:$BL$3,0))</f>
        <v>air::urban air close to ground</v>
      </c>
      <c r="F514" t="s">
        <v>167</v>
      </c>
      <c r="G514" t="s">
        <v>545</v>
      </c>
    </row>
    <row r="515" spans="1:7" x14ac:dyDescent="0.2">
      <c r="A515" t="str">
        <f>INDEX('ei names mapping'!$B$4:$BL$33,MATCH(B$234,'ei names mapping'!$A$4:$A$33,0),MATCH(G515,'ei names mapping'!$B$3:$BL$3,0))</f>
        <v>Cyclohexane</v>
      </c>
      <c r="B515" s="7">
        <f>INDEX('vehicles specifications'!$B$3:$CW$166,MATCH(B$471,'vehicles specifications'!$A$3:$A$166,0),MATCH(G515,'vehicles specifications'!$B$2:$CW$2,0))*INDEX('ei names mapping'!$B$137:$BL$300,MATCH(B$471,'ei names mapping'!$A$137:$A$300,0),MATCH(G515,'ei names mapping'!$B$136:$BL$136,0))</f>
        <v>7.5293517304864437E-6</v>
      </c>
      <c r="D515" t="str">
        <f>INDEX('ei names mapping'!$B$104:$BL$133,MATCH(B$234,'ei names mapping'!$A$4:$A$33,0),MATCH(G515,'ei names mapping'!$B$3:$BL$3,0))</f>
        <v>kilogram</v>
      </c>
      <c r="E515" t="str">
        <f>INDEX('ei names mapping'!$B$305:$BL$335,MATCH(B$234,'ei names mapping'!$A$4:$A$33,0),MATCH(G515,'ei names mapping'!$B$3:$BL$3,0))</f>
        <v>air::urban air close to ground</v>
      </c>
      <c r="F515" t="s">
        <v>167</v>
      </c>
      <c r="G515" t="s">
        <v>546</v>
      </c>
    </row>
    <row r="516" spans="1:7" x14ac:dyDescent="0.2">
      <c r="A516" t="str">
        <f>INDEX('ei names mapping'!$B$4:$BL$33,MATCH(B$234,'ei names mapping'!$A$4:$A$33,0),MATCH(G516,'ei names mapping'!$B$3:$BL$3,0))</f>
        <v>Heptane</v>
      </c>
      <c r="B516" s="7">
        <f>INDEX('vehicles specifications'!$B$3:$CW$166,MATCH(B$471,'vehicles specifications'!$A$3:$A$166,0),MATCH(G516,'vehicles specifications'!$B$2:$CW$2,0))*INDEX('ei names mapping'!$B$137:$BL$300,MATCH(B$471,'ei names mapping'!$A$137:$A$300,0),MATCH(G516,'ei names mapping'!$B$136:$BL$136,0))</f>
        <v>4.8874739303157623E-6</v>
      </c>
      <c r="D516" t="str">
        <f>INDEX('ei names mapping'!$B$104:$BL$133,MATCH(B$234,'ei names mapping'!$A$4:$A$33,0),MATCH(G516,'ei names mapping'!$B$3:$BL$3,0))</f>
        <v>kilogram</v>
      </c>
      <c r="E516" t="str">
        <f>INDEX('ei names mapping'!$B$305:$BL$335,MATCH(B$234,'ei names mapping'!$A$4:$A$33,0),MATCH(G516,'ei names mapping'!$B$3:$BL$3,0))</f>
        <v>air::urban air close to ground</v>
      </c>
      <c r="F516" t="s">
        <v>167</v>
      </c>
      <c r="G516" t="s">
        <v>547</v>
      </c>
    </row>
    <row r="517" spans="1:7" x14ac:dyDescent="0.2">
      <c r="A517" t="str">
        <f>INDEX('ei names mapping'!$B$4:$BL$33,MATCH(B$234,'ei names mapping'!$A$4:$A$33,0),MATCH(G517,'ei names mapping'!$B$3:$BL$3,0))</f>
        <v>Ethene</v>
      </c>
      <c r="B517" s="7">
        <f>INDEX('vehicles specifications'!$B$3:$CW$166,MATCH(B$471,'vehicles specifications'!$A$3:$A$166,0),MATCH(G517,'vehicles specifications'!$B$2:$CW$2,0))*INDEX('ei names mapping'!$B$137:$BL$300,MATCH(B$471,'ei names mapping'!$A$137:$A$300,0),MATCH(G517,'ei names mapping'!$B$136:$BL$136,0))</f>
        <v>4.8214269853114941E-5</v>
      </c>
      <c r="D517" t="str">
        <f>INDEX('ei names mapping'!$B$104:$BL$133,MATCH(B$234,'ei names mapping'!$A$4:$A$33,0),MATCH(G517,'ei names mapping'!$B$3:$BL$3,0))</f>
        <v>kilogram</v>
      </c>
      <c r="E517" t="str">
        <f>INDEX('ei names mapping'!$B$305:$BL$335,MATCH(B$234,'ei names mapping'!$A$4:$A$33,0),MATCH(G517,'ei names mapping'!$B$3:$BL$3,0))</f>
        <v>air::urban air close to ground</v>
      </c>
      <c r="F517" t="s">
        <v>167</v>
      </c>
      <c r="G517" t="s">
        <v>548</v>
      </c>
    </row>
    <row r="518" spans="1:7" x14ac:dyDescent="0.2">
      <c r="A518" t="str">
        <f>INDEX('ei names mapping'!$B$4:$BL$33,MATCH(B$234,'ei names mapping'!$A$4:$A$33,0),MATCH(G518,'ei names mapping'!$B$3:$BL$3,0))</f>
        <v>Propene</v>
      </c>
      <c r="B518" s="7">
        <f>INDEX('vehicles specifications'!$B$3:$CW$166,MATCH(B$471,'vehicles specifications'!$A$3:$A$166,0),MATCH(G518,'vehicles specifications'!$B$2:$CW$2,0))*INDEX('ei names mapping'!$B$137:$BL$300,MATCH(B$471,'ei names mapping'!$A$137:$A$300,0),MATCH(G518,'ei names mapping'!$B$136:$BL$136,0))</f>
        <v>2.5229932991630011E-5</v>
      </c>
      <c r="D518" t="str">
        <f>INDEX('ei names mapping'!$B$104:$BL$133,MATCH(B$234,'ei names mapping'!$A$4:$A$33,0),MATCH(G518,'ei names mapping'!$B$3:$BL$3,0))</f>
        <v>kilogram</v>
      </c>
      <c r="E518" t="str">
        <f>INDEX('ei names mapping'!$B$305:$BL$335,MATCH(B$234,'ei names mapping'!$A$4:$A$33,0),MATCH(G518,'ei names mapping'!$B$3:$BL$3,0))</f>
        <v>air::urban air close to ground</v>
      </c>
      <c r="F518" t="s">
        <v>167</v>
      </c>
      <c r="G518" t="s">
        <v>549</v>
      </c>
    </row>
    <row r="519" spans="1:7" x14ac:dyDescent="0.2">
      <c r="A519" t="str">
        <f>INDEX('ei names mapping'!$B$4:$BL$33,MATCH(B$234,'ei names mapping'!$A$4:$A$33,0),MATCH(G519,'ei names mapping'!$B$3:$BL$3,0))</f>
        <v>1-Pentene</v>
      </c>
      <c r="B519" s="7">
        <f>INDEX('vehicles specifications'!$B$3:$CW$166,MATCH(B$471,'vehicles specifications'!$A$3:$A$166,0),MATCH(G519,'vehicles specifications'!$B$2:$CW$2,0))*INDEX('ei names mapping'!$B$137:$BL$300,MATCH(B$471,'ei names mapping'!$A$137:$A$300,0),MATCH(G519,'ei names mapping'!$B$136:$BL$136,0))</f>
        <v>7.2651639504693751E-7</v>
      </c>
      <c r="D519" t="str">
        <f>INDEX('ei names mapping'!$B$104:$BL$133,MATCH(B$234,'ei names mapping'!$A$4:$A$33,0),MATCH(G519,'ei names mapping'!$B$3:$BL$3,0))</f>
        <v>kilogram</v>
      </c>
      <c r="E519" t="str">
        <f>INDEX('ei names mapping'!$B$305:$BL$335,MATCH(B$234,'ei names mapping'!$A$4:$A$33,0),MATCH(G519,'ei names mapping'!$B$3:$BL$3,0))</f>
        <v>air::urban air close to ground</v>
      </c>
      <c r="F519" t="s">
        <v>167</v>
      </c>
      <c r="G519" t="s">
        <v>550</v>
      </c>
    </row>
    <row r="520" spans="1:7" x14ac:dyDescent="0.2">
      <c r="A520" t="str">
        <f>INDEX('ei names mapping'!$B$4:$BL$33,MATCH(B$234,'ei names mapping'!$A$4:$A$33,0),MATCH(G520,'ei names mapping'!$B$3:$BL$3,0))</f>
        <v>Toluene</v>
      </c>
      <c r="B520" s="7">
        <f>INDEX('vehicles specifications'!$B$3:$CW$166,MATCH(B$471,'vehicles specifications'!$A$3:$A$166,0),MATCH(G520,'vehicles specifications'!$B$2:$CW$2,0))*INDEX('ei names mapping'!$B$137:$BL$300,MATCH(B$471,'ei names mapping'!$A$137:$A$300,0),MATCH(G520,'ei names mapping'!$B$136:$BL$136,0))</f>
        <v>7.2519545614685202E-5</v>
      </c>
      <c r="D520" t="str">
        <f>INDEX('ei names mapping'!$B$104:$BL$133,MATCH(B$234,'ei names mapping'!$A$4:$A$33,0),MATCH(G520,'ei names mapping'!$B$3:$BL$3,0))</f>
        <v>kilogram</v>
      </c>
      <c r="E520" t="str">
        <f>INDEX('ei names mapping'!$B$305:$BL$335,MATCH(B$234,'ei names mapping'!$A$4:$A$33,0),MATCH(G520,'ei names mapping'!$B$3:$BL$3,0))</f>
        <v>air::urban air close to ground</v>
      </c>
      <c r="F520" t="s">
        <v>167</v>
      </c>
      <c r="G520" t="s">
        <v>551</v>
      </c>
    </row>
    <row r="521" spans="1:7" x14ac:dyDescent="0.2">
      <c r="A521" t="str">
        <f>INDEX('ei names mapping'!$B$4:$BL$33,MATCH(B$234,'ei names mapping'!$A$4:$A$33,0),MATCH(G521,'ei names mapping'!$B$3:$BL$3,0))</f>
        <v>m-Xylene</v>
      </c>
      <c r="B521" s="7">
        <f>INDEX('vehicles specifications'!$B$3:$CW$166,MATCH(B$471,'vehicles specifications'!$A$3:$A$166,0),MATCH(G521,'vehicles specifications'!$B$2:$CW$2,0))*INDEX('ei names mapping'!$B$137:$BL$300,MATCH(B$471,'ei names mapping'!$A$137:$A$300,0),MATCH(G521,'ei names mapping'!$B$136:$BL$136,0))</f>
        <v>3.5863491137317012E-5</v>
      </c>
      <c r="D521" t="str">
        <f>INDEX('ei names mapping'!$B$104:$BL$133,MATCH(B$234,'ei names mapping'!$A$4:$A$33,0),MATCH(G521,'ei names mapping'!$B$3:$BL$3,0))</f>
        <v>kilogram</v>
      </c>
      <c r="E521" t="str">
        <f>INDEX('ei names mapping'!$B$305:$BL$335,MATCH(B$234,'ei names mapping'!$A$4:$A$33,0),MATCH(G521,'ei names mapping'!$B$3:$BL$3,0))</f>
        <v>air::urban air close to ground</v>
      </c>
      <c r="F521" t="s">
        <v>167</v>
      </c>
      <c r="G521" t="s">
        <v>552</v>
      </c>
    </row>
    <row r="522" spans="1:7" x14ac:dyDescent="0.2">
      <c r="A522" t="str">
        <f>INDEX('ei names mapping'!$B$4:$BL$33,MATCH(B$234,'ei names mapping'!$A$4:$A$33,0),MATCH(G522,'ei names mapping'!$B$3:$BL$3,0))</f>
        <v>o-Xylene</v>
      </c>
      <c r="B522" s="7">
        <f>INDEX('vehicles specifications'!$B$3:$CW$166,MATCH(B$471,'vehicles specifications'!$A$3:$A$166,0),MATCH(G522,'vehicles specifications'!$B$2:$CW$2,0))*INDEX('ei names mapping'!$B$137:$BL$300,MATCH(B$471,'ei names mapping'!$A$137:$A$300,0),MATCH(G522,'ei names mapping'!$B$136:$BL$136,0))</f>
        <v>1.4926609570964352E-5</v>
      </c>
      <c r="D522" t="str">
        <f>INDEX('ei names mapping'!$B$104:$BL$133,MATCH(B$234,'ei names mapping'!$A$4:$A$33,0),MATCH(G522,'ei names mapping'!$B$3:$BL$3,0))</f>
        <v>kilogram</v>
      </c>
      <c r="E522" t="str">
        <f>INDEX('ei names mapping'!$B$305:$BL$335,MATCH(B$234,'ei names mapping'!$A$4:$A$33,0),MATCH(G522,'ei names mapping'!$B$3:$BL$3,0))</f>
        <v>air::urban air close to ground</v>
      </c>
      <c r="F522" t="s">
        <v>167</v>
      </c>
      <c r="G522" t="s">
        <v>553</v>
      </c>
    </row>
    <row r="523" spans="1:7" x14ac:dyDescent="0.2">
      <c r="A523" t="str">
        <f>INDEX('ei names mapping'!$B$4:$BL$33,MATCH(B$234,'ei names mapping'!$A$4:$A$33,0),MATCH(G523,'ei names mapping'!$B$3:$BL$3,0))</f>
        <v>Formaldehyde</v>
      </c>
      <c r="B523" s="7">
        <f>INDEX('vehicles specifications'!$B$3:$CW$166,MATCH(B$471,'vehicles specifications'!$A$3:$A$166,0),MATCH(G523,'vehicles specifications'!$B$2:$CW$2,0))*INDEX('ei names mapping'!$B$137:$BL$300,MATCH(B$471,'ei names mapping'!$A$137:$A$300,0),MATCH(G523,'ei names mapping'!$B$136:$BL$136,0))</f>
        <v>1.1227980650725398E-5</v>
      </c>
      <c r="D523" t="str">
        <f>INDEX('ei names mapping'!$B$104:$BL$133,MATCH(B$234,'ei names mapping'!$A$4:$A$33,0),MATCH(G523,'ei names mapping'!$B$3:$BL$3,0))</f>
        <v>kilogram</v>
      </c>
      <c r="E523" t="str">
        <f>INDEX('ei names mapping'!$B$305:$BL$335,MATCH(B$234,'ei names mapping'!$A$4:$A$33,0),MATCH(G523,'ei names mapping'!$B$3:$BL$3,0))</f>
        <v>air::urban air close to ground</v>
      </c>
      <c r="F523" t="s">
        <v>167</v>
      </c>
      <c r="G523" t="s">
        <v>554</v>
      </c>
    </row>
    <row r="524" spans="1:7" x14ac:dyDescent="0.2">
      <c r="A524" t="str">
        <f>INDEX('ei names mapping'!$B$4:$BL$33,MATCH(B$234,'ei names mapping'!$A$4:$A$33,0),MATCH(G524,'ei names mapping'!$B$3:$BL$3,0))</f>
        <v>Acetaldehyde</v>
      </c>
      <c r="B524" s="7">
        <f>INDEX('vehicles specifications'!$B$3:$CW$166,MATCH(B$471,'vehicles specifications'!$A$3:$A$166,0),MATCH(G524,'vehicles specifications'!$B$2:$CW$2,0))*INDEX('ei names mapping'!$B$137:$BL$300,MATCH(B$471,'ei names mapping'!$A$137:$A$300,0),MATCH(G524,'ei names mapping'!$B$136:$BL$136,0))</f>
        <v>4.9535208753200282E-6</v>
      </c>
      <c r="D524" t="str">
        <f>INDEX('ei names mapping'!$B$104:$BL$133,MATCH(B$234,'ei names mapping'!$A$4:$A$33,0),MATCH(G524,'ei names mapping'!$B$3:$BL$3,0))</f>
        <v>kilogram</v>
      </c>
      <c r="E524" t="str">
        <f>INDEX('ei names mapping'!$B$305:$BL$335,MATCH(B$234,'ei names mapping'!$A$4:$A$33,0),MATCH(G524,'ei names mapping'!$B$3:$BL$3,0))</f>
        <v>air::urban air close to ground</v>
      </c>
      <c r="F524" t="s">
        <v>167</v>
      </c>
      <c r="G524" t="s">
        <v>555</v>
      </c>
    </row>
    <row r="525" spans="1:7" x14ac:dyDescent="0.2">
      <c r="A525" t="str">
        <f>INDEX('ei names mapping'!$B$4:$BL$33,MATCH(B$234,'ei names mapping'!$A$4:$A$33,0),MATCH(G525,'ei names mapping'!$B$3:$BL$3,0))</f>
        <v>Benzaldehyde</v>
      </c>
      <c r="B525" s="7">
        <f>INDEX('vehicles specifications'!$B$3:$CW$166,MATCH(B$471,'vehicles specifications'!$A$3:$A$166,0),MATCH(G525,'vehicles specifications'!$B$2:$CW$2,0))*INDEX('ei names mapping'!$B$137:$BL$300,MATCH(B$471,'ei names mapping'!$A$137:$A$300,0),MATCH(G525,'ei names mapping'!$B$136:$BL$136,0))</f>
        <v>1.453032790093875E-6</v>
      </c>
      <c r="D525" t="str">
        <f>INDEX('ei names mapping'!$B$104:$BL$133,MATCH(B$234,'ei names mapping'!$A$4:$A$33,0),MATCH(G525,'ei names mapping'!$B$3:$BL$3,0))</f>
        <v>kilogram</v>
      </c>
      <c r="E525" t="str">
        <f>INDEX('ei names mapping'!$B$305:$BL$335,MATCH(B$234,'ei names mapping'!$A$4:$A$33,0),MATCH(G525,'ei names mapping'!$B$3:$BL$3,0))</f>
        <v>air::urban air close to ground</v>
      </c>
      <c r="F525" t="s">
        <v>167</v>
      </c>
      <c r="G525" t="s">
        <v>556</v>
      </c>
    </row>
    <row r="526" spans="1:7" x14ac:dyDescent="0.2">
      <c r="A526" t="str">
        <f>INDEX('ei names mapping'!$B$4:$BL$33,MATCH(B$234,'ei names mapping'!$A$4:$A$33,0),MATCH(G526,'ei names mapping'!$B$3:$BL$3,0))</f>
        <v>Acetone</v>
      </c>
      <c r="B526" s="7">
        <f>INDEX('vehicles specifications'!$B$3:$CW$166,MATCH(B$471,'vehicles specifications'!$A$3:$A$166,0),MATCH(G526,'vehicles specifications'!$B$2:$CW$2,0))*INDEX('ei names mapping'!$B$137:$BL$300,MATCH(B$471,'ei names mapping'!$A$137:$A$300,0),MATCH(G526,'ei names mapping'!$B$136:$BL$136,0))</f>
        <v>4.0288636452602897E-6</v>
      </c>
      <c r="D526" t="str">
        <f>INDEX('ei names mapping'!$B$104:$BL$133,MATCH(B$234,'ei names mapping'!$A$4:$A$33,0),MATCH(G526,'ei names mapping'!$B$3:$BL$3,0))</f>
        <v>kilogram</v>
      </c>
      <c r="E526" t="str">
        <f>INDEX('ei names mapping'!$B$305:$BL$335,MATCH(B$234,'ei names mapping'!$A$4:$A$33,0),MATCH(G526,'ei names mapping'!$B$3:$BL$3,0))</f>
        <v>air::urban air close to ground</v>
      </c>
      <c r="F526" t="s">
        <v>167</v>
      </c>
      <c r="G526" t="s">
        <v>557</v>
      </c>
    </row>
    <row r="527" spans="1:7" x14ac:dyDescent="0.2">
      <c r="A527" t="str">
        <f>INDEX('ei names mapping'!$B$4:$BL$33,MATCH(B$234,'ei names mapping'!$A$4:$A$33,0),MATCH(G527,'ei names mapping'!$B$3:$BL$3,0))</f>
        <v>Methyl ethyl ketone</v>
      </c>
      <c r="B527" s="7">
        <f>INDEX('vehicles specifications'!$B$3:$CW$166,MATCH(B$471,'vehicles specifications'!$A$3:$A$166,0),MATCH(G527,'vehicles specifications'!$B$2:$CW$2,0))*INDEX('ei names mapping'!$B$137:$BL$300,MATCH(B$471,'ei names mapping'!$A$137:$A$300,0),MATCH(G527,'ei names mapping'!$B$136:$BL$136,0))</f>
        <v>0</v>
      </c>
      <c r="D527" t="str">
        <f>INDEX('ei names mapping'!$B$104:$BL$133,MATCH(B$234,'ei names mapping'!$A$4:$A$33,0),MATCH(G527,'ei names mapping'!$B$3:$BL$3,0))</f>
        <v>kilogram</v>
      </c>
      <c r="E527" t="str">
        <f>INDEX('ei names mapping'!$B$305:$BL$335,MATCH(B$234,'ei names mapping'!$A$4:$A$33,0),MATCH(G527,'ei names mapping'!$B$3:$BL$3,0))</f>
        <v>air::urban air close to ground</v>
      </c>
      <c r="F527" t="s">
        <v>167</v>
      </c>
      <c r="G527" t="s">
        <v>560</v>
      </c>
    </row>
    <row r="528" spans="1:7" x14ac:dyDescent="0.2">
      <c r="A528" t="str">
        <f>INDEX('ei names mapping'!$B$4:$BL$33,MATCH(B$234,'ei names mapping'!$A$4:$A$33,0),MATCH(G528,'ei names mapping'!$B$3:$BL$3,0))</f>
        <v>Acrolein</v>
      </c>
      <c r="B528" s="7">
        <f>INDEX('vehicles specifications'!$B$3:$CW$166,MATCH(B$471,'vehicles specifications'!$A$3:$A$166,0),MATCH(G528,'vehicles specifications'!$B$2:$CW$2,0))*INDEX('ei names mapping'!$B$137:$BL$300,MATCH(B$471,'ei names mapping'!$A$137:$A$300,0),MATCH(G528,'ei names mapping'!$B$136:$BL$136,0))</f>
        <v>1.2548919550810737E-6</v>
      </c>
      <c r="D528" t="str">
        <f>INDEX('ei names mapping'!$B$104:$BL$133,MATCH(B$234,'ei names mapping'!$A$4:$A$33,0),MATCH(G528,'ei names mapping'!$B$3:$BL$3,0))</f>
        <v>kilogram</v>
      </c>
      <c r="E528" t="str">
        <f>INDEX('ei names mapping'!$B$305:$BL$335,MATCH(B$234,'ei names mapping'!$A$4:$A$33,0),MATCH(G528,'ei names mapping'!$B$3:$BL$3,0))</f>
        <v>air::urban air close to ground</v>
      </c>
      <c r="F528" t="s">
        <v>167</v>
      </c>
      <c r="G528" t="s">
        <v>558</v>
      </c>
    </row>
    <row r="529" spans="1:8" x14ac:dyDescent="0.2">
      <c r="A529" t="str">
        <f>INDEX('ei names mapping'!$B$4:$BL$33,MATCH(B$234,'ei names mapping'!$A$4:$A$33,0),MATCH(G529,'ei names mapping'!$B$3:$BL$3,0))</f>
        <v>Styrene</v>
      </c>
      <c r="B529" s="7">
        <f>INDEX('vehicles specifications'!$B$3:$CW$166,MATCH(B$471,'vehicles specifications'!$A$3:$A$166,0),MATCH(G529,'vehicles specifications'!$B$2:$CW$2,0))*INDEX('ei names mapping'!$B$137:$BL$300,MATCH(B$471,'ei names mapping'!$A$137:$A$300,0),MATCH(G529,'ei names mapping'!$B$136:$BL$136,0))</f>
        <v>6.6707414454309719E-6</v>
      </c>
      <c r="D529" t="str">
        <f>INDEX('ei names mapping'!$B$104:$BL$133,MATCH(B$234,'ei names mapping'!$A$4:$A$33,0),MATCH(G529,'ei names mapping'!$B$3:$BL$3,0))</f>
        <v>kilogram</v>
      </c>
      <c r="E529" t="str">
        <f>INDEX('ei names mapping'!$B$305:$BL$335,MATCH(B$234,'ei names mapping'!$A$4:$A$33,0),MATCH(G529,'ei names mapping'!$B$3:$BL$3,0))</f>
        <v>air::urban air close to ground</v>
      </c>
      <c r="F529" t="s">
        <v>167</v>
      </c>
      <c r="G529" t="s">
        <v>559</v>
      </c>
    </row>
    <row r="530" spans="1:8" x14ac:dyDescent="0.2">
      <c r="A530" t="str">
        <f>INDEX('ei names mapping'!$B$4:$BL$33,MATCH(B$234,'ei names mapping'!$A$4:$A$33,0),MATCH(G530,'ei names mapping'!$B$3:$BL$3,0))</f>
        <v>PAH, polycyclic aromatic hydrocarbons</v>
      </c>
      <c r="B530" s="7">
        <f>INDEX('vehicles specifications'!$B$3:$CW$166,MATCH(B$471,'vehicles specifications'!$A$3:$A$166,0),MATCH(G530,'vehicles specifications'!$B$2:$CW$2,0))*INDEX('ei names mapping'!$B$137:$BL$300,MATCH(B$471,'ei names mapping'!$A$137:$A$300,0),MATCH(G530,'ei names mapping'!$B$136:$BL$136,0))</f>
        <v>8.4079639420204192E-10</v>
      </c>
      <c r="D530" t="str">
        <f>INDEX('ei names mapping'!$B$104:$BL$133,MATCH(B$234,'ei names mapping'!$A$4:$A$33,0),MATCH(G530,'ei names mapping'!$B$3:$BL$3,0))</f>
        <v>kilogram</v>
      </c>
      <c r="E530" t="str">
        <f>INDEX('ei names mapping'!$B$305:$BL$335,MATCH(B$234,'ei names mapping'!$A$4:$A$33,0),MATCH(G530,'ei names mapping'!$B$3:$BL$3,0))</f>
        <v>air::urban air close to ground</v>
      </c>
      <c r="F530" t="s">
        <v>167</v>
      </c>
      <c r="G530" t="s">
        <v>561</v>
      </c>
    </row>
    <row r="531" spans="1:8" x14ac:dyDescent="0.2">
      <c r="A531" t="str">
        <f>INDEX('ei names mapping'!$B$4:$BL$33,MATCH(B$234,'ei names mapping'!$A$4:$A$33,0),MATCH(G531,'ei names mapping'!$B$3:$BL$3,0))</f>
        <v>Arsenic</v>
      </c>
      <c r="B531" s="7">
        <f>INDEX('vehicles specifications'!$B$3:$CW$166,MATCH(B$471,'vehicles specifications'!$A$3:$A$166,0),MATCH(G531,'vehicles specifications'!$B$2:$CW$2,0))*INDEX('ei names mapping'!$B$137:$BL$300,MATCH(B$471,'ei names mapping'!$A$137:$A$300,0),MATCH(G531,'ei names mapping'!$B$136:$BL$136,0))</f>
        <v>7.2482447776038092E-12</v>
      </c>
      <c r="D531" t="str">
        <f>INDEX('ei names mapping'!$B$104:$BL$133,MATCH(B$234,'ei names mapping'!$A$4:$A$33,0),MATCH(G531,'ei names mapping'!$B$3:$BL$3,0))</f>
        <v>kilogram</v>
      </c>
      <c r="E531" t="str">
        <f>INDEX('ei names mapping'!$B$305:$BL$335,MATCH(B$234,'ei names mapping'!$A$4:$A$33,0),MATCH(G531,'ei names mapping'!$B$3:$BL$3,0))</f>
        <v>air::urban air close to ground</v>
      </c>
      <c r="F531" t="s">
        <v>167</v>
      </c>
      <c r="G531" t="s">
        <v>562</v>
      </c>
    </row>
    <row r="532" spans="1:8" x14ac:dyDescent="0.2">
      <c r="A532" t="str">
        <f>INDEX('ei names mapping'!$B$4:$BL$33,MATCH(B$234,'ei names mapping'!$A$4:$A$33,0),MATCH(G532,'ei names mapping'!$B$3:$BL$3,0))</f>
        <v>Selenium</v>
      </c>
      <c r="B532" s="7">
        <f>INDEX('vehicles specifications'!$B$3:$CW$166,MATCH(B$471,'vehicles specifications'!$A$3:$A$166,0),MATCH(G532,'vehicles specifications'!$B$2:$CW$2,0))*INDEX('ei names mapping'!$B$137:$BL$300,MATCH(B$471,'ei names mapping'!$A$137:$A$300,0),MATCH(G532,'ei names mapping'!$B$136:$BL$136,0))</f>
        <v>4.8321631850692067E-12</v>
      </c>
      <c r="D532" t="str">
        <f>INDEX('ei names mapping'!$B$104:$BL$133,MATCH(B$234,'ei names mapping'!$A$4:$A$33,0),MATCH(G532,'ei names mapping'!$B$3:$BL$3,0))</f>
        <v>kilogram</v>
      </c>
      <c r="E532" t="str">
        <f>INDEX('ei names mapping'!$B$305:$BL$335,MATCH(B$234,'ei names mapping'!$A$4:$A$33,0),MATCH(G532,'ei names mapping'!$B$3:$BL$3,0))</f>
        <v>air::urban air close to ground</v>
      </c>
      <c r="F532" t="s">
        <v>167</v>
      </c>
      <c r="G532" t="s">
        <v>563</v>
      </c>
    </row>
    <row r="533" spans="1:8" x14ac:dyDescent="0.2">
      <c r="A533" t="str">
        <f>INDEX('ei names mapping'!$B$4:$BL$33,MATCH(B$234,'ei names mapping'!$A$4:$A$33,0),MATCH(G533,'ei names mapping'!$B$3:$BL$3,0))</f>
        <v>Zinc</v>
      </c>
      <c r="B533" s="7">
        <f>INDEX('vehicles specifications'!$B$3:$CW$166,MATCH(B$471,'vehicles specifications'!$A$3:$A$166,0),MATCH(G533,'vehicles specifications'!$B$2:$CW$2,0))*INDEX('ei names mapping'!$B$137:$BL$300,MATCH(B$471,'ei names mapping'!$A$137:$A$300,0),MATCH(G533,'ei names mapping'!$B$136:$BL$136,0))</f>
        <v>5.2187362398747429E-8</v>
      </c>
      <c r="D533" t="str">
        <f>INDEX('ei names mapping'!$B$104:$BL$133,MATCH(B$234,'ei names mapping'!$A$4:$A$33,0),MATCH(G533,'ei names mapping'!$B$3:$BL$3,0))</f>
        <v>kilogram</v>
      </c>
      <c r="E533" t="str">
        <f>INDEX('ei names mapping'!$B$305:$BL$335,MATCH(B$234,'ei names mapping'!$A$4:$A$33,0),MATCH(G533,'ei names mapping'!$B$3:$BL$3,0))</f>
        <v>air::urban air close to ground</v>
      </c>
      <c r="F533" t="s">
        <v>167</v>
      </c>
      <c r="G533" t="s">
        <v>564</v>
      </c>
    </row>
    <row r="534" spans="1:8" x14ac:dyDescent="0.2">
      <c r="A534" t="str">
        <f>INDEX('ei names mapping'!$B$4:$BL$33,MATCH(B$234,'ei names mapping'!$A$4:$A$33,0),MATCH(G534,'ei names mapping'!$B$3:$BL$3,0))</f>
        <v>Copper</v>
      </c>
      <c r="B534" s="7">
        <f>INDEX('vehicles specifications'!$B$3:$CW$166,MATCH(B$471,'vehicles specifications'!$A$3:$A$166,0),MATCH(G534,'vehicles specifications'!$B$2:$CW$2,0))*INDEX('ei names mapping'!$B$137:$BL$300,MATCH(B$471,'ei names mapping'!$A$137:$A$300,0),MATCH(G534,'ei names mapping'!$B$136:$BL$136,0))</f>
        <v>1.0147542688645331E-9</v>
      </c>
      <c r="D534" t="str">
        <f>INDEX('ei names mapping'!$B$104:$BL$133,MATCH(B$234,'ei names mapping'!$A$4:$A$33,0),MATCH(G534,'ei names mapping'!$B$3:$BL$3,0))</f>
        <v>kilogram</v>
      </c>
      <c r="E534" t="str">
        <f>INDEX('ei names mapping'!$B$305:$BL$335,MATCH(B$234,'ei names mapping'!$A$4:$A$33,0),MATCH(G534,'ei names mapping'!$B$3:$BL$3,0))</f>
        <v>air::urban air close to ground</v>
      </c>
      <c r="F534" t="s">
        <v>167</v>
      </c>
      <c r="G534" t="s">
        <v>522</v>
      </c>
    </row>
    <row r="535" spans="1:8" x14ac:dyDescent="0.2">
      <c r="A535" t="str">
        <f>INDEX('ei names mapping'!$B$4:$BL$33,MATCH(B$234,'ei names mapping'!$A$4:$A$33,0),MATCH(G535,'ei names mapping'!$B$3:$BL$3,0))</f>
        <v>Nickel</v>
      </c>
      <c r="B535" s="7">
        <f>INDEX('vehicles specifications'!$B$3:$CW$166,MATCH(B$471,'vehicles specifications'!$A$3:$A$166,0),MATCH(G535,'vehicles specifications'!$B$2:$CW$2,0))*INDEX('ei names mapping'!$B$137:$BL$300,MATCH(B$471,'ei names mapping'!$A$137:$A$300,0),MATCH(G535,'ei names mapping'!$B$136:$BL$136,0))</f>
        <v>3.1409060702949844E-10</v>
      </c>
      <c r="D535" t="str">
        <f>INDEX('ei names mapping'!$B$104:$BL$133,MATCH(B$234,'ei names mapping'!$A$4:$A$33,0),MATCH(G535,'ei names mapping'!$B$3:$BL$3,0))</f>
        <v>kilogram</v>
      </c>
      <c r="E535" t="str">
        <f>INDEX('ei names mapping'!$B$305:$BL$335,MATCH(B$234,'ei names mapping'!$A$4:$A$33,0),MATCH(G535,'ei names mapping'!$B$3:$BL$3,0))</f>
        <v>air::urban air close to ground</v>
      </c>
      <c r="F535" t="s">
        <v>167</v>
      </c>
      <c r="G535" t="s">
        <v>524</v>
      </c>
    </row>
    <row r="536" spans="1:8" x14ac:dyDescent="0.2">
      <c r="A536" t="str">
        <f>INDEX('ei names mapping'!$B$4:$BL$33,MATCH(B$234,'ei names mapping'!$A$4:$A$33,0),MATCH(G536,'ei names mapping'!$B$3:$BL$3,0))</f>
        <v>Chromium</v>
      </c>
      <c r="B536" s="7">
        <f>INDEX('vehicles specifications'!$B$3:$CW$166,MATCH(B$471,'vehicles specifications'!$A$3:$A$166,0),MATCH(G536,'vehicles specifications'!$B$2:$CW$2,0))*INDEX('ei names mapping'!$B$137:$BL$300,MATCH(B$471,'ei names mapping'!$A$137:$A$300,0),MATCH(G536,'ei names mapping'!$B$136:$BL$136,0))</f>
        <v>3.8657305480553651E-10</v>
      </c>
      <c r="D536" t="str">
        <f>INDEX('ei names mapping'!$B$104:$BL$133,MATCH(B$234,'ei names mapping'!$A$4:$A$33,0),MATCH(G536,'ei names mapping'!$B$3:$BL$3,0))</f>
        <v>kilogram</v>
      </c>
      <c r="E536" t="str">
        <f>INDEX('ei names mapping'!$B$305:$BL$335,MATCH(B$234,'ei names mapping'!$A$4:$A$33,0),MATCH(G536,'ei names mapping'!$B$3:$BL$3,0))</f>
        <v>air::urban air close to ground</v>
      </c>
      <c r="F536" t="s">
        <v>167</v>
      </c>
      <c r="G536" t="s">
        <v>523</v>
      </c>
    </row>
    <row r="537" spans="1:8" x14ac:dyDescent="0.2">
      <c r="A537" t="str">
        <f>INDEX('ei names mapping'!$B$4:$BL$33,MATCH(B$234,'ei names mapping'!$A$4:$A$33,0),MATCH(G537,'ei names mapping'!$B$3:$BL$3,0))</f>
        <v>Chromium VI</v>
      </c>
      <c r="B537" s="7">
        <f>INDEX('vehicles specifications'!$B$3:$CW$166,MATCH(B$471,'vehicles specifications'!$A$3:$A$166,0),MATCH(G537,'vehicles specifications'!$B$2:$CW$2,0))*INDEX('ei names mapping'!$B$137:$BL$300,MATCH(B$471,'ei names mapping'!$A$137:$A$300,0),MATCH(G537,'ei names mapping'!$B$136:$BL$136,0))</f>
        <v>7.7314610961107289E-13</v>
      </c>
      <c r="D537" t="str">
        <f>INDEX('ei names mapping'!$B$104:$BL$133,MATCH(B$234,'ei names mapping'!$A$4:$A$33,0),MATCH(G537,'ei names mapping'!$B$3:$BL$3,0))</f>
        <v>kilogram</v>
      </c>
      <c r="E537" t="str">
        <f>INDEX('ei names mapping'!$B$305:$BL$335,MATCH(B$234,'ei names mapping'!$A$4:$A$33,0),MATCH(G537,'ei names mapping'!$B$3:$BL$3,0))</f>
        <v>air::urban air close to ground</v>
      </c>
      <c r="F537" t="s">
        <v>167</v>
      </c>
      <c r="G537" t="s">
        <v>567</v>
      </c>
    </row>
    <row r="538" spans="1:8" x14ac:dyDescent="0.2">
      <c r="A538" t="str">
        <f>INDEX('ei names mapping'!$B$4:$BL$33,MATCH(B$234,'ei names mapping'!$A$4:$A$33,0),MATCH(G538,'ei names mapping'!$B$3:$BL$3,0))</f>
        <v>Mercury</v>
      </c>
      <c r="B538" s="7">
        <f>INDEX('vehicles specifications'!$B$3:$CW$166,MATCH(B$471,'vehicles specifications'!$A$3:$A$166,0),MATCH(G538,'vehicles specifications'!$B$2:$CW$2,0))*INDEX('ei names mapping'!$B$137:$BL$300,MATCH(B$471,'ei names mapping'!$A$137:$A$300,0),MATCH(G538,'ei names mapping'!$B$136:$BL$136,0))</f>
        <v>2.1019909855051048E-10</v>
      </c>
      <c r="D538" t="str">
        <f>INDEX('ei names mapping'!$B$104:$BL$133,MATCH(B$234,'ei names mapping'!$A$4:$A$33,0),MATCH(G538,'ei names mapping'!$B$3:$BL$3,0))</f>
        <v>kilogram</v>
      </c>
      <c r="E538" t="str">
        <f>INDEX('ei names mapping'!$B$305:$BL$335,MATCH(B$234,'ei names mapping'!$A$4:$A$33,0),MATCH(G538,'ei names mapping'!$B$3:$BL$3,0))</f>
        <v>air::urban air close to ground</v>
      </c>
      <c r="F538" t="s">
        <v>167</v>
      </c>
      <c r="G538" t="s">
        <v>565</v>
      </c>
    </row>
    <row r="539" spans="1:8" x14ac:dyDescent="0.2">
      <c r="A539" t="str">
        <f>INDEX('ei names mapping'!$B$4:$BL$33,MATCH(B$234,'ei names mapping'!$A$4:$A$33,0),MATCH(G539,'ei names mapping'!$B$3:$BL$3,0))</f>
        <v>Cadmium</v>
      </c>
      <c r="B539" s="7">
        <f>INDEX('vehicles specifications'!$B$3:$CW$166,MATCH(B$471,'vehicles specifications'!$A$3:$A$166,0),MATCH(G539,'vehicles specifications'!$B$2:$CW$2,0))*INDEX('ei names mapping'!$B$137:$BL$300,MATCH(B$471,'ei names mapping'!$A$137:$A$300,0),MATCH(G539,'ei names mapping'!$B$136:$BL$136,0))</f>
        <v>2.6093681199373718E-10</v>
      </c>
      <c r="D539" t="str">
        <f>INDEX('ei names mapping'!$B$104:$BL$133,MATCH(B$234,'ei names mapping'!$A$4:$A$33,0),MATCH(G539,'ei names mapping'!$B$3:$BL$3,0))</f>
        <v>kilogram</v>
      </c>
      <c r="E539" t="str">
        <f>INDEX('ei names mapping'!$B$305:$BL$335,MATCH(B$234,'ei names mapping'!$A$4:$A$33,0),MATCH(G539,'ei names mapping'!$B$3:$BL$3,0))</f>
        <v>air::urban air close to ground</v>
      </c>
      <c r="F539" t="s">
        <v>167</v>
      </c>
      <c r="G539" t="s">
        <v>566</v>
      </c>
    </row>
    <row r="540" spans="1:8" x14ac:dyDescent="0.2">
      <c r="A540" t="str">
        <f>INDEX('ei names mapping'!$B$4:$BL$33,MATCH(B468,'ei names mapping'!$A$4:$A$33,0),MATCH(G540,'ei names mapping'!$B$3:$BL$3,0))</f>
        <v>treatment of road wear emissions, passenger car</v>
      </c>
      <c r="B540" s="7">
        <f>INDEX('vehicles specifications'!$B$3:$CW$166,MATCH(B471,'vehicles specifications'!$A$3:$A$166,0),MATCH(G540,'vehicles specifications'!$B$2:$CW$2,0))*INDEX('ei names mapping'!$B$137:$BL$300,MATCH(B471,'ei names mapping'!$A$137:$A$300,0),MATCH(G540,'ei names mapping'!$B$136:$BL$136,0))</f>
        <v>-7.4482763644547912E-6</v>
      </c>
      <c r="C540" t="str">
        <f>INDEX('ei names mapping'!$B$38:$BL$67,MATCH(B468,'ei names mapping'!$A$4:$A$33,0),MATCH(G540,'ei names mapping'!$B$3:$BL$3,0))</f>
        <v>RER</v>
      </c>
      <c r="D540" t="str">
        <f>INDEX('ei names mapping'!$B$104:$BL$133,MATCH(B468,'ei names mapping'!$A$4:$A$33,0),MATCH(G540,'ei names mapping'!$B$3:$BL$3,0))</f>
        <v>kilogram</v>
      </c>
      <c r="F540" t="s">
        <v>89</v>
      </c>
      <c r="G540" t="s">
        <v>29</v>
      </c>
      <c r="H540" t="str">
        <f>INDEX('ei names mapping'!$B$71:$BL$100,MATCH(B468,'ei names mapping'!$A$4:$A$33,0),MATCH(G540,'ei names mapping'!$B$3:$BL$3,0))</f>
        <v>road wear emissions, passenger car</v>
      </c>
    </row>
    <row r="541" spans="1:8" x14ac:dyDescent="0.2">
      <c r="A541" t="str">
        <f>INDEX('ei names mapping'!$B$4:$BL$33,MATCH(B468,'ei names mapping'!$A$4:$A$33,0),MATCH(G541,'ei names mapping'!$B$3:$BL$3,0))</f>
        <v>treatment of tyre wear emissions, passenger car</v>
      </c>
      <c r="B541" s="7">
        <f>INDEX('vehicles specifications'!$B$3:$CW$166,MATCH(B471,'vehicles specifications'!$A$3:$A$166,0),MATCH(G541,'vehicles specifications'!$B$2:$CW$2,0))*INDEX('ei names mapping'!$B$137:$BL$300,MATCH(B471,'ei names mapping'!$A$137:$A$300,0),MATCH(G541,'ei names mapping'!$B$136:$BL$136,0))</f>
        <v>-5.7675108981721313E-6</v>
      </c>
      <c r="C541" t="str">
        <f>INDEX('ei names mapping'!$B$38:$BL$67,MATCH(B468,'ei names mapping'!$A$4:$A$33,0),MATCH(G541,'ei names mapping'!$B$3:$BL$3,0))</f>
        <v>RER</v>
      </c>
      <c r="D541" t="str">
        <f>INDEX('ei names mapping'!$B$104:$BL$133,MATCH(B468,'ei names mapping'!$A$4:$A$33,0),MATCH(G541,'ei names mapping'!$B$3:$BL$3,0))</f>
        <v>kilogram</v>
      </c>
      <c r="F541" t="s">
        <v>89</v>
      </c>
      <c r="G541" t="s">
        <v>30</v>
      </c>
      <c r="H541" t="str">
        <f>INDEX('ei names mapping'!$B$71:$BL$100,MATCH(B468,'ei names mapping'!$A$4:$A$33,0),MATCH(G541,'ei names mapping'!$B$3:$BL$3,0))</f>
        <v>tyre wear emissions, passenger car</v>
      </c>
    </row>
    <row r="542" spans="1:8" x14ac:dyDescent="0.2">
      <c r="A542" t="str">
        <f>INDEX('ei names mapping'!$B$4:$BL$33,MATCH(B468,'ei names mapping'!$A$4:$A$33,0),MATCH(G542,'ei names mapping'!$B$3:$BL$3,0))</f>
        <v>treatment of brake wear emissions, passenger car</v>
      </c>
      <c r="B542" s="7">
        <f>INDEX('vehicles specifications'!$B$3:$CW$166,MATCH(B471,'vehicles specifications'!$A$3:$A$166,0),MATCH(G542,'vehicles specifications'!$B$2:$CW$2,0))*INDEX('ei names mapping'!$B$137:$BL$300,MATCH(B471,'ei names mapping'!$A$137:$A$300,0),MATCH(G542,'ei names mapping'!$B$136:$BL$136,0))</f>
        <v>-4.1113399294331483E-6</v>
      </c>
      <c r="C542" t="str">
        <f>INDEX('ei names mapping'!$B$38:$BL$67,MATCH(B468,'ei names mapping'!$A$4:$A$33,0),MATCH(G542,'ei names mapping'!$B$3:$BL$3,0))</f>
        <v>RER</v>
      </c>
      <c r="D542" t="str">
        <f>INDEX('ei names mapping'!$B$104:$BL$133,MATCH(B468,'ei names mapping'!$A$4:$A$33,0),MATCH(G542,'ei names mapping'!$B$3:$BL$3,0))</f>
        <v>kilogram</v>
      </c>
      <c r="F542" t="s">
        <v>89</v>
      </c>
      <c r="G542" t="s">
        <v>31</v>
      </c>
      <c r="H542" t="str">
        <f>INDEX('ei names mapping'!$B$71:$BL$100,MATCH(B468,'ei names mapping'!$A$4:$A$33,0),MATCH(G542,'ei names mapping'!$B$3:$BL$3,0))</f>
        <v>brake wear emissions, passenger car</v>
      </c>
    </row>
    <row r="544" spans="1:8" ht="16" x14ac:dyDescent="0.2">
      <c r="A544" s="10" t="s">
        <v>71</v>
      </c>
      <c r="B544" s="8" t="str">
        <f>"transport, "&amp;B546&amp;", "&amp;B548</f>
        <v>transport, Scooter, gasoline, 4-11kW, EURO-5, 2040</v>
      </c>
    </row>
    <row r="545" spans="1:2" x14ac:dyDescent="0.2">
      <c r="A545" t="s">
        <v>72</v>
      </c>
      <c r="B545" t="s">
        <v>37</v>
      </c>
    </row>
    <row r="546" spans="1:2" x14ac:dyDescent="0.2">
      <c r="A546" t="s">
        <v>86</v>
      </c>
      <c r="B546" t="s">
        <v>572</v>
      </c>
    </row>
    <row r="547" spans="1:2" x14ac:dyDescent="0.2">
      <c r="A547" t="s">
        <v>87</v>
      </c>
    </row>
    <row r="548" spans="1:2" x14ac:dyDescent="0.2">
      <c r="A548" t="s">
        <v>88</v>
      </c>
      <c r="B548">
        <v>2040</v>
      </c>
    </row>
    <row r="549" spans="1:2" x14ac:dyDescent="0.2">
      <c r="A549" t="s">
        <v>126</v>
      </c>
      <c r="B549" t="str">
        <f>B546&amp;" - "&amp;B548&amp;" - "&amp;B545</f>
        <v>Scooter, gasoline, 4-11kW, EURO-5 - 2040 - CH</v>
      </c>
    </row>
    <row r="550" spans="1:2" x14ac:dyDescent="0.2">
      <c r="A550" t="s">
        <v>73</v>
      </c>
      <c r="B550" t="str">
        <f>"transport, "&amp;B546</f>
        <v>transport, Scooter, gasoline, 4-11kW, EURO-5</v>
      </c>
    </row>
    <row r="551" spans="1:2" x14ac:dyDescent="0.2">
      <c r="A551" t="s">
        <v>74</v>
      </c>
      <c r="B551" t="s">
        <v>75</v>
      </c>
    </row>
    <row r="552" spans="1:2" x14ac:dyDescent="0.2">
      <c r="A552" t="s">
        <v>76</v>
      </c>
      <c r="B552" t="s">
        <v>166</v>
      </c>
    </row>
    <row r="553" spans="1:2" x14ac:dyDescent="0.2">
      <c r="A553" t="s">
        <v>78</v>
      </c>
      <c r="B553" t="s">
        <v>1143</v>
      </c>
    </row>
    <row r="554" spans="1:2" x14ac:dyDescent="0.2">
      <c r="A554" t="s">
        <v>127</v>
      </c>
      <c r="B554">
        <f>INDEX('vehicles specifications'!$B$3:$CW$166,MATCH(B549,'vehicles specifications'!$A$3:$A$166,0),MATCH("Lifetime [km]",'vehicles specifications'!$B$2:$CW$2,0))</f>
        <v>30000</v>
      </c>
    </row>
    <row r="555" spans="1:2" x14ac:dyDescent="0.2">
      <c r="A555" t="s">
        <v>128</v>
      </c>
      <c r="B555">
        <f>INDEX('vehicles specifications'!$B$3:$CW$166,MATCH(B549,'vehicles specifications'!$A$3:$A$166,0),MATCH("Passengers [unit]",'vehicles specifications'!$B$2:$CW$2,0))</f>
        <v>1</v>
      </c>
    </row>
    <row r="556" spans="1:2" x14ac:dyDescent="0.2">
      <c r="A556" t="s">
        <v>129</v>
      </c>
      <c r="B556">
        <f>INDEX('vehicles specifications'!$B$3:$CW$166,MATCH(B549,'vehicles specifications'!$A$3:$A$166,0),MATCH("Servicing [unit]",'vehicles specifications'!$B$2:$CW$2,0))</f>
        <v>1.2</v>
      </c>
    </row>
    <row r="557" spans="1:2" x14ac:dyDescent="0.2">
      <c r="A557" t="s">
        <v>130</v>
      </c>
      <c r="B557">
        <f>INDEX('vehicles specifications'!$B$3:$CW$166,MATCH(B549,'vehicles specifications'!$A$3:$A$166,0),MATCH("Energy battery replacement [unit]",'vehicles specifications'!$B$2:$CW$2,0))</f>
        <v>0</v>
      </c>
    </row>
    <row r="558" spans="1:2" x14ac:dyDescent="0.2">
      <c r="A558" t="s">
        <v>131</v>
      </c>
      <c r="B558">
        <f>INDEX('vehicles specifications'!$B$3:$CW$166,MATCH(B549,'vehicles specifications'!$A$3:$A$166,0),MATCH("Annual kilometers [km]",'vehicles specifications'!$B$2:$CW$2,0))</f>
        <v>1870</v>
      </c>
    </row>
    <row r="559" spans="1:2" x14ac:dyDescent="0.2">
      <c r="A559" t="s">
        <v>132</v>
      </c>
      <c r="B559" s="2">
        <f>INDEX('vehicles specifications'!$B$3:$CW$166,MATCH(B549,'vehicles specifications'!$A$3:$A$166,0),MATCH("Curb mass [kg]",'vehicles specifications'!$B$2:$CW$2,0))</f>
        <v>124.2625</v>
      </c>
    </row>
    <row r="560" spans="1:2" x14ac:dyDescent="0.2">
      <c r="A560" t="s">
        <v>133</v>
      </c>
      <c r="B560">
        <f>INDEX('vehicles specifications'!$B$3:$CW$166,MATCH(B549,'vehicles specifications'!$A$3:$A$166,0),MATCH("Power [kW]",'vehicles specifications'!$B$2:$CW$2,0))</f>
        <v>8.8000000000000007</v>
      </c>
    </row>
    <row r="561" spans="1:8" x14ac:dyDescent="0.2">
      <c r="A561" t="s">
        <v>134</v>
      </c>
      <c r="B561" t="str">
        <f>INDEX('vehicles specifications'!$B$3:$CW$166,MATCH(B549,'vehicles specifications'!$A$3:$A$166,0),MATCH("Energy battery mass [kg]",'vehicles specifications'!$B$2:$CW$2,0))</f>
        <v/>
      </c>
    </row>
    <row r="562" spans="1:8" x14ac:dyDescent="0.2">
      <c r="A562" t="s">
        <v>135</v>
      </c>
      <c r="B562">
        <f>INDEX('vehicles specifications'!$B$3:$CW$166,MATCH(B549,'vehicles specifications'!$A$3:$A$166,0),MATCH("Electric energy available [kWh]",'vehicles specifications'!$B$2:$CW$2,0))</f>
        <v>0</v>
      </c>
    </row>
    <row r="563" spans="1:8" x14ac:dyDescent="0.2">
      <c r="A563" t="s">
        <v>138</v>
      </c>
      <c r="B563" s="2">
        <f>INDEX('vehicles specifications'!$B$3:$CW$166,MATCH(B549,'vehicles specifications'!$A$3:$A$166,0),MATCH("Oxydation energy stored [kWh]",'vehicles specifications'!$B$2:$CW$2,0))</f>
        <v>79.875</v>
      </c>
    </row>
    <row r="564" spans="1:8" x14ac:dyDescent="0.2">
      <c r="A564" t="s">
        <v>139</v>
      </c>
      <c r="B564">
        <f>INDEX('vehicles specifications'!$B$3:$CW$166,MATCH(B549,'vehicles specifications'!$A$3:$A$166,0),MATCH("Fuel mass [kg]",'vehicles specifications'!$B$2:$CW$2,0))</f>
        <v>6.75</v>
      </c>
    </row>
    <row r="565" spans="1:8" x14ac:dyDescent="0.2">
      <c r="A565" t="s">
        <v>136</v>
      </c>
      <c r="B565" s="2">
        <f>INDEX('vehicles specifications'!$B$3:$CW$166,MATCH(B549,'vehicles specifications'!$A$3:$A$166,0),MATCH("Range [km]",'vehicles specifications'!$B$2:$CW$2,0))</f>
        <v>282.86398191383108</v>
      </c>
    </row>
    <row r="566" spans="1:8" x14ac:dyDescent="0.2">
      <c r="A566" t="s">
        <v>137</v>
      </c>
      <c r="B566" t="str">
        <f>INDEX('vehicles specifications'!$B$3:$CW$166,MATCH(B549,'vehicles specifications'!$A$3:$A$166,0),MATCH("Emission standard",'vehicles specifications'!$B$2:$CW$2,0))</f>
        <v>EURO-5</v>
      </c>
    </row>
    <row r="567" spans="1:8" x14ac:dyDescent="0.2">
      <c r="A567" t="s">
        <v>1174</v>
      </c>
      <c r="B567" s="6">
        <f>INDEX('vehicles specifications'!$B$3:$CW$166,MATCH(B549,'vehicles specifications'!$A$3:$A$166,0),MATCH("Lightweighting rate [%]",'vehicles specifications'!$B$2:$CW$2,0))</f>
        <v>0.05</v>
      </c>
    </row>
    <row r="568" spans="1:8" x14ac:dyDescent="0.2">
      <c r="A568" t="s">
        <v>83</v>
      </c>
      <c r="B568" t="str">
        <f>"Power: "&amp;B560&amp;" kW. Lifetime: "&amp;B554&amp;" km. Annual kilometers: "&amp;B558&amp;" km. Number of passengers: "&amp;B555&amp;". Curb mass: "&amp;ROUND(B559,1)&amp;" kg. Lightweighting of glider: "&amp;ROUND(B567*100,0)&amp;"%. Emission standard: "&amp;B566&amp;". Service visits throughout lifetime: "&amp;ROUND(B556,1)&amp;". Range: "&amp;ROUND(B565,0)&amp;" km. Fuel tank capacity: "&amp;ROUND(B563,1)&amp;" kWh. Fuel mass: "&amp;ROUND(B564,1)&amp;" kg. Documentation: "&amp;Readmefirst!$B$2&amp;", "&amp;Readmefirst!$B$3&amp;". "&amp;B553</f>
        <v>Power: 8.8 kW. Lifetime: 30000 km. Annual kilometers: 1870 km. Number of passengers: 1. Curb mass: 124.3 kg. Lightweighting of glider: 5%. Emission standard: EURO-5. Service visits throughout lifetime: 1.2. Range: 283 km. Fuel tank capacity: 79.9 kWh. Fuel mass: 6.8 kg. Documentation: Life-cycle inventories for on-road vehicles, Sacchi R. (PSI), Bauer C. (PSI), 2021. Sacchi R., Bauer C. Life cycle inventories for on-road vehicles. Paul Scherrer Institut, 2021.</v>
      </c>
    </row>
    <row r="569" spans="1:8" ht="16" x14ac:dyDescent="0.2">
      <c r="A569" s="10" t="s">
        <v>79</v>
      </c>
    </row>
    <row r="570" spans="1:8" x14ac:dyDescent="0.2">
      <c r="A570" t="s">
        <v>80</v>
      </c>
      <c r="B570" t="s">
        <v>81</v>
      </c>
      <c r="C570" t="s">
        <v>72</v>
      </c>
      <c r="D570" t="s">
        <v>76</v>
      </c>
      <c r="E570" t="s">
        <v>82</v>
      </c>
      <c r="F570" t="s">
        <v>74</v>
      </c>
      <c r="G570" t="s">
        <v>83</v>
      </c>
      <c r="H570" t="s">
        <v>73</v>
      </c>
    </row>
    <row r="571" spans="1:8" x14ac:dyDescent="0.2">
      <c r="A571" t="str">
        <f>B544</f>
        <v>transport, Scooter, gasoline, 4-11kW, EURO-5, 2040</v>
      </c>
      <c r="B571">
        <v>1</v>
      </c>
      <c r="C571" t="str">
        <f>B545</f>
        <v>CH</v>
      </c>
      <c r="D571" t="s">
        <v>166</v>
      </c>
      <c r="F571" t="s">
        <v>84</v>
      </c>
      <c r="G571" t="s">
        <v>85</v>
      </c>
      <c r="H571" t="str">
        <f>B550</f>
        <v>transport, Scooter, gasoline, 4-11kW, EURO-5</v>
      </c>
    </row>
    <row r="572" spans="1:8" x14ac:dyDescent="0.2">
      <c r="A572" t="str">
        <f>RIGHT(A571,LEN(A571)-11)</f>
        <v>Scooter, gasoline, 4-11kW, EURO-5, 2040</v>
      </c>
      <c r="B572" s="7">
        <f>1/B554</f>
        <v>3.3333333333333335E-5</v>
      </c>
      <c r="C572" t="str">
        <f>B545</f>
        <v>CH</v>
      </c>
      <c r="D572" t="s">
        <v>76</v>
      </c>
      <c r="F572" t="s">
        <v>89</v>
      </c>
      <c r="H572" t="str">
        <f>RIGHT(H571,LEN(H571)-11)</f>
        <v>Scooter, gasoline, 4-11kW, EURO-5</v>
      </c>
    </row>
    <row r="573" spans="1:8" x14ac:dyDescent="0.2">
      <c r="A573" t="str">
        <f>INDEX('ei names mapping'!$B$4:$R$33,MATCH(B546,'ei names mapping'!$A$4:$A$33,0),MATCH(G573,'ei names mapping'!$B$3:$R$3,0))</f>
        <v>road construction</v>
      </c>
      <c r="B573" s="7">
        <f>INDEX('vehicles specifications'!$B$3:$CW$166,MATCH(B549,'vehicles specifications'!$A$3:$A$166,0),MATCH(G573,'vehicles specifications'!$B$2:$CW$2,0))*INDEX('ei names mapping'!$B$137:$BL$300,MATCH(B549,'ei names mapping'!$A$137:$A$300,0),MATCH(G573,'ei names mapping'!$B$136:$BL$136,0))</f>
        <v>1.0915196249999999E-4</v>
      </c>
      <c r="C573" t="str">
        <f>INDEX('ei names mapping'!$B$38:$R$67,MATCH(B546,'ei names mapping'!$A$4:$A$33,0),MATCH(G573,'ei names mapping'!$B$3:$R$3,0))</f>
        <v>CH</v>
      </c>
      <c r="D573" t="str">
        <f>INDEX('ei names mapping'!$B$104:$BL$133,MATCH(B546,'ei names mapping'!$A$4:$A$33,0),MATCH(G573,'ei names mapping'!$B$3:$BL$3,0))</f>
        <v>meter-year</v>
      </c>
      <c r="F573" t="s">
        <v>89</v>
      </c>
      <c r="G573" t="s">
        <v>105</v>
      </c>
      <c r="H573" t="str">
        <f>INDEX('ei names mapping'!$B$71:$BL$100,MATCH(B546,'ei names mapping'!$A$4:$A$33,0),MATCH(G573,'ei names mapping'!$B$3:$BL$3,0))</f>
        <v>road</v>
      </c>
    </row>
    <row r="574" spans="1:8" x14ac:dyDescent="0.2">
      <c r="A574" t="str">
        <f>INDEX('ei names mapping'!$B$4:$R$33,MATCH(B546,'ei names mapping'!$A$4:$A$33,0),MATCH(G574,'ei names mapping'!$B$3:$R$3,0))</f>
        <v>road maintenance</v>
      </c>
      <c r="B574" s="7">
        <f>INDEX('vehicles specifications'!$B$3:$CW$166,MATCH(B549,'vehicles specifications'!$A$3:$A$166,0),MATCH(G574,'vehicles specifications'!$B$2:$CW$2,0))*INDEX('ei names mapping'!$B$137:$BL$300,MATCH(B549,'ei names mapping'!$A$137:$A$300,0),MATCH(G574,'ei names mapping'!$B$136:$BL$136,0))</f>
        <v>1.2899999999999999E-3</v>
      </c>
      <c r="C574" t="str">
        <f>INDEX('ei names mapping'!$B$38:$R$67,MATCH(B546,'ei names mapping'!$A$4:$A$33,0),MATCH(G574,'ei names mapping'!$B$3:$R$3,0))</f>
        <v>CH</v>
      </c>
      <c r="D574" t="str">
        <f>INDEX('ei names mapping'!$B$104:$BL$133,MATCH(B546,'ei names mapping'!$A$4:$A$33,0),MATCH(G574,'ei names mapping'!$B$3:$BL$3,0))</f>
        <v>meter-year</v>
      </c>
      <c r="F574" t="s">
        <v>89</v>
      </c>
      <c r="G574" t="s">
        <v>112</v>
      </c>
      <c r="H574" t="str">
        <f>INDEX('ei names mapping'!$B$71:$BL$100,MATCH(B546,'ei names mapping'!$A$4:$A$33,0),MATCH(G574,'ei names mapping'!$B$3:$BL$3,0))</f>
        <v>road maintenance</v>
      </c>
    </row>
    <row r="575" spans="1:8" x14ac:dyDescent="0.2">
      <c r="A575" t="str">
        <f>INDEX('ei names mapping'!$B$4:$R$33,MATCH(B546,'ei names mapping'!$A$4:$A$33,0),MATCH(G575,'ei names mapping'!$B$3:$R$3,0))</f>
        <v>maintenance, motor scooter</v>
      </c>
      <c r="B575" s="7">
        <f>INDEX('vehicles specifications'!$B$3:$CW$166,MATCH(B549,'vehicles specifications'!$A$3:$A$166,0),MATCH(G575,'vehicles specifications'!$B$2:$CW$2,0))*INDEX('ei names mapping'!$B$137:$BL$300,MATCH(B549,'ei names mapping'!$A$137:$A$300,0),MATCH(G575,'ei names mapping'!$B$136:$BL$136,0))</f>
        <v>4.0000000000000003E-5</v>
      </c>
      <c r="C575" t="str">
        <f>INDEX('ei names mapping'!$B$38:$BL$67,MATCH(B546,'ei names mapping'!$A$4:$A$33,0),MATCH(G575,'ei names mapping'!$B$3:$BL$3,0))</f>
        <v>CH</v>
      </c>
      <c r="D575" t="str">
        <f>INDEX('ei names mapping'!$B$104:$BL$133,MATCH(B546,'ei names mapping'!$A$4:$A$33,0),MATCH(G575,'ei names mapping'!$B$3:$BL$3,0))</f>
        <v>unit</v>
      </c>
      <c r="F575" t="s">
        <v>89</v>
      </c>
      <c r="G575" t="s">
        <v>118</v>
      </c>
      <c r="H575" t="str">
        <f>INDEX('ei names mapping'!$B$71:$BL$100,MATCH(B546,'ei names mapping'!$A$4:$A$33,0),MATCH(G575,'ei names mapping'!$B$3:$BL$3,0))</f>
        <v>maintenance, motor scooter</v>
      </c>
    </row>
    <row r="576" spans="1:8" x14ac:dyDescent="0.2">
      <c r="A576" t="str">
        <f>INDEX('ei names mapping'!$B$4:$R$33,MATCH(B546,'ei names mapping'!$A$4:$A$33,0),MATCH(G576,'ei names mapping'!$B$3:$R$3,0))</f>
        <v>fuel supply for gasoline vehicles</v>
      </c>
      <c r="B576" s="7">
        <f>INDEX('vehicles specifications'!$B$3:$CW$166,MATCH(B549,'vehicles specifications'!$A$3:$A$166,0),MATCH(G576,'vehicles specifications'!$B$2:$CW$2,0))*INDEX('ei names mapping'!$B$137:$BL$300,MATCH(B549,'ei names mapping'!$A$137:$A$300,0),MATCH(G576,'ei names mapping'!$B$136:$BL$136,0))</f>
        <v>2.3863059391054795E-2</v>
      </c>
      <c r="C576" t="str">
        <f>INDEX('ei names mapping'!$B$38:$BL$67,MATCH(B546,'ei names mapping'!$A$4:$A$33,0),MATCH(G576,'ei names mapping'!$B$3:$BL$3,0))</f>
        <v>CH</v>
      </c>
      <c r="D576" t="str">
        <f>INDEX('ei names mapping'!$B$104:$BL$133,MATCH(B546,'ei names mapping'!$A$4:$A$33,0),MATCH(G576,'ei names mapping'!$B$3:$BL$3,0))</f>
        <v>kilogram</v>
      </c>
      <c r="F576" t="s">
        <v>89</v>
      </c>
      <c r="G576" t="s">
        <v>27</v>
      </c>
      <c r="H576" t="str">
        <f>INDEX('ei names mapping'!$B$71:$BL$100,MATCH(B546,'ei names mapping'!$A$4:$A$33,0),MATCH(G576,'ei names mapping'!$B$3:$BL$3,0))</f>
        <v>gasoline blend</v>
      </c>
    </row>
    <row r="577" spans="1:7" x14ac:dyDescent="0.2">
      <c r="A577" t="str">
        <f>INDEX('ei names mapping'!$B$4:$BL$33,MATCH(B546,'ei names mapping'!$A$4:$A$33,0),MATCH(G577,'ei names mapping'!$B$3:$BL$3,0))</f>
        <v>Carbon dioxide, fossil</v>
      </c>
      <c r="B577" s="7">
        <f>INDEX('vehicles specifications'!$B$3:$CW$166,MATCH(B549,'vehicles specifications'!$A$3:$A$166,0),MATCH(G577,'vehicles specifications'!$B$2:$CW$2,0))*INDEX('ei names mapping'!$B$137:$BL$300,MATCH(B549,'ei names mapping'!$A$137:$A$300,0),MATCH(G577,'ei names mapping'!$B$136:$BL$136,0))</f>
        <v>7.4030846410057125E-2</v>
      </c>
      <c r="D577" t="str">
        <f>INDEX('ei names mapping'!$B$104:$BL$133,MATCH(B546,'ei names mapping'!$A$4:$A$33,0),MATCH(G577,'ei names mapping'!$B$3:$BL$3,0))</f>
        <v>kilogram</v>
      </c>
      <c r="E577" t="str">
        <f>INDEX('ei names mapping'!$B$305:$BL$335,MATCH(B546,'ei names mapping'!$A$4:$A$33,0),MATCH(G577,'ei names mapping'!$B$3:$BL$3,0))</f>
        <v>air::urban air close to ground</v>
      </c>
      <c r="F577" t="s">
        <v>167</v>
      </c>
      <c r="G577" t="s">
        <v>66</v>
      </c>
    </row>
    <row r="578" spans="1:7" x14ac:dyDescent="0.2">
      <c r="A578" t="str">
        <f>INDEX('ei names mapping'!$B$4:$BL$33,MATCH(B546,'ei names mapping'!$A$4:$A$33,0),MATCH(G578,'ei names mapping'!$B$3:$BL$3,0))</f>
        <v>Carbon dioxide, from soil or biomass stock</v>
      </c>
      <c r="B578" s="11">
        <f>INDEX('vehicles specifications'!$B$3:$CW$166,MATCH(B549,'vehicles specifications'!$A$3:$A$166,0),MATCH(G578,'vehicles specifications'!$B$2:$CW$2,0))*INDEX('ei names mapping'!$B$137:$BL$300,MATCH(B549,'ei names mapping'!$A$137:$A$300,0),MATCH(G578,'ei names mapping'!$B$136:$BL$136,0))</f>
        <v>8.991600778549448E-4</v>
      </c>
      <c r="D578" t="str">
        <f>INDEX('ei names mapping'!$B$104:$BL$133,MATCH(B546,'ei names mapping'!$A$4:$A$33,0),MATCH(G578,'ei names mapping'!$B$3:$BL$3,0))</f>
        <v>kilogram</v>
      </c>
      <c r="E578" t="str">
        <f>INDEX('ei names mapping'!$B$305:$BL$335,MATCH(B546,'ei names mapping'!$A$4:$A$33,0),MATCH(G578,'ei names mapping'!$B$3:$BL$3,0))</f>
        <v>air::urban air close to ground</v>
      </c>
      <c r="F578" t="s">
        <v>167</v>
      </c>
      <c r="G578" t="s">
        <v>843</v>
      </c>
    </row>
    <row r="579" spans="1:7" x14ac:dyDescent="0.2">
      <c r="A579" t="str">
        <f>INDEX('ei names mapping'!$B$4:$BL$33,MATCH(B546,'ei names mapping'!$A$4:$A$33,0),MATCH(G579,'ei names mapping'!$B$3:$BL$3,0))</f>
        <v>Sulfur dioxide</v>
      </c>
      <c r="B579" s="7">
        <f>INDEX('vehicles specifications'!$B$3:$CW$166,MATCH(B549,'vehicles specifications'!$A$3:$A$166,0),MATCH(G579,'vehicles specifications'!$B$2:$CW$2,0))*INDEX('ei names mapping'!$B$137:$BL$300,MATCH(B549,'ei names mapping'!$A$137:$A$300,0),MATCH(G579,'ei names mapping'!$B$136:$BL$136,0))</f>
        <v>3.8180895025687672E-7</v>
      </c>
      <c r="D579" t="str">
        <f>INDEX('ei names mapping'!$B$104:$BL$133,MATCH(B546,'ei names mapping'!$A$4:$A$33,0),MATCH(G579,'ei names mapping'!$B$3:$BL$3,0))</f>
        <v>kilogram</v>
      </c>
      <c r="E579" t="str">
        <f>INDEX('ei names mapping'!$B$305:$BL$335,MATCH(B546,'ei names mapping'!$A$4:$A$33,0),MATCH(G579,'ei names mapping'!$B$3:$BL$3,0))</f>
        <v>air::urban air close to ground</v>
      </c>
      <c r="F579" t="s">
        <v>167</v>
      </c>
      <c r="G579" t="s">
        <v>67</v>
      </c>
    </row>
    <row r="580" spans="1:7" x14ac:dyDescent="0.2">
      <c r="A580" t="str">
        <f>INDEX('ei names mapping'!$B$4:$BL$33,MATCH(B546,'ei names mapping'!$A$4:$A$33,0),MATCH(G580,'ei names mapping'!$B$3:$BL$3,0))</f>
        <v>Benzene</v>
      </c>
      <c r="B580" s="7">
        <f>INDEX('vehicles specifications'!$B$3:$CW$166,MATCH(B549,'vehicles specifications'!$A$3:$A$166,0),MATCH(G580,'vehicles specifications'!$B$2:$CW$2,0))*INDEX('ei names mapping'!$B$137:$BL$300,MATCH(B549,'ei names mapping'!$A$137:$A$300,0),MATCH(G580,'ei names mapping'!$B$136:$BL$136,0))</f>
        <v>3.668181278591987E-5</v>
      </c>
      <c r="D580" t="str">
        <f>INDEX('ei names mapping'!$B$104:$BL$133,MATCH(B546,'ei names mapping'!$A$4:$A$33,0),MATCH(G580,'ei names mapping'!$B$3:$BL$3,0))</f>
        <v>kilogram</v>
      </c>
      <c r="E580" t="str">
        <f>INDEX('ei names mapping'!$B$305:$BL$335,MATCH(B546,'ei names mapping'!$A$4:$A$33,0),MATCH(G580,'ei names mapping'!$B$3:$BL$3,0))</f>
        <v>air::urban air close to ground</v>
      </c>
      <c r="F580" t="s">
        <v>167</v>
      </c>
      <c r="G580" t="s">
        <v>55</v>
      </c>
    </row>
    <row r="581" spans="1:7" x14ac:dyDescent="0.2">
      <c r="A581" t="str">
        <f>INDEX('ei names mapping'!$B$4:$BL$33,MATCH(B546,'ei names mapping'!$A$4:$A$33,0),MATCH(G581,'ei names mapping'!$B$3:$BL$3,0))</f>
        <v>Methane, fossil</v>
      </c>
      <c r="B581" s="7">
        <f>INDEX('vehicles specifications'!$B$3:$CW$166,MATCH(B549,'vehicles specifications'!$A$3:$A$166,0),MATCH(G581,'vehicles specifications'!$B$2:$CW$2,0))*INDEX('ei names mapping'!$B$137:$BL$300,MATCH(B549,'ei names mapping'!$A$137:$A$300,0),MATCH(G581,'ei names mapping'!$B$136:$BL$136,0))</f>
        <v>2.8026235219950081E-5</v>
      </c>
      <c r="D581" t="str">
        <f>INDEX('ei names mapping'!$B$104:$BL$133,MATCH(B546,'ei names mapping'!$A$4:$A$33,0),MATCH(G581,'ei names mapping'!$B$3:$BL$3,0))</f>
        <v>kilogram</v>
      </c>
      <c r="E581" t="str">
        <f>INDEX('ei names mapping'!$B$305:$BL$335,MATCH(B546,'ei names mapping'!$A$4:$A$33,0),MATCH(G581,'ei names mapping'!$B$3:$BL$3,0))</f>
        <v>air::urban air close to ground</v>
      </c>
      <c r="F581" t="s">
        <v>167</v>
      </c>
      <c r="G581" t="s">
        <v>56</v>
      </c>
    </row>
    <row r="582" spans="1:7" x14ac:dyDescent="0.2">
      <c r="A582" t="str">
        <f>INDEX('ei names mapping'!$B$4:$BL$33,MATCH(B546,'ei names mapping'!$A$4:$A$33,0),MATCH(G582,'ei names mapping'!$B$3:$BL$3,0))</f>
        <v>Carbon monoxide, fossil</v>
      </c>
      <c r="B582" s="7">
        <f>INDEX('vehicles specifications'!$B$3:$CW$166,MATCH(B549,'vehicles specifications'!$A$3:$A$166,0),MATCH(G582,'vehicles specifications'!$B$2:$CW$2,0))*INDEX('ei names mapping'!$B$137:$BL$300,MATCH(B549,'ei names mapping'!$A$137:$A$300,0),MATCH(G582,'ei names mapping'!$B$136:$BL$136,0))</f>
        <v>3.2834237305290693E-3</v>
      </c>
      <c r="D582" t="str">
        <f>INDEX('ei names mapping'!$B$104:$BL$133,MATCH(B546,'ei names mapping'!$A$4:$A$33,0),MATCH(G582,'ei names mapping'!$B$3:$BL$3,0))</f>
        <v>kilogram</v>
      </c>
      <c r="E582" t="str">
        <f>INDEX('ei names mapping'!$B$305:$BL$335,MATCH(B546,'ei names mapping'!$A$4:$A$33,0),MATCH(G582,'ei names mapping'!$B$3:$BL$3,0))</f>
        <v>air::urban air close to ground</v>
      </c>
      <c r="F582" t="s">
        <v>167</v>
      </c>
      <c r="G582" t="s">
        <v>57</v>
      </c>
    </row>
    <row r="583" spans="1:7" x14ac:dyDescent="0.2">
      <c r="A583" t="str">
        <f>INDEX('ei names mapping'!$B$4:$BL$33,MATCH(B546,'ei names mapping'!$A$4:$A$33,0),MATCH(G583,'ei names mapping'!$B$3:$BL$3,0))</f>
        <v>Dinitrogen monoxide</v>
      </c>
      <c r="B583" s="7">
        <f>INDEX('vehicles specifications'!$B$3:$CW$166,MATCH(B549,'vehicles specifications'!$A$3:$A$166,0),MATCH(G583,'vehicles specifications'!$B$2:$CW$2,0))*INDEX('ei names mapping'!$B$137:$BL$300,MATCH(B549,'ei names mapping'!$A$137:$A$300,0),MATCH(G583,'ei names mapping'!$B$136:$BL$136,0))</f>
        <v>1.4219297422602786E-6</v>
      </c>
      <c r="D583" t="str">
        <f>INDEX('ei names mapping'!$B$104:$BL$133,MATCH(B546,'ei names mapping'!$A$4:$A$33,0),MATCH(G583,'ei names mapping'!$B$3:$BL$3,0))</f>
        <v>kilogram</v>
      </c>
      <c r="E583" t="str">
        <f>INDEX('ei names mapping'!$B$305:$BL$335,MATCH(B546,'ei names mapping'!$A$4:$A$33,0),MATCH(G583,'ei names mapping'!$B$3:$BL$3,0))</f>
        <v>air::urban air close to ground</v>
      </c>
      <c r="F583" t="s">
        <v>167</v>
      </c>
      <c r="G583" t="s">
        <v>58</v>
      </c>
    </row>
    <row r="584" spans="1:7" x14ac:dyDescent="0.2">
      <c r="A584" t="str">
        <f>INDEX('ei names mapping'!$B$4:$BL$33,MATCH(B546,'ei names mapping'!$A$4:$A$33,0),MATCH(G584,'ei names mapping'!$B$3:$BL$3,0))</f>
        <v>Ammonia</v>
      </c>
      <c r="B584" s="7">
        <f>INDEX('vehicles specifications'!$B$3:$CW$166,MATCH(B549,'vehicles specifications'!$A$3:$A$166,0),MATCH(G584,'vehicles specifications'!$B$2:$CW$2,0))*INDEX('ei names mapping'!$B$137:$BL$300,MATCH(B549,'ei names mapping'!$A$137:$A$300,0),MATCH(G584,'ei names mapping'!$B$136:$BL$136,0))</f>
        <v>1.4219297422602786E-6</v>
      </c>
      <c r="D584" t="str">
        <f>INDEX('ei names mapping'!$B$104:$BL$133,MATCH(B546,'ei names mapping'!$A$4:$A$33,0),MATCH(G584,'ei names mapping'!$B$3:$BL$3,0))</f>
        <v>kilogram</v>
      </c>
      <c r="E584" t="str">
        <f>INDEX('ei names mapping'!$B$305:$BL$335,MATCH(B546,'ei names mapping'!$A$4:$A$33,0),MATCH(G584,'ei names mapping'!$B$3:$BL$3,0))</f>
        <v>air::urban air close to ground</v>
      </c>
      <c r="F584" t="s">
        <v>167</v>
      </c>
      <c r="G584" t="s">
        <v>59</v>
      </c>
    </row>
    <row r="585" spans="1:7" x14ac:dyDescent="0.2">
      <c r="A585" t="str">
        <f>INDEX('ei names mapping'!$B$4:$BL$33,MATCH(B546,'ei names mapping'!$A$4:$A$33,0),MATCH(G585,'ei names mapping'!$B$3:$BL$3,0))</f>
        <v>Nitrogen oxides</v>
      </c>
      <c r="B585" s="7">
        <f>INDEX('vehicles specifications'!$B$3:$CW$166,MATCH(B549,'vehicles specifications'!$A$3:$A$166,0),MATCH(G585,'vehicles specifications'!$B$2:$CW$2,0))*INDEX('ei names mapping'!$B$137:$BL$300,MATCH(B549,'ei names mapping'!$A$137:$A$300,0),MATCH(G585,'ei names mapping'!$B$136:$BL$136,0))</f>
        <v>1.066315193212154E-4</v>
      </c>
      <c r="D585" t="str">
        <f>INDEX('ei names mapping'!$B$104:$BL$133,MATCH(B546,'ei names mapping'!$A$4:$A$33,0),MATCH(G585,'ei names mapping'!$B$3:$BL$3,0))</f>
        <v>kilogram</v>
      </c>
      <c r="E585" t="str">
        <f>INDEX('ei names mapping'!$B$305:$BL$335,MATCH(B546,'ei names mapping'!$A$4:$A$33,0),MATCH(G585,'ei names mapping'!$B$3:$BL$3,0))</f>
        <v>air::urban air close to ground</v>
      </c>
      <c r="F585" t="s">
        <v>167</v>
      </c>
      <c r="G585" t="s">
        <v>60</v>
      </c>
    </row>
    <row r="586" spans="1:7" x14ac:dyDescent="0.2">
      <c r="A586" t="str">
        <f>INDEX('ei names mapping'!$B$4:$BL$33,MATCH(B546,'ei names mapping'!$A$4:$A$33,0),MATCH(G586,'ei names mapping'!$B$3:$BL$3,0))</f>
        <v>Particulates, &lt; 2.5 um</v>
      </c>
      <c r="B586" s="7">
        <f>INDEX('vehicles specifications'!$B$3:$CW$166,MATCH(B$549,'vehicles specifications'!$A$3:$A$166,0),MATCH(G586,'vehicles specifications'!$B$2:$CW$2,0))*INDEX('ei names mapping'!$B$137:$BL$300,MATCH(B$549,'ei names mapping'!$A$137:$A$300,0),MATCH(G586,'ei names mapping'!$B$136:$BL$136,0))</f>
        <v>3.189388411889805E-6</v>
      </c>
      <c r="D586" t="str">
        <f>INDEX('ei names mapping'!$B$104:$BL$133,MATCH(B546,'ei names mapping'!$A$4:$A$33,0),MATCH(G586,'ei names mapping'!$B$3:$BL$3,0))</f>
        <v>kilogram</v>
      </c>
      <c r="E586" t="str">
        <f>INDEX('ei names mapping'!$B$305:$BL$335,MATCH(B546,'ei names mapping'!$A$4:$A$33,0),MATCH(G586,'ei names mapping'!$B$3:$BL$3,0))</f>
        <v>air::urban air close to ground</v>
      </c>
      <c r="F586" t="s">
        <v>167</v>
      </c>
      <c r="G586" t="s">
        <v>62</v>
      </c>
    </row>
    <row r="587" spans="1:7" x14ac:dyDescent="0.2">
      <c r="A587" t="str">
        <f>INDEX('ei names mapping'!$B$4:$BL$33,MATCH(B$234,'ei names mapping'!$A$4:$A$33,0),MATCH(G587,'ei names mapping'!$B$3:$BL$3,0))</f>
        <v>NMVOC, non-methane volatile organic compounds, unspecified origin</v>
      </c>
      <c r="B587" s="7">
        <f>INDEX('vehicles specifications'!$B$3:$CW$166,MATCH(B$549,'vehicles specifications'!$A$3:$A$166,0),MATCH(G587,'vehicles specifications'!$B$2:$CW$2,0))*INDEX('ei names mapping'!$B$137:$BL$300,MATCH(B$549,'ei names mapping'!$A$137:$A$300,0),MATCH(G587,'ei names mapping'!$B$136:$BL$136,0))</f>
        <v>2.9580841540731114E-4</v>
      </c>
      <c r="D587" t="str">
        <f>INDEX('ei names mapping'!$B$104:$BL$133,MATCH(B$234,'ei names mapping'!$A$4:$A$33,0),MATCH(G587,'ei names mapping'!$B$3:$BL$3,0))</f>
        <v>kilogram</v>
      </c>
      <c r="E587" t="str">
        <f>INDEX('ei names mapping'!$B$305:$BL$335,MATCH(B$234,'ei names mapping'!$A$4:$A$33,0),MATCH(G587,'ei names mapping'!$B$3:$BL$3,0))</f>
        <v>air::urban air close to ground</v>
      </c>
      <c r="F587" t="s">
        <v>167</v>
      </c>
      <c r="G587" t="s">
        <v>593</v>
      </c>
    </row>
    <row r="588" spans="1:7" x14ac:dyDescent="0.2">
      <c r="A588" t="str">
        <f>INDEX('ei names mapping'!$B$4:$BL$33,MATCH(B$234,'ei names mapping'!$A$4:$A$33,0),MATCH(G588,'ei names mapping'!$B$3:$BL$3,0))</f>
        <v>Ethane</v>
      </c>
      <c r="B588" s="7">
        <f>INDEX('vehicles specifications'!$B$3:$CW$166,MATCH(B$549,'vehicles specifications'!$A$3:$A$166,0),MATCH(G588,'vehicles specifications'!$B$2:$CW$2,0))*INDEX('ei names mapping'!$B$137:$BL$300,MATCH(B$549,'ei names mapping'!$A$137:$A$300,0),MATCH(G588,'ei names mapping'!$B$136:$BL$136,0))</f>
        <v>2.0858285701797573E-5</v>
      </c>
      <c r="D588" t="str">
        <f>INDEX('ei names mapping'!$B$104:$BL$133,MATCH(B$234,'ei names mapping'!$A$4:$A$33,0),MATCH(G588,'ei names mapping'!$B$3:$BL$3,0))</f>
        <v>kilogram</v>
      </c>
      <c r="E588" t="str">
        <f>INDEX('ei names mapping'!$B$305:$BL$335,MATCH(B$234,'ei names mapping'!$A$4:$A$33,0),MATCH(G588,'ei names mapping'!$B$3:$BL$3,0))</f>
        <v>air::urban air close to ground</v>
      </c>
      <c r="F588" t="s">
        <v>167</v>
      </c>
      <c r="G588" t="s">
        <v>541</v>
      </c>
    </row>
    <row r="589" spans="1:7" x14ac:dyDescent="0.2">
      <c r="A589" t="str">
        <f>INDEX('ei names mapping'!$B$4:$BL$33,MATCH(B$234,'ei names mapping'!$A$4:$A$33,0),MATCH(G589,'ei names mapping'!$B$3:$BL$3,0))</f>
        <v>Propane</v>
      </c>
      <c r="B589" s="7">
        <f>INDEX('vehicles specifications'!$B$3:$CW$166,MATCH(B$549,'vehicles specifications'!$A$3:$A$166,0),MATCH(G589,'vehicles specifications'!$B$2:$CW$2,0))*INDEX('ei names mapping'!$B$137:$BL$300,MATCH(B$549,'ei names mapping'!$A$137:$A$300,0),MATCH(G589,'ei names mapping'!$B$136:$BL$136,0))</f>
        <v>4.2501209110245846E-6</v>
      </c>
      <c r="D589" t="str">
        <f>INDEX('ei names mapping'!$B$104:$BL$133,MATCH(B$234,'ei names mapping'!$A$4:$A$33,0),MATCH(G589,'ei names mapping'!$B$3:$BL$3,0))</f>
        <v>kilogram</v>
      </c>
      <c r="E589" t="str">
        <f>INDEX('ei names mapping'!$B$305:$BL$335,MATCH(B$234,'ei names mapping'!$A$4:$A$33,0),MATCH(G589,'ei names mapping'!$B$3:$BL$3,0))</f>
        <v>air::urban air close to ground</v>
      </c>
      <c r="F589" t="s">
        <v>167</v>
      </c>
      <c r="G589" t="s">
        <v>542</v>
      </c>
    </row>
    <row r="590" spans="1:7" x14ac:dyDescent="0.2">
      <c r="A590" t="str">
        <f>INDEX('ei names mapping'!$B$4:$BL$33,MATCH(B$234,'ei names mapping'!$A$4:$A$33,0),MATCH(G590,'ei names mapping'!$B$3:$BL$3,0))</f>
        <v>Butane</v>
      </c>
      <c r="B590" s="7">
        <f>INDEX('vehicles specifications'!$B$3:$CW$166,MATCH(B$549,'vehicles specifications'!$A$3:$A$166,0),MATCH(G590,'vehicles specifications'!$B$2:$CW$2,0))*INDEX('ei names mapping'!$B$137:$BL$300,MATCH(B$549,'ei names mapping'!$A$137:$A$300,0),MATCH(G590,'ei names mapping'!$B$136:$BL$136,0))</f>
        <v>3.4262513190413571E-5</v>
      </c>
      <c r="D590" t="str">
        <f>INDEX('ei names mapping'!$B$104:$BL$133,MATCH(B$234,'ei names mapping'!$A$4:$A$33,0),MATCH(G590,'ei names mapping'!$B$3:$BL$3,0))</f>
        <v>kilogram</v>
      </c>
      <c r="E590" t="str">
        <f>INDEX('ei names mapping'!$B$305:$BL$335,MATCH(B$234,'ei names mapping'!$A$4:$A$33,0),MATCH(G590,'ei names mapping'!$B$3:$BL$3,0))</f>
        <v>air::urban air close to ground</v>
      </c>
      <c r="F590" t="s">
        <v>167</v>
      </c>
      <c r="G590" t="s">
        <v>543</v>
      </c>
    </row>
    <row r="591" spans="1:7" x14ac:dyDescent="0.2">
      <c r="A591" t="str">
        <f>INDEX('ei names mapping'!$B$4:$BL$33,MATCH(B$234,'ei names mapping'!$A$4:$A$33,0),MATCH(G591,'ei names mapping'!$B$3:$BL$3,0))</f>
        <v>Pentane</v>
      </c>
      <c r="B591" s="7">
        <f>INDEX('vehicles specifications'!$B$3:$CW$166,MATCH(B$549,'vehicles specifications'!$A$3:$A$166,0),MATCH(G591,'vehicles specifications'!$B$2:$CW$2,0))*INDEX('ei names mapping'!$B$137:$BL$300,MATCH(B$549,'ei names mapping'!$A$137:$A$300,0),MATCH(G591,'ei names mapping'!$B$136:$BL$136,0))</f>
        <v>1.405809224415824E-5</v>
      </c>
      <c r="D591" t="str">
        <f>INDEX('ei names mapping'!$B$104:$BL$133,MATCH(B$234,'ei names mapping'!$A$4:$A$33,0),MATCH(G591,'ei names mapping'!$B$3:$BL$3,0))</f>
        <v>kilogram</v>
      </c>
      <c r="E591" t="str">
        <f>INDEX('ei names mapping'!$B$305:$BL$335,MATCH(B$234,'ei names mapping'!$A$4:$A$33,0),MATCH(G591,'ei names mapping'!$B$3:$BL$3,0))</f>
        <v>air::urban air close to ground</v>
      </c>
      <c r="F591" t="s">
        <v>167</v>
      </c>
      <c r="G591" t="s">
        <v>544</v>
      </c>
    </row>
    <row r="592" spans="1:7" x14ac:dyDescent="0.2">
      <c r="A592" t="str">
        <f>INDEX('ei names mapping'!$B$4:$BL$33,MATCH(B$234,'ei names mapping'!$A$4:$A$33,0),MATCH(G592,'ei names mapping'!$B$3:$BL$3,0))</f>
        <v>Hexane</v>
      </c>
      <c r="B592" s="7">
        <f>INDEX('vehicles specifications'!$B$3:$CW$166,MATCH(B$549,'vehicles specifications'!$A$3:$A$166,0),MATCH(G592,'vehicles specifications'!$B$2:$CW$2,0))*INDEX('ei names mapping'!$B$137:$BL$300,MATCH(B$549,'ei names mapping'!$A$137:$A$300,0),MATCH(G592,'ei names mapping'!$B$136:$BL$136,0))</f>
        <v>1.0527222564230125E-5</v>
      </c>
      <c r="D592" t="str">
        <f>INDEX('ei names mapping'!$B$104:$BL$133,MATCH(B$234,'ei names mapping'!$A$4:$A$33,0),MATCH(G592,'ei names mapping'!$B$3:$BL$3,0))</f>
        <v>kilogram</v>
      </c>
      <c r="E592" t="str">
        <f>INDEX('ei names mapping'!$B$305:$BL$335,MATCH(B$234,'ei names mapping'!$A$4:$A$33,0),MATCH(G592,'ei names mapping'!$B$3:$BL$3,0))</f>
        <v>air::urban air close to ground</v>
      </c>
      <c r="F592" t="s">
        <v>167</v>
      </c>
      <c r="G592" t="s">
        <v>545</v>
      </c>
    </row>
    <row r="593" spans="1:7" x14ac:dyDescent="0.2">
      <c r="A593" t="str">
        <f>INDEX('ei names mapping'!$B$4:$BL$33,MATCH(B$234,'ei names mapping'!$A$4:$A$33,0),MATCH(G593,'ei names mapping'!$B$3:$BL$3,0))</f>
        <v>Cyclohexane</v>
      </c>
      <c r="B593" s="7">
        <f>INDEX('vehicles specifications'!$B$3:$CW$166,MATCH(B$549,'vehicles specifications'!$A$3:$A$166,0),MATCH(G593,'vehicles specifications'!$B$2:$CW$2,0))*INDEX('ei names mapping'!$B$137:$BL$300,MATCH(B$549,'ei names mapping'!$A$137:$A$300,0),MATCH(G593,'ei names mapping'!$B$136:$BL$136,0))</f>
        <v>7.4540582131815796E-6</v>
      </c>
      <c r="D593" t="str">
        <f>INDEX('ei names mapping'!$B$104:$BL$133,MATCH(B$234,'ei names mapping'!$A$4:$A$33,0),MATCH(G593,'ei names mapping'!$B$3:$BL$3,0))</f>
        <v>kilogram</v>
      </c>
      <c r="E593" t="str">
        <f>INDEX('ei names mapping'!$B$305:$BL$335,MATCH(B$234,'ei names mapping'!$A$4:$A$33,0),MATCH(G593,'ei names mapping'!$B$3:$BL$3,0))</f>
        <v>air::urban air close to ground</v>
      </c>
      <c r="F593" t="s">
        <v>167</v>
      </c>
      <c r="G593" t="s">
        <v>546</v>
      </c>
    </row>
    <row r="594" spans="1:7" x14ac:dyDescent="0.2">
      <c r="A594" t="str">
        <f>INDEX('ei names mapping'!$B$4:$BL$33,MATCH(B$234,'ei names mapping'!$A$4:$A$33,0),MATCH(G594,'ei names mapping'!$B$3:$BL$3,0))</f>
        <v>Heptane</v>
      </c>
      <c r="B594" s="7">
        <f>INDEX('vehicles specifications'!$B$3:$CW$166,MATCH(B$549,'vehicles specifications'!$A$3:$A$166,0),MATCH(G594,'vehicles specifications'!$B$2:$CW$2,0))*INDEX('ei names mapping'!$B$137:$BL$300,MATCH(B$549,'ei names mapping'!$A$137:$A$300,0),MATCH(G594,'ei names mapping'!$B$136:$BL$136,0))</f>
        <v>4.8385991910126046E-6</v>
      </c>
      <c r="D594" t="str">
        <f>INDEX('ei names mapping'!$B$104:$BL$133,MATCH(B$234,'ei names mapping'!$A$4:$A$33,0),MATCH(G594,'ei names mapping'!$B$3:$BL$3,0))</f>
        <v>kilogram</v>
      </c>
      <c r="E594" t="str">
        <f>INDEX('ei names mapping'!$B$305:$BL$335,MATCH(B$234,'ei names mapping'!$A$4:$A$33,0),MATCH(G594,'ei names mapping'!$B$3:$BL$3,0))</f>
        <v>air::urban air close to ground</v>
      </c>
      <c r="F594" t="s">
        <v>167</v>
      </c>
      <c r="G594" t="s">
        <v>547</v>
      </c>
    </row>
    <row r="595" spans="1:7" x14ac:dyDescent="0.2">
      <c r="A595" t="str">
        <f>INDEX('ei names mapping'!$B$4:$BL$33,MATCH(B$234,'ei names mapping'!$A$4:$A$33,0),MATCH(G595,'ei names mapping'!$B$3:$BL$3,0))</f>
        <v>Ethene</v>
      </c>
      <c r="B595" s="7">
        <f>INDEX('vehicles specifications'!$B$3:$CW$166,MATCH(B$549,'vehicles specifications'!$A$3:$A$166,0),MATCH(G595,'vehicles specifications'!$B$2:$CW$2,0))*INDEX('ei names mapping'!$B$137:$BL$300,MATCH(B$549,'ei names mapping'!$A$137:$A$300,0),MATCH(G595,'ei names mapping'!$B$136:$BL$136,0))</f>
        <v>4.7732127154583795E-5</v>
      </c>
      <c r="D595" t="str">
        <f>INDEX('ei names mapping'!$B$104:$BL$133,MATCH(B$234,'ei names mapping'!$A$4:$A$33,0),MATCH(G595,'ei names mapping'!$B$3:$BL$3,0))</f>
        <v>kilogram</v>
      </c>
      <c r="E595" t="str">
        <f>INDEX('ei names mapping'!$B$305:$BL$335,MATCH(B$234,'ei names mapping'!$A$4:$A$33,0),MATCH(G595,'ei names mapping'!$B$3:$BL$3,0))</f>
        <v>air::urban air close to ground</v>
      </c>
      <c r="F595" t="s">
        <v>167</v>
      </c>
      <c r="G595" t="s">
        <v>548</v>
      </c>
    </row>
    <row r="596" spans="1:7" x14ac:dyDescent="0.2">
      <c r="A596" t="str">
        <f>INDEX('ei names mapping'!$B$4:$BL$33,MATCH(B$234,'ei names mapping'!$A$4:$A$33,0),MATCH(G596,'ei names mapping'!$B$3:$BL$3,0))</f>
        <v>Propene</v>
      </c>
      <c r="B596" s="7">
        <f>INDEX('vehicles specifications'!$B$3:$CW$166,MATCH(B$549,'vehicles specifications'!$A$3:$A$166,0),MATCH(G596,'vehicles specifications'!$B$2:$CW$2,0))*INDEX('ei names mapping'!$B$137:$BL$300,MATCH(B$549,'ei names mapping'!$A$137:$A$300,0),MATCH(G596,'ei names mapping'!$B$136:$BL$136,0))</f>
        <v>2.4977633661713712E-5</v>
      </c>
      <c r="D596" t="str">
        <f>INDEX('ei names mapping'!$B$104:$BL$133,MATCH(B$234,'ei names mapping'!$A$4:$A$33,0),MATCH(G596,'ei names mapping'!$B$3:$BL$3,0))</f>
        <v>kilogram</v>
      </c>
      <c r="E596" t="str">
        <f>INDEX('ei names mapping'!$B$305:$BL$335,MATCH(B$234,'ei names mapping'!$A$4:$A$33,0),MATCH(G596,'ei names mapping'!$B$3:$BL$3,0))</f>
        <v>air::urban air close to ground</v>
      </c>
      <c r="F596" t="s">
        <v>167</v>
      </c>
      <c r="G596" t="s">
        <v>549</v>
      </c>
    </row>
    <row r="597" spans="1:7" x14ac:dyDescent="0.2">
      <c r="A597" t="str">
        <f>INDEX('ei names mapping'!$B$4:$BL$33,MATCH(B$234,'ei names mapping'!$A$4:$A$33,0),MATCH(G597,'ei names mapping'!$B$3:$BL$3,0))</f>
        <v>1-Pentene</v>
      </c>
      <c r="B597" s="7">
        <f>INDEX('vehicles specifications'!$B$3:$CW$166,MATCH(B$549,'vehicles specifications'!$A$3:$A$166,0),MATCH(G597,'vehicles specifications'!$B$2:$CW$2,0))*INDEX('ei names mapping'!$B$137:$BL$300,MATCH(B$549,'ei names mapping'!$A$137:$A$300,0),MATCH(G597,'ei names mapping'!$B$136:$BL$136,0))</f>
        <v>7.1925123109646811E-7</v>
      </c>
      <c r="D597" t="str">
        <f>INDEX('ei names mapping'!$B$104:$BL$133,MATCH(B$234,'ei names mapping'!$A$4:$A$33,0),MATCH(G597,'ei names mapping'!$B$3:$BL$3,0))</f>
        <v>kilogram</v>
      </c>
      <c r="E597" t="str">
        <f>INDEX('ei names mapping'!$B$305:$BL$335,MATCH(B$234,'ei names mapping'!$A$4:$A$33,0),MATCH(G597,'ei names mapping'!$B$3:$BL$3,0))</f>
        <v>air::urban air close to ground</v>
      </c>
      <c r="F597" t="s">
        <v>167</v>
      </c>
      <c r="G597" t="s">
        <v>550</v>
      </c>
    </row>
    <row r="598" spans="1:7" x14ac:dyDescent="0.2">
      <c r="A598" t="str">
        <f>INDEX('ei names mapping'!$B$4:$BL$33,MATCH(B$234,'ei names mapping'!$A$4:$A$33,0),MATCH(G598,'ei names mapping'!$B$3:$BL$3,0))</f>
        <v>Toluene</v>
      </c>
      <c r="B598" s="7">
        <f>INDEX('vehicles specifications'!$B$3:$CW$166,MATCH(B$549,'vehicles specifications'!$A$3:$A$166,0),MATCH(G598,'vehicles specifications'!$B$2:$CW$2,0))*INDEX('ei names mapping'!$B$137:$BL$300,MATCH(B$549,'ei names mapping'!$A$137:$A$300,0),MATCH(G598,'ei names mapping'!$B$136:$BL$136,0))</f>
        <v>7.1794350158538352E-5</v>
      </c>
      <c r="D598" t="str">
        <f>INDEX('ei names mapping'!$B$104:$BL$133,MATCH(B$234,'ei names mapping'!$A$4:$A$33,0),MATCH(G598,'ei names mapping'!$B$3:$BL$3,0))</f>
        <v>kilogram</v>
      </c>
      <c r="E598" t="str">
        <f>INDEX('ei names mapping'!$B$305:$BL$335,MATCH(B$234,'ei names mapping'!$A$4:$A$33,0),MATCH(G598,'ei names mapping'!$B$3:$BL$3,0))</f>
        <v>air::urban air close to ground</v>
      </c>
      <c r="F598" t="s">
        <v>167</v>
      </c>
      <c r="G598" t="s">
        <v>551</v>
      </c>
    </row>
    <row r="599" spans="1:7" x14ac:dyDescent="0.2">
      <c r="A599" t="str">
        <f>INDEX('ei names mapping'!$B$4:$BL$33,MATCH(B$234,'ei names mapping'!$A$4:$A$33,0),MATCH(G599,'ei names mapping'!$B$3:$BL$3,0))</f>
        <v>m-Xylene</v>
      </c>
      <c r="B599" s="7">
        <f>INDEX('vehicles specifications'!$B$3:$CW$166,MATCH(B$549,'vehicles specifications'!$A$3:$A$166,0),MATCH(G599,'vehicles specifications'!$B$2:$CW$2,0))*INDEX('ei names mapping'!$B$137:$BL$300,MATCH(B$549,'ei names mapping'!$A$137:$A$300,0),MATCH(G599,'ei names mapping'!$B$136:$BL$136,0))</f>
        <v>3.5504856225943842E-5</v>
      </c>
      <c r="D599" t="str">
        <f>INDEX('ei names mapping'!$B$104:$BL$133,MATCH(B$234,'ei names mapping'!$A$4:$A$33,0),MATCH(G599,'ei names mapping'!$B$3:$BL$3,0))</f>
        <v>kilogram</v>
      </c>
      <c r="E599" t="str">
        <f>INDEX('ei names mapping'!$B$305:$BL$335,MATCH(B$234,'ei names mapping'!$A$4:$A$33,0),MATCH(G599,'ei names mapping'!$B$3:$BL$3,0))</f>
        <v>air::urban air close to ground</v>
      </c>
      <c r="F599" t="s">
        <v>167</v>
      </c>
      <c r="G599" t="s">
        <v>552</v>
      </c>
    </row>
    <row r="600" spans="1:7" x14ac:dyDescent="0.2">
      <c r="A600" t="str">
        <f>INDEX('ei names mapping'!$B$4:$BL$33,MATCH(B$234,'ei names mapping'!$A$4:$A$33,0),MATCH(G600,'ei names mapping'!$B$3:$BL$3,0))</f>
        <v>o-Xylene</v>
      </c>
      <c r="B600" s="7">
        <f>INDEX('vehicles specifications'!$B$3:$CW$166,MATCH(B$549,'vehicles specifications'!$A$3:$A$166,0),MATCH(G600,'vehicles specifications'!$B$2:$CW$2,0))*INDEX('ei names mapping'!$B$137:$BL$300,MATCH(B$549,'ei names mapping'!$A$137:$A$300,0),MATCH(G600,'ei names mapping'!$B$136:$BL$136,0))</f>
        <v>1.4777343475254709E-5</v>
      </c>
      <c r="D600" t="str">
        <f>INDEX('ei names mapping'!$B$104:$BL$133,MATCH(B$234,'ei names mapping'!$A$4:$A$33,0),MATCH(G600,'ei names mapping'!$B$3:$BL$3,0))</f>
        <v>kilogram</v>
      </c>
      <c r="E600" t="str">
        <f>INDEX('ei names mapping'!$B$305:$BL$335,MATCH(B$234,'ei names mapping'!$A$4:$A$33,0),MATCH(G600,'ei names mapping'!$B$3:$BL$3,0))</f>
        <v>air::urban air close to ground</v>
      </c>
      <c r="F600" t="s">
        <v>167</v>
      </c>
      <c r="G600" t="s">
        <v>553</v>
      </c>
    </row>
    <row r="601" spans="1:7" x14ac:dyDescent="0.2">
      <c r="A601" t="str">
        <f>INDEX('ei names mapping'!$B$4:$BL$33,MATCH(B$234,'ei names mapping'!$A$4:$A$33,0),MATCH(G601,'ei names mapping'!$B$3:$BL$3,0))</f>
        <v>Formaldehyde</v>
      </c>
      <c r="B601" s="7">
        <f>INDEX('vehicles specifications'!$B$3:$CW$166,MATCH(B$549,'vehicles specifications'!$A$3:$A$166,0),MATCH(G601,'vehicles specifications'!$B$2:$CW$2,0))*INDEX('ei names mapping'!$B$137:$BL$300,MATCH(B$549,'ei names mapping'!$A$137:$A$300,0),MATCH(G601,'ei names mapping'!$B$136:$BL$136,0))</f>
        <v>1.1115700844218144E-5</v>
      </c>
      <c r="D601" t="str">
        <f>INDEX('ei names mapping'!$B$104:$BL$133,MATCH(B$234,'ei names mapping'!$A$4:$A$33,0),MATCH(G601,'ei names mapping'!$B$3:$BL$3,0))</f>
        <v>kilogram</v>
      </c>
      <c r="E601" t="str">
        <f>INDEX('ei names mapping'!$B$305:$BL$335,MATCH(B$234,'ei names mapping'!$A$4:$A$33,0),MATCH(G601,'ei names mapping'!$B$3:$BL$3,0))</f>
        <v>air::urban air close to ground</v>
      </c>
      <c r="F601" t="s">
        <v>167</v>
      </c>
      <c r="G601" t="s">
        <v>554</v>
      </c>
    </row>
    <row r="602" spans="1:7" x14ac:dyDescent="0.2">
      <c r="A602" t="str">
        <f>INDEX('ei names mapping'!$B$4:$BL$33,MATCH(B$234,'ei names mapping'!$A$4:$A$33,0),MATCH(G602,'ei names mapping'!$B$3:$BL$3,0))</f>
        <v>Acetaldehyde</v>
      </c>
      <c r="B602" s="7">
        <f>INDEX('vehicles specifications'!$B$3:$CW$166,MATCH(B$549,'vehicles specifications'!$A$3:$A$166,0),MATCH(G602,'vehicles specifications'!$B$2:$CW$2,0))*INDEX('ei names mapping'!$B$137:$BL$300,MATCH(B$549,'ei names mapping'!$A$137:$A$300,0),MATCH(G602,'ei names mapping'!$B$136:$BL$136,0))</f>
        <v>4.903985666566828E-6</v>
      </c>
      <c r="D602" t="str">
        <f>INDEX('ei names mapping'!$B$104:$BL$133,MATCH(B$234,'ei names mapping'!$A$4:$A$33,0),MATCH(G602,'ei names mapping'!$B$3:$BL$3,0))</f>
        <v>kilogram</v>
      </c>
      <c r="E602" t="str">
        <f>INDEX('ei names mapping'!$B$305:$BL$335,MATCH(B$234,'ei names mapping'!$A$4:$A$33,0),MATCH(G602,'ei names mapping'!$B$3:$BL$3,0))</f>
        <v>air::urban air close to ground</v>
      </c>
      <c r="F602" t="s">
        <v>167</v>
      </c>
      <c r="G602" t="s">
        <v>555</v>
      </c>
    </row>
    <row r="603" spans="1:7" x14ac:dyDescent="0.2">
      <c r="A603" t="str">
        <f>INDEX('ei names mapping'!$B$4:$BL$33,MATCH(B$234,'ei names mapping'!$A$4:$A$33,0),MATCH(G603,'ei names mapping'!$B$3:$BL$3,0))</f>
        <v>Benzaldehyde</v>
      </c>
      <c r="B603" s="7">
        <f>INDEX('vehicles specifications'!$B$3:$CW$166,MATCH(B$549,'vehicles specifications'!$A$3:$A$166,0),MATCH(G603,'vehicles specifications'!$B$2:$CW$2,0))*INDEX('ei names mapping'!$B$137:$BL$300,MATCH(B$549,'ei names mapping'!$A$137:$A$300,0),MATCH(G603,'ei names mapping'!$B$136:$BL$136,0))</f>
        <v>1.4385024621929362E-6</v>
      </c>
      <c r="D603" t="str">
        <f>INDEX('ei names mapping'!$B$104:$BL$133,MATCH(B$234,'ei names mapping'!$A$4:$A$33,0),MATCH(G603,'ei names mapping'!$B$3:$BL$3,0))</f>
        <v>kilogram</v>
      </c>
      <c r="E603" t="str">
        <f>INDEX('ei names mapping'!$B$305:$BL$335,MATCH(B$234,'ei names mapping'!$A$4:$A$33,0),MATCH(G603,'ei names mapping'!$B$3:$BL$3,0))</f>
        <v>air::urban air close to ground</v>
      </c>
      <c r="F603" t="s">
        <v>167</v>
      </c>
      <c r="G603" t="s">
        <v>556</v>
      </c>
    </row>
    <row r="604" spans="1:7" x14ac:dyDescent="0.2">
      <c r="A604" t="str">
        <f>INDEX('ei names mapping'!$B$4:$BL$33,MATCH(B$234,'ei names mapping'!$A$4:$A$33,0),MATCH(G604,'ei names mapping'!$B$3:$BL$3,0))</f>
        <v>Acetone</v>
      </c>
      <c r="B604" s="7">
        <f>INDEX('vehicles specifications'!$B$3:$CW$166,MATCH(B$549,'vehicles specifications'!$A$3:$A$166,0),MATCH(G604,'vehicles specifications'!$B$2:$CW$2,0))*INDEX('ei names mapping'!$B$137:$BL$300,MATCH(B$549,'ei names mapping'!$A$137:$A$300,0),MATCH(G604,'ei names mapping'!$B$136:$BL$136,0))</f>
        <v>3.9885750088076876E-6</v>
      </c>
      <c r="D604" t="str">
        <f>INDEX('ei names mapping'!$B$104:$BL$133,MATCH(B$234,'ei names mapping'!$A$4:$A$33,0),MATCH(G604,'ei names mapping'!$B$3:$BL$3,0))</f>
        <v>kilogram</v>
      </c>
      <c r="E604" t="str">
        <f>INDEX('ei names mapping'!$B$305:$BL$335,MATCH(B$234,'ei names mapping'!$A$4:$A$33,0),MATCH(G604,'ei names mapping'!$B$3:$BL$3,0))</f>
        <v>air::urban air close to ground</v>
      </c>
      <c r="F604" t="s">
        <v>167</v>
      </c>
      <c r="G604" t="s">
        <v>557</v>
      </c>
    </row>
    <row r="605" spans="1:7" x14ac:dyDescent="0.2">
      <c r="A605" t="str">
        <f>INDEX('ei names mapping'!$B$4:$BL$33,MATCH(B$234,'ei names mapping'!$A$4:$A$33,0),MATCH(G605,'ei names mapping'!$B$3:$BL$3,0))</f>
        <v>Methyl ethyl ketone</v>
      </c>
      <c r="B605" s="7">
        <f>INDEX('vehicles specifications'!$B$3:$CW$166,MATCH(B$549,'vehicles specifications'!$A$3:$A$166,0),MATCH(G605,'vehicles specifications'!$B$2:$CW$2,0))*INDEX('ei names mapping'!$B$137:$BL$300,MATCH(B$549,'ei names mapping'!$A$137:$A$300,0),MATCH(G605,'ei names mapping'!$B$136:$BL$136,0))</f>
        <v>0</v>
      </c>
      <c r="D605" t="str">
        <f>INDEX('ei names mapping'!$B$104:$BL$133,MATCH(B$234,'ei names mapping'!$A$4:$A$33,0),MATCH(G605,'ei names mapping'!$B$3:$BL$3,0))</f>
        <v>kilogram</v>
      </c>
      <c r="E605" t="str">
        <f>INDEX('ei names mapping'!$B$305:$BL$335,MATCH(B$234,'ei names mapping'!$A$4:$A$33,0),MATCH(G605,'ei names mapping'!$B$3:$BL$3,0))</f>
        <v>air::urban air close to ground</v>
      </c>
      <c r="F605" t="s">
        <v>167</v>
      </c>
      <c r="G605" t="s">
        <v>560</v>
      </c>
    </row>
    <row r="606" spans="1:7" x14ac:dyDescent="0.2">
      <c r="A606" t="str">
        <f>INDEX('ei names mapping'!$B$4:$BL$33,MATCH(B$234,'ei names mapping'!$A$4:$A$33,0),MATCH(G606,'ei names mapping'!$B$3:$BL$3,0))</f>
        <v>Acrolein</v>
      </c>
      <c r="B606" s="7">
        <f>INDEX('vehicles specifications'!$B$3:$CW$166,MATCH(B$549,'vehicles specifications'!$A$3:$A$166,0),MATCH(G606,'vehicles specifications'!$B$2:$CW$2,0))*INDEX('ei names mapping'!$B$137:$BL$300,MATCH(B$549,'ei names mapping'!$A$137:$A$300,0),MATCH(G606,'ei names mapping'!$B$136:$BL$136,0))</f>
        <v>1.2423430355302631E-6</v>
      </c>
      <c r="D606" t="str">
        <f>INDEX('ei names mapping'!$B$104:$BL$133,MATCH(B$234,'ei names mapping'!$A$4:$A$33,0),MATCH(G606,'ei names mapping'!$B$3:$BL$3,0))</f>
        <v>kilogram</v>
      </c>
      <c r="E606" t="str">
        <f>INDEX('ei names mapping'!$B$305:$BL$335,MATCH(B$234,'ei names mapping'!$A$4:$A$33,0),MATCH(G606,'ei names mapping'!$B$3:$BL$3,0))</f>
        <v>air::urban air close to ground</v>
      </c>
      <c r="F606" t="s">
        <v>167</v>
      </c>
      <c r="G606" t="s">
        <v>558</v>
      </c>
    </row>
    <row r="607" spans="1:7" x14ac:dyDescent="0.2">
      <c r="A607" t="str">
        <f>INDEX('ei names mapping'!$B$4:$BL$33,MATCH(B$234,'ei names mapping'!$A$4:$A$33,0),MATCH(G607,'ei names mapping'!$B$3:$BL$3,0))</f>
        <v>Styrene</v>
      </c>
      <c r="B607" s="7">
        <f>INDEX('vehicles specifications'!$B$3:$CW$166,MATCH(B$549,'vehicles specifications'!$A$3:$A$166,0),MATCH(G607,'vehicles specifications'!$B$2:$CW$2,0))*INDEX('ei names mapping'!$B$137:$BL$300,MATCH(B$549,'ei names mapping'!$A$137:$A$300,0),MATCH(G607,'ei names mapping'!$B$136:$BL$136,0))</f>
        <v>6.6040340309766626E-6</v>
      </c>
      <c r="D607" t="str">
        <f>INDEX('ei names mapping'!$B$104:$BL$133,MATCH(B$234,'ei names mapping'!$A$4:$A$33,0),MATCH(G607,'ei names mapping'!$B$3:$BL$3,0))</f>
        <v>kilogram</v>
      </c>
      <c r="E607" t="str">
        <f>INDEX('ei names mapping'!$B$305:$BL$335,MATCH(B$234,'ei names mapping'!$A$4:$A$33,0),MATCH(G607,'ei names mapping'!$B$3:$BL$3,0))</f>
        <v>air::urban air close to ground</v>
      </c>
      <c r="F607" t="s">
        <v>167</v>
      </c>
      <c r="G607" t="s">
        <v>559</v>
      </c>
    </row>
    <row r="608" spans="1:7" x14ac:dyDescent="0.2">
      <c r="A608" t="str">
        <f>INDEX('ei names mapping'!$B$4:$BL$33,MATCH(B$234,'ei names mapping'!$A$4:$A$33,0),MATCH(G608,'ei names mapping'!$B$3:$BL$3,0))</f>
        <v>PAH, polycyclic aromatic hydrocarbons</v>
      </c>
      <c r="B608" s="7">
        <f>INDEX('vehicles specifications'!$B$3:$CW$166,MATCH(B$549,'vehicles specifications'!$A$3:$A$166,0),MATCH(G608,'vehicles specifications'!$B$2:$CW$2,0))*INDEX('ei names mapping'!$B$137:$BL$300,MATCH(B$549,'ei names mapping'!$A$137:$A$300,0),MATCH(G608,'ei names mapping'!$B$136:$BL$136,0))</f>
        <v>8.3238843026002153E-10</v>
      </c>
      <c r="D608" t="str">
        <f>INDEX('ei names mapping'!$B$104:$BL$133,MATCH(B$234,'ei names mapping'!$A$4:$A$33,0),MATCH(G608,'ei names mapping'!$B$3:$BL$3,0))</f>
        <v>kilogram</v>
      </c>
      <c r="E608" t="str">
        <f>INDEX('ei names mapping'!$B$305:$BL$335,MATCH(B$234,'ei names mapping'!$A$4:$A$33,0),MATCH(G608,'ei names mapping'!$B$3:$BL$3,0))</f>
        <v>air::urban air close to ground</v>
      </c>
      <c r="F608" t="s">
        <v>167</v>
      </c>
      <c r="G608" t="s">
        <v>561</v>
      </c>
    </row>
    <row r="609" spans="1:8" x14ac:dyDescent="0.2">
      <c r="A609" t="str">
        <f>INDEX('ei names mapping'!$B$4:$BL$33,MATCH(B$234,'ei names mapping'!$A$4:$A$33,0),MATCH(G609,'ei names mapping'!$B$3:$BL$3,0))</f>
        <v>Arsenic</v>
      </c>
      <c r="B609" s="7">
        <f>INDEX('vehicles specifications'!$B$3:$CW$166,MATCH(B$549,'vehicles specifications'!$A$3:$A$166,0),MATCH(G609,'vehicles specifications'!$B$2:$CW$2,0))*INDEX('ei names mapping'!$B$137:$BL$300,MATCH(B$549,'ei names mapping'!$A$137:$A$300,0),MATCH(G609,'ei names mapping'!$B$136:$BL$136,0))</f>
        <v>7.1757623298277712E-12</v>
      </c>
      <c r="D609" t="str">
        <f>INDEX('ei names mapping'!$B$104:$BL$133,MATCH(B$234,'ei names mapping'!$A$4:$A$33,0),MATCH(G609,'ei names mapping'!$B$3:$BL$3,0))</f>
        <v>kilogram</v>
      </c>
      <c r="E609" t="str">
        <f>INDEX('ei names mapping'!$B$305:$BL$335,MATCH(B$234,'ei names mapping'!$A$4:$A$33,0),MATCH(G609,'ei names mapping'!$B$3:$BL$3,0))</f>
        <v>air::urban air close to ground</v>
      </c>
      <c r="F609" t="s">
        <v>167</v>
      </c>
      <c r="G609" t="s">
        <v>562</v>
      </c>
    </row>
    <row r="610" spans="1:8" x14ac:dyDescent="0.2">
      <c r="A610" t="str">
        <f>INDEX('ei names mapping'!$B$4:$BL$33,MATCH(B$234,'ei names mapping'!$A$4:$A$33,0),MATCH(G610,'ei names mapping'!$B$3:$BL$3,0))</f>
        <v>Selenium</v>
      </c>
      <c r="B610" s="7">
        <f>INDEX('vehicles specifications'!$B$3:$CW$166,MATCH(B$549,'vehicles specifications'!$A$3:$A$166,0),MATCH(G610,'vehicles specifications'!$B$2:$CW$2,0))*INDEX('ei names mapping'!$B$137:$BL$300,MATCH(B$549,'ei names mapping'!$A$137:$A$300,0),MATCH(G610,'ei names mapping'!$B$136:$BL$136,0))</f>
        <v>4.7838415532185142E-12</v>
      </c>
      <c r="D610" t="str">
        <f>INDEX('ei names mapping'!$B$104:$BL$133,MATCH(B$234,'ei names mapping'!$A$4:$A$33,0),MATCH(G610,'ei names mapping'!$B$3:$BL$3,0))</f>
        <v>kilogram</v>
      </c>
      <c r="E610" t="str">
        <f>INDEX('ei names mapping'!$B$305:$BL$335,MATCH(B$234,'ei names mapping'!$A$4:$A$33,0),MATCH(G610,'ei names mapping'!$B$3:$BL$3,0))</f>
        <v>air::urban air close to ground</v>
      </c>
      <c r="F610" t="s">
        <v>167</v>
      </c>
      <c r="G610" t="s">
        <v>563</v>
      </c>
    </row>
    <row r="611" spans="1:8" x14ac:dyDescent="0.2">
      <c r="A611" t="str">
        <f>INDEX('ei names mapping'!$B$4:$BL$33,MATCH(B$234,'ei names mapping'!$A$4:$A$33,0),MATCH(G611,'ei names mapping'!$B$3:$BL$3,0))</f>
        <v>Zinc</v>
      </c>
      <c r="B611" s="7">
        <f>INDEX('vehicles specifications'!$B$3:$CW$166,MATCH(B$549,'vehicles specifications'!$A$3:$A$166,0),MATCH(G611,'vehicles specifications'!$B$2:$CW$2,0))*INDEX('ei names mapping'!$B$137:$BL$300,MATCH(B$549,'ei names mapping'!$A$137:$A$300,0),MATCH(G611,'ei names mapping'!$B$136:$BL$136,0))</f>
        <v>5.1665488774759957E-8</v>
      </c>
      <c r="D611" t="str">
        <f>INDEX('ei names mapping'!$B$104:$BL$133,MATCH(B$234,'ei names mapping'!$A$4:$A$33,0),MATCH(G611,'ei names mapping'!$B$3:$BL$3,0))</f>
        <v>kilogram</v>
      </c>
      <c r="E611" t="str">
        <f>INDEX('ei names mapping'!$B$305:$BL$335,MATCH(B$234,'ei names mapping'!$A$4:$A$33,0),MATCH(G611,'ei names mapping'!$B$3:$BL$3,0))</f>
        <v>air::urban air close to ground</v>
      </c>
      <c r="F611" t="s">
        <v>167</v>
      </c>
      <c r="G611" t="s">
        <v>564</v>
      </c>
    </row>
    <row r="612" spans="1:8" x14ac:dyDescent="0.2">
      <c r="A612" t="str">
        <f>INDEX('ei names mapping'!$B$4:$BL$33,MATCH(B$234,'ei names mapping'!$A$4:$A$33,0),MATCH(G612,'ei names mapping'!$B$3:$BL$3,0))</f>
        <v>Copper</v>
      </c>
      <c r="B612" s="7">
        <f>INDEX('vehicles specifications'!$B$3:$CW$166,MATCH(B$549,'vehicles specifications'!$A$3:$A$166,0),MATCH(G612,'vehicles specifications'!$B$2:$CW$2,0))*INDEX('ei names mapping'!$B$137:$BL$300,MATCH(B$549,'ei names mapping'!$A$137:$A$300,0),MATCH(G612,'ei names mapping'!$B$136:$BL$136,0))</f>
        <v>1.0046067261758878E-9</v>
      </c>
      <c r="D612" t="str">
        <f>INDEX('ei names mapping'!$B$104:$BL$133,MATCH(B$234,'ei names mapping'!$A$4:$A$33,0),MATCH(G612,'ei names mapping'!$B$3:$BL$3,0))</f>
        <v>kilogram</v>
      </c>
      <c r="E612" t="str">
        <f>INDEX('ei names mapping'!$B$305:$BL$335,MATCH(B$234,'ei names mapping'!$A$4:$A$33,0),MATCH(G612,'ei names mapping'!$B$3:$BL$3,0))</f>
        <v>air::urban air close to ground</v>
      </c>
      <c r="F612" t="s">
        <v>167</v>
      </c>
      <c r="G612" t="s">
        <v>522</v>
      </c>
    </row>
    <row r="613" spans="1:8" x14ac:dyDescent="0.2">
      <c r="A613" t="str">
        <f>INDEX('ei names mapping'!$B$4:$BL$33,MATCH(B$234,'ei names mapping'!$A$4:$A$33,0),MATCH(G613,'ei names mapping'!$B$3:$BL$3,0))</f>
        <v>Nickel</v>
      </c>
      <c r="B613" s="7">
        <f>INDEX('vehicles specifications'!$B$3:$CW$166,MATCH(B$549,'vehicles specifications'!$A$3:$A$166,0),MATCH(G613,'vehicles specifications'!$B$2:$CW$2,0))*INDEX('ei names mapping'!$B$137:$BL$300,MATCH(B$549,'ei names mapping'!$A$137:$A$300,0),MATCH(G613,'ei names mapping'!$B$136:$BL$136,0))</f>
        <v>3.1094970095920345E-10</v>
      </c>
      <c r="D613" t="str">
        <f>INDEX('ei names mapping'!$B$104:$BL$133,MATCH(B$234,'ei names mapping'!$A$4:$A$33,0),MATCH(G613,'ei names mapping'!$B$3:$BL$3,0))</f>
        <v>kilogram</v>
      </c>
      <c r="E613" t="str">
        <f>INDEX('ei names mapping'!$B$305:$BL$335,MATCH(B$234,'ei names mapping'!$A$4:$A$33,0),MATCH(G613,'ei names mapping'!$B$3:$BL$3,0))</f>
        <v>air::urban air close to ground</v>
      </c>
      <c r="F613" t="s">
        <v>167</v>
      </c>
      <c r="G613" t="s">
        <v>524</v>
      </c>
    </row>
    <row r="614" spans="1:8" x14ac:dyDescent="0.2">
      <c r="A614" t="str">
        <f>INDEX('ei names mapping'!$B$4:$BL$33,MATCH(B$234,'ei names mapping'!$A$4:$A$33,0),MATCH(G614,'ei names mapping'!$B$3:$BL$3,0))</f>
        <v>Chromium</v>
      </c>
      <c r="B614" s="7">
        <f>INDEX('vehicles specifications'!$B$3:$CW$166,MATCH(B$549,'vehicles specifications'!$A$3:$A$166,0),MATCH(G614,'vehicles specifications'!$B$2:$CW$2,0))*INDEX('ei names mapping'!$B$137:$BL$300,MATCH(B$549,'ei names mapping'!$A$137:$A$300,0),MATCH(G614,'ei names mapping'!$B$136:$BL$136,0))</f>
        <v>3.8270732425748116E-10</v>
      </c>
      <c r="D614" t="str">
        <f>INDEX('ei names mapping'!$B$104:$BL$133,MATCH(B$234,'ei names mapping'!$A$4:$A$33,0),MATCH(G614,'ei names mapping'!$B$3:$BL$3,0))</f>
        <v>kilogram</v>
      </c>
      <c r="E614" t="str">
        <f>INDEX('ei names mapping'!$B$305:$BL$335,MATCH(B$234,'ei names mapping'!$A$4:$A$33,0),MATCH(G614,'ei names mapping'!$B$3:$BL$3,0))</f>
        <v>air::urban air close to ground</v>
      </c>
      <c r="F614" t="s">
        <v>167</v>
      </c>
      <c r="G614" t="s">
        <v>523</v>
      </c>
    </row>
    <row r="615" spans="1:8" x14ac:dyDescent="0.2">
      <c r="A615" t="str">
        <f>INDEX('ei names mapping'!$B$4:$BL$33,MATCH(B$234,'ei names mapping'!$A$4:$A$33,0),MATCH(G615,'ei names mapping'!$B$3:$BL$3,0))</f>
        <v>Chromium VI</v>
      </c>
      <c r="B615" s="7">
        <f>INDEX('vehicles specifications'!$B$3:$CW$166,MATCH(B$549,'vehicles specifications'!$A$3:$A$166,0),MATCH(G615,'vehicles specifications'!$B$2:$CW$2,0))*INDEX('ei names mapping'!$B$137:$BL$300,MATCH(B$549,'ei names mapping'!$A$137:$A$300,0),MATCH(G615,'ei names mapping'!$B$136:$BL$136,0))</f>
        <v>7.6541464851496223E-13</v>
      </c>
      <c r="D615" t="str">
        <f>INDEX('ei names mapping'!$B$104:$BL$133,MATCH(B$234,'ei names mapping'!$A$4:$A$33,0),MATCH(G615,'ei names mapping'!$B$3:$BL$3,0))</f>
        <v>kilogram</v>
      </c>
      <c r="E615" t="str">
        <f>INDEX('ei names mapping'!$B$305:$BL$335,MATCH(B$234,'ei names mapping'!$A$4:$A$33,0),MATCH(G615,'ei names mapping'!$B$3:$BL$3,0))</f>
        <v>air::urban air close to ground</v>
      </c>
      <c r="F615" t="s">
        <v>167</v>
      </c>
      <c r="G615" t="s">
        <v>567</v>
      </c>
    </row>
    <row r="616" spans="1:8" x14ac:dyDescent="0.2">
      <c r="A616" t="str">
        <f>INDEX('ei names mapping'!$B$4:$BL$33,MATCH(B$234,'ei names mapping'!$A$4:$A$33,0),MATCH(G616,'ei names mapping'!$B$3:$BL$3,0))</f>
        <v>Mercury</v>
      </c>
      <c r="B616" s="7">
        <f>INDEX('vehicles specifications'!$B$3:$CW$166,MATCH(B$549,'vehicles specifications'!$A$3:$A$166,0),MATCH(G616,'vehicles specifications'!$B$2:$CW$2,0))*INDEX('ei names mapping'!$B$137:$BL$300,MATCH(B$549,'ei names mapping'!$A$137:$A$300,0),MATCH(G616,'ei names mapping'!$B$136:$BL$136,0))</f>
        <v>2.0809710756500538E-10</v>
      </c>
      <c r="D616" t="str">
        <f>INDEX('ei names mapping'!$B$104:$BL$133,MATCH(B$234,'ei names mapping'!$A$4:$A$33,0),MATCH(G616,'ei names mapping'!$B$3:$BL$3,0))</f>
        <v>kilogram</v>
      </c>
      <c r="E616" t="str">
        <f>INDEX('ei names mapping'!$B$305:$BL$335,MATCH(B$234,'ei names mapping'!$A$4:$A$33,0),MATCH(G616,'ei names mapping'!$B$3:$BL$3,0))</f>
        <v>air::urban air close to ground</v>
      </c>
      <c r="F616" t="s">
        <v>167</v>
      </c>
      <c r="G616" t="s">
        <v>565</v>
      </c>
    </row>
    <row r="617" spans="1:8" x14ac:dyDescent="0.2">
      <c r="A617" t="str">
        <f>INDEX('ei names mapping'!$B$4:$BL$33,MATCH(B$234,'ei names mapping'!$A$4:$A$33,0),MATCH(G617,'ei names mapping'!$B$3:$BL$3,0))</f>
        <v>Cadmium</v>
      </c>
      <c r="B617" s="7">
        <f>INDEX('vehicles specifications'!$B$3:$CW$166,MATCH(B$549,'vehicles specifications'!$A$3:$A$166,0),MATCH(G617,'vehicles specifications'!$B$2:$CW$2,0))*INDEX('ei names mapping'!$B$137:$BL$300,MATCH(B$549,'ei names mapping'!$A$137:$A$300,0),MATCH(G617,'ei names mapping'!$B$136:$BL$136,0))</f>
        <v>2.5832744387379982E-10</v>
      </c>
      <c r="D617" t="str">
        <f>INDEX('ei names mapping'!$B$104:$BL$133,MATCH(B$234,'ei names mapping'!$A$4:$A$33,0),MATCH(G617,'ei names mapping'!$B$3:$BL$3,0))</f>
        <v>kilogram</v>
      </c>
      <c r="E617" t="str">
        <f>INDEX('ei names mapping'!$B$305:$BL$335,MATCH(B$234,'ei names mapping'!$A$4:$A$33,0),MATCH(G617,'ei names mapping'!$B$3:$BL$3,0))</f>
        <v>air::urban air close to ground</v>
      </c>
      <c r="F617" t="s">
        <v>167</v>
      </c>
      <c r="G617" t="s">
        <v>566</v>
      </c>
    </row>
    <row r="618" spans="1:8" x14ac:dyDescent="0.2">
      <c r="A618" t="str">
        <f>INDEX('ei names mapping'!$B$4:$BL$33,MATCH(B546,'ei names mapping'!$A$4:$A$33,0),MATCH(G618,'ei names mapping'!$B$3:$BL$3,0))</f>
        <v>treatment of road wear emissions, passenger car</v>
      </c>
      <c r="B618" s="7">
        <f>INDEX('vehicles specifications'!$B$3:$CW$166,MATCH(B549,'vehicles specifications'!$A$3:$A$166,0),MATCH(G618,'vehicles specifications'!$B$2:$CW$2,0))*INDEX('ei names mapping'!$B$137:$BL$300,MATCH(B549,'ei names mapping'!$A$137:$A$300,0),MATCH(G618,'ei names mapping'!$B$136:$BL$136,0))</f>
        <v>-7.3792374669921879E-6</v>
      </c>
      <c r="C618" t="str">
        <f>INDEX('ei names mapping'!$B$38:$BL$67,MATCH(B546,'ei names mapping'!$A$4:$A$33,0),MATCH(G618,'ei names mapping'!$B$3:$BL$3,0))</f>
        <v>RER</v>
      </c>
      <c r="D618" t="str">
        <f>INDEX('ei names mapping'!$B$104:$BL$133,MATCH(B546,'ei names mapping'!$A$4:$A$33,0),MATCH(G618,'ei names mapping'!$B$3:$BL$3,0))</f>
        <v>kilogram</v>
      </c>
      <c r="F618" t="s">
        <v>89</v>
      </c>
      <c r="G618" t="s">
        <v>29</v>
      </c>
      <c r="H618" t="str">
        <f>INDEX('ei names mapping'!$B$71:$BL$100,MATCH(B546,'ei names mapping'!$A$4:$A$33,0),MATCH(G618,'ei names mapping'!$B$3:$BL$3,0))</f>
        <v>road wear emissions, passenger car</v>
      </c>
    </row>
    <row r="619" spans="1:8" x14ac:dyDescent="0.2">
      <c r="A619" t="str">
        <f>INDEX('ei names mapping'!$B$4:$BL$33,MATCH(B546,'ei names mapping'!$A$4:$A$33,0),MATCH(G619,'ei names mapping'!$B$3:$BL$3,0))</f>
        <v>treatment of tyre wear emissions, passenger car</v>
      </c>
      <c r="B619" s="7">
        <f>INDEX('vehicles specifications'!$B$3:$CW$166,MATCH(B549,'vehicles specifications'!$A$3:$A$166,0),MATCH(G619,'vehicles specifications'!$B$2:$CW$2,0))*INDEX('ei names mapping'!$B$137:$BL$300,MATCH(B549,'ei names mapping'!$A$137:$A$300,0),MATCH(G619,'ei names mapping'!$B$136:$BL$136,0))</f>
        <v>-5.7314559618265601E-6</v>
      </c>
      <c r="C619" t="str">
        <f>INDEX('ei names mapping'!$B$38:$BL$67,MATCH(B546,'ei names mapping'!$A$4:$A$33,0),MATCH(G619,'ei names mapping'!$B$3:$BL$3,0))</f>
        <v>RER</v>
      </c>
      <c r="D619" t="str">
        <f>INDEX('ei names mapping'!$B$104:$BL$133,MATCH(B546,'ei names mapping'!$A$4:$A$33,0),MATCH(G619,'ei names mapping'!$B$3:$BL$3,0))</f>
        <v>kilogram</v>
      </c>
      <c r="F619" t="s">
        <v>89</v>
      </c>
      <c r="G619" t="s">
        <v>30</v>
      </c>
      <c r="H619" t="str">
        <f>INDEX('ei names mapping'!$B$71:$BL$100,MATCH(B546,'ei names mapping'!$A$4:$A$33,0),MATCH(G619,'ei names mapping'!$B$3:$BL$3,0))</f>
        <v>tyre wear emissions, passenger car</v>
      </c>
    </row>
    <row r="620" spans="1:8" x14ac:dyDescent="0.2">
      <c r="A620" t="str">
        <f>INDEX('ei names mapping'!$B$4:$BL$33,MATCH(B546,'ei names mapping'!$A$4:$A$33,0),MATCH(G620,'ei names mapping'!$B$3:$BL$3,0))</f>
        <v>treatment of brake wear emissions, passenger car</v>
      </c>
      <c r="B620" s="7">
        <f>INDEX('vehicles specifications'!$B$3:$CW$166,MATCH(B549,'vehicles specifications'!$A$3:$A$166,0),MATCH(G620,'vehicles specifications'!$B$2:$CW$2,0))*INDEX('ei names mapping'!$B$137:$BL$300,MATCH(B549,'ei names mapping'!$A$137:$A$300,0),MATCH(G620,'ei names mapping'!$B$136:$BL$136,0))</f>
        <v>-4.0805259485091488E-6</v>
      </c>
      <c r="C620" t="str">
        <f>INDEX('ei names mapping'!$B$38:$BL$67,MATCH(B546,'ei names mapping'!$A$4:$A$33,0),MATCH(G620,'ei names mapping'!$B$3:$BL$3,0))</f>
        <v>RER</v>
      </c>
      <c r="D620" t="str">
        <f>INDEX('ei names mapping'!$B$104:$BL$133,MATCH(B546,'ei names mapping'!$A$4:$A$33,0),MATCH(G620,'ei names mapping'!$B$3:$BL$3,0))</f>
        <v>kilogram</v>
      </c>
      <c r="F620" t="s">
        <v>89</v>
      </c>
      <c r="G620" t="s">
        <v>31</v>
      </c>
      <c r="H620" t="str">
        <f>INDEX('ei names mapping'!$B$71:$BL$100,MATCH(B546,'ei names mapping'!$A$4:$A$33,0),MATCH(G620,'ei names mapping'!$B$3:$BL$3,0))</f>
        <v>brake wear emissions, passenger car</v>
      </c>
    </row>
    <row r="622" spans="1:8" ht="16" x14ac:dyDescent="0.2">
      <c r="A622" s="10" t="s">
        <v>71</v>
      </c>
      <c r="B622" s="8" t="str">
        <f>"transport, "&amp;B624&amp;", "&amp;B626</f>
        <v>transport, Scooter, gasoline, 4-11kW, EURO-5, 2050</v>
      </c>
    </row>
    <row r="623" spans="1:8" x14ac:dyDescent="0.2">
      <c r="A623" t="s">
        <v>72</v>
      </c>
      <c r="B623" t="s">
        <v>37</v>
      </c>
    </row>
    <row r="624" spans="1:8" x14ac:dyDescent="0.2">
      <c r="A624" t="s">
        <v>86</v>
      </c>
      <c r="B624" t="s">
        <v>572</v>
      </c>
    </row>
    <row r="625" spans="1:2" x14ac:dyDescent="0.2">
      <c r="A625" t="s">
        <v>87</v>
      </c>
    </row>
    <row r="626" spans="1:2" x14ac:dyDescent="0.2">
      <c r="A626" t="s">
        <v>88</v>
      </c>
      <c r="B626">
        <v>2050</v>
      </c>
    </row>
    <row r="627" spans="1:2" x14ac:dyDescent="0.2">
      <c r="A627" t="s">
        <v>126</v>
      </c>
      <c r="B627" t="str">
        <f>B624&amp;" - "&amp;B626&amp;" - "&amp;B623</f>
        <v>Scooter, gasoline, 4-11kW, EURO-5 - 2050 - CH</v>
      </c>
    </row>
    <row r="628" spans="1:2" x14ac:dyDescent="0.2">
      <c r="A628" t="s">
        <v>73</v>
      </c>
      <c r="B628" t="str">
        <f>"transport, "&amp;B624</f>
        <v>transport, Scooter, gasoline, 4-11kW, EURO-5</v>
      </c>
    </row>
    <row r="629" spans="1:2" x14ac:dyDescent="0.2">
      <c r="A629" t="s">
        <v>74</v>
      </c>
      <c r="B629" t="s">
        <v>75</v>
      </c>
    </row>
    <row r="630" spans="1:2" x14ac:dyDescent="0.2">
      <c r="A630" t="s">
        <v>76</v>
      </c>
      <c r="B630" t="s">
        <v>166</v>
      </c>
    </row>
    <row r="631" spans="1:2" x14ac:dyDescent="0.2">
      <c r="A631" t="s">
        <v>78</v>
      </c>
      <c r="B631" t="s">
        <v>1143</v>
      </c>
    </row>
    <row r="632" spans="1:2" x14ac:dyDescent="0.2">
      <c r="A632" t="s">
        <v>127</v>
      </c>
      <c r="B632">
        <f>INDEX('vehicles specifications'!$B$3:$CW$166,MATCH(B627,'vehicles specifications'!$A$3:$A$166,0),MATCH("Lifetime [km]",'vehicles specifications'!$B$2:$CW$2,0))</f>
        <v>30000</v>
      </c>
    </row>
    <row r="633" spans="1:2" x14ac:dyDescent="0.2">
      <c r="A633" t="s">
        <v>128</v>
      </c>
      <c r="B633">
        <f>INDEX('vehicles specifications'!$B$3:$CW$166,MATCH(B627,'vehicles specifications'!$A$3:$A$166,0),MATCH("Passengers [unit]",'vehicles specifications'!$B$2:$CW$2,0))</f>
        <v>1</v>
      </c>
    </row>
    <row r="634" spans="1:2" x14ac:dyDescent="0.2">
      <c r="A634" t="s">
        <v>129</v>
      </c>
      <c r="B634">
        <f>INDEX('vehicles specifications'!$B$3:$CW$166,MATCH(B627,'vehicles specifications'!$A$3:$A$166,0),MATCH("Servicing [unit]",'vehicles specifications'!$B$2:$CW$2,0))</f>
        <v>1.2</v>
      </c>
    </row>
    <row r="635" spans="1:2" x14ac:dyDescent="0.2">
      <c r="A635" t="s">
        <v>130</v>
      </c>
      <c r="B635">
        <f>INDEX('vehicles specifications'!$B$3:$CW$166,MATCH(B627,'vehicles specifications'!$A$3:$A$166,0),MATCH("Energy battery replacement [unit]",'vehicles specifications'!$B$2:$CW$2,0))</f>
        <v>0</v>
      </c>
    </row>
    <row r="636" spans="1:2" x14ac:dyDescent="0.2">
      <c r="A636" t="s">
        <v>131</v>
      </c>
      <c r="B636">
        <f>INDEX('vehicles specifications'!$B$3:$CW$166,MATCH(B627,'vehicles specifications'!$A$3:$A$166,0),MATCH("Annual kilometers [km]",'vehicles specifications'!$B$2:$CW$2,0))</f>
        <v>1870</v>
      </c>
    </row>
    <row r="637" spans="1:2" x14ac:dyDescent="0.2">
      <c r="A637" t="s">
        <v>132</v>
      </c>
      <c r="B637" s="2">
        <f>INDEX('vehicles specifications'!$B$3:$CW$166,MATCH(B627,'vehicles specifications'!$A$3:$A$166,0),MATCH("Curb mass [kg]",'vehicles specifications'!$B$2:$CW$2,0))</f>
        <v>122.8625</v>
      </c>
    </row>
    <row r="638" spans="1:2" x14ac:dyDescent="0.2">
      <c r="A638" t="s">
        <v>133</v>
      </c>
      <c r="B638">
        <f>INDEX('vehicles specifications'!$B$3:$CW$166,MATCH(B627,'vehicles specifications'!$A$3:$A$166,0),MATCH("Power [kW]",'vehicles specifications'!$B$2:$CW$2,0))</f>
        <v>8.8000000000000007</v>
      </c>
    </row>
    <row r="639" spans="1:2" x14ac:dyDescent="0.2">
      <c r="A639" t="s">
        <v>134</v>
      </c>
      <c r="B639" t="str">
        <f>INDEX('vehicles specifications'!$B$3:$CW$166,MATCH(B627,'vehicles specifications'!$A$3:$A$166,0),MATCH("Energy battery mass [kg]",'vehicles specifications'!$B$2:$CW$2,0))</f>
        <v/>
      </c>
    </row>
    <row r="640" spans="1:2" x14ac:dyDescent="0.2">
      <c r="A640" t="s">
        <v>135</v>
      </c>
      <c r="B640">
        <f>INDEX('vehicles specifications'!$B$3:$CW$166,MATCH(B627,'vehicles specifications'!$A$3:$A$166,0),MATCH("Electric energy available [kWh]",'vehicles specifications'!$B$2:$CW$2,0))</f>
        <v>0</v>
      </c>
    </row>
    <row r="641" spans="1:8" x14ac:dyDescent="0.2">
      <c r="A641" t="s">
        <v>138</v>
      </c>
      <c r="B641" s="2">
        <f>INDEX('vehicles specifications'!$B$3:$CW$166,MATCH(B627,'vehicles specifications'!$A$3:$A$166,0),MATCH("Oxydation energy stored [kWh]",'vehicles specifications'!$B$2:$CW$2,0))</f>
        <v>79.875</v>
      </c>
    </row>
    <row r="642" spans="1:8" x14ac:dyDescent="0.2">
      <c r="A642" t="s">
        <v>139</v>
      </c>
      <c r="B642">
        <f>INDEX('vehicles specifications'!$B$3:$CW$166,MATCH(B627,'vehicles specifications'!$A$3:$A$166,0),MATCH("Fuel mass [kg]",'vehicles specifications'!$B$2:$CW$2,0))</f>
        <v>6.75</v>
      </c>
    </row>
    <row r="643" spans="1:8" x14ac:dyDescent="0.2">
      <c r="A643" t="s">
        <v>136</v>
      </c>
      <c r="B643" s="2">
        <f>INDEX('vehicles specifications'!$B$3:$CW$166,MATCH(B627,'vehicles specifications'!$A$3:$A$166,0),MATCH("Range [km]",'vehicles specifications'!$B$2:$CW$2,0))</f>
        <v>285.72119385235459</v>
      </c>
    </row>
    <row r="644" spans="1:8" x14ac:dyDescent="0.2">
      <c r="A644" t="s">
        <v>137</v>
      </c>
      <c r="B644" t="str">
        <f>INDEX('vehicles specifications'!$B$3:$CW$166,MATCH(B627,'vehicles specifications'!$A$3:$A$166,0),MATCH("Emission standard",'vehicles specifications'!$B$2:$CW$2,0))</f>
        <v>EURO-5</v>
      </c>
    </row>
    <row r="645" spans="1:8" x14ac:dyDescent="0.2">
      <c r="A645" t="s">
        <v>1174</v>
      </c>
      <c r="B645" s="6">
        <f>INDEX('vehicles specifications'!$B$3:$CW$166,MATCH(B627,'vehicles specifications'!$A$3:$A$166,0),MATCH("Lightweighting rate [%]",'vehicles specifications'!$B$2:$CW$2,0))</f>
        <v>7.0000000000000007E-2</v>
      </c>
    </row>
    <row r="646" spans="1:8" x14ac:dyDescent="0.2">
      <c r="A646" t="s">
        <v>83</v>
      </c>
      <c r="B646" t="str">
        <f>"Power: "&amp;B638&amp;" kW. Lifetime: "&amp;B632&amp;" km. Annual kilometers: "&amp;B636&amp;" km. Number of passengers: "&amp;B633&amp;". Curb mass: "&amp;ROUND(B637,1)&amp;" kg. Lightweighting of glider: "&amp;ROUND(B645*100,0)&amp;"%. Emission standard: "&amp;B644&amp;". Service visits throughout lifetime: "&amp;ROUND(B634,1)&amp;". Range: "&amp;ROUND(B643,0)&amp;" km. Fuel tank capacity: "&amp;ROUND(B641,1)&amp;" kWh. Fuel mass: "&amp;ROUND(B642,1)&amp;" kg. Documentation: "&amp;Readmefirst!$B$2&amp;", "&amp;Readmefirst!$B$3&amp;". "&amp;B631</f>
        <v>Power: 8.8 kW. Lifetime: 30000 km. Annual kilometers: 1870 km. Number of passengers: 1. Curb mass: 122.9 kg. Lightweighting of glider: 7%. Emission standard: EURO-5. Service visits throughout lifetime: 1.2. Range: 286 km. Fuel tank capacity: 79.9 kWh. Fuel mass: 6.8 kg. Documentation: Life-cycle inventories for on-road vehicles, Sacchi R. (PSI), Bauer C. (PSI), 2021. Sacchi R., Bauer C. Life cycle inventories for on-road vehicles. Paul Scherrer Institut, 2021.</v>
      </c>
    </row>
    <row r="647" spans="1:8" ht="16" x14ac:dyDescent="0.2">
      <c r="A647" s="10" t="s">
        <v>79</v>
      </c>
    </row>
    <row r="648" spans="1:8" x14ac:dyDescent="0.2">
      <c r="A648" t="s">
        <v>80</v>
      </c>
      <c r="B648" t="s">
        <v>81</v>
      </c>
      <c r="C648" t="s">
        <v>72</v>
      </c>
      <c r="D648" t="s">
        <v>76</v>
      </c>
      <c r="E648" t="s">
        <v>82</v>
      </c>
      <c r="F648" t="s">
        <v>74</v>
      </c>
      <c r="G648" t="s">
        <v>83</v>
      </c>
      <c r="H648" t="s">
        <v>73</v>
      </c>
    </row>
    <row r="649" spans="1:8" x14ac:dyDescent="0.2">
      <c r="A649" t="str">
        <f>B622</f>
        <v>transport, Scooter, gasoline, 4-11kW, EURO-5, 2050</v>
      </c>
      <c r="B649">
        <v>1</v>
      </c>
      <c r="C649" t="str">
        <f>B623</f>
        <v>CH</v>
      </c>
      <c r="D649" t="s">
        <v>166</v>
      </c>
      <c r="F649" t="s">
        <v>84</v>
      </c>
      <c r="G649" t="s">
        <v>85</v>
      </c>
      <c r="H649" t="str">
        <f>B628</f>
        <v>transport, Scooter, gasoline, 4-11kW, EURO-5</v>
      </c>
    </row>
    <row r="650" spans="1:8" x14ac:dyDescent="0.2">
      <c r="A650" t="str">
        <f>RIGHT(A649,LEN(A649)-11)</f>
        <v>Scooter, gasoline, 4-11kW, EURO-5, 2050</v>
      </c>
      <c r="B650" s="7">
        <f>1/B632</f>
        <v>3.3333333333333335E-5</v>
      </c>
      <c r="C650" t="str">
        <f>B623</f>
        <v>CH</v>
      </c>
      <c r="D650" t="s">
        <v>76</v>
      </c>
      <c r="F650" t="s">
        <v>89</v>
      </c>
      <c r="H650" t="str">
        <f>RIGHT(H649,LEN(H649)-11)</f>
        <v>Scooter, gasoline, 4-11kW, EURO-5</v>
      </c>
    </row>
    <row r="651" spans="1:8" x14ac:dyDescent="0.2">
      <c r="A651" t="str">
        <f>INDEX('ei names mapping'!$B$4:$R$33,MATCH(B624,'ei names mapping'!$A$4:$A$33,0),MATCH(G651,'ei names mapping'!$B$3:$R$3,0))</f>
        <v>road construction</v>
      </c>
      <c r="B651" s="7">
        <f>INDEX('vehicles specifications'!$B$3:$CW$166,MATCH(B627,'vehicles specifications'!$A$3:$A$166,0),MATCH(G651,'vehicles specifications'!$B$2:$CW$2,0))*INDEX('ei names mapping'!$B$137:$BL$300,MATCH(B627,'ei names mapping'!$A$137:$A$300,0),MATCH(G651,'ei names mapping'!$B$136:$BL$136,0))</f>
        <v>1.0840016250000001E-4</v>
      </c>
      <c r="C651" t="str">
        <f>INDEX('ei names mapping'!$B$38:$R$67,MATCH(B624,'ei names mapping'!$A$4:$A$33,0),MATCH(G651,'ei names mapping'!$B$3:$R$3,0))</f>
        <v>CH</v>
      </c>
      <c r="D651" t="str">
        <f>INDEX('ei names mapping'!$B$104:$BL$133,MATCH(B624,'ei names mapping'!$A$4:$A$33,0),MATCH(G651,'ei names mapping'!$B$3:$BL$3,0))</f>
        <v>meter-year</v>
      </c>
      <c r="F651" t="s">
        <v>89</v>
      </c>
      <c r="G651" t="s">
        <v>105</v>
      </c>
      <c r="H651" t="str">
        <f>INDEX('ei names mapping'!$B$71:$BL$100,MATCH(B624,'ei names mapping'!$A$4:$A$33,0),MATCH(G651,'ei names mapping'!$B$3:$BL$3,0))</f>
        <v>road</v>
      </c>
    </row>
    <row r="652" spans="1:8" x14ac:dyDescent="0.2">
      <c r="A652" t="str">
        <f>INDEX('ei names mapping'!$B$4:$R$33,MATCH(B624,'ei names mapping'!$A$4:$A$33,0),MATCH(G652,'ei names mapping'!$B$3:$R$3,0))</f>
        <v>road maintenance</v>
      </c>
      <c r="B652" s="7">
        <f>INDEX('vehicles specifications'!$B$3:$CW$166,MATCH(B627,'vehicles specifications'!$A$3:$A$166,0),MATCH(G652,'vehicles specifications'!$B$2:$CW$2,0))*INDEX('ei names mapping'!$B$137:$BL$300,MATCH(B627,'ei names mapping'!$A$137:$A$300,0),MATCH(G652,'ei names mapping'!$B$136:$BL$136,0))</f>
        <v>1.2899999999999999E-3</v>
      </c>
      <c r="C652" t="str">
        <f>INDEX('ei names mapping'!$B$38:$R$67,MATCH(B624,'ei names mapping'!$A$4:$A$33,0),MATCH(G652,'ei names mapping'!$B$3:$R$3,0))</f>
        <v>CH</v>
      </c>
      <c r="D652" t="str">
        <f>INDEX('ei names mapping'!$B$104:$BL$133,MATCH(B624,'ei names mapping'!$A$4:$A$33,0),MATCH(G652,'ei names mapping'!$B$3:$BL$3,0))</f>
        <v>meter-year</v>
      </c>
      <c r="F652" t="s">
        <v>89</v>
      </c>
      <c r="G652" t="s">
        <v>112</v>
      </c>
      <c r="H652" t="str">
        <f>INDEX('ei names mapping'!$B$71:$BL$100,MATCH(B624,'ei names mapping'!$A$4:$A$33,0),MATCH(G652,'ei names mapping'!$B$3:$BL$3,0))</f>
        <v>road maintenance</v>
      </c>
    </row>
    <row r="653" spans="1:8" x14ac:dyDescent="0.2">
      <c r="A653" t="str">
        <f>INDEX('ei names mapping'!$B$4:$R$33,MATCH(B624,'ei names mapping'!$A$4:$A$33,0),MATCH(G653,'ei names mapping'!$B$3:$R$3,0))</f>
        <v>maintenance, motor scooter</v>
      </c>
      <c r="B653" s="7">
        <f>INDEX('vehicles specifications'!$B$3:$CW$166,MATCH(B627,'vehicles specifications'!$A$3:$A$166,0),MATCH(G653,'vehicles specifications'!$B$2:$CW$2,0))*INDEX('ei names mapping'!$B$137:$BL$300,MATCH(B627,'ei names mapping'!$A$137:$A$300,0),MATCH(G653,'ei names mapping'!$B$136:$BL$136,0))</f>
        <v>4.0000000000000003E-5</v>
      </c>
      <c r="C653" t="str">
        <f>INDEX('ei names mapping'!$B$38:$BL$67,MATCH(B624,'ei names mapping'!$A$4:$A$33,0),MATCH(G653,'ei names mapping'!$B$3:$BL$3,0))</f>
        <v>CH</v>
      </c>
      <c r="D653" t="str">
        <f>INDEX('ei names mapping'!$B$104:$BL$133,MATCH(B624,'ei names mapping'!$A$4:$A$33,0),MATCH(G653,'ei names mapping'!$B$3:$BL$3,0))</f>
        <v>unit</v>
      </c>
      <c r="F653" t="s">
        <v>89</v>
      </c>
      <c r="G653" t="s">
        <v>118</v>
      </c>
      <c r="H653" t="str">
        <f>INDEX('ei names mapping'!$B$71:$BL$100,MATCH(B624,'ei names mapping'!$A$4:$A$33,0),MATCH(G653,'ei names mapping'!$B$3:$BL$3,0))</f>
        <v>maintenance, motor scooter</v>
      </c>
    </row>
    <row r="654" spans="1:8" x14ac:dyDescent="0.2">
      <c r="A654" t="str">
        <f>INDEX('ei names mapping'!$B$4:$R$33,MATCH(B624,'ei names mapping'!$A$4:$A$33,0),MATCH(G654,'ei names mapping'!$B$3:$R$3,0))</f>
        <v>fuel supply for gasoline vehicles</v>
      </c>
      <c r="B654" s="7">
        <f>INDEX('vehicles specifications'!$B$3:$CW$166,MATCH(B627,'vehicles specifications'!$A$3:$A$166,0),MATCH(G654,'vehicles specifications'!$B$2:$CW$2,0))*INDEX('ei names mapping'!$B$137:$BL$300,MATCH(B627,'ei names mapping'!$A$137:$A$300,0),MATCH(G654,'ei names mapping'!$B$136:$BL$136,0))</f>
        <v>2.3624428797144246E-2</v>
      </c>
      <c r="C654" t="str">
        <f>INDEX('ei names mapping'!$B$38:$BL$67,MATCH(B624,'ei names mapping'!$A$4:$A$33,0),MATCH(G654,'ei names mapping'!$B$3:$BL$3,0))</f>
        <v>CH</v>
      </c>
      <c r="D654" t="str">
        <f>INDEX('ei names mapping'!$B$104:$BL$133,MATCH(B624,'ei names mapping'!$A$4:$A$33,0),MATCH(G654,'ei names mapping'!$B$3:$BL$3,0))</f>
        <v>kilogram</v>
      </c>
      <c r="F654" t="s">
        <v>89</v>
      </c>
      <c r="G654" t="s">
        <v>27</v>
      </c>
      <c r="H654" t="str">
        <f>INDEX('ei names mapping'!$B$71:$BL$100,MATCH(B624,'ei names mapping'!$A$4:$A$33,0),MATCH(G654,'ei names mapping'!$B$3:$BL$3,0))</f>
        <v>gasoline blend</v>
      </c>
    </row>
    <row r="655" spans="1:8" x14ac:dyDescent="0.2">
      <c r="A655" t="str">
        <f>INDEX('ei names mapping'!$B$4:$BL$33,MATCH(B624,'ei names mapping'!$A$4:$A$33,0),MATCH(G655,'ei names mapping'!$B$3:$BL$3,0))</f>
        <v>Carbon dioxide, fossil</v>
      </c>
      <c r="B655" s="7">
        <f>INDEX('vehicles specifications'!$B$3:$CW$166,MATCH(B627,'vehicles specifications'!$A$3:$A$166,0),MATCH(G655,'vehicles specifications'!$B$2:$CW$2,0))*INDEX('ei names mapping'!$B$137:$BL$300,MATCH(B627,'ei names mapping'!$A$137:$A$300,0),MATCH(G655,'ei names mapping'!$B$136:$BL$136,0))</f>
        <v>7.3290537945956538E-2</v>
      </c>
      <c r="D655" t="str">
        <f>INDEX('ei names mapping'!$B$104:$BL$133,MATCH(B624,'ei names mapping'!$A$4:$A$33,0),MATCH(G655,'ei names mapping'!$B$3:$BL$3,0))</f>
        <v>kilogram</v>
      </c>
      <c r="E655" t="str">
        <f>INDEX('ei names mapping'!$B$305:$BL$335,MATCH(B624,'ei names mapping'!$A$4:$A$33,0),MATCH(G655,'ei names mapping'!$B$3:$BL$3,0))</f>
        <v>air::urban air close to ground</v>
      </c>
      <c r="F655" t="s">
        <v>167</v>
      </c>
      <c r="G655" t="s">
        <v>66</v>
      </c>
    </row>
    <row r="656" spans="1:8" x14ac:dyDescent="0.2">
      <c r="A656" t="str">
        <f>INDEX('ei names mapping'!$B$4:$BL$33,MATCH(B624,'ei names mapping'!$A$4:$A$33,0),MATCH(G656,'ei names mapping'!$B$3:$BL$3,0))</f>
        <v>Carbon dioxide, from soil or biomass stock</v>
      </c>
      <c r="B656" s="11">
        <f>INDEX('vehicles specifications'!$B$3:$CW$166,MATCH(B627,'vehicles specifications'!$A$3:$A$166,0),MATCH(G656,'vehicles specifications'!$B$2:$CW$2,0))*INDEX('ei names mapping'!$B$137:$BL$300,MATCH(B627,'ei names mapping'!$A$137:$A$300,0),MATCH(G656,'ei names mapping'!$B$136:$BL$136,0))</f>
        <v>8.9016847707639531E-4</v>
      </c>
      <c r="D656" t="str">
        <f>INDEX('ei names mapping'!$B$104:$BL$133,MATCH(B624,'ei names mapping'!$A$4:$A$33,0),MATCH(G656,'ei names mapping'!$B$3:$BL$3,0))</f>
        <v>kilogram</v>
      </c>
      <c r="E656" t="str">
        <f>INDEX('ei names mapping'!$B$305:$BL$335,MATCH(B624,'ei names mapping'!$A$4:$A$33,0),MATCH(G656,'ei names mapping'!$B$3:$BL$3,0))</f>
        <v>air::urban air close to ground</v>
      </c>
      <c r="F656" t="s">
        <v>167</v>
      </c>
      <c r="G656" t="s">
        <v>843</v>
      </c>
    </row>
    <row r="657" spans="1:7" x14ac:dyDescent="0.2">
      <c r="A657" t="str">
        <f>INDEX('ei names mapping'!$B$4:$BL$33,MATCH(B624,'ei names mapping'!$A$4:$A$33,0),MATCH(G657,'ei names mapping'!$B$3:$BL$3,0))</f>
        <v>Sulfur dioxide</v>
      </c>
      <c r="B657" s="7">
        <f>INDEX('vehicles specifications'!$B$3:$CW$166,MATCH(B627,'vehicles specifications'!$A$3:$A$166,0),MATCH(G657,'vehicles specifications'!$B$2:$CW$2,0))*INDEX('ei names mapping'!$B$137:$BL$300,MATCH(B627,'ei names mapping'!$A$137:$A$300,0),MATCH(G657,'ei names mapping'!$B$136:$BL$136,0))</f>
        <v>3.7799086075430794E-7</v>
      </c>
      <c r="D657" t="str">
        <f>INDEX('ei names mapping'!$B$104:$BL$133,MATCH(B624,'ei names mapping'!$A$4:$A$33,0),MATCH(G657,'ei names mapping'!$B$3:$BL$3,0))</f>
        <v>kilogram</v>
      </c>
      <c r="E657" t="str">
        <f>INDEX('ei names mapping'!$B$305:$BL$335,MATCH(B624,'ei names mapping'!$A$4:$A$33,0),MATCH(G657,'ei names mapping'!$B$3:$BL$3,0))</f>
        <v>air::urban air close to ground</v>
      </c>
      <c r="F657" t="s">
        <v>167</v>
      </c>
      <c r="G657" t="s">
        <v>67</v>
      </c>
    </row>
    <row r="658" spans="1:7" x14ac:dyDescent="0.2">
      <c r="A658" t="str">
        <f>INDEX('ei names mapping'!$B$4:$BL$33,MATCH(B624,'ei names mapping'!$A$4:$A$33,0),MATCH(G658,'ei names mapping'!$B$3:$BL$3,0))</f>
        <v>Benzene</v>
      </c>
      <c r="B658" s="7">
        <f>INDEX('vehicles specifications'!$B$3:$CW$166,MATCH(B627,'vehicles specifications'!$A$3:$A$166,0),MATCH(G658,'vehicles specifications'!$B$2:$CW$2,0))*INDEX('ei names mapping'!$B$137:$BL$300,MATCH(B627,'ei names mapping'!$A$137:$A$300,0),MATCH(G658,'ei names mapping'!$B$136:$BL$136,0))</f>
        <v>3.6314994658060673E-5</v>
      </c>
      <c r="D658" t="str">
        <f>INDEX('ei names mapping'!$B$104:$BL$133,MATCH(B624,'ei names mapping'!$A$4:$A$33,0),MATCH(G658,'ei names mapping'!$B$3:$BL$3,0))</f>
        <v>kilogram</v>
      </c>
      <c r="E658" t="str">
        <f>INDEX('ei names mapping'!$B$305:$BL$335,MATCH(B624,'ei names mapping'!$A$4:$A$33,0),MATCH(G658,'ei names mapping'!$B$3:$BL$3,0))</f>
        <v>air::urban air close to ground</v>
      </c>
      <c r="F658" t="s">
        <v>167</v>
      </c>
      <c r="G658" t="s">
        <v>55</v>
      </c>
    </row>
    <row r="659" spans="1:7" x14ac:dyDescent="0.2">
      <c r="A659" t="str">
        <f>INDEX('ei names mapping'!$B$4:$BL$33,MATCH(B624,'ei names mapping'!$A$4:$A$33,0),MATCH(G659,'ei names mapping'!$B$3:$BL$3,0))</f>
        <v>Methane, fossil</v>
      </c>
      <c r="B659" s="7">
        <f>INDEX('vehicles specifications'!$B$3:$CW$166,MATCH(B627,'vehicles specifications'!$A$3:$A$166,0),MATCH(G659,'vehicles specifications'!$B$2:$CW$2,0))*INDEX('ei names mapping'!$B$137:$BL$300,MATCH(B627,'ei names mapping'!$A$137:$A$300,0),MATCH(G659,'ei names mapping'!$B$136:$BL$136,0))</f>
        <v>2.7745972867750582E-5</v>
      </c>
      <c r="D659" t="str">
        <f>INDEX('ei names mapping'!$B$104:$BL$133,MATCH(B624,'ei names mapping'!$A$4:$A$33,0),MATCH(G659,'ei names mapping'!$B$3:$BL$3,0))</f>
        <v>kilogram</v>
      </c>
      <c r="E659" t="str">
        <f>INDEX('ei names mapping'!$B$305:$BL$335,MATCH(B624,'ei names mapping'!$A$4:$A$33,0),MATCH(G659,'ei names mapping'!$B$3:$BL$3,0))</f>
        <v>air::urban air close to ground</v>
      </c>
      <c r="F659" t="s">
        <v>167</v>
      </c>
      <c r="G659" t="s">
        <v>56</v>
      </c>
    </row>
    <row r="660" spans="1:7" x14ac:dyDescent="0.2">
      <c r="A660" t="str">
        <f>INDEX('ei names mapping'!$B$4:$BL$33,MATCH(B624,'ei names mapping'!$A$4:$A$33,0),MATCH(G660,'ei names mapping'!$B$3:$BL$3,0))</f>
        <v>Carbon monoxide, fossil</v>
      </c>
      <c r="B660" s="7">
        <f>INDEX('vehicles specifications'!$B$3:$CW$166,MATCH(B627,'vehicles specifications'!$A$3:$A$166,0),MATCH(G660,'vehicles specifications'!$B$2:$CW$2,0))*INDEX('ei names mapping'!$B$137:$BL$300,MATCH(B627,'ei names mapping'!$A$137:$A$300,0),MATCH(G660,'ei names mapping'!$B$136:$BL$136,0))</f>
        <v>3.2505894932237786E-3</v>
      </c>
      <c r="D660" t="str">
        <f>INDEX('ei names mapping'!$B$104:$BL$133,MATCH(B624,'ei names mapping'!$A$4:$A$33,0),MATCH(G660,'ei names mapping'!$B$3:$BL$3,0))</f>
        <v>kilogram</v>
      </c>
      <c r="E660" t="str">
        <f>INDEX('ei names mapping'!$B$305:$BL$335,MATCH(B624,'ei names mapping'!$A$4:$A$33,0),MATCH(G660,'ei names mapping'!$B$3:$BL$3,0))</f>
        <v>air::urban air close to ground</v>
      </c>
      <c r="F660" t="s">
        <v>167</v>
      </c>
      <c r="G660" t="s">
        <v>57</v>
      </c>
    </row>
    <row r="661" spans="1:7" x14ac:dyDescent="0.2">
      <c r="A661" t="str">
        <f>INDEX('ei names mapping'!$B$4:$BL$33,MATCH(B624,'ei names mapping'!$A$4:$A$33,0),MATCH(G661,'ei names mapping'!$B$3:$BL$3,0))</f>
        <v>Dinitrogen monoxide</v>
      </c>
      <c r="B661" s="7">
        <f>INDEX('vehicles specifications'!$B$3:$CW$166,MATCH(B627,'vehicles specifications'!$A$3:$A$166,0),MATCH(G661,'vehicles specifications'!$B$2:$CW$2,0))*INDEX('ei names mapping'!$B$137:$BL$300,MATCH(B627,'ei names mapping'!$A$137:$A$300,0),MATCH(G661,'ei names mapping'!$B$136:$BL$136,0))</f>
        <v>1.4077104448376758E-6</v>
      </c>
      <c r="D661" t="str">
        <f>INDEX('ei names mapping'!$B$104:$BL$133,MATCH(B624,'ei names mapping'!$A$4:$A$33,0),MATCH(G661,'ei names mapping'!$B$3:$BL$3,0))</f>
        <v>kilogram</v>
      </c>
      <c r="E661" t="str">
        <f>INDEX('ei names mapping'!$B$305:$BL$335,MATCH(B624,'ei names mapping'!$A$4:$A$33,0),MATCH(G661,'ei names mapping'!$B$3:$BL$3,0))</f>
        <v>air::urban air close to ground</v>
      </c>
      <c r="F661" t="s">
        <v>167</v>
      </c>
      <c r="G661" t="s">
        <v>58</v>
      </c>
    </row>
    <row r="662" spans="1:7" x14ac:dyDescent="0.2">
      <c r="A662" t="str">
        <f>INDEX('ei names mapping'!$B$4:$BL$33,MATCH(B624,'ei names mapping'!$A$4:$A$33,0),MATCH(G662,'ei names mapping'!$B$3:$BL$3,0))</f>
        <v>Ammonia</v>
      </c>
      <c r="B662" s="7">
        <f>INDEX('vehicles specifications'!$B$3:$CW$166,MATCH(B627,'vehicles specifications'!$A$3:$A$166,0),MATCH(G662,'vehicles specifications'!$B$2:$CW$2,0))*INDEX('ei names mapping'!$B$137:$BL$300,MATCH(B627,'ei names mapping'!$A$137:$A$300,0),MATCH(G662,'ei names mapping'!$B$136:$BL$136,0))</f>
        <v>1.4077104448376758E-6</v>
      </c>
      <c r="D662" t="str">
        <f>INDEX('ei names mapping'!$B$104:$BL$133,MATCH(B624,'ei names mapping'!$A$4:$A$33,0),MATCH(G662,'ei names mapping'!$B$3:$BL$3,0))</f>
        <v>kilogram</v>
      </c>
      <c r="E662" t="str">
        <f>INDEX('ei names mapping'!$B$305:$BL$335,MATCH(B624,'ei names mapping'!$A$4:$A$33,0),MATCH(G662,'ei names mapping'!$B$3:$BL$3,0))</f>
        <v>air::urban air close to ground</v>
      </c>
      <c r="F662" t="s">
        <v>167</v>
      </c>
      <c r="G662" t="s">
        <v>59</v>
      </c>
    </row>
    <row r="663" spans="1:7" x14ac:dyDescent="0.2">
      <c r="A663" t="str">
        <f>INDEX('ei names mapping'!$B$4:$BL$33,MATCH(B624,'ei names mapping'!$A$4:$A$33,0),MATCH(G663,'ei names mapping'!$B$3:$BL$3,0))</f>
        <v>Nitrogen oxides</v>
      </c>
      <c r="B663" s="7">
        <f>INDEX('vehicles specifications'!$B$3:$CW$166,MATCH(B627,'vehicles specifications'!$A$3:$A$166,0),MATCH(G663,'vehicles specifications'!$B$2:$CW$2,0))*INDEX('ei names mapping'!$B$137:$BL$300,MATCH(B627,'ei names mapping'!$A$137:$A$300,0),MATCH(G663,'ei names mapping'!$B$136:$BL$136,0))</f>
        <v>1.0556520412800326E-4</v>
      </c>
      <c r="D663" t="str">
        <f>INDEX('ei names mapping'!$B$104:$BL$133,MATCH(B624,'ei names mapping'!$A$4:$A$33,0),MATCH(G663,'ei names mapping'!$B$3:$BL$3,0))</f>
        <v>kilogram</v>
      </c>
      <c r="E663" t="str">
        <f>INDEX('ei names mapping'!$B$305:$BL$335,MATCH(B624,'ei names mapping'!$A$4:$A$33,0),MATCH(G663,'ei names mapping'!$B$3:$BL$3,0))</f>
        <v>air::urban air close to ground</v>
      </c>
      <c r="F663" t="s">
        <v>167</v>
      </c>
      <c r="G663" t="s">
        <v>60</v>
      </c>
    </row>
    <row r="664" spans="1:7" x14ac:dyDescent="0.2">
      <c r="A664" t="str">
        <f>INDEX('ei names mapping'!$B$4:$BL$33,MATCH(B624,'ei names mapping'!$A$4:$A$33,0),MATCH(G664,'ei names mapping'!$B$3:$BL$3,0))</f>
        <v>Particulates, &lt; 2.5 um</v>
      </c>
      <c r="B664" s="7">
        <f>INDEX('vehicles specifications'!$B$3:$CW$166,MATCH(B$627,'vehicles specifications'!$A$3:$A$166,0),MATCH(G664,'vehicles specifications'!$B$2:$CW$2,0))*INDEX('ei names mapping'!$B$137:$BL$300,MATCH(B$627,'ei names mapping'!$A$137:$A$300,0),MATCH(G664,'ei names mapping'!$B$136:$BL$136,0))</f>
        <v>3.1574945277709067E-6</v>
      </c>
      <c r="D664" t="str">
        <f>INDEX('ei names mapping'!$B$104:$BL$133,MATCH(B624,'ei names mapping'!$A$4:$A$33,0),MATCH(G664,'ei names mapping'!$B$3:$BL$3,0))</f>
        <v>kilogram</v>
      </c>
      <c r="E664" t="str">
        <f>INDEX('ei names mapping'!$B$305:$BL$335,MATCH(B624,'ei names mapping'!$A$4:$A$33,0),MATCH(G664,'ei names mapping'!$B$3:$BL$3,0))</f>
        <v>air::urban air close to ground</v>
      </c>
      <c r="F664" t="s">
        <v>167</v>
      </c>
      <c r="G664" t="s">
        <v>62</v>
      </c>
    </row>
    <row r="665" spans="1:7" x14ac:dyDescent="0.2">
      <c r="A665" t="str">
        <f>INDEX('ei names mapping'!$B$4:$BL$33,MATCH(B$234,'ei names mapping'!$A$4:$A$33,0),MATCH(G665,'ei names mapping'!$B$3:$BL$3,0))</f>
        <v>NMVOC, non-methane volatile organic compounds, unspecified origin</v>
      </c>
      <c r="B665" s="7">
        <f>INDEX('vehicles specifications'!$B$3:$CW$166,MATCH(B$627,'vehicles specifications'!$A$3:$A$166,0),MATCH(G665,'vehicles specifications'!$B$2:$CW$2,0))*INDEX('ei names mapping'!$B$137:$BL$300,MATCH(B$627,'ei names mapping'!$A$137:$A$300,0),MATCH(G665,'ei names mapping'!$B$136:$BL$136,0))</f>
        <v>2.9285033125323805E-4</v>
      </c>
      <c r="D665" t="str">
        <f>INDEX('ei names mapping'!$B$104:$BL$133,MATCH(B$234,'ei names mapping'!$A$4:$A$33,0),MATCH(G665,'ei names mapping'!$B$3:$BL$3,0))</f>
        <v>kilogram</v>
      </c>
      <c r="E665" t="str">
        <f>INDEX('ei names mapping'!$B$305:$BL$335,MATCH(B$234,'ei names mapping'!$A$4:$A$33,0),MATCH(G665,'ei names mapping'!$B$3:$BL$3,0))</f>
        <v>air::urban air close to ground</v>
      </c>
      <c r="F665" t="s">
        <v>167</v>
      </c>
      <c r="G665" t="s">
        <v>593</v>
      </c>
    </row>
    <row r="666" spans="1:7" x14ac:dyDescent="0.2">
      <c r="A666" t="str">
        <f>INDEX('ei names mapping'!$B$4:$BL$33,MATCH(B$234,'ei names mapping'!$A$4:$A$33,0),MATCH(G666,'ei names mapping'!$B$3:$BL$3,0))</f>
        <v>Ethane</v>
      </c>
      <c r="B666" s="7">
        <f>INDEX('vehicles specifications'!$B$3:$CW$166,MATCH(B$627,'vehicles specifications'!$A$3:$A$166,0),MATCH(G666,'vehicles specifications'!$B$2:$CW$2,0))*INDEX('ei names mapping'!$B$137:$BL$300,MATCH(B$627,'ei names mapping'!$A$137:$A$300,0),MATCH(G666,'ei names mapping'!$B$136:$BL$136,0))</f>
        <v>2.0649702844779598E-5</v>
      </c>
      <c r="D666" t="str">
        <f>INDEX('ei names mapping'!$B$104:$BL$133,MATCH(B$234,'ei names mapping'!$A$4:$A$33,0),MATCH(G666,'ei names mapping'!$B$3:$BL$3,0))</f>
        <v>kilogram</v>
      </c>
      <c r="E666" t="str">
        <f>INDEX('ei names mapping'!$B$305:$BL$335,MATCH(B$234,'ei names mapping'!$A$4:$A$33,0),MATCH(G666,'ei names mapping'!$B$3:$BL$3,0))</f>
        <v>air::urban air close to ground</v>
      </c>
      <c r="F666" t="s">
        <v>167</v>
      </c>
      <c r="G666" t="s">
        <v>541</v>
      </c>
    </row>
    <row r="667" spans="1:7" x14ac:dyDescent="0.2">
      <c r="A667" t="str">
        <f>INDEX('ei names mapping'!$B$4:$BL$33,MATCH(B$234,'ei names mapping'!$A$4:$A$33,0),MATCH(G667,'ei names mapping'!$B$3:$BL$3,0))</f>
        <v>Propane</v>
      </c>
      <c r="B667" s="7">
        <f>INDEX('vehicles specifications'!$B$3:$CW$166,MATCH(B$627,'vehicles specifications'!$A$3:$A$166,0),MATCH(G667,'vehicles specifications'!$B$2:$CW$2,0))*INDEX('ei names mapping'!$B$137:$BL$300,MATCH(B$627,'ei names mapping'!$A$137:$A$300,0),MATCH(G667,'ei names mapping'!$B$136:$BL$136,0))</f>
        <v>4.2076197019143386E-6</v>
      </c>
      <c r="D667" t="str">
        <f>INDEX('ei names mapping'!$B$104:$BL$133,MATCH(B$234,'ei names mapping'!$A$4:$A$33,0),MATCH(G667,'ei names mapping'!$B$3:$BL$3,0))</f>
        <v>kilogram</v>
      </c>
      <c r="E667" t="str">
        <f>INDEX('ei names mapping'!$B$305:$BL$335,MATCH(B$234,'ei names mapping'!$A$4:$A$33,0),MATCH(G667,'ei names mapping'!$B$3:$BL$3,0))</f>
        <v>air::urban air close to ground</v>
      </c>
      <c r="F667" t="s">
        <v>167</v>
      </c>
      <c r="G667" t="s">
        <v>542</v>
      </c>
    </row>
    <row r="668" spans="1:7" x14ac:dyDescent="0.2">
      <c r="A668" t="str">
        <f>INDEX('ei names mapping'!$B$4:$BL$33,MATCH(B$234,'ei names mapping'!$A$4:$A$33,0),MATCH(G668,'ei names mapping'!$B$3:$BL$3,0))</f>
        <v>Butane</v>
      </c>
      <c r="B668" s="7">
        <f>INDEX('vehicles specifications'!$B$3:$CW$166,MATCH(B$627,'vehicles specifications'!$A$3:$A$166,0),MATCH(G668,'vehicles specifications'!$B$2:$CW$2,0))*INDEX('ei names mapping'!$B$137:$BL$300,MATCH(B$627,'ei names mapping'!$A$137:$A$300,0),MATCH(G668,'ei names mapping'!$B$136:$BL$136,0))</f>
        <v>3.3919888058509439E-5</v>
      </c>
      <c r="D668" t="str">
        <f>INDEX('ei names mapping'!$B$104:$BL$133,MATCH(B$234,'ei names mapping'!$A$4:$A$33,0),MATCH(G668,'ei names mapping'!$B$3:$BL$3,0))</f>
        <v>kilogram</v>
      </c>
      <c r="E668" t="str">
        <f>INDEX('ei names mapping'!$B$305:$BL$335,MATCH(B$234,'ei names mapping'!$A$4:$A$33,0),MATCH(G668,'ei names mapping'!$B$3:$BL$3,0))</f>
        <v>air::urban air close to ground</v>
      </c>
      <c r="F668" t="s">
        <v>167</v>
      </c>
      <c r="G668" t="s">
        <v>543</v>
      </c>
    </row>
    <row r="669" spans="1:7" x14ac:dyDescent="0.2">
      <c r="A669" t="str">
        <f>INDEX('ei names mapping'!$B$4:$BL$33,MATCH(B$234,'ei names mapping'!$A$4:$A$33,0),MATCH(G669,'ei names mapping'!$B$3:$BL$3,0))</f>
        <v>Pentane</v>
      </c>
      <c r="B669" s="7">
        <f>INDEX('vehicles specifications'!$B$3:$CW$166,MATCH(B$627,'vehicles specifications'!$A$3:$A$166,0),MATCH(G669,'vehicles specifications'!$B$2:$CW$2,0))*INDEX('ei names mapping'!$B$137:$BL$300,MATCH(B$627,'ei names mapping'!$A$137:$A$300,0),MATCH(G669,'ei names mapping'!$B$136:$BL$136,0))</f>
        <v>1.3917511321716658E-5</v>
      </c>
      <c r="D669" t="str">
        <f>INDEX('ei names mapping'!$B$104:$BL$133,MATCH(B$234,'ei names mapping'!$A$4:$A$33,0),MATCH(G669,'ei names mapping'!$B$3:$BL$3,0))</f>
        <v>kilogram</v>
      </c>
      <c r="E669" t="str">
        <f>INDEX('ei names mapping'!$B$305:$BL$335,MATCH(B$234,'ei names mapping'!$A$4:$A$33,0),MATCH(G669,'ei names mapping'!$B$3:$BL$3,0))</f>
        <v>air::urban air close to ground</v>
      </c>
      <c r="F669" t="s">
        <v>167</v>
      </c>
      <c r="G669" t="s">
        <v>544</v>
      </c>
    </row>
    <row r="670" spans="1:7" x14ac:dyDescent="0.2">
      <c r="A670" t="str">
        <f>INDEX('ei names mapping'!$B$4:$BL$33,MATCH(B$234,'ei names mapping'!$A$4:$A$33,0),MATCH(G670,'ei names mapping'!$B$3:$BL$3,0))</f>
        <v>Hexane</v>
      </c>
      <c r="B670" s="7">
        <f>INDEX('vehicles specifications'!$B$3:$CW$166,MATCH(B$627,'vehicles specifications'!$A$3:$A$166,0),MATCH(G670,'vehicles specifications'!$B$2:$CW$2,0))*INDEX('ei names mapping'!$B$137:$BL$300,MATCH(B$627,'ei names mapping'!$A$137:$A$300,0),MATCH(G670,'ei names mapping'!$B$136:$BL$136,0))</f>
        <v>1.0421950338587823E-5</v>
      </c>
      <c r="D670" t="str">
        <f>INDEX('ei names mapping'!$B$104:$BL$133,MATCH(B$234,'ei names mapping'!$A$4:$A$33,0),MATCH(G670,'ei names mapping'!$B$3:$BL$3,0))</f>
        <v>kilogram</v>
      </c>
      <c r="E670" t="str">
        <f>INDEX('ei names mapping'!$B$305:$BL$335,MATCH(B$234,'ei names mapping'!$A$4:$A$33,0),MATCH(G670,'ei names mapping'!$B$3:$BL$3,0))</f>
        <v>air::urban air close to ground</v>
      </c>
      <c r="F670" t="s">
        <v>167</v>
      </c>
      <c r="G670" t="s">
        <v>545</v>
      </c>
    </row>
    <row r="671" spans="1:7" x14ac:dyDescent="0.2">
      <c r="A671" t="str">
        <f>INDEX('ei names mapping'!$B$4:$BL$33,MATCH(B$234,'ei names mapping'!$A$4:$A$33,0),MATCH(G671,'ei names mapping'!$B$3:$BL$3,0))</f>
        <v>Cyclohexane</v>
      </c>
      <c r="B671" s="7">
        <f>INDEX('vehicles specifications'!$B$3:$CW$166,MATCH(B$627,'vehicles specifications'!$A$3:$A$166,0),MATCH(G671,'vehicles specifications'!$B$2:$CW$2,0))*INDEX('ei names mapping'!$B$137:$BL$300,MATCH(B$627,'ei names mapping'!$A$137:$A$300,0),MATCH(G671,'ei names mapping'!$B$136:$BL$136,0))</f>
        <v>7.3795176310497644E-6</v>
      </c>
      <c r="D671" t="str">
        <f>INDEX('ei names mapping'!$B$104:$BL$133,MATCH(B$234,'ei names mapping'!$A$4:$A$33,0),MATCH(G671,'ei names mapping'!$B$3:$BL$3,0))</f>
        <v>kilogram</v>
      </c>
      <c r="E671" t="str">
        <f>INDEX('ei names mapping'!$B$305:$BL$335,MATCH(B$234,'ei names mapping'!$A$4:$A$33,0),MATCH(G671,'ei names mapping'!$B$3:$BL$3,0))</f>
        <v>air::urban air close to ground</v>
      </c>
      <c r="F671" t="s">
        <v>167</v>
      </c>
      <c r="G671" t="s">
        <v>546</v>
      </c>
    </row>
    <row r="672" spans="1:7" x14ac:dyDescent="0.2">
      <c r="A672" t="str">
        <f>INDEX('ei names mapping'!$B$4:$BL$33,MATCH(B$234,'ei names mapping'!$A$4:$A$33,0),MATCH(G672,'ei names mapping'!$B$3:$BL$3,0))</f>
        <v>Heptane</v>
      </c>
      <c r="B672" s="7">
        <f>INDEX('vehicles specifications'!$B$3:$CW$166,MATCH(B$627,'vehicles specifications'!$A$3:$A$166,0),MATCH(G672,'vehicles specifications'!$B$2:$CW$2,0))*INDEX('ei names mapping'!$B$137:$BL$300,MATCH(B$627,'ei names mapping'!$A$137:$A$300,0),MATCH(G672,'ei names mapping'!$B$136:$BL$136,0))</f>
        <v>4.7902131991024787E-6</v>
      </c>
      <c r="D672" t="str">
        <f>INDEX('ei names mapping'!$B$104:$BL$133,MATCH(B$234,'ei names mapping'!$A$4:$A$33,0),MATCH(G672,'ei names mapping'!$B$3:$BL$3,0))</f>
        <v>kilogram</v>
      </c>
      <c r="E672" t="str">
        <f>INDEX('ei names mapping'!$B$305:$BL$335,MATCH(B$234,'ei names mapping'!$A$4:$A$33,0),MATCH(G672,'ei names mapping'!$B$3:$BL$3,0))</f>
        <v>air::urban air close to ground</v>
      </c>
      <c r="F672" t="s">
        <v>167</v>
      </c>
      <c r="G672" t="s">
        <v>547</v>
      </c>
    </row>
    <row r="673" spans="1:7" x14ac:dyDescent="0.2">
      <c r="A673" t="str">
        <f>INDEX('ei names mapping'!$B$4:$BL$33,MATCH(B$234,'ei names mapping'!$A$4:$A$33,0),MATCH(G673,'ei names mapping'!$B$3:$BL$3,0))</f>
        <v>Ethene</v>
      </c>
      <c r="B673" s="7">
        <f>INDEX('vehicles specifications'!$B$3:$CW$166,MATCH(B$627,'vehicles specifications'!$A$3:$A$166,0),MATCH(G673,'vehicles specifications'!$B$2:$CW$2,0))*INDEX('ei names mapping'!$B$137:$BL$300,MATCH(B$627,'ei names mapping'!$A$137:$A$300,0),MATCH(G673,'ei names mapping'!$B$136:$BL$136,0))</f>
        <v>4.725480588303796E-5</v>
      </c>
      <c r="D673" t="str">
        <f>INDEX('ei names mapping'!$B$104:$BL$133,MATCH(B$234,'ei names mapping'!$A$4:$A$33,0),MATCH(G673,'ei names mapping'!$B$3:$BL$3,0))</f>
        <v>kilogram</v>
      </c>
      <c r="E673" t="str">
        <f>INDEX('ei names mapping'!$B$305:$BL$335,MATCH(B$234,'ei names mapping'!$A$4:$A$33,0),MATCH(G673,'ei names mapping'!$B$3:$BL$3,0))</f>
        <v>air::urban air close to ground</v>
      </c>
      <c r="F673" t="s">
        <v>167</v>
      </c>
      <c r="G673" t="s">
        <v>548</v>
      </c>
    </row>
    <row r="674" spans="1:7" x14ac:dyDescent="0.2">
      <c r="A674" t="str">
        <f>INDEX('ei names mapping'!$B$4:$BL$33,MATCH(B$234,'ei names mapping'!$A$4:$A$33,0),MATCH(G674,'ei names mapping'!$B$3:$BL$3,0))</f>
        <v>Propene</v>
      </c>
      <c r="B674" s="7">
        <f>INDEX('vehicles specifications'!$B$3:$CW$166,MATCH(B$627,'vehicles specifications'!$A$3:$A$166,0),MATCH(G674,'vehicles specifications'!$B$2:$CW$2,0))*INDEX('ei names mapping'!$B$137:$BL$300,MATCH(B$627,'ei names mapping'!$A$137:$A$300,0),MATCH(G674,'ei names mapping'!$B$136:$BL$136,0))</f>
        <v>2.4727857325096575E-5</v>
      </c>
      <c r="D674" t="str">
        <f>INDEX('ei names mapping'!$B$104:$BL$133,MATCH(B$234,'ei names mapping'!$A$4:$A$33,0),MATCH(G674,'ei names mapping'!$B$3:$BL$3,0))</f>
        <v>kilogram</v>
      </c>
      <c r="E674" t="str">
        <f>INDEX('ei names mapping'!$B$305:$BL$335,MATCH(B$234,'ei names mapping'!$A$4:$A$33,0),MATCH(G674,'ei names mapping'!$B$3:$BL$3,0))</f>
        <v>air::urban air close to ground</v>
      </c>
      <c r="F674" t="s">
        <v>167</v>
      </c>
      <c r="G674" t="s">
        <v>549</v>
      </c>
    </row>
    <row r="675" spans="1:7" x14ac:dyDescent="0.2">
      <c r="A675" t="str">
        <f>INDEX('ei names mapping'!$B$4:$BL$33,MATCH(B$234,'ei names mapping'!$A$4:$A$33,0),MATCH(G675,'ei names mapping'!$B$3:$BL$3,0))</f>
        <v>1-Pentene</v>
      </c>
      <c r="B675" s="7">
        <f>INDEX('vehicles specifications'!$B$3:$CW$166,MATCH(B$627,'vehicles specifications'!$A$3:$A$166,0),MATCH(G675,'vehicles specifications'!$B$2:$CW$2,0))*INDEX('ei names mapping'!$B$137:$BL$300,MATCH(B$627,'ei names mapping'!$A$137:$A$300,0),MATCH(G675,'ei names mapping'!$B$136:$BL$136,0))</f>
        <v>7.1205871878550351E-7</v>
      </c>
      <c r="D675" t="str">
        <f>INDEX('ei names mapping'!$B$104:$BL$133,MATCH(B$234,'ei names mapping'!$A$4:$A$33,0),MATCH(G675,'ei names mapping'!$B$3:$BL$3,0))</f>
        <v>kilogram</v>
      </c>
      <c r="E675" t="str">
        <f>INDEX('ei names mapping'!$B$305:$BL$335,MATCH(B$234,'ei names mapping'!$A$4:$A$33,0),MATCH(G675,'ei names mapping'!$B$3:$BL$3,0))</f>
        <v>air::urban air close to ground</v>
      </c>
      <c r="F675" t="s">
        <v>167</v>
      </c>
      <c r="G675" t="s">
        <v>550</v>
      </c>
    </row>
    <row r="676" spans="1:7" x14ac:dyDescent="0.2">
      <c r="A676" t="str">
        <f>INDEX('ei names mapping'!$B$4:$BL$33,MATCH(B$234,'ei names mapping'!$A$4:$A$33,0),MATCH(G676,'ei names mapping'!$B$3:$BL$3,0))</f>
        <v>Toluene</v>
      </c>
      <c r="B676" s="7">
        <f>INDEX('vehicles specifications'!$B$3:$CW$166,MATCH(B$627,'vehicles specifications'!$A$3:$A$166,0),MATCH(G676,'vehicles specifications'!$B$2:$CW$2,0))*INDEX('ei names mapping'!$B$137:$BL$300,MATCH(B$627,'ei names mapping'!$A$137:$A$300,0),MATCH(G676,'ei names mapping'!$B$136:$BL$136,0))</f>
        <v>7.107640665695298E-5</v>
      </c>
      <c r="D676" t="str">
        <f>INDEX('ei names mapping'!$B$104:$BL$133,MATCH(B$234,'ei names mapping'!$A$4:$A$33,0),MATCH(G676,'ei names mapping'!$B$3:$BL$3,0))</f>
        <v>kilogram</v>
      </c>
      <c r="E676" t="str">
        <f>INDEX('ei names mapping'!$B$305:$BL$335,MATCH(B$234,'ei names mapping'!$A$4:$A$33,0),MATCH(G676,'ei names mapping'!$B$3:$BL$3,0))</f>
        <v>air::urban air close to ground</v>
      </c>
      <c r="F676" t="s">
        <v>167</v>
      </c>
      <c r="G676" t="s">
        <v>551</v>
      </c>
    </row>
    <row r="677" spans="1:7" x14ac:dyDescent="0.2">
      <c r="A677" t="str">
        <f>INDEX('ei names mapping'!$B$4:$BL$33,MATCH(B$234,'ei names mapping'!$A$4:$A$33,0),MATCH(G677,'ei names mapping'!$B$3:$BL$3,0))</f>
        <v>m-Xylene</v>
      </c>
      <c r="B677" s="7">
        <f>INDEX('vehicles specifications'!$B$3:$CW$166,MATCH(B$627,'vehicles specifications'!$A$3:$A$166,0),MATCH(G677,'vehicles specifications'!$B$2:$CW$2,0))*INDEX('ei names mapping'!$B$137:$BL$300,MATCH(B$627,'ei names mapping'!$A$137:$A$300,0),MATCH(G677,'ei names mapping'!$B$136:$BL$136,0))</f>
        <v>3.5149807663684405E-5</v>
      </c>
      <c r="D677" t="str">
        <f>INDEX('ei names mapping'!$B$104:$BL$133,MATCH(B$234,'ei names mapping'!$A$4:$A$33,0),MATCH(G677,'ei names mapping'!$B$3:$BL$3,0))</f>
        <v>kilogram</v>
      </c>
      <c r="E677" t="str">
        <f>INDEX('ei names mapping'!$B$305:$BL$335,MATCH(B$234,'ei names mapping'!$A$4:$A$33,0),MATCH(G677,'ei names mapping'!$B$3:$BL$3,0))</f>
        <v>air::urban air close to ground</v>
      </c>
      <c r="F677" t="s">
        <v>167</v>
      </c>
      <c r="G677" t="s">
        <v>552</v>
      </c>
    </row>
    <row r="678" spans="1:7" x14ac:dyDescent="0.2">
      <c r="A678" t="str">
        <f>INDEX('ei names mapping'!$B$4:$BL$33,MATCH(B$234,'ei names mapping'!$A$4:$A$33,0),MATCH(G678,'ei names mapping'!$B$3:$BL$3,0))</f>
        <v>o-Xylene</v>
      </c>
      <c r="B678" s="7">
        <f>INDEX('vehicles specifications'!$B$3:$CW$166,MATCH(B$627,'vehicles specifications'!$A$3:$A$166,0),MATCH(G678,'vehicles specifications'!$B$2:$CW$2,0))*INDEX('ei names mapping'!$B$137:$BL$300,MATCH(B$627,'ei names mapping'!$A$137:$A$300,0),MATCH(G678,'ei names mapping'!$B$136:$BL$136,0))</f>
        <v>1.4629570040502162E-5</v>
      </c>
      <c r="D678" t="str">
        <f>INDEX('ei names mapping'!$B$104:$BL$133,MATCH(B$234,'ei names mapping'!$A$4:$A$33,0),MATCH(G678,'ei names mapping'!$B$3:$BL$3,0))</f>
        <v>kilogram</v>
      </c>
      <c r="E678" t="str">
        <f>INDEX('ei names mapping'!$B$305:$BL$335,MATCH(B$234,'ei names mapping'!$A$4:$A$33,0),MATCH(G678,'ei names mapping'!$B$3:$BL$3,0))</f>
        <v>air::urban air close to ground</v>
      </c>
      <c r="F678" t="s">
        <v>167</v>
      </c>
      <c r="G678" t="s">
        <v>553</v>
      </c>
    </row>
    <row r="679" spans="1:7" x14ac:dyDescent="0.2">
      <c r="A679" t="str">
        <f>INDEX('ei names mapping'!$B$4:$BL$33,MATCH(B$234,'ei names mapping'!$A$4:$A$33,0),MATCH(G679,'ei names mapping'!$B$3:$BL$3,0))</f>
        <v>Formaldehyde</v>
      </c>
      <c r="B679" s="7">
        <f>INDEX('vehicles specifications'!$B$3:$CW$166,MATCH(B$627,'vehicles specifications'!$A$3:$A$166,0),MATCH(G679,'vehicles specifications'!$B$2:$CW$2,0))*INDEX('ei names mapping'!$B$137:$BL$300,MATCH(B$627,'ei names mapping'!$A$137:$A$300,0),MATCH(G679,'ei names mapping'!$B$136:$BL$136,0))</f>
        <v>1.1004543835775963E-5</v>
      </c>
      <c r="D679" t="str">
        <f>INDEX('ei names mapping'!$B$104:$BL$133,MATCH(B$234,'ei names mapping'!$A$4:$A$33,0),MATCH(G679,'ei names mapping'!$B$3:$BL$3,0))</f>
        <v>kilogram</v>
      </c>
      <c r="E679" t="str">
        <f>INDEX('ei names mapping'!$B$305:$BL$335,MATCH(B$234,'ei names mapping'!$A$4:$A$33,0),MATCH(G679,'ei names mapping'!$B$3:$BL$3,0))</f>
        <v>air::urban air close to ground</v>
      </c>
      <c r="F679" t="s">
        <v>167</v>
      </c>
      <c r="G679" t="s">
        <v>554</v>
      </c>
    </row>
    <row r="680" spans="1:7" x14ac:dyDescent="0.2">
      <c r="A680" t="str">
        <f>INDEX('ei names mapping'!$B$4:$BL$33,MATCH(B$234,'ei names mapping'!$A$4:$A$33,0),MATCH(G680,'ei names mapping'!$B$3:$BL$3,0))</f>
        <v>Acetaldehyde</v>
      </c>
      <c r="B680" s="7">
        <f>INDEX('vehicles specifications'!$B$3:$CW$166,MATCH(B$627,'vehicles specifications'!$A$3:$A$166,0),MATCH(G680,'vehicles specifications'!$B$2:$CW$2,0))*INDEX('ei names mapping'!$B$137:$BL$300,MATCH(B$627,'ei names mapping'!$A$137:$A$300,0),MATCH(G680,'ei names mapping'!$B$136:$BL$136,0))</f>
        <v>4.8549458099011596E-6</v>
      </c>
      <c r="D680" t="str">
        <f>INDEX('ei names mapping'!$B$104:$BL$133,MATCH(B$234,'ei names mapping'!$A$4:$A$33,0),MATCH(G680,'ei names mapping'!$B$3:$BL$3,0))</f>
        <v>kilogram</v>
      </c>
      <c r="E680" t="str">
        <f>INDEX('ei names mapping'!$B$305:$BL$335,MATCH(B$234,'ei names mapping'!$A$4:$A$33,0),MATCH(G680,'ei names mapping'!$B$3:$BL$3,0))</f>
        <v>air::urban air close to ground</v>
      </c>
      <c r="F680" t="s">
        <v>167</v>
      </c>
      <c r="G680" t="s">
        <v>555</v>
      </c>
    </row>
    <row r="681" spans="1:7" x14ac:dyDescent="0.2">
      <c r="A681" t="str">
        <f>INDEX('ei names mapping'!$B$4:$BL$33,MATCH(B$234,'ei names mapping'!$A$4:$A$33,0),MATCH(G681,'ei names mapping'!$B$3:$BL$3,0))</f>
        <v>Benzaldehyde</v>
      </c>
      <c r="B681" s="7">
        <f>INDEX('vehicles specifications'!$B$3:$CW$166,MATCH(B$627,'vehicles specifications'!$A$3:$A$166,0),MATCH(G681,'vehicles specifications'!$B$2:$CW$2,0))*INDEX('ei names mapping'!$B$137:$BL$300,MATCH(B$627,'ei names mapping'!$A$137:$A$300,0),MATCH(G681,'ei names mapping'!$B$136:$BL$136,0))</f>
        <v>1.424117437571007E-6</v>
      </c>
      <c r="D681" t="str">
        <f>INDEX('ei names mapping'!$B$104:$BL$133,MATCH(B$234,'ei names mapping'!$A$4:$A$33,0),MATCH(G681,'ei names mapping'!$B$3:$BL$3,0))</f>
        <v>kilogram</v>
      </c>
      <c r="E681" t="str">
        <f>INDEX('ei names mapping'!$B$305:$BL$335,MATCH(B$234,'ei names mapping'!$A$4:$A$33,0),MATCH(G681,'ei names mapping'!$B$3:$BL$3,0))</f>
        <v>air::urban air close to ground</v>
      </c>
      <c r="F681" t="s">
        <v>167</v>
      </c>
      <c r="G681" t="s">
        <v>556</v>
      </c>
    </row>
    <row r="682" spans="1:7" x14ac:dyDescent="0.2">
      <c r="A682" t="str">
        <f>INDEX('ei names mapping'!$B$4:$BL$33,MATCH(B$234,'ei names mapping'!$A$4:$A$33,0),MATCH(G682,'ei names mapping'!$B$3:$BL$3,0))</f>
        <v>Acetone</v>
      </c>
      <c r="B682" s="7">
        <f>INDEX('vehicles specifications'!$B$3:$CW$166,MATCH(B$627,'vehicles specifications'!$A$3:$A$166,0),MATCH(G682,'vehicles specifications'!$B$2:$CW$2,0))*INDEX('ei names mapping'!$B$137:$BL$300,MATCH(B$627,'ei names mapping'!$A$137:$A$300,0),MATCH(G682,'ei names mapping'!$B$136:$BL$136,0))</f>
        <v>3.9486892587196102E-6</v>
      </c>
      <c r="D682" t="str">
        <f>INDEX('ei names mapping'!$B$104:$BL$133,MATCH(B$234,'ei names mapping'!$A$4:$A$33,0),MATCH(G682,'ei names mapping'!$B$3:$BL$3,0))</f>
        <v>kilogram</v>
      </c>
      <c r="E682" t="str">
        <f>INDEX('ei names mapping'!$B$305:$BL$335,MATCH(B$234,'ei names mapping'!$A$4:$A$33,0),MATCH(G682,'ei names mapping'!$B$3:$BL$3,0))</f>
        <v>air::urban air close to ground</v>
      </c>
      <c r="F682" t="s">
        <v>167</v>
      </c>
      <c r="G682" t="s">
        <v>557</v>
      </c>
    </row>
    <row r="683" spans="1:7" x14ac:dyDescent="0.2">
      <c r="A683" t="str">
        <f>INDEX('ei names mapping'!$B$4:$BL$33,MATCH(B$234,'ei names mapping'!$A$4:$A$33,0),MATCH(G683,'ei names mapping'!$B$3:$BL$3,0))</f>
        <v>Methyl ethyl ketone</v>
      </c>
      <c r="B683" s="7">
        <f>INDEX('vehicles specifications'!$B$3:$CW$166,MATCH(B$627,'vehicles specifications'!$A$3:$A$166,0),MATCH(G683,'vehicles specifications'!$B$2:$CW$2,0))*INDEX('ei names mapping'!$B$137:$BL$300,MATCH(B$627,'ei names mapping'!$A$137:$A$300,0),MATCH(G683,'ei names mapping'!$B$136:$BL$136,0))</f>
        <v>0</v>
      </c>
      <c r="D683" t="str">
        <f>INDEX('ei names mapping'!$B$104:$BL$133,MATCH(B$234,'ei names mapping'!$A$4:$A$33,0),MATCH(G683,'ei names mapping'!$B$3:$BL$3,0))</f>
        <v>kilogram</v>
      </c>
      <c r="E683" t="str">
        <f>INDEX('ei names mapping'!$B$305:$BL$335,MATCH(B$234,'ei names mapping'!$A$4:$A$33,0),MATCH(G683,'ei names mapping'!$B$3:$BL$3,0))</f>
        <v>air::urban air close to ground</v>
      </c>
      <c r="F683" t="s">
        <v>167</v>
      </c>
      <c r="G683" t="s">
        <v>560</v>
      </c>
    </row>
    <row r="684" spans="1:7" x14ac:dyDescent="0.2">
      <c r="A684" t="str">
        <f>INDEX('ei names mapping'!$B$4:$BL$33,MATCH(B$234,'ei names mapping'!$A$4:$A$33,0),MATCH(G684,'ei names mapping'!$B$3:$BL$3,0))</f>
        <v>Acrolein</v>
      </c>
      <c r="B684" s="7">
        <f>INDEX('vehicles specifications'!$B$3:$CW$166,MATCH(B$627,'vehicles specifications'!$A$3:$A$166,0),MATCH(G684,'vehicles specifications'!$B$2:$CW$2,0))*INDEX('ei names mapping'!$B$137:$BL$300,MATCH(B$627,'ei names mapping'!$A$137:$A$300,0),MATCH(G684,'ei names mapping'!$B$136:$BL$136,0))</f>
        <v>1.2299196051749605E-6</v>
      </c>
      <c r="D684" t="str">
        <f>INDEX('ei names mapping'!$B$104:$BL$133,MATCH(B$234,'ei names mapping'!$A$4:$A$33,0),MATCH(G684,'ei names mapping'!$B$3:$BL$3,0))</f>
        <v>kilogram</v>
      </c>
      <c r="E684" t="str">
        <f>INDEX('ei names mapping'!$B$305:$BL$335,MATCH(B$234,'ei names mapping'!$A$4:$A$33,0),MATCH(G684,'ei names mapping'!$B$3:$BL$3,0))</f>
        <v>air::urban air close to ground</v>
      </c>
      <c r="F684" t="s">
        <v>167</v>
      </c>
      <c r="G684" t="s">
        <v>558</v>
      </c>
    </row>
    <row r="685" spans="1:7" x14ac:dyDescent="0.2">
      <c r="A685" t="str">
        <f>INDEX('ei names mapping'!$B$4:$BL$33,MATCH(B$234,'ei names mapping'!$A$4:$A$33,0),MATCH(G685,'ei names mapping'!$B$3:$BL$3,0))</f>
        <v>Styrene</v>
      </c>
      <c r="B685" s="7">
        <f>INDEX('vehicles specifications'!$B$3:$CW$166,MATCH(B$627,'vehicles specifications'!$A$3:$A$166,0),MATCH(G685,'vehicles specifications'!$B$2:$CW$2,0))*INDEX('ei names mapping'!$B$137:$BL$300,MATCH(B$627,'ei names mapping'!$A$137:$A$300,0),MATCH(G685,'ei names mapping'!$B$136:$BL$136,0))</f>
        <v>6.5379936906668958E-6</v>
      </c>
      <c r="D685" t="str">
        <f>INDEX('ei names mapping'!$B$104:$BL$133,MATCH(B$234,'ei names mapping'!$A$4:$A$33,0),MATCH(G685,'ei names mapping'!$B$3:$BL$3,0))</f>
        <v>kilogram</v>
      </c>
      <c r="E685" t="str">
        <f>INDEX('ei names mapping'!$B$305:$BL$335,MATCH(B$234,'ei names mapping'!$A$4:$A$33,0),MATCH(G685,'ei names mapping'!$B$3:$BL$3,0))</f>
        <v>air::urban air close to ground</v>
      </c>
      <c r="F685" t="s">
        <v>167</v>
      </c>
      <c r="G685" t="s">
        <v>559</v>
      </c>
    </row>
    <row r="686" spans="1:7" x14ac:dyDescent="0.2">
      <c r="A686" t="str">
        <f>INDEX('ei names mapping'!$B$4:$BL$33,MATCH(B$234,'ei names mapping'!$A$4:$A$33,0),MATCH(G686,'ei names mapping'!$B$3:$BL$3,0))</f>
        <v>PAH, polycyclic aromatic hydrocarbons</v>
      </c>
      <c r="B686" s="7">
        <f>INDEX('vehicles specifications'!$B$3:$CW$166,MATCH(B$627,'vehicles specifications'!$A$3:$A$166,0),MATCH(G686,'vehicles specifications'!$B$2:$CW$2,0))*INDEX('ei names mapping'!$B$137:$BL$300,MATCH(B$627,'ei names mapping'!$A$137:$A$300,0),MATCH(G686,'ei names mapping'!$B$136:$BL$136,0))</f>
        <v>8.2406454595742137E-10</v>
      </c>
      <c r="D686" t="str">
        <f>INDEX('ei names mapping'!$B$104:$BL$133,MATCH(B$234,'ei names mapping'!$A$4:$A$33,0),MATCH(G686,'ei names mapping'!$B$3:$BL$3,0))</f>
        <v>kilogram</v>
      </c>
      <c r="E686" t="str">
        <f>INDEX('ei names mapping'!$B$305:$BL$335,MATCH(B$234,'ei names mapping'!$A$4:$A$33,0),MATCH(G686,'ei names mapping'!$B$3:$BL$3,0))</f>
        <v>air::urban air close to ground</v>
      </c>
      <c r="F686" t="s">
        <v>167</v>
      </c>
      <c r="G686" t="s">
        <v>561</v>
      </c>
    </row>
    <row r="687" spans="1:7" x14ac:dyDescent="0.2">
      <c r="A687" t="str">
        <f>INDEX('ei names mapping'!$B$4:$BL$33,MATCH(B$234,'ei names mapping'!$A$4:$A$33,0),MATCH(G687,'ei names mapping'!$B$3:$BL$3,0))</f>
        <v>Arsenic</v>
      </c>
      <c r="B687" s="7">
        <f>INDEX('vehicles specifications'!$B$3:$CW$166,MATCH(B$627,'vehicles specifications'!$A$3:$A$166,0),MATCH(G687,'vehicles specifications'!$B$2:$CW$2,0))*INDEX('ei names mapping'!$B$137:$BL$300,MATCH(B$627,'ei names mapping'!$A$137:$A$300,0),MATCH(G687,'ei names mapping'!$B$136:$BL$136,0))</f>
        <v>7.1040047065294939E-12</v>
      </c>
      <c r="D687" t="str">
        <f>INDEX('ei names mapping'!$B$104:$BL$133,MATCH(B$234,'ei names mapping'!$A$4:$A$33,0),MATCH(G687,'ei names mapping'!$B$3:$BL$3,0))</f>
        <v>kilogram</v>
      </c>
      <c r="E687" t="str">
        <f>INDEX('ei names mapping'!$B$305:$BL$335,MATCH(B$234,'ei names mapping'!$A$4:$A$33,0),MATCH(G687,'ei names mapping'!$B$3:$BL$3,0))</f>
        <v>air::urban air close to ground</v>
      </c>
      <c r="F687" t="s">
        <v>167</v>
      </c>
      <c r="G687" t="s">
        <v>562</v>
      </c>
    </row>
    <row r="688" spans="1:7" x14ac:dyDescent="0.2">
      <c r="A688" t="str">
        <f>INDEX('ei names mapping'!$B$4:$BL$33,MATCH(B$234,'ei names mapping'!$A$4:$A$33,0),MATCH(G688,'ei names mapping'!$B$3:$BL$3,0))</f>
        <v>Selenium</v>
      </c>
      <c r="B688" s="7">
        <f>INDEX('vehicles specifications'!$B$3:$CW$166,MATCH(B$627,'vehicles specifications'!$A$3:$A$166,0),MATCH(G688,'vehicles specifications'!$B$2:$CW$2,0))*INDEX('ei names mapping'!$B$137:$BL$300,MATCH(B$627,'ei names mapping'!$A$137:$A$300,0),MATCH(G688,'ei names mapping'!$B$136:$BL$136,0))</f>
        <v>4.7360031376863295E-12</v>
      </c>
      <c r="D688" t="str">
        <f>INDEX('ei names mapping'!$B$104:$BL$133,MATCH(B$234,'ei names mapping'!$A$4:$A$33,0),MATCH(G688,'ei names mapping'!$B$3:$BL$3,0))</f>
        <v>kilogram</v>
      </c>
      <c r="E688" t="str">
        <f>INDEX('ei names mapping'!$B$305:$BL$335,MATCH(B$234,'ei names mapping'!$A$4:$A$33,0),MATCH(G688,'ei names mapping'!$B$3:$BL$3,0))</f>
        <v>air::urban air close to ground</v>
      </c>
      <c r="F688" t="s">
        <v>167</v>
      </c>
      <c r="G688" t="s">
        <v>563</v>
      </c>
    </row>
    <row r="689" spans="1:8" x14ac:dyDescent="0.2">
      <c r="A689" t="str">
        <f>INDEX('ei names mapping'!$B$4:$BL$33,MATCH(B$234,'ei names mapping'!$A$4:$A$33,0),MATCH(G689,'ei names mapping'!$B$3:$BL$3,0))</f>
        <v>Zinc</v>
      </c>
      <c r="B689" s="7">
        <f>INDEX('vehicles specifications'!$B$3:$CW$166,MATCH(B$627,'vehicles specifications'!$A$3:$A$166,0),MATCH(G689,'vehicles specifications'!$B$2:$CW$2,0))*INDEX('ei names mapping'!$B$137:$BL$300,MATCH(B$627,'ei names mapping'!$A$137:$A$300,0),MATCH(G689,'ei names mapping'!$B$136:$BL$136,0))</f>
        <v>5.114883388701236E-8</v>
      </c>
      <c r="D689" t="str">
        <f>INDEX('ei names mapping'!$B$104:$BL$133,MATCH(B$234,'ei names mapping'!$A$4:$A$33,0),MATCH(G689,'ei names mapping'!$B$3:$BL$3,0))</f>
        <v>kilogram</v>
      </c>
      <c r="E689" t="str">
        <f>INDEX('ei names mapping'!$B$305:$BL$335,MATCH(B$234,'ei names mapping'!$A$4:$A$33,0),MATCH(G689,'ei names mapping'!$B$3:$BL$3,0))</f>
        <v>air::urban air close to ground</v>
      </c>
      <c r="F689" t="s">
        <v>167</v>
      </c>
      <c r="G689" t="s">
        <v>564</v>
      </c>
    </row>
    <row r="690" spans="1:8" x14ac:dyDescent="0.2">
      <c r="A690" t="str">
        <f>INDEX('ei names mapping'!$B$4:$BL$33,MATCH(B$234,'ei names mapping'!$A$4:$A$33,0),MATCH(G690,'ei names mapping'!$B$3:$BL$3,0))</f>
        <v>Copper</v>
      </c>
      <c r="B690" s="7">
        <f>INDEX('vehicles specifications'!$B$3:$CW$166,MATCH(B$627,'vehicles specifications'!$A$3:$A$166,0),MATCH(G690,'vehicles specifications'!$B$2:$CW$2,0))*INDEX('ei names mapping'!$B$137:$BL$300,MATCH(B$627,'ei names mapping'!$A$137:$A$300,0),MATCH(G690,'ei names mapping'!$B$136:$BL$136,0))</f>
        <v>9.9456065891412896E-10</v>
      </c>
      <c r="D690" t="str">
        <f>INDEX('ei names mapping'!$B$104:$BL$133,MATCH(B$234,'ei names mapping'!$A$4:$A$33,0),MATCH(G690,'ei names mapping'!$B$3:$BL$3,0))</f>
        <v>kilogram</v>
      </c>
      <c r="E690" t="str">
        <f>INDEX('ei names mapping'!$B$305:$BL$335,MATCH(B$234,'ei names mapping'!$A$4:$A$33,0),MATCH(G690,'ei names mapping'!$B$3:$BL$3,0))</f>
        <v>air::urban air close to ground</v>
      </c>
      <c r="F690" t="s">
        <v>167</v>
      </c>
      <c r="G690" t="s">
        <v>522</v>
      </c>
    </row>
    <row r="691" spans="1:8" x14ac:dyDescent="0.2">
      <c r="A691" t="str">
        <f>INDEX('ei names mapping'!$B$4:$BL$33,MATCH(B$234,'ei names mapping'!$A$4:$A$33,0),MATCH(G691,'ei names mapping'!$B$3:$BL$3,0))</f>
        <v>Nickel</v>
      </c>
      <c r="B691" s="7">
        <f>INDEX('vehicles specifications'!$B$3:$CW$166,MATCH(B$627,'vehicles specifications'!$A$3:$A$166,0),MATCH(G691,'vehicles specifications'!$B$2:$CW$2,0))*INDEX('ei names mapping'!$B$137:$BL$300,MATCH(B$627,'ei names mapping'!$A$137:$A$300,0),MATCH(G691,'ei names mapping'!$B$136:$BL$136,0))</f>
        <v>3.078402039496114E-10</v>
      </c>
      <c r="D691" t="str">
        <f>INDEX('ei names mapping'!$B$104:$BL$133,MATCH(B$234,'ei names mapping'!$A$4:$A$33,0),MATCH(G691,'ei names mapping'!$B$3:$BL$3,0))</f>
        <v>kilogram</v>
      </c>
      <c r="E691" t="str">
        <f>INDEX('ei names mapping'!$B$305:$BL$335,MATCH(B$234,'ei names mapping'!$A$4:$A$33,0),MATCH(G691,'ei names mapping'!$B$3:$BL$3,0))</f>
        <v>air::urban air close to ground</v>
      </c>
      <c r="F691" t="s">
        <v>167</v>
      </c>
      <c r="G691" t="s">
        <v>524</v>
      </c>
    </row>
    <row r="692" spans="1:8" x14ac:dyDescent="0.2">
      <c r="A692" t="str">
        <f>INDEX('ei names mapping'!$B$4:$BL$33,MATCH(B$234,'ei names mapping'!$A$4:$A$33,0),MATCH(G692,'ei names mapping'!$B$3:$BL$3,0))</f>
        <v>Chromium</v>
      </c>
      <c r="B692" s="7">
        <f>INDEX('vehicles specifications'!$B$3:$CW$166,MATCH(B$627,'vehicles specifications'!$A$3:$A$166,0),MATCH(G692,'vehicles specifications'!$B$2:$CW$2,0))*INDEX('ei names mapping'!$B$137:$BL$300,MATCH(B$627,'ei names mapping'!$A$137:$A$300,0),MATCH(G692,'ei names mapping'!$B$136:$BL$136,0))</f>
        <v>3.7888025101490637E-10</v>
      </c>
      <c r="D692" t="str">
        <f>INDEX('ei names mapping'!$B$104:$BL$133,MATCH(B$234,'ei names mapping'!$A$4:$A$33,0),MATCH(G692,'ei names mapping'!$B$3:$BL$3,0))</f>
        <v>kilogram</v>
      </c>
      <c r="E692" t="str">
        <f>INDEX('ei names mapping'!$B$305:$BL$335,MATCH(B$234,'ei names mapping'!$A$4:$A$33,0),MATCH(G692,'ei names mapping'!$B$3:$BL$3,0))</f>
        <v>air::urban air close to ground</v>
      </c>
      <c r="F692" t="s">
        <v>167</v>
      </c>
      <c r="G692" t="s">
        <v>523</v>
      </c>
    </row>
    <row r="693" spans="1:8" x14ac:dyDescent="0.2">
      <c r="A693" t="str">
        <f>INDEX('ei names mapping'!$B$4:$BL$33,MATCH(B$234,'ei names mapping'!$A$4:$A$33,0),MATCH(G693,'ei names mapping'!$B$3:$BL$3,0))</f>
        <v>Chromium VI</v>
      </c>
      <c r="B693" s="7">
        <f>INDEX('vehicles specifications'!$B$3:$CW$166,MATCH(B$627,'vehicles specifications'!$A$3:$A$166,0),MATCH(G693,'vehicles specifications'!$B$2:$CW$2,0))*INDEX('ei names mapping'!$B$137:$BL$300,MATCH(B$627,'ei names mapping'!$A$137:$A$300,0),MATCH(G693,'ei names mapping'!$B$136:$BL$136,0))</f>
        <v>7.5776050202981265E-13</v>
      </c>
      <c r="D693" t="str">
        <f>INDEX('ei names mapping'!$B$104:$BL$133,MATCH(B$234,'ei names mapping'!$A$4:$A$33,0),MATCH(G693,'ei names mapping'!$B$3:$BL$3,0))</f>
        <v>kilogram</v>
      </c>
      <c r="E693" t="str">
        <f>INDEX('ei names mapping'!$B$305:$BL$335,MATCH(B$234,'ei names mapping'!$A$4:$A$33,0),MATCH(G693,'ei names mapping'!$B$3:$BL$3,0))</f>
        <v>air::urban air close to ground</v>
      </c>
      <c r="F693" t="s">
        <v>167</v>
      </c>
      <c r="G693" t="s">
        <v>567</v>
      </c>
    </row>
    <row r="694" spans="1:8" x14ac:dyDescent="0.2">
      <c r="A694" t="str">
        <f>INDEX('ei names mapping'!$B$4:$BL$33,MATCH(B$234,'ei names mapping'!$A$4:$A$33,0),MATCH(G694,'ei names mapping'!$B$3:$BL$3,0))</f>
        <v>Mercury</v>
      </c>
      <c r="B694" s="7">
        <f>INDEX('vehicles specifications'!$B$3:$CW$166,MATCH(B$627,'vehicles specifications'!$A$3:$A$166,0),MATCH(G694,'vehicles specifications'!$B$2:$CW$2,0))*INDEX('ei names mapping'!$B$137:$BL$300,MATCH(B$627,'ei names mapping'!$A$137:$A$300,0),MATCH(G694,'ei names mapping'!$B$136:$BL$136,0))</f>
        <v>2.0601613648935534E-10</v>
      </c>
      <c r="D694" t="str">
        <f>INDEX('ei names mapping'!$B$104:$BL$133,MATCH(B$234,'ei names mapping'!$A$4:$A$33,0),MATCH(G694,'ei names mapping'!$B$3:$BL$3,0))</f>
        <v>kilogram</v>
      </c>
      <c r="E694" t="str">
        <f>INDEX('ei names mapping'!$B$305:$BL$335,MATCH(B$234,'ei names mapping'!$A$4:$A$33,0),MATCH(G694,'ei names mapping'!$B$3:$BL$3,0))</f>
        <v>air::urban air close to ground</v>
      </c>
      <c r="F694" t="s">
        <v>167</v>
      </c>
      <c r="G694" t="s">
        <v>565</v>
      </c>
    </row>
    <row r="695" spans="1:8" x14ac:dyDescent="0.2">
      <c r="A695" t="str">
        <f>INDEX('ei names mapping'!$B$4:$BL$33,MATCH(B$234,'ei names mapping'!$A$4:$A$33,0),MATCH(G695,'ei names mapping'!$B$3:$BL$3,0))</f>
        <v>Cadmium</v>
      </c>
      <c r="B695" s="7">
        <f>INDEX('vehicles specifications'!$B$3:$CW$166,MATCH(B$627,'vehicles specifications'!$A$3:$A$166,0),MATCH(G695,'vehicles specifications'!$B$2:$CW$2,0))*INDEX('ei names mapping'!$B$137:$BL$300,MATCH(B$627,'ei names mapping'!$A$137:$A$300,0),MATCH(G695,'ei names mapping'!$B$136:$BL$136,0))</f>
        <v>2.5574416943506186E-10</v>
      </c>
      <c r="D695" t="str">
        <f>INDEX('ei names mapping'!$B$104:$BL$133,MATCH(B$234,'ei names mapping'!$A$4:$A$33,0),MATCH(G695,'ei names mapping'!$B$3:$BL$3,0))</f>
        <v>kilogram</v>
      </c>
      <c r="E695" t="str">
        <f>INDEX('ei names mapping'!$B$305:$BL$335,MATCH(B$234,'ei names mapping'!$A$4:$A$33,0),MATCH(G695,'ei names mapping'!$B$3:$BL$3,0))</f>
        <v>air::urban air close to ground</v>
      </c>
      <c r="F695" t="s">
        <v>167</v>
      </c>
      <c r="G695" t="s">
        <v>566</v>
      </c>
    </row>
    <row r="696" spans="1:8" x14ac:dyDescent="0.2">
      <c r="A696" t="str">
        <f>INDEX('ei names mapping'!$B$4:$BL$33,MATCH(B624,'ei names mapping'!$A$4:$A$33,0),MATCH(G696,'ei names mapping'!$B$3:$BL$3,0))</f>
        <v>treatment of road wear emissions, passenger car</v>
      </c>
      <c r="B696" s="7">
        <f>INDEX('vehicles specifications'!$B$3:$CW$166,MATCH(B627,'vehicles specifications'!$A$3:$A$166,0),MATCH(G696,'vehicles specifications'!$B$2:$CW$2,0))*INDEX('ei names mapping'!$B$137:$BL$300,MATCH(B627,'ei names mapping'!$A$137:$A$300,0),MATCH(G696,'ei names mapping'!$B$136:$BL$136,0))</f>
        <v>-7.3388939706420807E-6</v>
      </c>
      <c r="C696" t="str">
        <f>INDEX('ei names mapping'!$B$38:$BL$67,MATCH(B624,'ei names mapping'!$A$4:$A$33,0),MATCH(G696,'ei names mapping'!$B$3:$BL$3,0))</f>
        <v>RER</v>
      </c>
      <c r="D696" t="str">
        <f>INDEX('ei names mapping'!$B$104:$BL$133,MATCH(B624,'ei names mapping'!$A$4:$A$33,0),MATCH(G696,'ei names mapping'!$B$3:$BL$3,0))</f>
        <v>kilogram</v>
      </c>
      <c r="F696" t="s">
        <v>89</v>
      </c>
      <c r="G696" t="s">
        <v>29</v>
      </c>
      <c r="H696" t="str">
        <f>INDEX('ei names mapping'!$B$71:$BL$100,MATCH(B624,'ei names mapping'!$A$4:$A$33,0),MATCH(G696,'ei names mapping'!$B$3:$BL$3,0))</f>
        <v>road wear emissions, passenger car</v>
      </c>
    </row>
    <row r="697" spans="1:8" x14ac:dyDescent="0.2">
      <c r="A697" t="str">
        <f>INDEX('ei names mapping'!$B$4:$BL$33,MATCH(B624,'ei names mapping'!$A$4:$A$33,0),MATCH(G697,'ei names mapping'!$B$3:$BL$3,0))</f>
        <v>treatment of tyre wear emissions, passenger car</v>
      </c>
      <c r="B697" s="7">
        <f>INDEX('vehicles specifications'!$B$3:$CW$166,MATCH(B627,'vehicles specifications'!$A$3:$A$166,0),MATCH(G697,'vehicles specifications'!$B$2:$CW$2,0))*INDEX('ei names mapping'!$B$137:$BL$300,MATCH(B627,'ei names mapping'!$A$137:$A$300,0),MATCH(G697,'ei names mapping'!$B$136:$BL$136,0))</f>
        <v>-5.71027859890946E-6</v>
      </c>
      <c r="C697" t="str">
        <f>INDEX('ei names mapping'!$B$38:$BL$67,MATCH(B624,'ei names mapping'!$A$4:$A$33,0),MATCH(G697,'ei names mapping'!$B$3:$BL$3,0))</f>
        <v>RER</v>
      </c>
      <c r="D697" t="str">
        <f>INDEX('ei names mapping'!$B$104:$BL$133,MATCH(B624,'ei names mapping'!$A$4:$A$33,0),MATCH(G697,'ei names mapping'!$B$3:$BL$3,0))</f>
        <v>kilogram</v>
      </c>
      <c r="F697" t="s">
        <v>89</v>
      </c>
      <c r="G697" t="s">
        <v>30</v>
      </c>
      <c r="H697" t="str">
        <f>INDEX('ei names mapping'!$B$71:$BL$100,MATCH(B624,'ei names mapping'!$A$4:$A$33,0),MATCH(G697,'ei names mapping'!$B$3:$BL$3,0))</f>
        <v>tyre wear emissions, passenger car</v>
      </c>
    </row>
    <row r="698" spans="1:8" x14ac:dyDescent="0.2">
      <c r="A698" t="str">
        <f>INDEX('ei names mapping'!$B$4:$BL$33,MATCH(B624,'ei names mapping'!$A$4:$A$33,0),MATCH(G698,'ei names mapping'!$B$3:$BL$3,0))</f>
        <v>treatment of brake wear emissions, passenger car</v>
      </c>
      <c r="B698" s="7">
        <f>INDEX('vehicles specifications'!$B$3:$CW$166,MATCH(B627,'vehicles specifications'!$A$3:$A$166,0),MATCH(G698,'vehicles specifications'!$B$2:$CW$2,0))*INDEX('ei names mapping'!$B$137:$BL$300,MATCH(B627,'ei names mapping'!$A$137:$A$300,0),MATCH(G698,'ei names mapping'!$B$136:$BL$136,0))</f>
        <v>-4.0624634181583474E-6</v>
      </c>
      <c r="C698" t="str">
        <f>INDEX('ei names mapping'!$B$38:$BL$67,MATCH(B624,'ei names mapping'!$A$4:$A$33,0),MATCH(G698,'ei names mapping'!$B$3:$BL$3,0))</f>
        <v>RER</v>
      </c>
      <c r="D698" t="str">
        <f>INDEX('ei names mapping'!$B$104:$BL$133,MATCH(B624,'ei names mapping'!$A$4:$A$33,0),MATCH(G698,'ei names mapping'!$B$3:$BL$3,0))</f>
        <v>kilogram</v>
      </c>
      <c r="F698" t="s">
        <v>89</v>
      </c>
      <c r="G698" t="s">
        <v>31</v>
      </c>
      <c r="H698" t="str">
        <f>INDEX('ei names mapping'!$B$71:$BL$100,MATCH(B624,'ei names mapping'!$A$4:$A$33,0),MATCH(G698,'ei names mapping'!$B$3:$BL$3,0))</f>
        <v>brake wear emissions, passenger car</v>
      </c>
    </row>
    <row r="702" spans="1:8" x14ac:dyDescent="0.2">
      <c r="B702" s="11"/>
    </row>
    <row r="703" spans="1:8" x14ac:dyDescent="0.2">
      <c r="B703" s="12"/>
    </row>
    <row r="704" spans="1:8" x14ac:dyDescent="0.2">
      <c r="B704" s="11"/>
    </row>
    <row r="706" spans="1:2" ht="16" x14ac:dyDescent="0.2">
      <c r="A706" s="10"/>
      <c r="B706" s="8"/>
    </row>
    <row r="729" spans="1:2" x14ac:dyDescent="0.2">
      <c r="B729" s="6"/>
    </row>
    <row r="731" spans="1:2" ht="16" x14ac:dyDescent="0.2">
      <c r="A731" s="10"/>
    </row>
    <row r="735" spans="1:2" x14ac:dyDescent="0.2">
      <c r="B735" s="11"/>
    </row>
    <row r="736" spans="1:2" x14ac:dyDescent="0.2">
      <c r="B736" s="12"/>
    </row>
    <row r="737" spans="1:2" x14ac:dyDescent="0.2">
      <c r="B737" s="11"/>
    </row>
    <row r="739" spans="1:2" ht="16" x14ac:dyDescent="0.2">
      <c r="A739" s="10"/>
      <c r="B739" s="8"/>
    </row>
    <row r="762" spans="1:2" x14ac:dyDescent="0.2">
      <c r="B762" s="6"/>
    </row>
    <row r="764" spans="1:2" ht="16" x14ac:dyDescent="0.2">
      <c r="A764" s="10"/>
    </row>
    <row r="768" spans="1:2" x14ac:dyDescent="0.2">
      <c r="B768" s="11"/>
    </row>
    <row r="769" spans="2:2" x14ac:dyDescent="0.2">
      <c r="B769" s="12"/>
    </row>
    <row r="770" spans="2:2" x14ac:dyDescent="0.2">
      <c r="B770" s="11"/>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338"/>
  <sheetViews>
    <sheetView topLeftCell="A319" zoomScale="85" zoomScaleNormal="85" workbookViewId="0">
      <selection activeCell="C350" sqref="C350"/>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&lt;4kW, NMC battery, 2020</v>
      </c>
    </row>
    <row r="2" spans="1:2" x14ac:dyDescent="0.2">
      <c r="A2" t="s">
        <v>72</v>
      </c>
      <c r="B2" t="s">
        <v>37</v>
      </c>
    </row>
    <row r="3" spans="1:2" x14ac:dyDescent="0.2">
      <c r="A3" t="s">
        <v>86</v>
      </c>
      <c r="B3" t="s">
        <v>608</v>
      </c>
    </row>
    <row r="4" spans="1:2" x14ac:dyDescent="0.2">
      <c r="A4" t="s">
        <v>87</v>
      </c>
    </row>
    <row r="5" spans="1:2" x14ac:dyDescent="0.2">
      <c r="A5" t="s">
        <v>88</v>
      </c>
      <c r="B5">
        <v>2020</v>
      </c>
    </row>
    <row r="6" spans="1:2" x14ac:dyDescent="0.2">
      <c r="A6" t="s">
        <v>126</v>
      </c>
      <c r="B6" t="str">
        <f>B3&amp;" - "&amp;B5&amp;" - "&amp;B18&amp;" - "&amp;B2</f>
        <v>Scooter, electric, &lt;4kW - 2020 - NMC - CH</v>
      </c>
    </row>
    <row r="7" spans="1:2" x14ac:dyDescent="0.2">
      <c r="A7" t="s">
        <v>73</v>
      </c>
      <c r="B7" t="str">
        <f>B3</f>
        <v>Scooter,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100.95</v>
      </c>
    </row>
    <row r="17" spans="1:8" x14ac:dyDescent="0.2">
      <c r="A17" t="s">
        <v>133</v>
      </c>
      <c r="B17">
        <f>INDEX('vehicles specifications'!$B$3:$CW$166,MATCH(B6,'vehicles specifications'!$A$3:$A$166,0),MATCH("Power [kW]",'vehicles specifications'!$B$2:$CW$2,0))</f>
        <v>2.6</v>
      </c>
    </row>
    <row r="18" spans="1:8" x14ac:dyDescent="0.2">
      <c r="A18" t="s">
        <v>652</v>
      </c>
      <c r="B18" s="20" t="s">
        <v>43</v>
      </c>
    </row>
    <row r="19" spans="1:8" x14ac:dyDescent="0.2">
      <c r="A19" t="s">
        <v>134</v>
      </c>
      <c r="B19">
        <f>INDEX('vehicles specifications'!$B$3:$CW$166,MATCH(B6,'vehicles specifications'!$A$3:$A$166,0),MATCH("Energy battery mass [kg]",'vehicles specifications'!$B$2:$CW$2,0))</f>
        <v>14.949999999999998</v>
      </c>
    </row>
    <row r="20" spans="1:8" x14ac:dyDescent="0.2">
      <c r="A20" t="s">
        <v>135</v>
      </c>
      <c r="B20">
        <f>INDEX('vehicles specifications'!$B$3:$CW$166,MATCH(B6,'vehicles specifications'!$A$3:$A$166,0),MATCH("Electric energy stored [kWh]",'vehicles specifications'!$B$2:$CW$2,0))</f>
        <v>2.2999999999999998</v>
      </c>
    </row>
    <row r="21" spans="1:8" x14ac:dyDescent="0.2">
      <c r="A21" t="s">
        <v>588</v>
      </c>
      <c r="B21">
        <f>INDEX('vehicles specifications'!$B$3:$CW$166,MATCH(B6,'vehicles specifications'!$A$3:$A$166,0),MATCH("Electric energy available [kWh]",'vehicles specifications'!$B$2:$CW$2,0))</f>
        <v>1.8399999999999999</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49.641735985533444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&lt;4kW, NMC battery, 2020</v>
      </c>
      <c r="B33">
        <v>1</v>
      </c>
      <c r="C33" t="str">
        <f>B2</f>
        <v>CH</v>
      </c>
      <c r="D33" t="str">
        <f>B9</f>
        <v>unit</v>
      </c>
      <c r="F33" t="s">
        <v>84</v>
      </c>
      <c r="G33" t="s">
        <v>85</v>
      </c>
      <c r="H33" t="str">
        <f>B3</f>
        <v>Scooter, electric, &lt;4kW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73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8</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tr">
        <f>INDEX('ei names mapping'!$B$4:$R$33,MATCH(B3,'ei names mapping'!$A$4:$A$33,0),MATCH(G37,'ei names mapping'!$B$3:$R$3,0))</f>
        <v>Battery cell, NMC-622</v>
      </c>
      <c r="B37" s="3">
        <f>INDEX('vehicles specifications'!$B$3:$CW$166,MATCH(B6,'vehicles specifications'!$A$3:$A$166,0),MATCH(G37,'vehicles specifications'!$B$2:$CW$2,0))*INDEX('ei names mapping'!$B$137:$BL$300,MATCH(B6,'ei names mapping'!$A$137:$A$300,0),MATCH(G37,'ei names mapping'!$B$136:$BL$136,0))</f>
        <v>22.999999999999996</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6.8999999999999986</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73</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13</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-29.899999999999995</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100.95</v>
      </c>
      <c r="C43" t="s">
        <v>92</v>
      </c>
      <c r="D43" t="s">
        <v>233</v>
      </c>
      <c r="F43" t="s">
        <v>89</v>
      </c>
      <c r="H43" s="13" t="s">
        <v>841</v>
      </c>
    </row>
    <row r="44" spans="1:8" x14ac:dyDescent="0.2">
      <c r="A44" s="13" t="s">
        <v>441</v>
      </c>
      <c r="B44" s="2">
        <f>(B16/1000)*B28</f>
        <v>1605.105</v>
      </c>
      <c r="C44" t="s">
        <v>95</v>
      </c>
      <c r="D44" t="s">
        <v>233</v>
      </c>
      <c r="F44" t="s">
        <v>89</v>
      </c>
      <c r="H44" s="13" t="s">
        <v>441</v>
      </c>
    </row>
    <row r="45" spans="1:8" x14ac:dyDescent="0.2">
      <c r="B45" s="11"/>
    </row>
    <row r="46" spans="1:8" ht="16" x14ac:dyDescent="0.2">
      <c r="A46" s="10" t="s">
        <v>71</v>
      </c>
      <c r="B46" s="8" t="str">
        <f>B48&amp;", "&amp;B63&amp;" battery, "&amp;B50</f>
        <v>Scooter, electric, &lt;4kW, NMC battery, 2030</v>
      </c>
    </row>
    <row r="47" spans="1:8" x14ac:dyDescent="0.2">
      <c r="A47" t="s">
        <v>72</v>
      </c>
      <c r="B47" t="s">
        <v>37</v>
      </c>
    </row>
    <row r="48" spans="1:8" x14ac:dyDescent="0.2">
      <c r="A48" t="s">
        <v>86</v>
      </c>
      <c r="B48" t="s">
        <v>608</v>
      </c>
    </row>
    <row r="49" spans="1:2" x14ac:dyDescent="0.2">
      <c r="A49" t="s">
        <v>87</v>
      </c>
    </row>
    <row r="50" spans="1:2" x14ac:dyDescent="0.2">
      <c r="A50" t="s">
        <v>88</v>
      </c>
      <c r="B50">
        <v>2030</v>
      </c>
    </row>
    <row r="51" spans="1:2" x14ac:dyDescent="0.2">
      <c r="A51" t="s">
        <v>126</v>
      </c>
      <c r="B51" t="str">
        <f>B48&amp;" - "&amp;B50&amp;" - "&amp;B63&amp;" - "&amp;B47</f>
        <v>Scooter, electric, &lt;4kW - 2030 - NMC - CH</v>
      </c>
    </row>
    <row r="52" spans="1:2" x14ac:dyDescent="0.2">
      <c r="A52" t="s">
        <v>73</v>
      </c>
      <c r="B52" t="str">
        <f>B48</f>
        <v>Scooter, electric, &lt;4kW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1570</v>
      </c>
    </row>
    <row r="61" spans="1:2" x14ac:dyDescent="0.2">
      <c r="A61" t="s">
        <v>132</v>
      </c>
      <c r="B61" s="2">
        <f>INDEX('vehicles specifications'!$B$3:$CW$166,MATCH(B51,'vehicles specifications'!$A$3:$A$166,0),MATCH("Curb mass [kg]",'vehicles specifications'!$B$2:$CW$2,0))</f>
        <v>101.14333333333335</v>
      </c>
    </row>
    <row r="62" spans="1:2" x14ac:dyDescent="0.2">
      <c r="A62" t="s">
        <v>133</v>
      </c>
      <c r="B62">
        <f>INDEX('vehicles specifications'!$B$3:$CW$166,MATCH(B51,'vehicles specifications'!$A$3:$A$166,0),MATCH("Power [kW]",'vehicles specifications'!$B$2:$CW$2,0))</f>
        <v>2.6</v>
      </c>
    </row>
    <row r="63" spans="1:2" x14ac:dyDescent="0.2">
      <c r="A63" t="s">
        <v>652</v>
      </c>
      <c r="B63" s="20" t="s">
        <v>43</v>
      </c>
    </row>
    <row r="64" spans="1:2" x14ac:dyDescent="0.2">
      <c r="A64" t="s">
        <v>134</v>
      </c>
      <c r="B64">
        <f>INDEX('vehicles specifications'!$B$3:$CW$166,MATCH(B51,'vehicles specifications'!$A$3:$A$166,0),MATCH("Energy battery mass [kg]",'vehicles specifications'!$B$2:$CW$2,0))</f>
        <v>17.333333333333336</v>
      </c>
    </row>
    <row r="65" spans="1:8" x14ac:dyDescent="0.2">
      <c r="A65" t="s">
        <v>135</v>
      </c>
      <c r="B65">
        <f>INDEX('vehicles specifications'!$B$3:$CW$166,MATCH(B51,'vehicles specifications'!$A$3:$A$166,0),MATCH("Electric energy stored [kWh]",'vehicles specifications'!$B$2:$CW$2,0))</f>
        <v>4</v>
      </c>
    </row>
    <row r="66" spans="1:8" x14ac:dyDescent="0.2">
      <c r="A66" t="s">
        <v>588</v>
      </c>
      <c r="B66">
        <f>INDEX('vehicles specifications'!$B$3:$CW$166,MATCH(B51,'vehicles specifications'!$A$3:$A$166,0),MATCH("Electric energy available [kWh]",'vehicles specifications'!$B$2:$CW$2,0))</f>
        <v>3.2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86.333453887884261</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&lt;4kW, NMC battery, 2030</v>
      </c>
      <c r="B78">
        <v>1</v>
      </c>
      <c r="C78" t="str">
        <f>B47</f>
        <v>CH</v>
      </c>
      <c r="D78" t="str">
        <f>B54</f>
        <v>unit</v>
      </c>
      <c r="F78" t="s">
        <v>84</v>
      </c>
      <c r="G78" t="s">
        <v>85</v>
      </c>
      <c r="H78" t="str">
        <f>B48</f>
        <v>Scooter, electric, &lt;4kW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73</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2.19</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5</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8</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tr">
        <f>INDEX('ei names mapping'!$B$4:$R$33,MATCH(B48,'ei names mapping'!$A$4:$A$33,0),MATCH(G83,'ei names mapping'!$B$3:$R$3,0))</f>
        <v>Battery cell, NMC-622</v>
      </c>
      <c r="B83" s="11">
        <f>INDEX('vehicles specifications'!$B$3:$CW$166,MATCH(B51,'vehicles specifications'!$A$3:$A$166,0),MATCH(G83,'vehicles specifications'!$B$2:$CW$2,0))*INDEX('ei names mapping'!$B$137:$BL$300,MATCH(B51,'ei names mapping'!$A$137:$A$300,0),MATCH(G83,'ei names mapping'!$B$136:$BL$136,0))</f>
        <v>20</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6</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70.81</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13</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-26.000000000000004</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101.14333333333335</v>
      </c>
      <c r="C89" t="s">
        <v>92</v>
      </c>
      <c r="D89" t="s">
        <v>233</v>
      </c>
      <c r="F89" t="s">
        <v>89</v>
      </c>
      <c r="H89" s="13" t="s">
        <v>841</v>
      </c>
    </row>
    <row r="90" spans="1:8" x14ac:dyDescent="0.2">
      <c r="A90" s="13" t="s">
        <v>441</v>
      </c>
      <c r="B90" s="2">
        <f>(B61/1000)*B73</f>
        <v>1608.1790000000003</v>
      </c>
      <c r="C90" t="s">
        <v>95</v>
      </c>
      <c r="D90" t="s">
        <v>233</v>
      </c>
      <c r="F90" t="s">
        <v>89</v>
      </c>
      <c r="H90" s="13" t="s">
        <v>441</v>
      </c>
    </row>
    <row r="92" spans="1:8" ht="16" x14ac:dyDescent="0.2">
      <c r="A92" s="10" t="s">
        <v>71</v>
      </c>
      <c r="B92" s="8" t="str">
        <f>B94&amp;", "&amp;B109&amp;" battery, "&amp;B96</f>
        <v>Scooter, electric, &lt;4kW, NMC battery, 2040</v>
      </c>
    </row>
    <row r="93" spans="1:8" x14ac:dyDescent="0.2">
      <c r="A93" t="s">
        <v>72</v>
      </c>
      <c r="B93" t="s">
        <v>37</v>
      </c>
    </row>
    <row r="94" spans="1:8" x14ac:dyDescent="0.2">
      <c r="A94" t="s">
        <v>86</v>
      </c>
      <c r="B94" t="s">
        <v>608</v>
      </c>
    </row>
    <row r="95" spans="1:8" x14ac:dyDescent="0.2">
      <c r="A95" t="s">
        <v>87</v>
      </c>
    </row>
    <row r="96" spans="1:8" x14ac:dyDescent="0.2">
      <c r="A96" t="s">
        <v>88</v>
      </c>
      <c r="B96">
        <v>2040</v>
      </c>
    </row>
    <row r="97" spans="1:2" x14ac:dyDescent="0.2">
      <c r="A97" t="s">
        <v>126</v>
      </c>
      <c r="B97" t="str">
        <f>B94&amp;" - "&amp;B96&amp;" - "&amp;B109&amp;" - "&amp;B93</f>
        <v>Scooter, electric, &lt;4kW - 2040 - NMC - CH</v>
      </c>
    </row>
    <row r="98" spans="1:2" x14ac:dyDescent="0.2">
      <c r="A98" t="s">
        <v>73</v>
      </c>
      <c r="B98" t="str">
        <f>B94</f>
        <v>Scooter, electric, &lt;4kW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1570</v>
      </c>
    </row>
    <row r="107" spans="1:2" x14ac:dyDescent="0.2">
      <c r="A107" t="s">
        <v>132</v>
      </c>
      <c r="B107" s="2">
        <f>INDEX('vehicles specifications'!$B$3:$CW$166,MATCH(B97,'vehicles specifications'!$A$3:$A$166,0),MATCH("Curb mass [kg]",'vehicles specifications'!$B$2:$CW$2,0))</f>
        <v>101.19999999999999</v>
      </c>
    </row>
    <row r="108" spans="1:2" x14ac:dyDescent="0.2">
      <c r="A108" t="s">
        <v>133</v>
      </c>
      <c r="B108">
        <f>INDEX('vehicles specifications'!$B$3:$CW$166,MATCH(B97,'vehicles specifications'!$A$3:$A$166,0),MATCH("Power [kW]",'vehicles specifications'!$B$2:$CW$2,0))</f>
        <v>2.6</v>
      </c>
    </row>
    <row r="109" spans="1:2" x14ac:dyDescent="0.2">
      <c r="A109" t="s">
        <v>652</v>
      </c>
      <c r="B109" s="20" t="s">
        <v>43</v>
      </c>
    </row>
    <row r="110" spans="1:2" x14ac:dyDescent="0.2">
      <c r="A110" t="s">
        <v>134</v>
      </c>
      <c r="B110">
        <f>INDEX('vehicles specifications'!$B$3:$CW$166,MATCH(B97,'vehicles specifications'!$A$3:$A$166,0),MATCH("Energy battery mass [kg]",'vehicles specifications'!$B$2:$CW$2,0))</f>
        <v>18.849999999999998</v>
      </c>
    </row>
    <row r="111" spans="1:2" x14ac:dyDescent="0.2">
      <c r="A111" t="s">
        <v>135</v>
      </c>
      <c r="B111">
        <f>INDEX('vehicles specifications'!$B$3:$CW$166,MATCH(B97,'vehicles specifications'!$A$3:$A$166,0),MATCH("Electric energy stored [kWh]",'vehicles specifications'!$B$2:$CW$2,0))</f>
        <v>5.8</v>
      </c>
    </row>
    <row r="112" spans="1:2" x14ac:dyDescent="0.2">
      <c r="A112" t="s">
        <v>588</v>
      </c>
      <c r="B112">
        <f>INDEX('vehicles specifications'!$B$3:$CW$166,MATCH(B97,'vehicles specifications'!$A$3:$A$166,0),MATCH("Electric energy available [kWh]",'vehicles specifications'!$B$2:$CW$2,0))</f>
        <v>4.6399999999999997</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125.18350813743217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&lt;4kW, NMC battery, 2040</v>
      </c>
      <c r="B124">
        <v>1</v>
      </c>
      <c r="C124" t="str">
        <f>B93</f>
        <v>CH</v>
      </c>
      <c r="D124" t="str">
        <f>B100</f>
        <v>unit</v>
      </c>
      <c r="F124" t="s">
        <v>84</v>
      </c>
      <c r="G124" t="s">
        <v>85</v>
      </c>
      <c r="H124" t="str">
        <f>B94</f>
        <v>Scooter, electric, &lt;4kW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73</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3.6500000000000004</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5</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tr">
        <f>INDEX('ei names mapping'!$B$4:$R$33,MATCH(B94,'ei names mapping'!$A$4:$A$33,0),MATCH(G129,'ei names mapping'!$B$3:$R$3,0))</f>
        <v>Battery cell, NMC-622</v>
      </c>
      <c r="B129" s="11">
        <f>INDEX('vehicles specifications'!$B$3:$CW$166,MATCH(B97,'vehicles specifications'!$A$3:$A$166,0),MATCH(G129,'vehicles specifications'!$B$2:$CW$2,0))*INDEX('ei names mapping'!$B$137:$BL$300,MATCH(B97,'ei names mapping'!$A$137:$A$300,0),MATCH(G129,'ei names mapping'!$B$136:$BL$136,0))</f>
        <v>18.124999999999996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5.4375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69.349999999999994</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13</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-23.562499999999996</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101.19999999999999</v>
      </c>
      <c r="C135" t="s">
        <v>92</v>
      </c>
      <c r="D135" t="s">
        <v>233</v>
      </c>
      <c r="F135" t="s">
        <v>89</v>
      </c>
      <c r="H135" s="13" t="s">
        <v>841</v>
      </c>
    </row>
    <row r="136" spans="1:8" x14ac:dyDescent="0.2">
      <c r="A136" s="13" t="s">
        <v>441</v>
      </c>
      <c r="B136" s="2">
        <f>(B107/1000)*B119</f>
        <v>1609.0799999999997</v>
      </c>
      <c r="C136" t="s">
        <v>95</v>
      </c>
      <c r="D136" t="s">
        <v>233</v>
      </c>
      <c r="F136" t="s">
        <v>89</v>
      </c>
      <c r="H136" s="13" t="s">
        <v>441</v>
      </c>
    </row>
    <row r="138" spans="1:8" ht="16" x14ac:dyDescent="0.2">
      <c r="A138" s="10" t="s">
        <v>71</v>
      </c>
      <c r="B138" s="8" t="str">
        <f>B140&amp;", "&amp;B155&amp;" battery, "&amp;B142</f>
        <v>Scooter, electric, &lt;4kW, NMC battery, 2050</v>
      </c>
    </row>
    <row r="139" spans="1:8" x14ac:dyDescent="0.2">
      <c r="A139" t="s">
        <v>72</v>
      </c>
      <c r="B139" t="s">
        <v>37</v>
      </c>
    </row>
    <row r="140" spans="1:8" x14ac:dyDescent="0.2">
      <c r="A140" t="s">
        <v>86</v>
      </c>
      <c r="B140" t="s">
        <v>608</v>
      </c>
    </row>
    <row r="141" spans="1:8" x14ac:dyDescent="0.2">
      <c r="A141" t="s">
        <v>87</v>
      </c>
    </row>
    <row r="142" spans="1:8" x14ac:dyDescent="0.2">
      <c r="A142" t="s">
        <v>88</v>
      </c>
      <c r="B142">
        <v>2050</v>
      </c>
    </row>
    <row r="143" spans="1:8" x14ac:dyDescent="0.2">
      <c r="A143" t="s">
        <v>126</v>
      </c>
      <c r="B143" t="str">
        <f>B140&amp;" - "&amp;B142&amp;" - "&amp;B155&amp;" - "&amp;B139</f>
        <v>Scooter, electric, &lt;4kW - 2050 - NMC - CH</v>
      </c>
    </row>
    <row r="144" spans="1:8" x14ac:dyDescent="0.2">
      <c r="A144" t="s">
        <v>73</v>
      </c>
      <c r="B144" t="str">
        <f>B140</f>
        <v>Scooter, electric, &lt;4kW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1570</v>
      </c>
    </row>
    <row r="153" spans="1:2" x14ac:dyDescent="0.2">
      <c r="A153" t="s">
        <v>132</v>
      </c>
      <c r="B153" s="2">
        <f>INDEX('vehicles specifications'!$B$3:$CW$166,MATCH(B143,'vehicles specifications'!$A$3:$A$166,0),MATCH("Curb mass [kg]",'vehicles specifications'!$B$2:$CW$2,0))</f>
        <v>101.69</v>
      </c>
    </row>
    <row r="154" spans="1:2" x14ac:dyDescent="0.2">
      <c r="A154" t="s">
        <v>133</v>
      </c>
      <c r="B154">
        <f>INDEX('vehicles specifications'!$B$3:$CW$166,MATCH(B143,'vehicles specifications'!$A$3:$A$166,0),MATCH("Power [kW]",'vehicles specifications'!$B$2:$CW$2,0))</f>
        <v>2.6</v>
      </c>
    </row>
    <row r="155" spans="1:2" x14ac:dyDescent="0.2">
      <c r="A155" t="s">
        <v>652</v>
      </c>
      <c r="B155" s="20" t="s">
        <v>43</v>
      </c>
    </row>
    <row r="156" spans="1:2" x14ac:dyDescent="0.2">
      <c r="A156" t="s">
        <v>134</v>
      </c>
      <c r="B156">
        <f>INDEX('vehicles specifications'!$B$3:$CW$166,MATCH(B143,'vehicles specifications'!$A$3:$A$166,0),MATCH("Energy battery mass [kg]",'vehicles specifications'!$B$2:$CW$2,0))</f>
        <v>20.8</v>
      </c>
    </row>
    <row r="157" spans="1:2" x14ac:dyDescent="0.2">
      <c r="A157" t="s">
        <v>135</v>
      </c>
      <c r="B157">
        <f>INDEX('vehicles specifications'!$B$3:$CW$166,MATCH(B143,'vehicles specifications'!$A$3:$A$166,0),MATCH("Electric energy stored [kWh]",'vehicles specifications'!$B$2:$CW$2,0))</f>
        <v>8</v>
      </c>
    </row>
    <row r="158" spans="1:2" x14ac:dyDescent="0.2">
      <c r="A158" t="s">
        <v>588</v>
      </c>
      <c r="B158">
        <f>INDEX('vehicles specifications'!$B$3:$CW$166,MATCH(B143,'vehicles specifications'!$A$3:$A$166,0),MATCH("Electric energy available [kWh]",'vehicles specifications'!$B$2:$CW$2,0))</f>
        <v>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172.66690777576852</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&lt;4kW, NMC battery, 2050</v>
      </c>
      <c r="B170">
        <v>1</v>
      </c>
      <c r="C170" t="str">
        <f>B139</f>
        <v>CH</v>
      </c>
      <c r="D170" t="str">
        <f>B146</f>
        <v>unit</v>
      </c>
      <c r="F170" t="s">
        <v>84</v>
      </c>
      <c r="G170" t="s">
        <v>85</v>
      </c>
      <c r="H170" t="str">
        <f>B140</f>
        <v>Scooter, electric, &lt;4kW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73</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5.1100000000000003</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5</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tr">
        <f>INDEX('ei names mapping'!$B$4:$R$33,MATCH(B140,'ei names mapping'!$A$4:$A$33,0),MATCH(G175,'ei names mapping'!$B$3:$R$3,0))</f>
        <v>Battery cell, NMC-622</v>
      </c>
      <c r="B175" s="11">
        <f>INDEX('vehicles specifications'!$B$3:$CW$166,MATCH(B143,'vehicles specifications'!$A$3:$A$166,0),MATCH(G175,'vehicles specifications'!$B$2:$CW$2,0))*INDEX('ei names mapping'!$B$137:$BL$300,MATCH(B143,'ei names mapping'!$A$137:$A$300,0),MATCH(G175,'ei names mapping'!$B$136:$BL$136,0))</f>
        <v>16</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4.8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67.89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13</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-20.8</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101.69</v>
      </c>
      <c r="C181" t="s">
        <v>92</v>
      </c>
      <c r="D181" t="s">
        <v>233</v>
      </c>
      <c r="F181" t="s">
        <v>89</v>
      </c>
      <c r="H181" s="13" t="s">
        <v>841</v>
      </c>
    </row>
    <row r="182" spans="1:8" x14ac:dyDescent="0.2">
      <c r="A182" s="13" t="s">
        <v>441</v>
      </c>
      <c r="B182" s="2">
        <f>(B153/1000)*B165</f>
        <v>1616.8710000000001</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&lt;4kW, NMC battery, 2020</v>
      </c>
    </row>
    <row r="185" spans="1:8" x14ac:dyDescent="0.2">
      <c r="A185" t="s">
        <v>72</v>
      </c>
      <c r="B185" t="s">
        <v>37</v>
      </c>
    </row>
    <row r="186" spans="1:8" x14ac:dyDescent="0.2">
      <c r="A186" t="s">
        <v>86</v>
      </c>
      <c r="B186" t="s">
        <v>608</v>
      </c>
    </row>
    <row r="187" spans="1:8" x14ac:dyDescent="0.2">
      <c r="A187" t="s">
        <v>87</v>
      </c>
    </row>
    <row r="188" spans="1:8" x14ac:dyDescent="0.2">
      <c r="A188" t="s">
        <v>88</v>
      </c>
      <c r="B188">
        <v>2020</v>
      </c>
    </row>
    <row r="189" spans="1:8" x14ac:dyDescent="0.2">
      <c r="A189" t="s">
        <v>126</v>
      </c>
      <c r="B189" t="str">
        <f>B186&amp;" - "&amp;B188&amp;" - "&amp;B201&amp;" - "&amp;B185</f>
        <v>Scooter, electric, &lt;4kW - 2020 - NMC - CH</v>
      </c>
    </row>
    <row r="190" spans="1:8" x14ac:dyDescent="0.2">
      <c r="A190" t="s">
        <v>73</v>
      </c>
      <c r="B190" t="str">
        <f>"transport, "&amp;B186</f>
        <v>transport, Scooter, electric, &lt;4kW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1570</v>
      </c>
    </row>
    <row r="199" spans="1:2" x14ac:dyDescent="0.2">
      <c r="A199" t="s">
        <v>132</v>
      </c>
      <c r="B199" s="2">
        <f>INDEX('vehicles specifications'!$B$3:$CW$166,MATCH(B189,'vehicles specifications'!$A$3:$A$166,0),MATCH("Curb mass [kg]",'vehicles specifications'!$B$2:$CW$2,0))</f>
        <v>100.95</v>
      </c>
    </row>
    <row r="200" spans="1:2" x14ac:dyDescent="0.2">
      <c r="A200" t="s">
        <v>133</v>
      </c>
      <c r="B200">
        <f>INDEX('vehicles specifications'!$B$3:$CW$166,MATCH(B189,'vehicles specifications'!$A$3:$A$166,0),MATCH("Power [kW]",'vehicles specifications'!$B$2:$CW$2,0))</f>
        <v>2.6</v>
      </c>
    </row>
    <row r="201" spans="1:2" x14ac:dyDescent="0.2">
      <c r="A201" t="s">
        <v>652</v>
      </c>
      <c r="B201" s="20" t="s">
        <v>43</v>
      </c>
    </row>
    <row r="202" spans="1:2" x14ac:dyDescent="0.2">
      <c r="A202" t="s">
        <v>134</v>
      </c>
      <c r="B202">
        <f>INDEX('vehicles specifications'!$B$3:$CW$166,MATCH(B189,'vehicles specifications'!$A$3:$A$166,0),MATCH("Energy battery mass [kg]",'vehicles specifications'!$B$2:$CW$2,0))</f>
        <v>14.949999999999998</v>
      </c>
    </row>
    <row r="203" spans="1:2" x14ac:dyDescent="0.2">
      <c r="A203" t="s">
        <v>135</v>
      </c>
      <c r="B203">
        <f>INDEX('vehicles specifications'!$B$3:$CW$166,MATCH(B189,'vehicles specifications'!$A$3:$A$166,0),MATCH("Electric energy stored [kWh]",'vehicles specifications'!$B$2:$CW$2,0))</f>
        <v>2.2999999999999998</v>
      </c>
    </row>
    <row r="204" spans="1:2" x14ac:dyDescent="0.2">
      <c r="A204" t="s">
        <v>588</v>
      </c>
      <c r="B204">
        <f>INDEX('vehicles specifications'!$B$3:$CW$166,MATCH(B189,'vehicles specifications'!$A$3:$A$166,0),MATCH("Electric energy available [kWh]",'vehicles specifications'!$B$2:$CW$2,0))</f>
        <v>1.8399999999999999</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49.641735985533444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&lt;4kW, NMC battery, 2020</v>
      </c>
      <c r="B213">
        <v>1</v>
      </c>
      <c r="C213" t="str">
        <f>B185</f>
        <v>CH</v>
      </c>
      <c r="D213" t="s">
        <v>166</v>
      </c>
      <c r="F213" t="s">
        <v>84</v>
      </c>
      <c r="G213" t="s">
        <v>85</v>
      </c>
      <c r="H213" t="str">
        <f>B190</f>
        <v>transport, Scooter, electric, &lt;4kW</v>
      </c>
    </row>
    <row r="214" spans="1:8" x14ac:dyDescent="0.2">
      <c r="A214" t="str">
        <f>RIGHT(A213,LEN(A213)-11)</f>
        <v>Scooter, electric, &lt;4kW, NMC battery, 2020</v>
      </c>
      <c r="B214" s="7">
        <f>1/B194</f>
        <v>4.0000000000000003E-5</v>
      </c>
      <c r="C214" t="str">
        <f>B185</f>
        <v>CH</v>
      </c>
      <c r="D214" t="s">
        <v>76</v>
      </c>
      <c r="F214" t="s">
        <v>89</v>
      </c>
      <c r="H214" t="str">
        <f>RIGHT(H213,LEN(H213)-11)</f>
        <v>Scooter, electric, &lt;4kW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9.6633149999999991E-5</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4.0772143838600498E-2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-6.7002598724957677E-6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-5.363432834513244E-6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-3.7706056904982231E-6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&lt;4kW, NMC battery, 2030</v>
      </c>
    </row>
    <row r="224" spans="1:8" x14ac:dyDescent="0.2">
      <c r="A224" t="s">
        <v>72</v>
      </c>
      <c r="B224" t="s">
        <v>37</v>
      </c>
    </row>
    <row r="225" spans="1:2" x14ac:dyDescent="0.2">
      <c r="A225" t="s">
        <v>86</v>
      </c>
      <c r="B225" t="s">
        <v>608</v>
      </c>
    </row>
    <row r="226" spans="1:2" x14ac:dyDescent="0.2">
      <c r="A226" t="s">
        <v>87</v>
      </c>
    </row>
    <row r="227" spans="1:2" x14ac:dyDescent="0.2">
      <c r="A227" t="s">
        <v>88</v>
      </c>
      <c r="B227">
        <v>2030</v>
      </c>
    </row>
    <row r="228" spans="1:2" x14ac:dyDescent="0.2">
      <c r="A228" t="s">
        <v>126</v>
      </c>
      <c r="B228" t="str">
        <f>B225&amp;" - "&amp;B227&amp;" - "&amp;B240&amp;" - "&amp;B224</f>
        <v>Scooter, electric, &lt;4kW - 2030 - NMC - CH</v>
      </c>
    </row>
    <row r="229" spans="1:2" x14ac:dyDescent="0.2">
      <c r="A229" t="s">
        <v>73</v>
      </c>
      <c r="B229" t="str">
        <f>"transport, "&amp;B225</f>
        <v>transport, Scooter, electric, &lt;4kW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1570</v>
      </c>
    </row>
    <row r="238" spans="1:2" x14ac:dyDescent="0.2">
      <c r="A238" t="s">
        <v>132</v>
      </c>
      <c r="B238" s="2">
        <f>INDEX('vehicles specifications'!$B$3:$CW$166,MATCH(B228,'vehicles specifications'!$A$3:$A$166,0),MATCH("Curb mass [kg]",'vehicles specifications'!$B$2:$CW$2,0))</f>
        <v>101.14333333333335</v>
      </c>
    </row>
    <row r="239" spans="1:2" x14ac:dyDescent="0.2">
      <c r="A239" t="s">
        <v>133</v>
      </c>
      <c r="B239">
        <f>INDEX('vehicles specifications'!$B$3:$CW$166,MATCH(B228,'vehicles specifications'!$A$3:$A$166,0),MATCH("Power [kW]",'vehicles specifications'!$B$2:$CW$2,0))</f>
        <v>2.6</v>
      </c>
    </row>
    <row r="240" spans="1:2" x14ac:dyDescent="0.2">
      <c r="A240" t="s">
        <v>652</v>
      </c>
      <c r="B240" s="20" t="s">
        <v>43</v>
      </c>
    </row>
    <row r="241" spans="1:8" x14ac:dyDescent="0.2">
      <c r="A241" t="s">
        <v>134</v>
      </c>
      <c r="B241">
        <f>INDEX('vehicles specifications'!$B$3:$CW$166,MATCH(B228,'vehicles specifications'!$A$3:$A$166,0),MATCH("Energy battery mass [kg]",'vehicles specifications'!$B$2:$CW$2,0))</f>
        <v>17.333333333333336</v>
      </c>
    </row>
    <row r="242" spans="1:8" x14ac:dyDescent="0.2">
      <c r="A242" t="s">
        <v>135</v>
      </c>
      <c r="B242">
        <f>INDEX('vehicles specifications'!$B$3:$CW$166,MATCH(B228,'vehicles specifications'!$A$3:$A$166,0),MATCH("Electric energy stored [kWh]",'vehicles specifications'!$B$2:$CW$2,0))</f>
        <v>4</v>
      </c>
    </row>
    <row r="243" spans="1:8" x14ac:dyDescent="0.2">
      <c r="A243" t="s">
        <v>588</v>
      </c>
      <c r="B243">
        <f>INDEX('vehicles specifications'!$B$3:$CW$166,MATCH(B228,'vehicles specifications'!$A$3:$A$166,0),MATCH("Electric energy available [kWh]",'vehicles specifications'!$B$2:$CW$2,0))</f>
        <v>3.2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86.333453887884261</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&lt;4kW, NMC battery, 2030</v>
      </c>
      <c r="B252">
        <v>1</v>
      </c>
      <c r="C252" t="str">
        <f>B224</f>
        <v>CH</v>
      </c>
      <c r="D252" t="s">
        <v>166</v>
      </c>
      <c r="F252" t="s">
        <v>84</v>
      </c>
      <c r="G252" t="s">
        <v>85</v>
      </c>
      <c r="H252" t="str">
        <f>B229</f>
        <v>transport, Scooter, electric, &lt;4kW</v>
      </c>
    </row>
    <row r="253" spans="1:8" x14ac:dyDescent="0.2">
      <c r="A253" t="str">
        <f>RIGHT(A252,LEN(A252)-11)</f>
        <v>Scooter, electric, &lt;4kW, NMC battery, 2030</v>
      </c>
      <c r="B253" s="7">
        <f>1/B233</f>
        <v>4.0000000000000003E-5</v>
      </c>
      <c r="C253" t="str">
        <f>B224</f>
        <v>CH</v>
      </c>
      <c r="D253" t="s">
        <v>76</v>
      </c>
      <c r="F253" t="s">
        <v>89</v>
      </c>
      <c r="H253" t="str">
        <f>RIGHT(H252,LEN(H252)-11)</f>
        <v>Scooter, electric, &lt;4kW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9.6736970000000004E-5</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4.0772143838600498E-2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4.0000000000000003E-5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-6.7059566799777275E-6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-5.3666314835027254E-6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-3.7732619309166969E-6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&lt;4kW, NMC battery, 2040</v>
      </c>
    </row>
    <row r="263" spans="1:8" x14ac:dyDescent="0.2">
      <c r="A263" t="s">
        <v>72</v>
      </c>
      <c r="B263" t="s">
        <v>37</v>
      </c>
    </row>
    <row r="264" spans="1:8" x14ac:dyDescent="0.2">
      <c r="A264" t="s">
        <v>86</v>
      </c>
      <c r="B264" t="s">
        <v>608</v>
      </c>
    </row>
    <row r="265" spans="1:8" x14ac:dyDescent="0.2">
      <c r="A265" t="s">
        <v>87</v>
      </c>
    </row>
    <row r="266" spans="1:8" x14ac:dyDescent="0.2">
      <c r="A266" t="s">
        <v>88</v>
      </c>
      <c r="B266">
        <v>2040</v>
      </c>
    </row>
    <row r="267" spans="1:8" x14ac:dyDescent="0.2">
      <c r="A267" t="s">
        <v>126</v>
      </c>
      <c r="B267" t="str">
        <f>B264&amp;" - "&amp;B266&amp;" - "&amp;B279&amp;" - "&amp;B263</f>
        <v>Scooter, electric, &lt;4kW - 2040 - NMC - CH</v>
      </c>
    </row>
    <row r="268" spans="1:8" x14ac:dyDescent="0.2">
      <c r="A268" t="s">
        <v>73</v>
      </c>
      <c r="B268" t="str">
        <f>"transport, "&amp;B264</f>
        <v>transport, Scooter, electric, &lt;4kW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1570</v>
      </c>
    </row>
    <row r="277" spans="1:2" x14ac:dyDescent="0.2">
      <c r="A277" t="s">
        <v>132</v>
      </c>
      <c r="B277" s="2">
        <f>INDEX('vehicles specifications'!$B$3:$CW$166,MATCH(B267,'vehicles specifications'!$A$3:$A$166,0),MATCH("Curb mass [kg]",'vehicles specifications'!$B$2:$CW$2,0))</f>
        <v>101.19999999999999</v>
      </c>
    </row>
    <row r="278" spans="1:2" x14ac:dyDescent="0.2">
      <c r="A278" t="s">
        <v>133</v>
      </c>
      <c r="B278">
        <f>INDEX('vehicles specifications'!$B$3:$CW$166,MATCH(B267,'vehicles specifications'!$A$3:$A$166,0),MATCH("Power [kW]",'vehicles specifications'!$B$2:$CW$2,0))</f>
        <v>2.6</v>
      </c>
    </row>
    <row r="279" spans="1:2" x14ac:dyDescent="0.2">
      <c r="A279" t="s">
        <v>652</v>
      </c>
      <c r="B279" s="20" t="s">
        <v>43</v>
      </c>
    </row>
    <row r="280" spans="1:2" x14ac:dyDescent="0.2">
      <c r="A280" t="s">
        <v>134</v>
      </c>
      <c r="B280">
        <f>INDEX('vehicles specifications'!$B$3:$CW$166,MATCH(B267,'vehicles specifications'!$A$3:$A$166,0),MATCH("Energy battery mass [kg]",'vehicles specifications'!$B$2:$CW$2,0))</f>
        <v>18.849999999999998</v>
      </c>
    </row>
    <row r="281" spans="1:2" x14ac:dyDescent="0.2">
      <c r="A281" t="s">
        <v>135</v>
      </c>
      <c r="B281">
        <f>INDEX('vehicles specifications'!$B$3:$CW$166,MATCH(B267,'vehicles specifications'!$A$3:$A$166,0),MATCH("Electric energy stored [kWh]",'vehicles specifications'!$B$2:$CW$2,0))</f>
        <v>5.8</v>
      </c>
    </row>
    <row r="282" spans="1:2" x14ac:dyDescent="0.2">
      <c r="A282" t="s">
        <v>588</v>
      </c>
      <c r="B282">
        <f>INDEX('vehicles specifications'!$B$3:$CW$166,MATCH(B267,'vehicles specifications'!$A$3:$A$166,0),MATCH("Electric energy available [kWh]",'vehicles specifications'!$B$2:$CW$2,0))</f>
        <v>4.6399999999999997</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125.18350813743217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&lt;4kW, NMC battery, 2040</v>
      </c>
      <c r="B291">
        <v>1</v>
      </c>
      <c r="C291" t="str">
        <f>B263</f>
        <v>CH</v>
      </c>
      <c r="D291" t="s">
        <v>166</v>
      </c>
      <c r="F291" t="s">
        <v>84</v>
      </c>
      <c r="G291" t="s">
        <v>85</v>
      </c>
      <c r="H291" t="str">
        <f>B268</f>
        <v>transport, Scooter, electric, &lt;4kW</v>
      </c>
    </row>
    <row r="292" spans="1:8" x14ac:dyDescent="0.2">
      <c r="A292" t="str">
        <f>RIGHT(A291,LEN(A291)-11)</f>
        <v>Scooter, electric, &lt;4kW, NMC battery, 2040</v>
      </c>
      <c r="B292" s="7">
        <f>1/B272</f>
        <v>4.0000000000000003E-5</v>
      </c>
      <c r="C292" t="str">
        <f>B263</f>
        <v>CH</v>
      </c>
      <c r="D292" t="s">
        <v>76</v>
      </c>
      <c r="F292" t="s">
        <v>89</v>
      </c>
      <c r="H292" t="str">
        <f>RIGHT(H291,LEN(H291)-11)</f>
        <v>Scooter, electric, &lt;4kW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9.6767399999999991E-5</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4.0772143838600498E-2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4.0000000000000003E-5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-6.7076262137343895E-6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-5.3675685087870323E-6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-3.7740401891516924E-6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&lt;4kW, NMC battery, 2050</v>
      </c>
    </row>
    <row r="302" spans="1:8" x14ac:dyDescent="0.2">
      <c r="A302" t="s">
        <v>72</v>
      </c>
      <c r="B302" t="s">
        <v>37</v>
      </c>
    </row>
    <row r="303" spans="1:8" x14ac:dyDescent="0.2">
      <c r="A303" t="s">
        <v>86</v>
      </c>
      <c r="B303" t="s">
        <v>608</v>
      </c>
    </row>
    <row r="304" spans="1:8" x14ac:dyDescent="0.2">
      <c r="A304" t="s">
        <v>87</v>
      </c>
    </row>
    <row r="305" spans="1:2" x14ac:dyDescent="0.2">
      <c r="A305" t="s">
        <v>88</v>
      </c>
      <c r="B305">
        <v>2050</v>
      </c>
    </row>
    <row r="306" spans="1:2" x14ac:dyDescent="0.2">
      <c r="A306" t="s">
        <v>126</v>
      </c>
      <c r="B306" t="str">
        <f>B303&amp;" - "&amp;B305&amp;" - "&amp;B318&amp;" - "&amp;B302</f>
        <v>Scooter, electric, &lt;4kW - 2050 - NMC - CH</v>
      </c>
    </row>
    <row r="307" spans="1:2" x14ac:dyDescent="0.2">
      <c r="A307" t="s">
        <v>73</v>
      </c>
      <c r="B307" t="str">
        <f>"transport, "&amp;B303</f>
        <v>transport, Scooter, electric, &lt;4kW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1570</v>
      </c>
    </row>
    <row r="316" spans="1:2" x14ac:dyDescent="0.2">
      <c r="A316" t="s">
        <v>132</v>
      </c>
      <c r="B316" s="2">
        <f>INDEX('vehicles specifications'!$B$3:$CW$166,MATCH(B306,'vehicles specifications'!$A$3:$A$166,0),MATCH("Curb mass [kg]",'vehicles specifications'!$B$2:$CW$2,0))</f>
        <v>101.69</v>
      </c>
    </row>
    <row r="317" spans="1:2" x14ac:dyDescent="0.2">
      <c r="A317" t="s">
        <v>133</v>
      </c>
      <c r="B317">
        <f>INDEX('vehicles specifications'!$B$3:$CW$166,MATCH(B306,'vehicles specifications'!$A$3:$A$166,0),MATCH("Power [kW]",'vehicles specifications'!$B$2:$CW$2,0))</f>
        <v>2.6</v>
      </c>
    </row>
    <row r="318" spans="1:2" x14ac:dyDescent="0.2">
      <c r="A318" t="s">
        <v>652</v>
      </c>
      <c r="B318" s="20" t="s">
        <v>43</v>
      </c>
    </row>
    <row r="319" spans="1:2" x14ac:dyDescent="0.2">
      <c r="A319" t="s">
        <v>134</v>
      </c>
      <c r="B319">
        <f>INDEX('vehicles specifications'!$B$3:$CW$166,MATCH(B306,'vehicles specifications'!$A$3:$A$166,0),MATCH("Energy battery mass [kg]",'vehicles specifications'!$B$2:$CW$2,0))</f>
        <v>20.8</v>
      </c>
    </row>
    <row r="320" spans="1:2" x14ac:dyDescent="0.2">
      <c r="A320" t="s">
        <v>135</v>
      </c>
      <c r="B320">
        <f>INDEX('vehicles specifications'!$B$3:$CW$166,MATCH(B306,'vehicles specifications'!$A$3:$A$166,0),MATCH("Electric energy stored [kWh]",'vehicles specifications'!$B$2:$CW$2,0))</f>
        <v>8</v>
      </c>
    </row>
    <row r="321" spans="1:8" x14ac:dyDescent="0.2">
      <c r="A321" t="s">
        <v>588</v>
      </c>
      <c r="B321">
        <f>INDEX('vehicles specifications'!$B$3:$CW$166,MATCH(B306,'vehicles specifications'!$A$3:$A$166,0),MATCH("Electric energy available [kWh]",'vehicles specifications'!$B$2:$CW$2,0))</f>
        <v>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172.66690777576852</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&lt;4kW, NMC battery, 2050</v>
      </c>
      <c r="B330">
        <v>1</v>
      </c>
      <c r="C330" t="str">
        <f>B302</f>
        <v>CH</v>
      </c>
      <c r="D330" t="s">
        <v>166</v>
      </c>
      <c r="F330" t="s">
        <v>84</v>
      </c>
      <c r="G330" t="s">
        <v>85</v>
      </c>
      <c r="H330" t="str">
        <f>B307</f>
        <v>transport, Scooter, electric, &lt;4kW</v>
      </c>
    </row>
    <row r="331" spans="1:8" x14ac:dyDescent="0.2">
      <c r="A331" t="str">
        <f>RIGHT(A330,LEN(A330)-11)</f>
        <v>Scooter, electric, &lt;4kW, NMC battery, 2050</v>
      </c>
      <c r="B331" s="7">
        <f>1/B311</f>
        <v>4.0000000000000003E-5</v>
      </c>
      <c r="C331" t="str">
        <f>B302</f>
        <v>CH</v>
      </c>
      <c r="D331" t="s">
        <v>76</v>
      </c>
      <c r="F331" t="s">
        <v>89</v>
      </c>
      <c r="H331" t="str">
        <f>RIGHT(H330,LEN(H330)-11)</f>
        <v>Scooter, electric, &lt;4kW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9.7030529999999994E-5</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4.0772143838600498E-2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4.0000000000000003E-5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-6.7220586146877895E-6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-5.3756614136129848E-6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-3.7807642711566629E-6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4" t="s">
        <v>855</v>
      </c>
      <c r="M1" s="44"/>
      <c r="N1" s="44"/>
      <c r="O1" s="44"/>
      <c r="P1" s="44"/>
      <c r="Q1" s="44"/>
      <c r="R1" s="44"/>
      <c r="S1" s="45" t="s">
        <v>854</v>
      </c>
      <c r="T1" s="45"/>
      <c r="U1" s="45"/>
      <c r="V1" s="45"/>
      <c r="W1" s="45"/>
      <c r="X1" s="45"/>
      <c r="Y1" s="45"/>
      <c r="Z1" s="46" t="s">
        <v>856</v>
      </c>
      <c r="AA1" s="46"/>
      <c r="AB1" s="46"/>
      <c r="AC1" s="46"/>
      <c r="AD1" s="46"/>
      <c r="AE1" s="46"/>
      <c r="AF1" s="46"/>
      <c r="AG1" s="47" t="s">
        <v>857</v>
      </c>
      <c r="AH1" s="47"/>
      <c r="AI1" s="47"/>
      <c r="AJ1" s="47"/>
      <c r="AK1" s="47"/>
      <c r="AL1" s="47"/>
      <c r="AM1" s="47"/>
      <c r="AN1" s="42" t="s">
        <v>858</v>
      </c>
      <c r="AO1" s="42"/>
      <c r="AP1" s="42"/>
      <c r="AQ1" s="42"/>
      <c r="AR1" s="42"/>
      <c r="AS1" s="42"/>
      <c r="AT1" s="42"/>
      <c r="AU1" s="43" t="s">
        <v>859</v>
      </c>
      <c r="AV1" s="43"/>
      <c r="AW1" s="43"/>
      <c r="AX1" s="43"/>
      <c r="AY1" s="43"/>
      <c r="AZ1" s="43"/>
      <c r="BA1" s="43"/>
      <c r="BB1" s="39"/>
      <c r="BC1" s="39"/>
      <c r="BD1" s="39"/>
      <c r="BE1" s="38" t="s">
        <v>868</v>
      </c>
      <c r="BF1" s="38" t="s">
        <v>869</v>
      </c>
      <c r="BG1" s="38"/>
      <c r="BH1" s="38" t="s">
        <v>870</v>
      </c>
    </row>
    <row r="2" spans="1:60" x14ac:dyDescent="0.2">
      <c r="A2" s="8" t="s">
        <v>125</v>
      </c>
      <c r="B2" s="8" t="s">
        <v>0</v>
      </c>
      <c r="C2" s="8" t="s">
        <v>1</v>
      </c>
      <c r="D2" s="8" t="s">
        <v>2</v>
      </c>
      <c r="E2" s="8" t="s">
        <v>36</v>
      </c>
      <c r="F2" s="8" t="s">
        <v>65</v>
      </c>
      <c r="G2" s="8" t="s">
        <v>38</v>
      </c>
      <c r="H2" s="8" t="s">
        <v>3</v>
      </c>
      <c r="I2" s="8" t="s">
        <v>42</v>
      </c>
      <c r="J2" s="8" t="s">
        <v>860</v>
      </c>
      <c r="L2" s="25" t="s">
        <v>851</v>
      </c>
      <c r="M2" s="25" t="s">
        <v>862</v>
      </c>
      <c r="N2" s="25" t="s">
        <v>853</v>
      </c>
      <c r="O2" s="25" t="s">
        <v>852</v>
      </c>
      <c r="P2" s="25" t="s">
        <v>110</v>
      </c>
      <c r="Q2" s="25" t="s">
        <v>86</v>
      </c>
      <c r="R2" s="25" t="s">
        <v>863</v>
      </c>
      <c r="S2" s="27" t="s">
        <v>851</v>
      </c>
      <c r="T2" s="27" t="s">
        <v>862</v>
      </c>
      <c r="U2" s="27" t="s">
        <v>853</v>
      </c>
      <c r="V2" s="27" t="s">
        <v>852</v>
      </c>
      <c r="W2" s="27" t="s">
        <v>110</v>
      </c>
      <c r="X2" s="27" t="s">
        <v>86</v>
      </c>
      <c r="Y2" s="27" t="s">
        <v>863</v>
      </c>
      <c r="Z2" s="29" t="s">
        <v>851</v>
      </c>
      <c r="AA2" s="29" t="s">
        <v>862</v>
      </c>
      <c r="AB2" s="29" t="s">
        <v>853</v>
      </c>
      <c r="AC2" s="29" t="s">
        <v>852</v>
      </c>
      <c r="AD2" s="29" t="s">
        <v>110</v>
      </c>
      <c r="AE2" s="29" t="s">
        <v>86</v>
      </c>
      <c r="AF2" s="29" t="s">
        <v>863</v>
      </c>
      <c r="AG2" s="31" t="s">
        <v>851</v>
      </c>
      <c r="AH2" s="31" t="s">
        <v>862</v>
      </c>
      <c r="AI2" s="31" t="s">
        <v>853</v>
      </c>
      <c r="AJ2" s="31" t="s">
        <v>852</v>
      </c>
      <c r="AK2" s="31" t="s">
        <v>110</v>
      </c>
      <c r="AL2" s="31" t="s">
        <v>86</v>
      </c>
      <c r="AM2" s="31" t="s">
        <v>863</v>
      </c>
      <c r="AN2" s="33" t="s">
        <v>851</v>
      </c>
      <c r="AO2" s="33" t="s">
        <v>862</v>
      </c>
      <c r="AP2" s="33" t="s">
        <v>853</v>
      </c>
      <c r="AQ2" s="33" t="s">
        <v>852</v>
      </c>
      <c r="AR2" s="33" t="s">
        <v>110</v>
      </c>
      <c r="AS2" s="33" t="s">
        <v>86</v>
      </c>
      <c r="AT2" s="33" t="s">
        <v>863</v>
      </c>
      <c r="AU2" s="35" t="s">
        <v>851</v>
      </c>
      <c r="AV2" s="35" t="s">
        <v>862</v>
      </c>
      <c r="AW2" s="35" t="s">
        <v>853</v>
      </c>
      <c r="AX2" s="35" t="s">
        <v>852</v>
      </c>
      <c r="AY2" s="35" t="s">
        <v>110</v>
      </c>
      <c r="AZ2" s="35" t="s">
        <v>86</v>
      </c>
      <c r="BA2" s="35" t="s">
        <v>863</v>
      </c>
      <c r="BB2" s="8"/>
      <c r="BC2" s="8"/>
      <c r="BD2" s="8"/>
      <c r="BE2" t="s">
        <v>871</v>
      </c>
      <c r="BF2" t="s">
        <v>872</v>
      </c>
      <c r="BH2" t="s">
        <v>873</v>
      </c>
    </row>
    <row r="3" spans="1:60" x14ac:dyDescent="0.2">
      <c r="A3" t="str">
        <f>B3&amp;" - "&amp;D3&amp;" - "&amp;IF(I3&lt;&gt;"",I3&amp;" - "&amp;E3,E3)</f>
        <v>Kick Scooter, electric, &lt;1kW - 2020 - NMC - CH</v>
      </c>
      <c r="B3" t="s">
        <v>618</v>
      </c>
      <c r="D3" s="19">
        <v>2020</v>
      </c>
      <c r="E3" t="s">
        <v>37</v>
      </c>
      <c r="F3" t="s">
        <v>140</v>
      </c>
      <c r="G3" t="s">
        <v>39</v>
      </c>
      <c r="H3" t="s">
        <v>32</v>
      </c>
      <c r="I3" t="s">
        <v>43</v>
      </c>
      <c r="J3" t="s">
        <v>140</v>
      </c>
      <c r="L3" s="26">
        <v>0</v>
      </c>
      <c r="M3" s="26">
        <v>0</v>
      </c>
      <c r="N3" s="26">
        <v>2.7305966317886432E-3</v>
      </c>
      <c r="O3" s="26">
        <v>0</v>
      </c>
      <c r="P3" s="26">
        <v>3.9432759253126069E-4</v>
      </c>
      <c r="Q3" s="26">
        <v>6.0442465125233262E-2</v>
      </c>
      <c r="R3" s="26">
        <v>6.3567389349553166E-2</v>
      </c>
      <c r="S3" s="28">
        <v>0</v>
      </c>
      <c r="T3" s="28">
        <v>0</v>
      </c>
      <c r="U3" s="28">
        <v>2.8901572147613101E-4</v>
      </c>
      <c r="V3" s="28">
        <v>0</v>
      </c>
      <c r="W3" s="28">
        <v>2.4916630170601268E-5</v>
      </c>
      <c r="X3" s="28">
        <v>4.2333243249561892E-2</v>
      </c>
      <c r="Y3" s="28">
        <v>4.2647175601208627E-2</v>
      </c>
      <c r="Z3" s="30">
        <v>0</v>
      </c>
      <c r="AA3" s="30">
        <v>1.3758060237990489E-3</v>
      </c>
      <c r="AB3" s="30">
        <v>8.4699063757735321E-5</v>
      </c>
      <c r="AC3" s="30">
        <v>0</v>
      </c>
      <c r="AD3" s="30">
        <v>1.132624888950353E-5</v>
      </c>
      <c r="AE3" s="30">
        <v>4.5171151229257307E-3</v>
      </c>
      <c r="AF3" s="30">
        <v>5.9889464593720181E-3</v>
      </c>
      <c r="AG3" s="32">
        <v>0</v>
      </c>
      <c r="AH3" s="32">
        <v>7.228237882960114E-6</v>
      </c>
      <c r="AI3" s="32">
        <v>1.9352850365053441E-4</v>
      </c>
      <c r="AJ3" s="32">
        <v>0</v>
      </c>
      <c r="AK3" s="32">
        <v>1.057049880912046E-5</v>
      </c>
      <c r="AL3" s="32">
        <v>1.2578173591714779E-2</v>
      </c>
      <c r="AM3" s="32">
        <v>1.2789500832057394E-2</v>
      </c>
      <c r="AN3" s="34">
        <v>0</v>
      </c>
      <c r="AO3" s="34">
        <v>5.1842725945187069E-6</v>
      </c>
      <c r="AP3" s="34">
        <v>2.4402048008400939E-7</v>
      </c>
      <c r="AQ3" s="34">
        <v>0</v>
      </c>
      <c r="AR3" s="34">
        <v>4.1737758779288002E-8</v>
      </c>
      <c r="AS3" s="34">
        <v>9.4428911206493886E-6</v>
      </c>
      <c r="AT3" s="34">
        <v>1.4912921954031393E-5</v>
      </c>
      <c r="AU3" s="36">
        <v>0</v>
      </c>
      <c r="AV3" s="36">
        <v>0</v>
      </c>
      <c r="AW3" s="36">
        <v>0.12769446264574236</v>
      </c>
      <c r="AX3" s="36">
        <v>0</v>
      </c>
      <c r="AY3" s="36">
        <v>1.2917914948549365E-2</v>
      </c>
      <c r="AZ3" s="36">
        <v>0.75018944046854441</v>
      </c>
      <c r="BA3" s="36">
        <v>0.89080181806283609</v>
      </c>
      <c r="BB3" s="6"/>
      <c r="BC3" s="6"/>
      <c r="BD3" t="s">
        <v>944</v>
      </c>
      <c r="BF3" s="5">
        <v>4.2757277000000003E-2</v>
      </c>
      <c r="BG3" s="5">
        <f>BF3-R3</f>
        <v>-2.0810112349553163E-2</v>
      </c>
      <c r="BH3" s="2">
        <v>111.64413</v>
      </c>
    </row>
    <row r="4" spans="1:60" x14ac:dyDescent="0.2">
      <c r="A4" t="str">
        <f t="shared" ref="A4:A175" si="0">B4&amp;" - "&amp;D4&amp;" - "&amp;IF(I4&lt;&gt;"",I4&amp;" - "&amp;E4,E4)</f>
        <v>Kick Scooter, electric, &lt;1kW - 2030 - NMC - CH</v>
      </c>
      <c r="B4" t="s">
        <v>618</v>
      </c>
      <c r="D4" s="19">
        <v>2030</v>
      </c>
      <c r="E4" t="s">
        <v>37</v>
      </c>
      <c r="F4" t="s">
        <v>140</v>
      </c>
      <c r="G4" t="s">
        <v>39</v>
      </c>
      <c r="H4" t="s">
        <v>32</v>
      </c>
      <c r="I4" t="s">
        <v>43</v>
      </c>
      <c r="J4" t="s">
        <v>140</v>
      </c>
      <c r="L4" s="26">
        <v>0</v>
      </c>
      <c r="M4" s="26">
        <v>0</v>
      </c>
      <c r="N4" s="26">
        <v>2.7305966317886432E-3</v>
      </c>
      <c r="O4" s="26">
        <v>0</v>
      </c>
      <c r="P4" s="26">
        <v>3.9143699488326821E-4</v>
      </c>
      <c r="Q4" s="26">
        <v>6.1217155721092972E-2</v>
      </c>
      <c r="R4" s="26">
        <v>6.4339189347764877E-2</v>
      </c>
      <c r="S4" s="28">
        <v>0</v>
      </c>
      <c r="T4" s="28">
        <v>0</v>
      </c>
      <c r="U4" s="28">
        <v>2.8901572147613101E-4</v>
      </c>
      <c r="V4" s="28">
        <v>0</v>
      </c>
      <c r="W4" s="28">
        <v>2.4733980125483441E-5</v>
      </c>
      <c r="X4" s="28">
        <v>3.7266996001377978E-2</v>
      </c>
      <c r="Y4" s="28">
        <v>3.758074570297959E-2</v>
      </c>
      <c r="Z4" s="30">
        <v>0</v>
      </c>
      <c r="AA4" s="30">
        <v>1.3758060237990489E-3</v>
      </c>
      <c r="AB4" s="30">
        <v>8.4699063757735321E-5</v>
      </c>
      <c r="AC4" s="30">
        <v>0</v>
      </c>
      <c r="AD4" s="30">
        <v>1.124322241856749E-5</v>
      </c>
      <c r="AE4" s="30">
        <v>4.264618052457844E-3</v>
      </c>
      <c r="AF4" s="30">
        <v>5.736366362433196E-3</v>
      </c>
      <c r="AG4" s="32">
        <v>0</v>
      </c>
      <c r="AH4" s="32">
        <v>7.228237882960114E-6</v>
      </c>
      <c r="AI4" s="32">
        <v>1.9352850365053441E-4</v>
      </c>
      <c r="AJ4" s="32">
        <v>0</v>
      </c>
      <c r="AK4" s="32">
        <v>1.0493012324343649E-5</v>
      </c>
      <c r="AL4" s="32">
        <v>1.2060778238026371E-2</v>
      </c>
      <c r="AM4" s="32">
        <v>1.2272027991884208E-2</v>
      </c>
      <c r="AN4" s="34">
        <v>0</v>
      </c>
      <c r="AO4" s="34">
        <v>5.1842725945187069E-6</v>
      </c>
      <c r="AP4" s="34">
        <v>2.4402048008400939E-7</v>
      </c>
      <c r="AQ4" s="34">
        <v>0</v>
      </c>
      <c r="AR4" s="34">
        <v>4.1431802336865512E-8</v>
      </c>
      <c r="AS4" s="34">
        <v>8.5700055031524205E-6</v>
      </c>
      <c r="AT4" s="34">
        <v>1.4039730380092001E-5</v>
      </c>
      <c r="AU4" s="36">
        <v>0</v>
      </c>
      <c r="AV4" s="36">
        <v>0</v>
      </c>
      <c r="AW4" s="36">
        <v>0.12769446264574236</v>
      </c>
      <c r="AX4" s="36">
        <v>0</v>
      </c>
      <c r="AY4" s="36">
        <v>1.2823220853399825E-2</v>
      </c>
      <c r="AZ4" s="36">
        <v>0.74472552483209364</v>
      </c>
      <c r="BA4" s="36">
        <v>0.88524320833123582</v>
      </c>
      <c r="BB4" s="6"/>
      <c r="BC4" s="6"/>
      <c r="BD4" t="s">
        <v>945</v>
      </c>
      <c r="BF4" s="5">
        <v>4.2392623000000004E-2</v>
      </c>
      <c r="BG4" s="5">
        <f t="shared" ref="BG4:BG67" si="1">BF4-R4</f>
        <v>-2.1946566347764873E-2</v>
      </c>
      <c r="BH4" s="2">
        <v>101.67288000000001</v>
      </c>
    </row>
    <row r="5" spans="1:60" x14ac:dyDescent="0.2">
      <c r="A5" t="str">
        <f t="shared" si="0"/>
        <v>Kick Scooter, electric, &lt;1kW - 2040 - NMC - CH</v>
      </c>
      <c r="B5" t="s">
        <v>618</v>
      </c>
      <c r="D5" s="19">
        <v>2040</v>
      </c>
      <c r="E5" t="s">
        <v>37</v>
      </c>
      <c r="F5" t="s">
        <v>140</v>
      </c>
      <c r="G5" t="s">
        <v>39</v>
      </c>
      <c r="H5" t="s">
        <v>32</v>
      </c>
      <c r="I5" t="s">
        <v>43</v>
      </c>
      <c r="J5" t="s">
        <v>140</v>
      </c>
      <c r="L5" s="26">
        <v>0</v>
      </c>
      <c r="M5" s="26">
        <v>0</v>
      </c>
      <c r="N5" s="26">
        <v>2.7305966317886432E-3</v>
      </c>
      <c r="O5" s="26">
        <v>0</v>
      </c>
      <c r="P5" s="26">
        <v>3.9034448553599551E-4</v>
      </c>
      <c r="Q5" s="26">
        <v>6.3544195985543631E-2</v>
      </c>
      <c r="R5" s="26">
        <v>6.6665137102868269E-2</v>
      </c>
      <c r="S5" s="28">
        <v>0</v>
      </c>
      <c r="T5" s="28">
        <v>0</v>
      </c>
      <c r="U5" s="28">
        <v>2.8901572147613101E-4</v>
      </c>
      <c r="V5" s="28">
        <v>0</v>
      </c>
      <c r="W5" s="28">
        <v>2.4664947037564892E-5</v>
      </c>
      <c r="X5" s="28">
        <v>3.748451818144883E-2</v>
      </c>
      <c r="Y5" s="28">
        <v>3.7798198849962522E-2</v>
      </c>
      <c r="Z5" s="30">
        <v>0</v>
      </c>
      <c r="AA5" s="30">
        <v>1.3758060237990489E-3</v>
      </c>
      <c r="AB5" s="30">
        <v>8.4699063757735321E-5</v>
      </c>
      <c r="AC5" s="30">
        <v>0</v>
      </c>
      <c r="AD5" s="30">
        <v>1.1211842335064101E-5</v>
      </c>
      <c r="AE5" s="30">
        <v>4.3841796745984173E-3</v>
      </c>
      <c r="AF5" s="30">
        <v>5.8558966044902653E-3</v>
      </c>
      <c r="AG5" s="32">
        <v>0</v>
      </c>
      <c r="AH5" s="32">
        <v>7.228237882960114E-6</v>
      </c>
      <c r="AI5" s="32">
        <v>1.9352850365053441E-4</v>
      </c>
      <c r="AJ5" s="32">
        <v>0</v>
      </c>
      <c r="AK5" s="32">
        <v>1.046372609387682E-5</v>
      </c>
      <c r="AL5" s="32">
        <v>1.2421005229130439E-2</v>
      </c>
      <c r="AM5" s="32">
        <v>1.263222569675781E-2</v>
      </c>
      <c r="AN5" s="34">
        <v>0</v>
      </c>
      <c r="AO5" s="34">
        <v>5.1842725945187069E-6</v>
      </c>
      <c r="AP5" s="34">
        <v>2.4402048008400939E-7</v>
      </c>
      <c r="AQ5" s="34">
        <v>0</v>
      </c>
      <c r="AR5" s="34">
        <v>4.1316165256264889E-8</v>
      </c>
      <c r="AS5" s="34">
        <v>8.651096288226977E-6</v>
      </c>
      <c r="AT5" s="34">
        <v>1.4120705528085958E-5</v>
      </c>
      <c r="AU5" s="36">
        <v>0</v>
      </c>
      <c r="AV5" s="36">
        <v>0</v>
      </c>
      <c r="AW5" s="36">
        <v>0.12769446264574236</v>
      </c>
      <c r="AX5" s="36">
        <v>0</v>
      </c>
      <c r="AY5" s="36">
        <v>1.2787430959170081E-2</v>
      </c>
      <c r="AZ5" s="36">
        <v>0.76962222733176378</v>
      </c>
      <c r="BA5" s="36">
        <v>0.91010412093667625</v>
      </c>
      <c r="BB5" s="6"/>
      <c r="BC5" s="6"/>
      <c r="BD5" t="s">
        <v>946</v>
      </c>
      <c r="BF5" s="5">
        <v>4.3270989000000003E-2</v>
      </c>
      <c r="BG5" s="5">
        <f t="shared" si="1"/>
        <v>-2.3394148102868266E-2</v>
      </c>
      <c r="BH5" s="2">
        <v>101.68076000000001</v>
      </c>
    </row>
    <row r="6" spans="1:60" x14ac:dyDescent="0.2">
      <c r="A6" t="str">
        <f t="shared" si="0"/>
        <v>Kick Scooter, electric, &lt;1kW - 2050 - NMC - CH</v>
      </c>
      <c r="B6" t="s">
        <v>618</v>
      </c>
      <c r="D6" s="19">
        <v>2050</v>
      </c>
      <c r="E6" t="s">
        <v>37</v>
      </c>
      <c r="F6" t="s">
        <v>140</v>
      </c>
      <c r="G6" t="s">
        <v>39</v>
      </c>
      <c r="H6" t="s">
        <v>32</v>
      </c>
      <c r="I6" t="s">
        <v>43</v>
      </c>
      <c r="J6" t="s">
        <v>140</v>
      </c>
      <c r="L6" s="26">
        <v>0</v>
      </c>
      <c r="M6" s="26">
        <v>0</v>
      </c>
      <c r="N6" s="26">
        <v>2.7305966317886432E-3</v>
      </c>
      <c r="O6" s="26">
        <v>0</v>
      </c>
      <c r="P6" s="26">
        <v>3.892519761887227E-4</v>
      </c>
      <c r="Q6" s="26">
        <v>6.5871237024834356E-2</v>
      </c>
      <c r="R6" s="26">
        <v>6.8991085632811727E-2</v>
      </c>
      <c r="S6" s="28">
        <v>0</v>
      </c>
      <c r="T6" s="28">
        <v>0</v>
      </c>
      <c r="U6" s="28">
        <v>2.8901572147613101E-4</v>
      </c>
      <c r="V6" s="28">
        <v>0</v>
      </c>
      <c r="W6" s="28">
        <v>2.4595913949646339E-5</v>
      </c>
      <c r="X6" s="28">
        <v>3.7702041013114661E-2</v>
      </c>
      <c r="Y6" s="28">
        <v>3.8015652648540441E-2</v>
      </c>
      <c r="Z6" s="30">
        <v>0</v>
      </c>
      <c r="AA6" s="30">
        <v>1.3758060237990489E-3</v>
      </c>
      <c r="AB6" s="30">
        <v>8.4699063757735321E-5</v>
      </c>
      <c r="AC6" s="30">
        <v>0</v>
      </c>
      <c r="AD6" s="30">
        <v>1.118046225156072E-5</v>
      </c>
      <c r="AE6" s="30">
        <v>4.5037413748950129E-3</v>
      </c>
      <c r="AF6" s="30">
        <v>5.975426924703358E-3</v>
      </c>
      <c r="AG6" s="32">
        <v>0</v>
      </c>
      <c r="AH6" s="32">
        <v>7.228237882960114E-6</v>
      </c>
      <c r="AI6" s="32">
        <v>1.9352850365053441E-4</v>
      </c>
      <c r="AJ6" s="32">
        <v>0</v>
      </c>
      <c r="AK6" s="32">
        <v>1.043443986340999E-5</v>
      </c>
      <c r="AL6" s="32">
        <v>1.278123259879028E-2</v>
      </c>
      <c r="AM6" s="32">
        <v>1.2992423780187183E-2</v>
      </c>
      <c r="AN6" s="34">
        <v>0</v>
      </c>
      <c r="AO6" s="34">
        <v>5.1842725945187069E-6</v>
      </c>
      <c r="AP6" s="34">
        <v>2.4402048008400939E-7</v>
      </c>
      <c r="AQ6" s="34">
        <v>0</v>
      </c>
      <c r="AR6" s="34">
        <v>4.1200528175664258E-8</v>
      </c>
      <c r="AS6" s="34">
        <v>8.732187134617715E-6</v>
      </c>
      <c r="AT6" s="34">
        <v>1.4201680737396094E-5</v>
      </c>
      <c r="AU6" s="36">
        <v>0</v>
      </c>
      <c r="AV6" s="36">
        <v>0</v>
      </c>
      <c r="AW6" s="36">
        <v>0.12769446264574236</v>
      </c>
      <c r="AX6" s="36">
        <v>0</v>
      </c>
      <c r="AY6" s="36">
        <v>1.2751641064940332E-2</v>
      </c>
      <c r="AZ6" s="36">
        <v>0.79451893756601544</v>
      </c>
      <c r="BA6" s="36">
        <v>0.93496504127669811</v>
      </c>
      <c r="BB6" s="6"/>
      <c r="BC6" s="6"/>
      <c r="BD6" t="s">
        <v>947</v>
      </c>
      <c r="BF6" s="5">
        <v>4.4148325000000002E-2</v>
      </c>
      <c r="BG6" s="5">
        <f t="shared" si="1"/>
        <v>-2.4842760632811725E-2</v>
      </c>
      <c r="BH6" s="2">
        <v>101.68783000000001</v>
      </c>
    </row>
    <row r="7" spans="1:60" x14ac:dyDescent="0.2">
      <c r="A7" t="str">
        <f>B7&amp;" - "&amp;D7&amp;" - "&amp;IF(I7&lt;&gt;"",I7&amp;" - "&amp;E7,E7)</f>
        <v>Kick Scooter, electric, &lt;1kW - 2020 - LFP - CH</v>
      </c>
      <c r="B7" t="s">
        <v>618</v>
      </c>
      <c r="D7" s="19">
        <v>2020</v>
      </c>
      <c r="E7" t="s">
        <v>37</v>
      </c>
      <c r="F7" t="s">
        <v>140</v>
      </c>
      <c r="G7" t="s">
        <v>39</v>
      </c>
      <c r="H7" t="s">
        <v>32</v>
      </c>
      <c r="I7" t="s">
        <v>44</v>
      </c>
      <c r="J7" t="s">
        <v>140</v>
      </c>
      <c r="L7" s="26">
        <v>0</v>
      </c>
      <c r="M7" s="26">
        <v>0</v>
      </c>
      <c r="N7" s="26">
        <v>2.7305966317886432E-3</v>
      </c>
      <c r="O7" s="26">
        <v>0</v>
      </c>
      <c r="P7" s="26">
        <v>4.0172479123675342E-4</v>
      </c>
      <c r="Q7" s="26">
        <v>6.9580018247470912E-2</v>
      </c>
      <c r="R7" s="26">
        <v>7.2712339670496312E-2</v>
      </c>
      <c r="S7" s="28">
        <v>0</v>
      </c>
      <c r="T7" s="28">
        <v>0</v>
      </c>
      <c r="U7" s="28">
        <v>2.8901572147613101E-4</v>
      </c>
      <c r="V7" s="28">
        <v>0</v>
      </c>
      <c r="W7" s="28">
        <v>2.538404170338311E-5</v>
      </c>
      <c r="X7" s="28">
        <v>3.0222831373616581E-2</v>
      </c>
      <c r="Y7" s="28">
        <v>3.0537231136796093E-2</v>
      </c>
      <c r="Z7" s="30">
        <v>0</v>
      </c>
      <c r="AA7" s="30">
        <v>1.3758060237990489E-3</v>
      </c>
      <c r="AB7" s="30">
        <v>8.4699063757735321E-5</v>
      </c>
      <c r="AC7" s="30">
        <v>0</v>
      </c>
      <c r="AD7" s="30">
        <v>1.153871820489105E-5</v>
      </c>
      <c r="AE7" s="30">
        <v>4.5592045087369621E-3</v>
      </c>
      <c r="AF7" s="30">
        <v>6.0312483144986375E-3</v>
      </c>
      <c r="AG7" s="32">
        <v>0</v>
      </c>
      <c r="AH7" s="32">
        <v>7.228237882960114E-6</v>
      </c>
      <c r="AI7" s="32">
        <v>1.9352850365053441E-4</v>
      </c>
      <c r="AJ7" s="32">
        <v>0</v>
      </c>
      <c r="AK7" s="32">
        <v>1.0768790994572939E-5</v>
      </c>
      <c r="AL7" s="32">
        <v>1.412614338775362E-2</v>
      </c>
      <c r="AM7" s="32">
        <v>1.4337668920281687E-2</v>
      </c>
      <c r="AN7" s="34">
        <v>0</v>
      </c>
      <c r="AO7" s="34">
        <v>5.1842725945187069E-6</v>
      </c>
      <c r="AP7" s="34">
        <v>2.4402048008400939E-7</v>
      </c>
      <c r="AQ7" s="34">
        <v>0</v>
      </c>
      <c r="AR7" s="34">
        <v>4.2520718179188063E-8</v>
      </c>
      <c r="AS7" s="34">
        <v>8.2109735283876001E-6</v>
      </c>
      <c r="AT7" s="34">
        <v>1.3681787321169504E-5</v>
      </c>
      <c r="AU7" s="36">
        <v>0</v>
      </c>
      <c r="AV7" s="36">
        <v>0</v>
      </c>
      <c r="AW7" s="36">
        <v>0.12769446264574236</v>
      </c>
      <c r="AX7" s="36">
        <v>0</v>
      </c>
      <c r="AY7" s="36">
        <v>1.316024235739661E-2</v>
      </c>
      <c r="AZ7" s="36">
        <v>0.84498513582149248</v>
      </c>
      <c r="BA7" s="36">
        <v>0.98583984082463139</v>
      </c>
      <c r="BB7" s="6"/>
      <c r="BC7" s="6"/>
      <c r="BD7" t="s">
        <v>867</v>
      </c>
      <c r="BF7" s="5">
        <v>5.141751E-2</v>
      </c>
      <c r="BG7" s="5">
        <f t="shared" si="1"/>
        <v>-2.1294829670496312E-2</v>
      </c>
      <c r="BH7" s="2">
        <v>136.42158000000001</v>
      </c>
    </row>
    <row r="8" spans="1:60" x14ac:dyDescent="0.2">
      <c r="A8" t="str">
        <f t="shared" ref="A8:A10" si="2">B8&amp;" - "&amp;D8&amp;" - "&amp;IF(I8&lt;&gt;"",I8&amp;" - "&amp;E8,E8)</f>
        <v>Kick Scooter, electric, &lt;1kW - 2030 - LFP - CH</v>
      </c>
      <c r="B8" t="s">
        <v>618</v>
      </c>
      <c r="D8" s="19">
        <v>2030</v>
      </c>
      <c r="E8" t="s">
        <v>37</v>
      </c>
      <c r="F8" t="s">
        <v>140</v>
      </c>
      <c r="G8" t="s">
        <v>39</v>
      </c>
      <c r="H8" t="s">
        <v>32</v>
      </c>
      <c r="I8" t="s">
        <v>44</v>
      </c>
      <c r="J8" t="s">
        <v>140</v>
      </c>
      <c r="L8" s="26">
        <v>0</v>
      </c>
      <c r="M8" s="26">
        <v>0</v>
      </c>
      <c r="N8" s="26">
        <v>2.7305966317886432E-3</v>
      </c>
      <c r="O8" s="26">
        <v>0</v>
      </c>
      <c r="P8" s="26">
        <v>4.0031363332985927E-4</v>
      </c>
      <c r="Q8" s="26">
        <v>7.3207844707499609E-2</v>
      </c>
      <c r="R8" s="26">
        <v>7.6338754972618106E-2</v>
      </c>
      <c r="S8" s="28">
        <v>0</v>
      </c>
      <c r="T8" s="28">
        <v>0</v>
      </c>
      <c r="U8" s="28">
        <v>2.8901572147613101E-4</v>
      </c>
      <c r="V8" s="28">
        <v>0</v>
      </c>
      <c r="W8" s="28">
        <v>2.5294873964821651E-5</v>
      </c>
      <c r="X8" s="28">
        <v>3.0676555335729629E-2</v>
      </c>
      <c r="Y8" s="28">
        <v>3.0990865931170581E-2</v>
      </c>
      <c r="Z8" s="30">
        <v>0</v>
      </c>
      <c r="AA8" s="30">
        <v>1.3758060237990489E-3</v>
      </c>
      <c r="AB8" s="30">
        <v>8.4699063757735321E-5</v>
      </c>
      <c r="AC8" s="30">
        <v>0</v>
      </c>
      <c r="AD8" s="30">
        <v>1.1498185597032499E-5</v>
      </c>
      <c r="AE8" s="30">
        <v>4.7533115568695076E-3</v>
      </c>
      <c r="AF8" s="30">
        <v>6.2253148300233244E-3</v>
      </c>
      <c r="AG8" s="32">
        <v>0</v>
      </c>
      <c r="AH8" s="32">
        <v>7.228237882960114E-6</v>
      </c>
      <c r="AI8" s="32">
        <v>1.9352850365053441E-4</v>
      </c>
      <c r="AJ8" s="32">
        <v>0</v>
      </c>
      <c r="AK8" s="32">
        <v>1.0730962946886619E-5</v>
      </c>
      <c r="AL8" s="32">
        <v>1.473502641962713E-2</v>
      </c>
      <c r="AM8" s="32">
        <v>1.4946514124107512E-2</v>
      </c>
      <c r="AN8" s="34">
        <v>0</v>
      </c>
      <c r="AO8" s="34">
        <v>5.1842725945187069E-6</v>
      </c>
      <c r="AP8" s="34">
        <v>2.4402048008400939E-7</v>
      </c>
      <c r="AQ8" s="34">
        <v>0</v>
      </c>
      <c r="AR8" s="34">
        <v>4.2371353616745593E-8</v>
      </c>
      <c r="AS8" s="34">
        <v>8.3503145534200556E-6</v>
      </c>
      <c r="AT8" s="34">
        <v>1.3820978981639517E-5</v>
      </c>
      <c r="AU8" s="36">
        <v>0</v>
      </c>
      <c r="AV8" s="36">
        <v>0</v>
      </c>
      <c r="AW8" s="36">
        <v>0.12769446264574236</v>
      </c>
      <c r="AX8" s="36">
        <v>0</v>
      </c>
      <c r="AY8" s="36">
        <v>1.3114013744016526E-2</v>
      </c>
      <c r="AZ8" s="36">
        <v>0.88387435929298963</v>
      </c>
      <c r="BA8" s="36">
        <v>1.0246828356827484</v>
      </c>
      <c r="BB8" s="6"/>
      <c r="BC8" s="6"/>
      <c r="BD8" t="s">
        <v>948</v>
      </c>
      <c r="BF8" s="5">
        <v>5.2830629999999996E-2</v>
      </c>
      <c r="BG8" s="5">
        <f t="shared" si="1"/>
        <v>-2.3508124972618109E-2</v>
      </c>
      <c r="BH8" s="2">
        <v>136.71681000000001</v>
      </c>
    </row>
    <row r="9" spans="1:60" x14ac:dyDescent="0.2">
      <c r="A9" t="str">
        <f t="shared" si="2"/>
        <v>Kick Scooter, electric, &lt;1kW - 2040 - LFP - CH</v>
      </c>
      <c r="B9" t="s">
        <v>618</v>
      </c>
      <c r="D9" s="19">
        <v>2040</v>
      </c>
      <c r="E9" t="s">
        <v>37</v>
      </c>
      <c r="F9" t="s">
        <v>140</v>
      </c>
      <c r="G9" t="s">
        <v>39</v>
      </c>
      <c r="H9" t="s">
        <v>32</v>
      </c>
      <c r="I9" t="s">
        <v>44</v>
      </c>
      <c r="J9" t="s">
        <v>140</v>
      </c>
      <c r="L9" s="26">
        <v>0</v>
      </c>
      <c r="M9" s="26">
        <v>0</v>
      </c>
      <c r="N9" s="26">
        <v>2.7305966317886432E-3</v>
      </c>
      <c r="O9" s="26">
        <v>0</v>
      </c>
      <c r="P9" s="26">
        <v>4.0020741714331899E-4</v>
      </c>
      <c r="Q9" s="26">
        <v>7.7095101085898496E-2</v>
      </c>
      <c r="R9" s="26">
        <v>8.0225905134830452E-2</v>
      </c>
      <c r="S9" s="28">
        <v>0</v>
      </c>
      <c r="T9" s="28">
        <v>0</v>
      </c>
      <c r="U9" s="28">
        <v>2.8901572147613101E-4</v>
      </c>
      <c r="V9" s="28">
        <v>0</v>
      </c>
      <c r="W9" s="28">
        <v>2.528816241460735E-5</v>
      </c>
      <c r="X9" s="28">
        <v>3.1926707586981462E-2</v>
      </c>
      <c r="Y9" s="28">
        <v>3.2241011470872202E-2</v>
      </c>
      <c r="Z9" s="30">
        <v>0</v>
      </c>
      <c r="AA9" s="30">
        <v>1.3758060237990489E-3</v>
      </c>
      <c r="AB9" s="30">
        <v>8.4699063757735321E-5</v>
      </c>
      <c r="AC9" s="30">
        <v>0</v>
      </c>
      <c r="AD9" s="30">
        <v>1.149513475558079E-5</v>
      </c>
      <c r="AE9" s="30">
        <v>5.0245472474234288E-3</v>
      </c>
      <c r="AF9" s="30">
        <v>6.4965474697357938E-3</v>
      </c>
      <c r="AG9" s="32">
        <v>0</v>
      </c>
      <c r="AH9" s="32">
        <v>7.228237882960114E-6</v>
      </c>
      <c r="AI9" s="32">
        <v>1.9352850365053441E-4</v>
      </c>
      <c r="AJ9" s="32">
        <v>0</v>
      </c>
      <c r="AK9" s="32">
        <v>1.0728115674480119E-5</v>
      </c>
      <c r="AL9" s="32">
        <v>1.557387774406593E-2</v>
      </c>
      <c r="AM9" s="32">
        <v>1.5785362601273906E-2</v>
      </c>
      <c r="AN9" s="34">
        <v>0</v>
      </c>
      <c r="AO9" s="34">
        <v>5.1842725945187069E-6</v>
      </c>
      <c r="AP9" s="34">
        <v>2.4402048008400939E-7</v>
      </c>
      <c r="AQ9" s="34">
        <v>0</v>
      </c>
      <c r="AR9" s="34">
        <v>4.2360111122798313E-8</v>
      </c>
      <c r="AS9" s="34">
        <v>8.6866864943204297E-6</v>
      </c>
      <c r="AT9" s="34">
        <v>1.4157339680045944E-5</v>
      </c>
      <c r="AU9" s="36">
        <v>0</v>
      </c>
      <c r="AV9" s="36">
        <v>0</v>
      </c>
      <c r="AW9" s="36">
        <v>0.12769446264574236</v>
      </c>
      <c r="AX9" s="36">
        <v>0</v>
      </c>
      <c r="AY9" s="36">
        <v>1.3110534170966406E-2</v>
      </c>
      <c r="AZ9" s="36">
        <v>0.92987516313264695</v>
      </c>
      <c r="BA9" s="36">
        <v>1.0706801599493558</v>
      </c>
      <c r="BB9" s="6"/>
      <c r="BC9" s="6"/>
      <c r="BD9" t="s">
        <v>949</v>
      </c>
      <c r="BF9" s="5">
        <v>5.4881872999999998E-2</v>
      </c>
      <c r="BG9" s="5">
        <f t="shared" si="1"/>
        <v>-2.5344032134830455E-2</v>
      </c>
      <c r="BH9" s="2">
        <v>141.80978999999999</v>
      </c>
    </row>
    <row r="10" spans="1:60" x14ac:dyDescent="0.2">
      <c r="A10" t="str">
        <f t="shared" si="2"/>
        <v>Kick Scooter, electric, &lt;1kW - 2050 - LFP - CH</v>
      </c>
      <c r="B10" t="s">
        <v>618</v>
      </c>
      <c r="D10" s="19">
        <v>2050</v>
      </c>
      <c r="E10" t="s">
        <v>37</v>
      </c>
      <c r="F10" t="s">
        <v>140</v>
      </c>
      <c r="G10" t="s">
        <v>39</v>
      </c>
      <c r="H10" t="s">
        <v>32</v>
      </c>
      <c r="I10" t="s">
        <v>44</v>
      </c>
      <c r="J10" t="s">
        <v>140</v>
      </c>
      <c r="L10" s="26">
        <v>0</v>
      </c>
      <c r="M10" s="26">
        <v>0</v>
      </c>
      <c r="N10" s="26">
        <v>2.7305966317886432E-3</v>
      </c>
      <c r="O10" s="26">
        <v>0</v>
      </c>
      <c r="P10" s="26">
        <v>3.9812861463531392E-4</v>
      </c>
      <c r="Q10" s="26">
        <v>7.7861926011240978E-2</v>
      </c>
      <c r="R10" s="26">
        <v>8.0990651257664942E-2</v>
      </c>
      <c r="S10" s="28">
        <v>0</v>
      </c>
      <c r="T10" s="28">
        <v>0</v>
      </c>
      <c r="U10" s="28">
        <v>2.8901572147613101E-4</v>
      </c>
      <c r="V10" s="28">
        <v>0</v>
      </c>
      <c r="W10" s="28">
        <v>2.5156807788984551E-5</v>
      </c>
      <c r="X10" s="28">
        <v>3.1111600347466309E-2</v>
      </c>
      <c r="Y10" s="28">
        <v>3.1425772876731421E-2</v>
      </c>
      <c r="Z10" s="30">
        <v>0</v>
      </c>
      <c r="AA10" s="30">
        <v>1.3758060237990489E-3</v>
      </c>
      <c r="AB10" s="30">
        <v>8.4699063757735321E-5</v>
      </c>
      <c r="AC10" s="30">
        <v>0</v>
      </c>
      <c r="AD10" s="30">
        <v>1.1435425430025729E-5</v>
      </c>
      <c r="AE10" s="30">
        <v>4.9924348793066731E-3</v>
      </c>
      <c r="AF10" s="30">
        <v>6.4643753922934829E-3</v>
      </c>
      <c r="AG10" s="32">
        <v>0</v>
      </c>
      <c r="AH10" s="32">
        <v>7.228237882960114E-6</v>
      </c>
      <c r="AI10" s="32">
        <v>1.9352850365053441E-4</v>
      </c>
      <c r="AJ10" s="32">
        <v>0</v>
      </c>
      <c r="AK10" s="32">
        <v>1.067239048595297E-5</v>
      </c>
      <c r="AL10" s="32">
        <v>1.545548078039102E-2</v>
      </c>
      <c r="AM10" s="32">
        <v>1.5666909912410466E-2</v>
      </c>
      <c r="AN10" s="34">
        <v>0</v>
      </c>
      <c r="AO10" s="34">
        <v>5.1842725945187069E-6</v>
      </c>
      <c r="AP10" s="34">
        <v>2.4402048008400939E-7</v>
      </c>
      <c r="AQ10" s="34">
        <v>0</v>
      </c>
      <c r="AR10" s="34">
        <v>4.2140079455544352E-8</v>
      </c>
      <c r="AS10" s="34">
        <v>8.5124961848837509E-6</v>
      </c>
      <c r="AT10" s="34">
        <v>1.3982929338942011E-5</v>
      </c>
      <c r="AU10" s="36">
        <v>0</v>
      </c>
      <c r="AV10" s="36">
        <v>0</v>
      </c>
      <c r="AW10" s="36">
        <v>0.12769446264574236</v>
      </c>
      <c r="AX10" s="36">
        <v>0</v>
      </c>
      <c r="AY10" s="36">
        <v>1.3042433955557023E-2</v>
      </c>
      <c r="AZ10" s="36">
        <v>0.93366777202691098</v>
      </c>
      <c r="BA10" s="36">
        <v>1.0744046686282103</v>
      </c>
      <c r="BB10" s="6"/>
      <c r="BC10" s="6"/>
      <c r="BD10" t="s">
        <v>950</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618</v>
      </c>
      <c r="D11" s="19">
        <v>2020</v>
      </c>
      <c r="E11" t="s">
        <v>37</v>
      </c>
      <c r="F11" t="s">
        <v>140</v>
      </c>
      <c r="G11" t="s">
        <v>39</v>
      </c>
      <c r="H11" t="s">
        <v>32</v>
      </c>
      <c r="I11" t="s">
        <v>45</v>
      </c>
      <c r="J11" t="s">
        <v>140</v>
      </c>
      <c r="L11" s="26">
        <v>0</v>
      </c>
      <c r="M11" s="26">
        <v>0</v>
      </c>
      <c r="N11" s="26">
        <v>2.7305966317886432E-3</v>
      </c>
      <c r="O11" s="26">
        <v>0</v>
      </c>
      <c r="P11" s="26">
        <v>3.9336274052619648E-4</v>
      </c>
      <c r="Q11" s="26">
        <v>5.6701555000814807E-2</v>
      </c>
      <c r="R11" s="26">
        <v>5.9825514373129648E-2</v>
      </c>
      <c r="S11" s="28">
        <v>0</v>
      </c>
      <c r="T11" s="28">
        <v>0</v>
      </c>
      <c r="U11" s="28">
        <v>2.8901572147613101E-4</v>
      </c>
      <c r="V11" s="28">
        <v>0</v>
      </c>
      <c r="W11" s="28">
        <v>2.4855663448934071E-5</v>
      </c>
      <c r="X11" s="28">
        <v>2.4503305468957931E-2</v>
      </c>
      <c r="Y11" s="28">
        <v>2.4817176853882995E-2</v>
      </c>
      <c r="Z11" s="30">
        <v>0</v>
      </c>
      <c r="AA11" s="30">
        <v>1.3758060237990489E-3</v>
      </c>
      <c r="AB11" s="30">
        <v>8.4699063757735321E-5</v>
      </c>
      <c r="AC11" s="30">
        <v>0</v>
      </c>
      <c r="AD11" s="30">
        <v>1.129853550053995E-5</v>
      </c>
      <c r="AE11" s="30">
        <v>3.506567301055728E-3</v>
      </c>
      <c r="AF11" s="30">
        <v>4.9783709241130528E-3</v>
      </c>
      <c r="AG11" s="32">
        <v>0</v>
      </c>
      <c r="AH11" s="32">
        <v>7.228237882960114E-6</v>
      </c>
      <c r="AI11" s="32">
        <v>1.9352850365053441E-4</v>
      </c>
      <c r="AJ11" s="32">
        <v>0</v>
      </c>
      <c r="AK11" s="32">
        <v>1.0544634611017971E-5</v>
      </c>
      <c r="AL11" s="32">
        <v>1.060568824245043E-2</v>
      </c>
      <c r="AM11" s="32">
        <v>1.0816989618594942E-2</v>
      </c>
      <c r="AN11" s="34">
        <v>0</v>
      </c>
      <c r="AO11" s="34">
        <v>5.1842725945187069E-6</v>
      </c>
      <c r="AP11" s="34">
        <v>2.4402048008400939E-7</v>
      </c>
      <c r="AQ11" s="34">
        <v>0</v>
      </c>
      <c r="AR11" s="34">
        <v>4.1635633640170602E-8</v>
      </c>
      <c r="AS11" s="34">
        <v>6.8864675315944368E-6</v>
      </c>
      <c r="AT11" s="34">
        <v>1.2356396239837323E-5</v>
      </c>
      <c r="AU11" s="36">
        <v>0</v>
      </c>
      <c r="AV11" s="36">
        <v>0</v>
      </c>
      <c r="AW11" s="36">
        <v>0.12769446264574236</v>
      </c>
      <c r="AX11" s="36">
        <v>0</v>
      </c>
      <c r="AY11" s="36">
        <v>1.2886307025656248E-2</v>
      </c>
      <c r="AZ11" s="36">
        <v>0.67883660481052754</v>
      </c>
      <c r="BA11" s="36">
        <v>0.8194173744819262</v>
      </c>
      <c r="BB11" s="6"/>
      <c r="BC11" s="6"/>
      <c r="BD11" t="s">
        <v>866</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618</v>
      </c>
      <c r="D12" s="19">
        <v>2030</v>
      </c>
      <c r="E12" t="s">
        <v>37</v>
      </c>
      <c r="F12" t="s">
        <v>140</v>
      </c>
      <c r="G12" t="s">
        <v>39</v>
      </c>
      <c r="H12" t="s">
        <v>32</v>
      </c>
      <c r="I12" t="s">
        <v>45</v>
      </c>
      <c r="J12" t="s">
        <v>140</v>
      </c>
      <c r="L12" s="26">
        <v>0</v>
      </c>
      <c r="M12" s="26">
        <v>0</v>
      </c>
      <c r="N12" s="26">
        <v>2.7305966317886432E-3</v>
      </c>
      <c r="O12" s="26">
        <v>0</v>
      </c>
      <c r="P12" s="26">
        <v>3.9143699488326821E-4</v>
      </c>
      <c r="Q12" s="26">
        <v>5.9487400011632857E-2</v>
      </c>
      <c r="R12" s="26">
        <v>6.2609433638304762E-2</v>
      </c>
      <c r="S12" s="28">
        <v>0</v>
      </c>
      <c r="T12" s="28">
        <v>0</v>
      </c>
      <c r="U12" s="28">
        <v>2.8901572147613101E-4</v>
      </c>
      <c r="V12" s="28">
        <v>0</v>
      </c>
      <c r="W12" s="28">
        <v>2.4733980125483441E-5</v>
      </c>
      <c r="X12" s="28">
        <v>2.4175436103919881E-2</v>
      </c>
      <c r="Y12" s="28">
        <v>2.4489185805521497E-2</v>
      </c>
      <c r="Z12" s="30">
        <v>0</v>
      </c>
      <c r="AA12" s="30">
        <v>1.3758060237990489E-3</v>
      </c>
      <c r="AB12" s="30">
        <v>8.4699063757735321E-5</v>
      </c>
      <c r="AC12" s="30">
        <v>0</v>
      </c>
      <c r="AD12" s="30">
        <v>1.124322241856749E-5</v>
      </c>
      <c r="AE12" s="30">
        <v>3.6028765472681979E-3</v>
      </c>
      <c r="AF12" s="30">
        <v>5.0746248572435494E-3</v>
      </c>
      <c r="AG12" s="32">
        <v>0</v>
      </c>
      <c r="AH12" s="32">
        <v>7.228237882960114E-6</v>
      </c>
      <c r="AI12" s="32">
        <v>1.9352850365053441E-4</v>
      </c>
      <c r="AJ12" s="32">
        <v>0</v>
      </c>
      <c r="AK12" s="32">
        <v>1.0493012324343649E-5</v>
      </c>
      <c r="AL12" s="32">
        <v>1.092185880165587E-2</v>
      </c>
      <c r="AM12" s="32">
        <v>1.1133108555513707E-2</v>
      </c>
      <c r="AN12" s="34">
        <v>0</v>
      </c>
      <c r="AO12" s="34">
        <v>5.1842725945187069E-6</v>
      </c>
      <c r="AP12" s="34">
        <v>2.4402048008400939E-7</v>
      </c>
      <c r="AQ12" s="34">
        <v>0</v>
      </c>
      <c r="AR12" s="34">
        <v>4.1431802336865512E-8</v>
      </c>
      <c r="AS12" s="34">
        <v>6.8254318282043871E-6</v>
      </c>
      <c r="AT12" s="34">
        <v>1.2295156705143968E-5</v>
      </c>
      <c r="AU12" s="36">
        <v>0</v>
      </c>
      <c r="AV12" s="36">
        <v>0</v>
      </c>
      <c r="AW12" s="36">
        <v>0.12769446264574236</v>
      </c>
      <c r="AX12" s="36">
        <v>0</v>
      </c>
      <c r="AY12" s="36">
        <v>1.2823220853399825E-2</v>
      </c>
      <c r="AZ12" s="36">
        <v>0.7056928010710064</v>
      </c>
      <c r="BA12" s="36">
        <v>0.84621048457014858</v>
      </c>
      <c r="BB12" s="6"/>
      <c r="BC12" s="6"/>
      <c r="BD12" t="s">
        <v>951</v>
      </c>
      <c r="BF12" s="5">
        <v>4.3247173E-2</v>
      </c>
      <c r="BG12" s="5">
        <f t="shared" si="1"/>
        <v>-1.9362260638304762E-2</v>
      </c>
      <c r="BH12" s="2">
        <v>101.18416000000001</v>
      </c>
    </row>
    <row r="13" spans="1:60" x14ac:dyDescent="0.2">
      <c r="A13" t="str">
        <f t="shared" si="3"/>
        <v>Kick Scooter, electric, &lt;1kW - 2040 - NCA - CH</v>
      </c>
      <c r="B13" t="s">
        <v>618</v>
      </c>
      <c r="D13" s="19">
        <v>2040</v>
      </c>
      <c r="E13" t="s">
        <v>37</v>
      </c>
      <c r="F13" t="s">
        <v>140</v>
      </c>
      <c r="G13" t="s">
        <v>39</v>
      </c>
      <c r="H13" t="s">
        <v>32</v>
      </c>
      <c r="I13" t="s">
        <v>45</v>
      </c>
      <c r="J13" t="s">
        <v>140</v>
      </c>
      <c r="L13" s="26">
        <v>0</v>
      </c>
      <c r="M13" s="26">
        <v>0</v>
      </c>
      <c r="N13" s="26">
        <v>2.7305966317886432E-3</v>
      </c>
      <c r="O13" s="26">
        <v>0</v>
      </c>
      <c r="P13" s="26">
        <v>3.9034448553599551E-4</v>
      </c>
      <c r="Q13" s="26">
        <v>6.1814440276083571E-2</v>
      </c>
      <c r="R13" s="26">
        <v>6.4935381393408209E-2</v>
      </c>
      <c r="S13" s="28">
        <v>0</v>
      </c>
      <c r="T13" s="28">
        <v>0</v>
      </c>
      <c r="U13" s="28">
        <v>2.8901572147613101E-4</v>
      </c>
      <c r="V13" s="28">
        <v>0</v>
      </c>
      <c r="W13" s="28">
        <v>2.4664947037564892E-5</v>
      </c>
      <c r="X13" s="28">
        <v>2.439295828399075E-2</v>
      </c>
      <c r="Y13" s="28">
        <v>2.4706638952504446E-2</v>
      </c>
      <c r="Z13" s="30">
        <v>0</v>
      </c>
      <c r="AA13" s="30">
        <v>1.3758060237990489E-3</v>
      </c>
      <c r="AB13" s="30">
        <v>8.4699063757735321E-5</v>
      </c>
      <c r="AC13" s="30">
        <v>0</v>
      </c>
      <c r="AD13" s="30">
        <v>1.1211842335064101E-5</v>
      </c>
      <c r="AE13" s="30">
        <v>3.7224381694087698E-3</v>
      </c>
      <c r="AF13" s="30">
        <v>5.1941550993006179E-3</v>
      </c>
      <c r="AG13" s="32">
        <v>0</v>
      </c>
      <c r="AH13" s="32">
        <v>7.228237882960114E-6</v>
      </c>
      <c r="AI13" s="32">
        <v>1.9352850365053441E-4</v>
      </c>
      <c r="AJ13" s="32">
        <v>0</v>
      </c>
      <c r="AK13" s="32">
        <v>1.046372609387682E-5</v>
      </c>
      <c r="AL13" s="32">
        <v>1.128208579275994E-2</v>
      </c>
      <c r="AM13" s="32">
        <v>1.1493306260387311E-2</v>
      </c>
      <c r="AN13" s="34">
        <v>0</v>
      </c>
      <c r="AO13" s="34">
        <v>5.1842725945187069E-6</v>
      </c>
      <c r="AP13" s="34">
        <v>2.4402048008400939E-7</v>
      </c>
      <c r="AQ13" s="34">
        <v>0</v>
      </c>
      <c r="AR13" s="34">
        <v>4.1316165256264889E-8</v>
      </c>
      <c r="AS13" s="34">
        <v>6.9065226132792782E-6</v>
      </c>
      <c r="AT13" s="34">
        <v>1.2376131853138259E-5</v>
      </c>
      <c r="AU13" s="36">
        <v>0</v>
      </c>
      <c r="AV13" s="36">
        <v>0</v>
      </c>
      <c r="AW13" s="36">
        <v>0.12769446264574236</v>
      </c>
      <c r="AX13" s="36">
        <v>0</v>
      </c>
      <c r="AY13" s="36">
        <v>1.2787430959170081E-2</v>
      </c>
      <c r="AZ13" s="36">
        <v>0.73058950357067676</v>
      </c>
      <c r="BA13" s="36">
        <v>0.87107139717558923</v>
      </c>
      <c r="BB13" s="6"/>
      <c r="BC13" s="6"/>
      <c r="BD13" t="s">
        <v>952</v>
      </c>
      <c r="BF13" s="5">
        <v>4.4125539999999998E-2</v>
      </c>
      <c r="BG13" s="5">
        <f t="shared" si="1"/>
        <v>-2.0809841393408211E-2</v>
      </c>
      <c r="BH13" s="2">
        <v>101.19204000000001</v>
      </c>
    </row>
    <row r="14" spans="1:60" x14ac:dyDescent="0.2">
      <c r="A14" t="str">
        <f t="shared" si="3"/>
        <v>Kick Scooter, electric, &lt;1kW - 2050 - NCA - CH</v>
      </c>
      <c r="B14" t="s">
        <v>618</v>
      </c>
      <c r="D14" s="19">
        <v>2050</v>
      </c>
      <c r="E14" t="s">
        <v>37</v>
      </c>
      <c r="F14" t="s">
        <v>140</v>
      </c>
      <c r="G14" t="s">
        <v>39</v>
      </c>
      <c r="H14" t="s">
        <v>32</v>
      </c>
      <c r="I14" t="s">
        <v>45</v>
      </c>
      <c r="J14" t="s">
        <v>140</v>
      </c>
      <c r="L14" s="26">
        <v>0</v>
      </c>
      <c r="M14" s="26">
        <v>0</v>
      </c>
      <c r="N14" s="26">
        <v>2.7305966317886432E-3</v>
      </c>
      <c r="O14" s="26">
        <v>0</v>
      </c>
      <c r="P14" s="26">
        <v>3.892519761887227E-4</v>
      </c>
      <c r="Q14" s="26">
        <v>6.4141481315374269E-2</v>
      </c>
      <c r="R14" s="26">
        <v>6.726132992335164E-2</v>
      </c>
      <c r="S14" s="28">
        <v>0</v>
      </c>
      <c r="T14" s="28">
        <v>0</v>
      </c>
      <c r="U14" s="28">
        <v>2.8901572147613101E-4</v>
      </c>
      <c r="V14" s="28">
        <v>0</v>
      </c>
      <c r="W14" s="28">
        <v>2.4595913949646339E-5</v>
      </c>
      <c r="X14" s="28">
        <v>2.4610481115656561E-2</v>
      </c>
      <c r="Y14" s="28">
        <v>2.4924092751082337E-2</v>
      </c>
      <c r="Z14" s="30">
        <v>0</v>
      </c>
      <c r="AA14" s="30">
        <v>1.3758060237990489E-3</v>
      </c>
      <c r="AB14" s="30">
        <v>8.4699063757735321E-5</v>
      </c>
      <c r="AC14" s="30">
        <v>0</v>
      </c>
      <c r="AD14" s="30">
        <v>1.118046225156072E-5</v>
      </c>
      <c r="AE14" s="30">
        <v>3.841999869705365E-3</v>
      </c>
      <c r="AF14" s="30">
        <v>5.3136854195137105E-3</v>
      </c>
      <c r="AG14" s="32">
        <v>0</v>
      </c>
      <c r="AH14" s="32">
        <v>7.228237882960114E-6</v>
      </c>
      <c r="AI14" s="32">
        <v>1.9352850365053441E-4</v>
      </c>
      <c r="AJ14" s="32">
        <v>0</v>
      </c>
      <c r="AK14" s="32">
        <v>1.043443986340999E-5</v>
      </c>
      <c r="AL14" s="32">
        <v>1.164231316241976E-2</v>
      </c>
      <c r="AM14" s="32">
        <v>1.1853504343816663E-2</v>
      </c>
      <c r="AN14" s="34">
        <v>0</v>
      </c>
      <c r="AO14" s="34">
        <v>5.1842725945187069E-6</v>
      </c>
      <c r="AP14" s="34">
        <v>2.4402048008400939E-7</v>
      </c>
      <c r="AQ14" s="34">
        <v>0</v>
      </c>
      <c r="AR14" s="34">
        <v>4.1200528175664258E-8</v>
      </c>
      <c r="AS14" s="34">
        <v>6.9876134596697926E-6</v>
      </c>
      <c r="AT14" s="34">
        <v>1.2457107062448174E-5</v>
      </c>
      <c r="AU14" s="36">
        <v>0</v>
      </c>
      <c r="AV14" s="36">
        <v>0</v>
      </c>
      <c r="AW14" s="36">
        <v>0.12769446264574236</v>
      </c>
      <c r="AX14" s="36">
        <v>0</v>
      </c>
      <c r="AY14" s="36">
        <v>1.2751641064940332E-2</v>
      </c>
      <c r="AZ14" s="36">
        <v>0.75548621380492831</v>
      </c>
      <c r="BA14" s="36">
        <v>0.89593231751561098</v>
      </c>
      <c r="BB14" s="6"/>
      <c r="BC14" s="6"/>
      <c r="BD14" t="s">
        <v>953</v>
      </c>
      <c r="BF14" s="5">
        <v>4.5002875999999997E-2</v>
      </c>
      <c r="BG14" s="5">
        <f t="shared" si="1"/>
        <v>-2.2258453923351643E-2</v>
      </c>
      <c r="BH14" s="2">
        <v>101.19911</v>
      </c>
    </row>
    <row r="15" spans="1:60" x14ac:dyDescent="0.2">
      <c r="A15" t="str">
        <f t="shared" si="0"/>
        <v>Bicycle, conventional, urban - 2020 - None - CH</v>
      </c>
      <c r="B15" t="s">
        <v>33</v>
      </c>
      <c r="D15" s="19">
        <v>2020</v>
      </c>
      <c r="E15" t="s">
        <v>37</v>
      </c>
      <c r="F15" t="s">
        <v>140</v>
      </c>
      <c r="G15" t="s">
        <v>39</v>
      </c>
      <c r="I15" t="s">
        <v>140</v>
      </c>
      <c r="J15" t="s">
        <v>140</v>
      </c>
      <c r="L15" s="26">
        <v>0</v>
      </c>
      <c r="M15" s="26">
        <v>0</v>
      </c>
      <c r="N15" s="26">
        <v>0</v>
      </c>
      <c r="O15" s="26">
        <v>1.195732624675443E-3</v>
      </c>
      <c r="P15" s="26">
        <v>4.0058676066667763E-4</v>
      </c>
      <c r="Q15" s="26">
        <v>6.887182925507696E-3</v>
      </c>
      <c r="R15" s="26">
        <v>8.4835023108498168E-3</v>
      </c>
      <c r="S15" s="28">
        <v>0</v>
      </c>
      <c r="T15" s="28">
        <v>0</v>
      </c>
      <c r="U15" s="28">
        <v>0</v>
      </c>
      <c r="V15" s="28">
        <v>9.8317473549625417E-5</v>
      </c>
      <c r="W15" s="28">
        <v>2.531213223680129E-5</v>
      </c>
      <c r="X15" s="28">
        <v>5.7514618162478825E-4</v>
      </c>
      <c r="Y15" s="28">
        <v>6.9877578741121501E-4</v>
      </c>
      <c r="Z15" s="30">
        <v>0</v>
      </c>
      <c r="AA15" s="30">
        <v>1.3758060237990489E-3</v>
      </c>
      <c r="AB15" s="30">
        <v>0</v>
      </c>
      <c r="AC15" s="30">
        <v>2.3968260093961618E-5</v>
      </c>
      <c r="AD15" s="30">
        <v>1.150603061790835E-5</v>
      </c>
      <c r="AE15" s="30">
        <v>2.4736859984810292E-4</v>
      </c>
      <c r="AF15" s="30">
        <v>1.6586489143590216E-3</v>
      </c>
      <c r="AG15" s="32">
        <v>0</v>
      </c>
      <c r="AH15" s="32">
        <v>7.228237882960114E-6</v>
      </c>
      <c r="AI15" s="32">
        <v>0</v>
      </c>
      <c r="AJ15" s="32">
        <v>8.5554174677296554E-5</v>
      </c>
      <c r="AK15" s="32">
        <v>1.073828450450333E-5</v>
      </c>
      <c r="AL15" s="32">
        <v>4.2647205163513042E-4</v>
      </c>
      <c r="AM15" s="32">
        <v>5.2999274869989046E-4</v>
      </c>
      <c r="AN15" s="34">
        <v>0</v>
      </c>
      <c r="AO15" s="34">
        <v>5.1842725945187069E-6</v>
      </c>
      <c r="AP15" s="34">
        <v>0</v>
      </c>
      <c r="AQ15" s="34">
        <v>6.5490648626579012E-8</v>
      </c>
      <c r="AR15" s="34">
        <v>4.2400262886895747E-8</v>
      </c>
      <c r="AS15" s="34">
        <v>6.0159508973609065E-7</v>
      </c>
      <c r="AT15" s="34">
        <v>5.8937585957682725E-6</v>
      </c>
      <c r="AU15" s="36">
        <v>0</v>
      </c>
      <c r="AV15" s="36">
        <v>0</v>
      </c>
      <c r="AW15" s="36">
        <v>0</v>
      </c>
      <c r="AX15" s="36">
        <v>2.01770987761535E-2</v>
      </c>
      <c r="AY15" s="36">
        <v>1.3122961217573963E-2</v>
      </c>
      <c r="AZ15" s="36">
        <v>8.0562383708599694E-2</v>
      </c>
      <c r="BA15" s="36">
        <v>0.11386244370232715</v>
      </c>
      <c r="BB15" s="6"/>
      <c r="BC15" s="6"/>
      <c r="BD15" t="s">
        <v>865</v>
      </c>
      <c r="BF15" s="5">
        <v>5.9156973999999994E-3</v>
      </c>
      <c r="BG15" s="5">
        <f t="shared" si="1"/>
        <v>-2.5678049108498174E-3</v>
      </c>
      <c r="BH15" s="2">
        <v>9.3159776000000001</v>
      </c>
    </row>
    <row r="16" spans="1:60" x14ac:dyDescent="0.2">
      <c r="A16" t="str">
        <f t="shared" si="0"/>
        <v>Bicycle, conventional, urban - 2030 - None - CH</v>
      </c>
      <c r="B16" t="s">
        <v>33</v>
      </c>
      <c r="D16" s="19">
        <v>2030</v>
      </c>
      <c r="E16" t="s">
        <v>37</v>
      </c>
      <c r="F16" t="s">
        <v>140</v>
      </c>
      <c r="G16" t="s">
        <v>39</v>
      </c>
      <c r="I16" t="s">
        <v>140</v>
      </c>
      <c r="J16" t="s">
        <v>140</v>
      </c>
      <c r="L16" s="26">
        <v>0</v>
      </c>
      <c r="M16" s="26">
        <v>0</v>
      </c>
      <c r="N16" s="26">
        <v>0</v>
      </c>
      <c r="O16" s="26">
        <v>1.195732624675443E-3</v>
      </c>
      <c r="P16" s="26">
        <v>3.9894799664576838E-4</v>
      </c>
      <c r="Q16" s="26">
        <v>7.6911297500214214E-3</v>
      </c>
      <c r="R16" s="26">
        <v>9.2858103713426322E-3</v>
      </c>
      <c r="S16" s="28">
        <v>0</v>
      </c>
      <c r="T16" s="28">
        <v>0</v>
      </c>
      <c r="U16" s="28">
        <v>0</v>
      </c>
      <c r="V16" s="28">
        <v>9.8317473549625417E-5</v>
      </c>
      <c r="W16" s="28">
        <v>2.5208582604923459E-5</v>
      </c>
      <c r="X16" s="28">
        <v>7.1970653224177406E-4</v>
      </c>
      <c r="Y16" s="28">
        <v>8.4323258839632295E-4</v>
      </c>
      <c r="Z16" s="30">
        <v>0</v>
      </c>
      <c r="AA16" s="30">
        <v>1.3758060237990489E-3</v>
      </c>
      <c r="AB16" s="30">
        <v>0</v>
      </c>
      <c r="AC16" s="30">
        <v>2.3968260093961618E-5</v>
      </c>
      <c r="AD16" s="30">
        <v>1.145896049265327E-5</v>
      </c>
      <c r="AE16" s="30">
        <v>2.9315923415507828E-4</v>
      </c>
      <c r="AF16" s="30">
        <v>1.7043924785407421E-3</v>
      </c>
      <c r="AG16" s="32">
        <v>0</v>
      </c>
      <c r="AH16" s="32">
        <v>7.228237882960114E-6</v>
      </c>
      <c r="AI16" s="32">
        <v>0</v>
      </c>
      <c r="AJ16" s="32">
        <v>8.5554174677296554E-5</v>
      </c>
      <c r="AK16" s="32">
        <v>1.0694355158803079E-5</v>
      </c>
      <c r="AL16" s="32">
        <v>5.7951059510734945E-4</v>
      </c>
      <c r="AM16" s="32">
        <v>6.8298736282640924E-4</v>
      </c>
      <c r="AN16" s="34">
        <v>0</v>
      </c>
      <c r="AO16" s="34">
        <v>5.1842725945187069E-6</v>
      </c>
      <c r="AP16" s="34">
        <v>0</v>
      </c>
      <c r="AQ16" s="34">
        <v>6.5490648626579012E-8</v>
      </c>
      <c r="AR16" s="34">
        <v>4.2226807265994808E-8</v>
      </c>
      <c r="AS16" s="34">
        <v>6.3768337118468535E-7</v>
      </c>
      <c r="AT16" s="34">
        <v>5.9296734215959658E-6</v>
      </c>
      <c r="AU16" s="36">
        <v>0</v>
      </c>
      <c r="AV16" s="36">
        <v>0</v>
      </c>
      <c r="AW16" s="36">
        <v>0</v>
      </c>
      <c r="AX16" s="36">
        <v>2.01770987761535E-2</v>
      </c>
      <c r="AY16" s="36">
        <v>1.3069276376229337E-2</v>
      </c>
      <c r="AZ16" s="36">
        <v>8.9127454842569259E-2</v>
      </c>
      <c r="BA16" s="36">
        <v>0.1223738299949521</v>
      </c>
      <c r="BB16" s="6"/>
      <c r="BC16" s="6"/>
      <c r="BD16" t="s">
        <v>954</v>
      </c>
      <c r="BF16" s="5">
        <v>6.2505966E-3</v>
      </c>
      <c r="BG16" s="5">
        <f t="shared" si="1"/>
        <v>-3.0352137713426323E-3</v>
      </c>
      <c r="BH16" s="2">
        <v>9.4949449000000001</v>
      </c>
    </row>
    <row r="17" spans="1:60" x14ac:dyDescent="0.2">
      <c r="A17" t="str">
        <f t="shared" si="0"/>
        <v>Bicycle, conventional, urban - 2040 - None - CH</v>
      </c>
      <c r="B17" t="s">
        <v>33</v>
      </c>
      <c r="D17" s="19">
        <v>2040</v>
      </c>
      <c r="E17" t="s">
        <v>37</v>
      </c>
      <c r="F17" t="s">
        <v>140</v>
      </c>
      <c r="G17" t="s">
        <v>39</v>
      </c>
      <c r="I17" t="s">
        <v>140</v>
      </c>
      <c r="J17" t="s">
        <v>140</v>
      </c>
      <c r="L17" s="26">
        <v>0</v>
      </c>
      <c r="M17" s="26">
        <v>0</v>
      </c>
      <c r="N17" s="26">
        <v>0</v>
      </c>
      <c r="O17" s="26">
        <v>1.195732624675443E-3</v>
      </c>
      <c r="P17" s="26">
        <v>3.9785548729849568E-4</v>
      </c>
      <c r="Q17" s="26">
        <v>8.2270942850229192E-3</v>
      </c>
      <c r="R17" s="26">
        <v>9.820682396996858E-3</v>
      </c>
      <c r="S17" s="28">
        <v>0</v>
      </c>
      <c r="T17" s="28">
        <v>0</v>
      </c>
      <c r="U17" s="28">
        <v>0</v>
      </c>
      <c r="V17" s="28">
        <v>9.8317473549625417E-5</v>
      </c>
      <c r="W17" s="28">
        <v>2.5139549517004909E-5</v>
      </c>
      <c r="X17" s="28">
        <v>8.1608009902565525E-4</v>
      </c>
      <c r="Y17" s="28">
        <v>9.3953712209228555E-4</v>
      </c>
      <c r="Z17" s="30">
        <v>0</v>
      </c>
      <c r="AA17" s="30">
        <v>1.3758060237990489E-3</v>
      </c>
      <c r="AB17" s="30">
        <v>0</v>
      </c>
      <c r="AC17" s="30">
        <v>2.3968260093961618E-5</v>
      </c>
      <c r="AD17" s="30">
        <v>1.1427580409149889E-5</v>
      </c>
      <c r="AE17" s="30">
        <v>3.2368632247491819E-4</v>
      </c>
      <c r="AF17" s="30">
        <v>1.7348881867770786E-3</v>
      </c>
      <c r="AG17" s="32">
        <v>0</v>
      </c>
      <c r="AH17" s="32">
        <v>7.228237882960114E-6</v>
      </c>
      <c r="AI17" s="32">
        <v>0</v>
      </c>
      <c r="AJ17" s="32">
        <v>8.5554174677296554E-5</v>
      </c>
      <c r="AK17" s="32">
        <v>1.066506892833626E-5</v>
      </c>
      <c r="AL17" s="32">
        <v>6.8153629065839693E-4</v>
      </c>
      <c r="AM17" s="32">
        <v>7.8498377214698985E-4</v>
      </c>
      <c r="AN17" s="34">
        <v>0</v>
      </c>
      <c r="AO17" s="34">
        <v>5.1842725945187069E-6</v>
      </c>
      <c r="AP17" s="34">
        <v>0</v>
      </c>
      <c r="AQ17" s="34">
        <v>6.5490648626579012E-8</v>
      </c>
      <c r="AR17" s="34">
        <v>4.2111170185394178E-8</v>
      </c>
      <c r="AS17" s="34">
        <v>6.6174222103354706E-7</v>
      </c>
      <c r="AT17" s="34">
        <v>5.9536166343642268E-6</v>
      </c>
      <c r="AU17" s="36">
        <v>0</v>
      </c>
      <c r="AV17" s="36">
        <v>0</v>
      </c>
      <c r="AW17" s="36">
        <v>0</v>
      </c>
      <c r="AX17" s="36">
        <v>2.01770987761535E-2</v>
      </c>
      <c r="AY17" s="36">
        <v>1.3033486481999585E-2</v>
      </c>
      <c r="AZ17" s="36">
        <v>9.4837502042610489E-2</v>
      </c>
      <c r="BA17" s="36">
        <v>0.12804808730076356</v>
      </c>
      <c r="BB17" s="6"/>
      <c r="BC17" s="6"/>
      <c r="BD17" t="s">
        <v>955</v>
      </c>
      <c r="BF17" s="5">
        <v>6.4738979E-3</v>
      </c>
      <c r="BG17" s="5">
        <f t="shared" si="1"/>
        <v>-3.3467844969968579E-3</v>
      </c>
      <c r="BH17" s="2">
        <v>9.6143221000000008</v>
      </c>
    </row>
    <row r="18" spans="1:60" x14ac:dyDescent="0.2">
      <c r="A18" t="str">
        <f t="shared" si="0"/>
        <v>Bicycle, conventional, urban - 2050 - None - CH</v>
      </c>
      <c r="B18" t="s">
        <v>33</v>
      </c>
      <c r="D18" s="19">
        <v>2050</v>
      </c>
      <c r="E18" t="s">
        <v>37</v>
      </c>
      <c r="F18" t="s">
        <v>140</v>
      </c>
      <c r="G18" t="s">
        <v>39</v>
      </c>
      <c r="I18" t="s">
        <v>140</v>
      </c>
      <c r="J18" t="s">
        <v>140</v>
      </c>
      <c r="L18" s="26">
        <v>0</v>
      </c>
      <c r="M18" s="26">
        <v>0</v>
      </c>
      <c r="N18" s="26">
        <v>0</v>
      </c>
      <c r="O18" s="26">
        <v>1.195732624675443E-3</v>
      </c>
      <c r="P18" s="26">
        <v>3.9676297795122293E-4</v>
      </c>
      <c r="Q18" s="26">
        <v>8.7630587036519932E-3</v>
      </c>
      <c r="R18" s="26">
        <v>1.035555430627866E-2</v>
      </c>
      <c r="S18" s="28">
        <v>0</v>
      </c>
      <c r="T18" s="28">
        <v>0</v>
      </c>
      <c r="U18" s="28">
        <v>0</v>
      </c>
      <c r="V18" s="28">
        <v>9.8317473549625417E-5</v>
      </c>
      <c r="W18" s="28">
        <v>2.5070516429086359E-5</v>
      </c>
      <c r="X18" s="28">
        <v>9.1245364221484372E-4</v>
      </c>
      <c r="Y18" s="28">
        <v>1.0358416321935556E-3</v>
      </c>
      <c r="Z18" s="30">
        <v>0</v>
      </c>
      <c r="AA18" s="30">
        <v>1.3758060237990489E-3</v>
      </c>
      <c r="AB18" s="30">
        <v>0</v>
      </c>
      <c r="AC18" s="30">
        <v>2.3968260093961618E-5</v>
      </c>
      <c r="AD18" s="30">
        <v>1.13962003256465E-5</v>
      </c>
      <c r="AE18" s="30">
        <v>3.5421340437923282E-4</v>
      </c>
      <c r="AF18" s="30">
        <v>1.7653838885978899E-3</v>
      </c>
      <c r="AG18" s="32">
        <v>0</v>
      </c>
      <c r="AH18" s="32">
        <v>7.228237882960114E-6</v>
      </c>
      <c r="AI18" s="32">
        <v>0</v>
      </c>
      <c r="AJ18" s="32">
        <v>8.5554174677296554E-5</v>
      </c>
      <c r="AK18" s="32">
        <v>1.063578269786943E-5</v>
      </c>
      <c r="AL18" s="32">
        <v>7.8356196097703796E-4</v>
      </c>
      <c r="AM18" s="32">
        <v>8.8698015623516402E-4</v>
      </c>
      <c r="AN18" s="34">
        <v>0</v>
      </c>
      <c r="AO18" s="34">
        <v>5.1842725945187069E-6</v>
      </c>
      <c r="AP18" s="34">
        <v>0</v>
      </c>
      <c r="AQ18" s="34">
        <v>6.5490648626579012E-8</v>
      </c>
      <c r="AR18" s="34">
        <v>4.1995533104793547E-8</v>
      </c>
      <c r="AS18" s="34">
        <v>6.858010692256405E-7</v>
      </c>
      <c r="AT18" s="34">
        <v>5.9775598454757192E-6</v>
      </c>
      <c r="AU18" s="36">
        <v>0</v>
      </c>
      <c r="AV18" s="36">
        <v>0</v>
      </c>
      <c r="AW18" s="36">
        <v>0</v>
      </c>
      <c r="AX18" s="36">
        <v>2.01770987761535E-2</v>
      </c>
      <c r="AY18" s="36">
        <v>1.2997696587769846E-2</v>
      </c>
      <c r="AZ18" s="36">
        <v>0.10054754807380653</v>
      </c>
      <c r="BA18" s="36">
        <v>0.13372234343772987</v>
      </c>
      <c r="BB18" s="6"/>
      <c r="BC18" s="6"/>
      <c r="BD18" t="s">
        <v>956</v>
      </c>
      <c r="BF18" s="5">
        <v>6.6970964000000006E-3</v>
      </c>
      <c r="BG18" s="5">
        <f t="shared" si="1"/>
        <v>-3.6584579062786593E-3</v>
      </c>
      <c r="BH18" s="2">
        <v>9.7334630000000004</v>
      </c>
    </row>
    <row r="19" spans="1:60" x14ac:dyDescent="0.2">
      <c r="A19" t="str">
        <f t="shared" si="0"/>
        <v>Bicycle, electric (&lt;25 km/h) - 2020 - NMC - CH</v>
      </c>
      <c r="B19" t="s">
        <v>489</v>
      </c>
      <c r="D19" s="19">
        <v>2020</v>
      </c>
      <c r="E19" t="s">
        <v>37</v>
      </c>
      <c r="F19" t="s">
        <v>140</v>
      </c>
      <c r="G19" t="s">
        <v>39</v>
      </c>
      <c r="H19" t="s">
        <v>32</v>
      </c>
      <c r="I19" t="s">
        <v>43</v>
      </c>
      <c r="J19" t="s">
        <v>140</v>
      </c>
      <c r="L19" s="26">
        <v>0</v>
      </c>
      <c r="M19" s="26">
        <v>0</v>
      </c>
      <c r="N19" s="26">
        <v>7.8217156213787186E-4</v>
      </c>
      <c r="O19" s="26">
        <v>1.195732624675443E-3</v>
      </c>
      <c r="P19" s="26">
        <v>4.5179813632008798E-4</v>
      </c>
      <c r="Q19" s="26">
        <v>1.328900195020182E-2</v>
      </c>
      <c r="R19" s="26">
        <v>1.5718704273335223E-2</v>
      </c>
      <c r="S19" s="28">
        <v>0</v>
      </c>
      <c r="T19" s="28">
        <v>0</v>
      </c>
      <c r="U19" s="28">
        <v>8.2787723282772764E-5</v>
      </c>
      <c r="V19" s="28">
        <v>9.8317473549625417E-5</v>
      </c>
      <c r="W19" s="28">
        <v>2.854805823298327E-5</v>
      </c>
      <c r="X19" s="28">
        <v>1.255020670214965E-2</v>
      </c>
      <c r="Y19" s="28">
        <v>1.2759859957215031E-2</v>
      </c>
      <c r="Z19" s="30">
        <v>0</v>
      </c>
      <c r="AA19" s="30">
        <v>1.3758060237990489E-3</v>
      </c>
      <c r="AB19" s="30">
        <v>2.4261803533979809E-5</v>
      </c>
      <c r="AC19" s="30">
        <v>2.3968260093961618E-5</v>
      </c>
      <c r="AD19" s="30">
        <v>1.2976972032129591E-5</v>
      </c>
      <c r="AE19" s="30">
        <v>1.184976064930756E-3</v>
      </c>
      <c r="AF19" s="30">
        <v>2.6219891243898759E-3</v>
      </c>
      <c r="AG19" s="32">
        <v>0</v>
      </c>
      <c r="AH19" s="32">
        <v>7.228237882960114E-6</v>
      </c>
      <c r="AI19" s="32">
        <v>5.5435684002652831E-5</v>
      </c>
      <c r="AJ19" s="32">
        <v>8.5554174677296554E-5</v>
      </c>
      <c r="AK19" s="32">
        <v>1.2111076557635849E-5</v>
      </c>
      <c r="AL19" s="32">
        <v>3.2773028407887422E-3</v>
      </c>
      <c r="AM19" s="32">
        <v>3.4376320139092877E-3</v>
      </c>
      <c r="AN19" s="34">
        <v>0</v>
      </c>
      <c r="AO19" s="34">
        <v>5.1842725945187069E-6</v>
      </c>
      <c r="AP19" s="34">
        <v>6.9898965624929674E-8</v>
      </c>
      <c r="AQ19" s="34">
        <v>6.5490648626579012E-8</v>
      </c>
      <c r="AR19" s="34">
        <v>4.7820751040050032E-8</v>
      </c>
      <c r="AS19" s="34">
        <v>2.5259502359604321E-6</v>
      </c>
      <c r="AT19" s="34">
        <v>7.8934331957706966E-6</v>
      </c>
      <c r="AU19" s="36">
        <v>0</v>
      </c>
      <c r="AV19" s="36">
        <v>0</v>
      </c>
      <c r="AW19" s="36">
        <v>3.6577712050626814E-2</v>
      </c>
      <c r="AX19" s="36">
        <v>2.01770987761535E-2</v>
      </c>
      <c r="AY19" s="36">
        <v>1.4800612509593357E-2</v>
      </c>
      <c r="AZ19" s="36">
        <v>0.17731219978001517</v>
      </c>
      <c r="BA19" s="36">
        <v>0.24886762311638883</v>
      </c>
      <c r="BB19" s="6"/>
      <c r="BC19" s="6"/>
      <c r="BD19" t="s">
        <v>879</v>
      </c>
      <c r="BF19" s="5">
        <v>1.1042067000000001E-2</v>
      </c>
      <c r="BG19" s="5">
        <f t="shared" si="1"/>
        <v>-4.6766372733352216E-3</v>
      </c>
      <c r="BH19" s="2">
        <v>32.063935999999998</v>
      </c>
    </row>
    <row r="20" spans="1:60" x14ac:dyDescent="0.2">
      <c r="A20" t="str">
        <f t="shared" si="0"/>
        <v>Bicycle, electric (&lt;25 km/h) - 2030 - NMC - CH</v>
      </c>
      <c r="B20" t="s">
        <v>489</v>
      </c>
      <c r="D20" s="19">
        <v>2030</v>
      </c>
      <c r="E20" t="s">
        <v>37</v>
      </c>
      <c r="F20" t="s">
        <v>140</v>
      </c>
      <c r="G20" t="s">
        <v>39</v>
      </c>
      <c r="H20" t="s">
        <v>32</v>
      </c>
      <c r="I20" t="s">
        <v>43</v>
      </c>
      <c r="J20" t="s">
        <v>140</v>
      </c>
      <c r="L20" s="26">
        <v>0</v>
      </c>
      <c r="M20" s="26">
        <v>0</v>
      </c>
      <c r="N20" s="26">
        <v>7.8217156213787186E-4</v>
      </c>
      <c r="O20" s="26">
        <v>1.195732624675443E-3</v>
      </c>
      <c r="P20" s="26">
        <v>4.5014419855824448E-4</v>
      </c>
      <c r="Q20" s="26">
        <v>1.3056994186893239E-2</v>
      </c>
      <c r="R20" s="26">
        <v>1.5485042572264799E-2</v>
      </c>
      <c r="S20" s="28">
        <v>0</v>
      </c>
      <c r="T20" s="28">
        <v>0</v>
      </c>
      <c r="U20" s="28">
        <v>8.2787723282772764E-5</v>
      </c>
      <c r="V20" s="28">
        <v>9.8317473549625417E-5</v>
      </c>
      <c r="W20" s="28">
        <v>2.844354980821769E-5</v>
      </c>
      <c r="X20" s="28">
        <v>1.0701410048596829E-2</v>
      </c>
      <c r="Y20" s="28">
        <v>1.0910958795237445E-2</v>
      </c>
      <c r="Z20" s="30">
        <v>0</v>
      </c>
      <c r="AA20" s="30">
        <v>1.3758060237990489E-3</v>
      </c>
      <c r="AB20" s="30">
        <v>2.4261803533979809E-5</v>
      </c>
      <c r="AC20" s="30">
        <v>2.3968260093961618E-5</v>
      </c>
      <c r="AD20" s="30">
        <v>1.2929466072381411E-5</v>
      </c>
      <c r="AE20" s="30">
        <v>1.0694494518561149E-3</v>
      </c>
      <c r="AF20" s="30">
        <v>2.5064150053554866E-3</v>
      </c>
      <c r="AG20" s="32">
        <v>0</v>
      </c>
      <c r="AH20" s="32">
        <v>7.228237882960114E-6</v>
      </c>
      <c r="AI20" s="32">
        <v>5.5435684002652831E-5</v>
      </c>
      <c r="AJ20" s="32">
        <v>8.5554174677296554E-5</v>
      </c>
      <c r="AK20" s="32">
        <v>1.2066740458734681E-5</v>
      </c>
      <c r="AL20" s="32">
        <v>3.0150227021893518E-3</v>
      </c>
      <c r="AM20" s="32">
        <v>3.1753075392109958E-3</v>
      </c>
      <c r="AN20" s="34">
        <v>0</v>
      </c>
      <c r="AO20" s="34">
        <v>5.1842725945187069E-6</v>
      </c>
      <c r="AP20" s="34">
        <v>6.9898965624929674E-8</v>
      </c>
      <c r="AQ20" s="34">
        <v>6.5490648626579012E-8</v>
      </c>
      <c r="AR20" s="34">
        <v>4.7645689348585192E-8</v>
      </c>
      <c r="AS20" s="34">
        <v>2.2001424793828139E-6</v>
      </c>
      <c r="AT20" s="34">
        <v>7.5674503775016136E-6</v>
      </c>
      <c r="AU20" s="36">
        <v>0</v>
      </c>
      <c r="AV20" s="36">
        <v>0</v>
      </c>
      <c r="AW20" s="36">
        <v>3.6577712050626814E-2</v>
      </c>
      <c r="AX20" s="36">
        <v>2.01770987761535E-2</v>
      </c>
      <c r="AY20" s="36">
        <v>1.4746430586384435E-2</v>
      </c>
      <c r="AZ20" s="36">
        <v>0.16997936361743826</v>
      </c>
      <c r="BA20" s="36">
        <v>0.24148060503060301</v>
      </c>
      <c r="BB20" s="6"/>
      <c r="BC20" s="6"/>
      <c r="BD20" t="s">
        <v>957</v>
      </c>
      <c r="BF20" s="5">
        <v>1.0744254E-2</v>
      </c>
      <c r="BG20" s="5">
        <f t="shared" si="1"/>
        <v>-4.740788572264799E-3</v>
      </c>
      <c r="BH20" s="2">
        <v>28.577304999999999</v>
      </c>
    </row>
    <row r="21" spans="1:60" x14ac:dyDescent="0.2">
      <c r="A21" t="str">
        <f t="shared" si="0"/>
        <v>Bicycle, electric (&lt;25 km/h) - 2040 - NMC - CH</v>
      </c>
      <c r="B21" t="s">
        <v>489</v>
      </c>
      <c r="D21" s="19">
        <v>2040</v>
      </c>
      <c r="E21" t="s">
        <v>37</v>
      </c>
      <c r="F21" t="s">
        <v>140</v>
      </c>
      <c r="G21" t="s">
        <v>39</v>
      </c>
      <c r="H21" t="s">
        <v>32</v>
      </c>
      <c r="I21" t="s">
        <v>43</v>
      </c>
      <c r="J21" t="s">
        <v>140</v>
      </c>
      <c r="L21" s="26">
        <v>0</v>
      </c>
      <c r="M21" s="26">
        <v>0</v>
      </c>
      <c r="N21" s="26">
        <v>7.8217156213787186E-4</v>
      </c>
      <c r="O21" s="26">
        <v>1.195732624675443E-3</v>
      </c>
      <c r="P21" s="26">
        <v>4.472460140397849E-4</v>
      </c>
      <c r="Q21" s="26">
        <v>1.2680690138179381E-2</v>
      </c>
      <c r="R21" s="26">
        <v>1.5105840339032481E-2</v>
      </c>
      <c r="S21" s="28">
        <v>0</v>
      </c>
      <c r="T21" s="28">
        <v>0</v>
      </c>
      <c r="U21" s="28">
        <v>8.2787723282772764E-5</v>
      </c>
      <c r="V21" s="28">
        <v>9.8317473549625417E-5</v>
      </c>
      <c r="W21" s="28">
        <v>2.8260420366655981E-5</v>
      </c>
      <c r="X21" s="28">
        <v>9.0507226984678068E-3</v>
      </c>
      <c r="Y21" s="28">
        <v>9.2600883156668604E-3</v>
      </c>
      <c r="Z21" s="30">
        <v>0</v>
      </c>
      <c r="AA21" s="30">
        <v>1.3758060237990489E-3</v>
      </c>
      <c r="AB21" s="30">
        <v>2.4261803533979809E-5</v>
      </c>
      <c r="AC21" s="30">
        <v>2.3968260093961618E-5</v>
      </c>
      <c r="AD21" s="30">
        <v>1.284622168419881E-5</v>
      </c>
      <c r="AE21" s="30">
        <v>9.5824877247864082E-4</v>
      </c>
      <c r="AF21" s="30">
        <v>2.3951310815898299E-3</v>
      </c>
      <c r="AG21" s="32">
        <v>0</v>
      </c>
      <c r="AH21" s="32">
        <v>7.228237882960114E-6</v>
      </c>
      <c r="AI21" s="32">
        <v>5.5435684002652831E-5</v>
      </c>
      <c r="AJ21" s="32">
        <v>8.5554174677296554E-5</v>
      </c>
      <c r="AK21" s="32">
        <v>1.1989050597357409E-5</v>
      </c>
      <c r="AL21" s="32">
        <v>2.752316042919872E-3</v>
      </c>
      <c r="AM21" s="32">
        <v>2.9125231900801389E-3</v>
      </c>
      <c r="AN21" s="34">
        <v>0</v>
      </c>
      <c r="AO21" s="34">
        <v>5.1842725945187069E-6</v>
      </c>
      <c r="AP21" s="34">
        <v>6.9898965624929674E-8</v>
      </c>
      <c r="AQ21" s="34">
        <v>6.5490648626579012E-8</v>
      </c>
      <c r="AR21" s="34">
        <v>4.7338929870880761E-8</v>
      </c>
      <c r="AS21" s="34">
        <v>1.9062727272207299E-6</v>
      </c>
      <c r="AT21" s="34">
        <v>7.2732738658618254E-6</v>
      </c>
      <c r="AU21" s="36">
        <v>0</v>
      </c>
      <c r="AV21" s="36">
        <v>0</v>
      </c>
      <c r="AW21" s="36">
        <v>3.6577712050626814E-2</v>
      </c>
      <c r="AX21" s="36">
        <v>2.01770987761535E-2</v>
      </c>
      <c r="AY21" s="36">
        <v>1.4651487950302742E-2</v>
      </c>
      <c r="AZ21" s="36">
        <v>0.16168134792499275</v>
      </c>
      <c r="BA21" s="36">
        <v>0.23308764670207582</v>
      </c>
      <c r="BB21" s="6"/>
      <c r="BC21" s="6"/>
      <c r="BD21" t="s">
        <v>958</v>
      </c>
      <c r="BF21" s="5">
        <v>1.0403598E-2</v>
      </c>
      <c r="BG21" s="5">
        <f t="shared" si="1"/>
        <v>-4.7022423390324815E-3</v>
      </c>
      <c r="BH21" s="2">
        <v>25.464594999999999</v>
      </c>
    </row>
    <row r="22" spans="1:60" x14ac:dyDescent="0.2">
      <c r="A22" t="str">
        <f t="shared" si="0"/>
        <v>Bicycle, electric (&lt;25 km/h) - 2050 - NMC - CH</v>
      </c>
      <c r="B22" t="s">
        <v>489</v>
      </c>
      <c r="D22" s="19">
        <v>2050</v>
      </c>
      <c r="E22" t="s">
        <v>37</v>
      </c>
      <c r="F22" t="s">
        <v>140</v>
      </c>
      <c r="G22" t="s">
        <v>39</v>
      </c>
      <c r="H22" t="s">
        <v>32</v>
      </c>
      <c r="I22" t="s">
        <v>43</v>
      </c>
      <c r="J22" t="s">
        <v>140</v>
      </c>
      <c r="L22" s="26">
        <v>0</v>
      </c>
      <c r="M22" s="26">
        <v>0</v>
      </c>
      <c r="N22" s="26">
        <v>7.8217156213787186E-4</v>
      </c>
      <c r="O22" s="26">
        <v>1.195732624675443E-3</v>
      </c>
      <c r="P22" s="26">
        <v>4.4829300216425461E-4</v>
      </c>
      <c r="Q22" s="26">
        <v>1.306679777444421E-2</v>
      </c>
      <c r="R22" s="26">
        <v>1.5492994963421779E-2</v>
      </c>
      <c r="S22" s="28">
        <v>0</v>
      </c>
      <c r="T22" s="28">
        <v>0</v>
      </c>
      <c r="U22" s="28">
        <v>8.2787723282772764E-5</v>
      </c>
      <c r="V22" s="28">
        <v>9.8317473549625417E-5</v>
      </c>
      <c r="W22" s="28">
        <v>2.832657707591125E-5</v>
      </c>
      <c r="X22" s="28">
        <v>8.8779769286049474E-3</v>
      </c>
      <c r="Y22" s="28">
        <v>9.0874087025132576E-3</v>
      </c>
      <c r="Z22" s="30">
        <v>0</v>
      </c>
      <c r="AA22" s="30">
        <v>1.3758060237990489E-3</v>
      </c>
      <c r="AB22" s="30">
        <v>2.4261803533979809E-5</v>
      </c>
      <c r="AC22" s="30">
        <v>2.3968260093961618E-5</v>
      </c>
      <c r="AD22" s="30">
        <v>1.2876294264222889E-5</v>
      </c>
      <c r="AE22" s="30">
        <v>9.6652043551671634E-4</v>
      </c>
      <c r="AF22" s="30">
        <v>2.4034328172079294E-3</v>
      </c>
      <c r="AG22" s="32">
        <v>0</v>
      </c>
      <c r="AH22" s="32">
        <v>7.228237882960114E-6</v>
      </c>
      <c r="AI22" s="32">
        <v>5.5435684002652831E-5</v>
      </c>
      <c r="AJ22" s="32">
        <v>8.5554174677296554E-5</v>
      </c>
      <c r="AK22" s="32">
        <v>1.201711656822145E-5</v>
      </c>
      <c r="AL22" s="32">
        <v>2.7911608441172149E-3</v>
      </c>
      <c r="AM22" s="32">
        <v>2.951396057248346E-3</v>
      </c>
      <c r="AN22" s="34">
        <v>0</v>
      </c>
      <c r="AO22" s="34">
        <v>5.1842725945187069E-6</v>
      </c>
      <c r="AP22" s="34">
        <v>6.9898965624929674E-8</v>
      </c>
      <c r="AQ22" s="34">
        <v>6.5490648626579012E-8</v>
      </c>
      <c r="AR22" s="34">
        <v>4.7449748739789693E-8</v>
      </c>
      <c r="AS22" s="34">
        <v>1.883034516292265E-6</v>
      </c>
      <c r="AT22" s="34">
        <v>7.2501464738022696E-6</v>
      </c>
      <c r="AU22" s="36">
        <v>0</v>
      </c>
      <c r="AV22" s="36">
        <v>0</v>
      </c>
      <c r="AW22" s="36">
        <v>3.6577712050626814E-2</v>
      </c>
      <c r="AX22" s="36">
        <v>2.01770987761535E-2</v>
      </c>
      <c r="AY22" s="36">
        <v>1.4685786598939585E-2</v>
      </c>
      <c r="AZ22" s="36">
        <v>0.16523630757397889</v>
      </c>
      <c r="BA22" s="36">
        <v>0.23667690499969879</v>
      </c>
      <c r="BB22" s="6"/>
      <c r="BC22" s="6"/>
      <c r="BD22" t="s">
        <v>959</v>
      </c>
      <c r="BF22" s="5">
        <v>1.0541487E-2</v>
      </c>
      <c r="BG22" s="5">
        <f t="shared" si="1"/>
        <v>-4.9515079634217789E-3</v>
      </c>
      <c r="BH22" s="2">
        <v>25.105225999999998</v>
      </c>
    </row>
    <row r="23" spans="1:60" x14ac:dyDescent="0.2">
      <c r="A23" t="str">
        <f t="shared" si="0"/>
        <v>Bicycle, electric (&lt;45 km/h) - 2020 - NMC - CH</v>
      </c>
      <c r="B23" t="s">
        <v>490</v>
      </c>
      <c r="D23" s="19">
        <v>2020</v>
      </c>
      <c r="E23" t="s">
        <v>37</v>
      </c>
      <c r="F23" t="s">
        <v>140</v>
      </c>
      <c r="G23" t="s">
        <v>39</v>
      </c>
      <c r="H23" t="s">
        <v>32</v>
      </c>
      <c r="I23" t="s">
        <v>43</v>
      </c>
      <c r="J23" t="s">
        <v>140</v>
      </c>
      <c r="L23" s="26">
        <v>0</v>
      </c>
      <c r="M23" s="26">
        <v>0</v>
      </c>
      <c r="N23" s="26">
        <v>1.4364996721616199E-3</v>
      </c>
      <c r="O23" s="26">
        <v>1.195732624675443E-3</v>
      </c>
      <c r="P23" s="26">
        <v>4.7000662544130072E-4</v>
      </c>
      <c r="Q23" s="26">
        <v>9.8334853630012153E-3</v>
      </c>
      <c r="R23" s="26">
        <v>1.2935724285279579E-2</v>
      </c>
      <c r="S23" s="28">
        <v>0</v>
      </c>
      <c r="T23" s="28">
        <v>0</v>
      </c>
      <c r="U23" s="28">
        <v>1.520440567152036E-4</v>
      </c>
      <c r="V23" s="28">
        <v>9.8317473549625417E-5</v>
      </c>
      <c r="W23" s="28">
        <v>2.9698609698292419E-5</v>
      </c>
      <c r="X23" s="28">
        <v>8.5991611819644376E-3</v>
      </c>
      <c r="Y23" s="28">
        <v>8.8792213219275589E-3</v>
      </c>
      <c r="Z23" s="30">
        <v>0</v>
      </c>
      <c r="AA23" s="30">
        <v>1.3758060237990489E-3</v>
      </c>
      <c r="AB23" s="30">
        <v>4.4558092507674578E-5</v>
      </c>
      <c r="AC23" s="30">
        <v>2.3968260093961618E-5</v>
      </c>
      <c r="AD23" s="30">
        <v>1.3499973423852701E-5</v>
      </c>
      <c r="AE23" s="30">
        <v>8.3795777881196366E-4</v>
      </c>
      <c r="AF23" s="30">
        <v>2.2957901286365014E-3</v>
      </c>
      <c r="AG23" s="32">
        <v>0</v>
      </c>
      <c r="AH23" s="32">
        <v>7.228237882960114E-6</v>
      </c>
      <c r="AI23" s="32">
        <v>1.018105819114773E-4</v>
      </c>
      <c r="AJ23" s="32">
        <v>8.5554174677296554E-5</v>
      </c>
      <c r="AK23" s="32">
        <v>1.259918039874964E-5</v>
      </c>
      <c r="AL23" s="32">
        <v>2.343476825969153E-3</v>
      </c>
      <c r="AM23" s="32">
        <v>2.5506690008396367E-3</v>
      </c>
      <c r="AN23" s="34">
        <v>0</v>
      </c>
      <c r="AO23" s="34">
        <v>5.1842725945187069E-6</v>
      </c>
      <c r="AP23" s="34">
        <v>1.2837316781270141E-7</v>
      </c>
      <c r="AQ23" s="34">
        <v>6.5490648626579012E-8</v>
      </c>
      <c r="AR23" s="34">
        <v>4.974803571672711E-8</v>
      </c>
      <c r="AS23" s="34">
        <v>1.770597549801543E-6</v>
      </c>
      <c r="AT23" s="34">
        <v>7.1984819964762571E-6</v>
      </c>
      <c r="AU23" s="36">
        <v>0</v>
      </c>
      <c r="AV23" s="36">
        <v>0</v>
      </c>
      <c r="AW23" s="36">
        <v>6.7176913496486523E-2</v>
      </c>
      <c r="AX23" s="36">
        <v>2.01770987761535E-2</v>
      </c>
      <c r="AY23" s="36">
        <v>1.5397110746755812E-2</v>
      </c>
      <c r="AZ23" s="36">
        <v>0.12966140408035057</v>
      </c>
      <c r="BA23" s="36">
        <v>0.23241252709974641</v>
      </c>
      <c r="BB23" s="6"/>
      <c r="BC23" s="6"/>
      <c r="BD23" t="s">
        <v>885</v>
      </c>
      <c r="BF23" s="5">
        <v>9.6879966999999997E-3</v>
      </c>
      <c r="BG23" s="5">
        <f t="shared" si="1"/>
        <v>-3.2477275852795789E-3</v>
      </c>
      <c r="BH23" s="2">
        <v>25.702192</v>
      </c>
    </row>
    <row r="24" spans="1:60" x14ac:dyDescent="0.2">
      <c r="A24" t="str">
        <f t="shared" si="0"/>
        <v>Bicycle, electric (&lt;45 km/h) - 2030 - NMC - CH</v>
      </c>
      <c r="B24" t="s">
        <v>490</v>
      </c>
      <c r="D24" s="19">
        <v>2030</v>
      </c>
      <c r="E24" t="s">
        <v>37</v>
      </c>
      <c r="F24" t="s">
        <v>140</v>
      </c>
      <c r="G24" t="s">
        <v>39</v>
      </c>
      <c r="H24" t="s">
        <v>32</v>
      </c>
      <c r="I24" t="s">
        <v>43</v>
      </c>
      <c r="J24" t="s">
        <v>140</v>
      </c>
      <c r="L24" s="26">
        <v>0</v>
      </c>
      <c r="M24" s="26">
        <v>0</v>
      </c>
      <c r="N24" s="26">
        <v>1.4364996721616199E-3</v>
      </c>
      <c r="O24" s="26">
        <v>1.195732624675443E-3</v>
      </c>
      <c r="P24" s="26">
        <v>4.6794299667422991E-4</v>
      </c>
      <c r="Q24" s="26">
        <v>9.7775443944006918E-3</v>
      </c>
      <c r="R24" s="26">
        <v>1.2877719687911984E-2</v>
      </c>
      <c r="S24" s="28">
        <v>0</v>
      </c>
      <c r="T24" s="28">
        <v>0</v>
      </c>
      <c r="U24" s="28">
        <v>1.520440567152036E-4</v>
      </c>
      <c r="V24" s="28">
        <v>9.8317473549625417E-5</v>
      </c>
      <c r="W24" s="28">
        <v>2.956821386555738E-5</v>
      </c>
      <c r="X24" s="28">
        <v>7.3846488576314673E-3</v>
      </c>
      <c r="Y24" s="28">
        <v>7.6645786017618539E-3</v>
      </c>
      <c r="Z24" s="30">
        <v>0</v>
      </c>
      <c r="AA24" s="30">
        <v>1.3758060237990489E-3</v>
      </c>
      <c r="AB24" s="30">
        <v>4.4558092507674578E-5</v>
      </c>
      <c r="AC24" s="30">
        <v>2.3968260093961618E-5</v>
      </c>
      <c r="AD24" s="30">
        <v>1.3440699932790739E-5</v>
      </c>
      <c r="AE24" s="30">
        <v>7.665730032181484E-4</v>
      </c>
      <c r="AF24" s="30">
        <v>2.2243460795516243E-3</v>
      </c>
      <c r="AG24" s="32">
        <v>0</v>
      </c>
      <c r="AH24" s="32">
        <v>7.228237882960114E-6</v>
      </c>
      <c r="AI24" s="32">
        <v>1.018105819114773E-4</v>
      </c>
      <c r="AJ24" s="32">
        <v>8.5554174677296554E-5</v>
      </c>
      <c r="AK24" s="32">
        <v>1.2543861963423409E-5</v>
      </c>
      <c r="AL24" s="32">
        <v>2.1876111027913561E-3</v>
      </c>
      <c r="AM24" s="32">
        <v>2.3947479592265133E-3</v>
      </c>
      <c r="AN24" s="34">
        <v>0</v>
      </c>
      <c r="AO24" s="34">
        <v>5.1842725945187069E-6</v>
      </c>
      <c r="AP24" s="34">
        <v>1.2837316781270141E-7</v>
      </c>
      <c r="AQ24" s="34">
        <v>6.5490648626579012E-8</v>
      </c>
      <c r="AR24" s="34">
        <v>4.9529610120037038E-8</v>
      </c>
      <c r="AS24" s="34">
        <v>1.557545808442301E-6</v>
      </c>
      <c r="AT24" s="34">
        <v>6.9852118295203248E-6</v>
      </c>
      <c r="AU24" s="36">
        <v>0</v>
      </c>
      <c r="AV24" s="36">
        <v>0</v>
      </c>
      <c r="AW24" s="36">
        <v>6.7176913496486523E-2</v>
      </c>
      <c r="AX24" s="36">
        <v>2.01770987761535E-2</v>
      </c>
      <c r="AY24" s="36">
        <v>1.5329507613210733E-2</v>
      </c>
      <c r="AZ24" s="36">
        <v>0.12583044321433179</v>
      </c>
      <c r="BA24" s="36">
        <v>0.22851396310018257</v>
      </c>
      <c r="BB24" s="6"/>
      <c r="BC24" s="6"/>
      <c r="BD24" t="s">
        <v>960</v>
      </c>
      <c r="BF24" s="5">
        <v>9.5288435000000001E-3</v>
      </c>
      <c r="BG24" s="5">
        <f t="shared" si="1"/>
        <v>-3.3488761879119835E-3</v>
      </c>
      <c r="BH24" s="2">
        <v>23.39725</v>
      </c>
    </row>
    <row r="25" spans="1:60" x14ac:dyDescent="0.2">
      <c r="A25" t="str">
        <f t="shared" si="0"/>
        <v>Bicycle, electric (&lt;45 km/h) - 2040 - NMC - CH</v>
      </c>
      <c r="B25" t="s">
        <v>490</v>
      </c>
      <c r="D25" s="19">
        <v>2040</v>
      </c>
      <c r="E25" t="s">
        <v>37</v>
      </c>
      <c r="F25" t="s">
        <v>140</v>
      </c>
      <c r="G25" t="s">
        <v>39</v>
      </c>
      <c r="H25" t="s">
        <v>32</v>
      </c>
      <c r="I25" t="s">
        <v>43</v>
      </c>
      <c r="J25" t="s">
        <v>140</v>
      </c>
      <c r="L25" s="26">
        <v>0</v>
      </c>
      <c r="M25" s="26">
        <v>0</v>
      </c>
      <c r="N25" s="26">
        <v>1.4364996721616199E-3</v>
      </c>
      <c r="O25" s="26">
        <v>1.195732624675443E-3</v>
      </c>
      <c r="P25" s="26">
        <v>4.6431647259092168E-4</v>
      </c>
      <c r="Q25" s="26">
        <v>9.5761609501335328E-3</v>
      </c>
      <c r="R25" s="26">
        <v>1.2672709719561517E-2</v>
      </c>
      <c r="S25" s="28">
        <v>0</v>
      </c>
      <c r="T25" s="28">
        <v>0</v>
      </c>
      <c r="U25" s="28">
        <v>1.520440567152036E-4</v>
      </c>
      <c r="V25" s="28">
        <v>9.8317473549625417E-5</v>
      </c>
      <c r="W25" s="28">
        <v>2.9339062365383309E-5</v>
      </c>
      <c r="X25" s="28">
        <v>6.2810377629805309E-3</v>
      </c>
      <c r="Y25" s="28">
        <v>6.5607383556107431E-3</v>
      </c>
      <c r="Z25" s="30">
        <v>0</v>
      </c>
      <c r="AA25" s="30">
        <v>1.3758060237990489E-3</v>
      </c>
      <c r="AB25" s="30">
        <v>4.4558092507674578E-5</v>
      </c>
      <c r="AC25" s="30">
        <v>2.3968260093961618E-5</v>
      </c>
      <c r="AD25" s="30">
        <v>1.3336535488939229E-5</v>
      </c>
      <c r="AE25" s="30">
        <v>6.9443754179633642E-4</v>
      </c>
      <c r="AF25" s="30">
        <v>2.1521064536859607E-3</v>
      </c>
      <c r="AG25" s="32">
        <v>0</v>
      </c>
      <c r="AH25" s="32">
        <v>7.228237882960114E-6</v>
      </c>
      <c r="AI25" s="32">
        <v>1.018105819114773E-4</v>
      </c>
      <c r="AJ25" s="32">
        <v>8.5554174677296554E-5</v>
      </c>
      <c r="AK25" s="32">
        <v>1.244664794840158E-5</v>
      </c>
      <c r="AL25" s="32">
        <v>2.016975262949929E-3</v>
      </c>
      <c r="AM25" s="32">
        <v>2.2240149053700644E-3</v>
      </c>
      <c r="AN25" s="34">
        <v>0</v>
      </c>
      <c r="AO25" s="34">
        <v>5.1842725945187069E-6</v>
      </c>
      <c r="AP25" s="34">
        <v>1.2837316781270141E-7</v>
      </c>
      <c r="AQ25" s="34">
        <v>6.5490648626579012E-8</v>
      </c>
      <c r="AR25" s="34">
        <v>4.9145759255265523E-8</v>
      </c>
      <c r="AS25" s="34">
        <v>1.3622947149483109E-6</v>
      </c>
      <c r="AT25" s="34">
        <v>6.7895768851615631E-6</v>
      </c>
      <c r="AU25" s="36">
        <v>0</v>
      </c>
      <c r="AV25" s="36">
        <v>0</v>
      </c>
      <c r="AW25" s="36">
        <v>6.7176913496486523E-2</v>
      </c>
      <c r="AX25" s="36">
        <v>2.01770987761535E-2</v>
      </c>
      <c r="AY25" s="36">
        <v>1.5210705047642539E-2</v>
      </c>
      <c r="AZ25" s="36">
        <v>0.12081974100548248</v>
      </c>
      <c r="BA25" s="36">
        <v>0.22338445832576503</v>
      </c>
      <c r="BB25" s="6"/>
      <c r="BC25" s="6"/>
      <c r="BD25" t="s">
        <v>961</v>
      </c>
      <c r="BF25" s="5">
        <v>9.3150726E-3</v>
      </c>
      <c r="BG25" s="5">
        <f t="shared" si="1"/>
        <v>-3.3576371195615171E-3</v>
      </c>
      <c r="BH25" s="2">
        <v>21.298590999999998</v>
      </c>
    </row>
    <row r="26" spans="1:60" x14ac:dyDescent="0.2">
      <c r="A26" t="str">
        <f t="shared" si="0"/>
        <v>Bicycle, electric (&lt;45 km/h) - 2050 - NMC - CH</v>
      </c>
      <c r="B26" t="s">
        <v>490</v>
      </c>
      <c r="D26" s="19">
        <v>2050</v>
      </c>
      <c r="E26" t="s">
        <v>37</v>
      </c>
      <c r="F26" t="s">
        <v>140</v>
      </c>
      <c r="G26" t="s">
        <v>39</v>
      </c>
      <c r="H26" t="s">
        <v>32</v>
      </c>
      <c r="I26" t="s">
        <v>43</v>
      </c>
      <c r="J26" t="s">
        <v>140</v>
      </c>
      <c r="L26" s="26">
        <v>0</v>
      </c>
      <c r="M26" s="26">
        <v>0</v>
      </c>
      <c r="N26" s="26">
        <v>1.4364996721616199E-3</v>
      </c>
      <c r="O26" s="26">
        <v>1.195732624675443E-3</v>
      </c>
      <c r="P26" s="26">
        <v>4.6509033337857321E-4</v>
      </c>
      <c r="Q26" s="26">
        <v>9.8993866474147967E-3</v>
      </c>
      <c r="R26" s="26">
        <v>1.2996709277630433E-2</v>
      </c>
      <c r="S26" s="28">
        <v>0</v>
      </c>
      <c r="T26" s="28">
        <v>0</v>
      </c>
      <c r="U26" s="28">
        <v>1.520440567152036E-4</v>
      </c>
      <c r="V26" s="28">
        <v>9.8317473549625417E-5</v>
      </c>
      <c r="W26" s="28">
        <v>2.9387960802658939E-5</v>
      </c>
      <c r="X26" s="28">
        <v>6.17788644576912E-3</v>
      </c>
      <c r="Y26" s="28">
        <v>6.4576359368366081E-3</v>
      </c>
      <c r="Z26" s="30">
        <v>0</v>
      </c>
      <c r="AA26" s="30">
        <v>1.3758060237990489E-3</v>
      </c>
      <c r="AB26" s="30">
        <v>4.4558092507674578E-5</v>
      </c>
      <c r="AC26" s="30">
        <v>2.3968260093961618E-5</v>
      </c>
      <c r="AD26" s="30">
        <v>1.335876304808745E-5</v>
      </c>
      <c r="AE26" s="30">
        <v>7.0370729650907275E-4</v>
      </c>
      <c r="AF26" s="30">
        <v>2.1613984359578455E-3</v>
      </c>
      <c r="AG26" s="32">
        <v>0</v>
      </c>
      <c r="AH26" s="32">
        <v>7.228237882960114E-6</v>
      </c>
      <c r="AI26" s="32">
        <v>1.018105819114773E-4</v>
      </c>
      <c r="AJ26" s="32">
        <v>8.5554174677296554E-5</v>
      </c>
      <c r="AK26" s="32">
        <v>1.246739236164892E-5</v>
      </c>
      <c r="AL26" s="32">
        <v>2.0555302742088799E-3</v>
      </c>
      <c r="AM26" s="32">
        <v>2.2625906610422627E-3</v>
      </c>
      <c r="AN26" s="34">
        <v>0</v>
      </c>
      <c r="AO26" s="34">
        <v>5.1842725945187069E-6</v>
      </c>
      <c r="AP26" s="34">
        <v>1.2837316781270141E-7</v>
      </c>
      <c r="AQ26" s="34">
        <v>6.5490648626579012E-8</v>
      </c>
      <c r="AR26" s="34">
        <v>4.9227668854024287E-8</v>
      </c>
      <c r="AS26" s="34">
        <v>1.349571522177053E-6</v>
      </c>
      <c r="AT26" s="34">
        <v>6.7769356019890644E-6</v>
      </c>
      <c r="AU26" s="36">
        <v>0</v>
      </c>
      <c r="AV26" s="36">
        <v>0</v>
      </c>
      <c r="AW26" s="36">
        <v>6.7176913496486523E-2</v>
      </c>
      <c r="AX26" s="36">
        <v>2.01770987761535E-2</v>
      </c>
      <c r="AY26" s="36">
        <v>1.5236056222721946E-2</v>
      </c>
      <c r="AZ26" s="36">
        <v>0.12389477893190831</v>
      </c>
      <c r="BA26" s="36">
        <v>0.22648484742727029</v>
      </c>
      <c r="BB26" s="6"/>
      <c r="BC26" s="6"/>
      <c r="BD26" t="s">
        <v>962</v>
      </c>
      <c r="BF26" s="5">
        <v>9.4342258999999991E-3</v>
      </c>
      <c r="BG26" s="5">
        <f t="shared" si="1"/>
        <v>-3.5624833776304338E-3</v>
      </c>
      <c r="BH26" s="2">
        <v>21.073778999999998</v>
      </c>
    </row>
    <row r="27" spans="1:60" x14ac:dyDescent="0.2">
      <c r="A27" t="str">
        <f t="shared" si="0"/>
        <v>Bicycle, electric, cargo bike - 2020 - NMC - CH</v>
      </c>
      <c r="B27" t="s">
        <v>496</v>
      </c>
      <c r="D27" s="19">
        <v>2020</v>
      </c>
      <c r="E27" t="s">
        <v>37</v>
      </c>
      <c r="F27" t="s">
        <v>140</v>
      </c>
      <c r="G27" t="s">
        <v>39</v>
      </c>
      <c r="H27" t="s">
        <v>32</v>
      </c>
      <c r="I27" t="s">
        <v>43</v>
      </c>
      <c r="J27" t="s">
        <v>140</v>
      </c>
      <c r="L27" s="26">
        <v>0</v>
      </c>
      <c r="M27" s="26">
        <v>0</v>
      </c>
      <c r="N27" s="26">
        <v>1.1004118370386139E-3</v>
      </c>
      <c r="O27" s="26">
        <v>1.195732624675443E-3</v>
      </c>
      <c r="P27" s="26">
        <v>7.7499881822161193E-4</v>
      </c>
      <c r="Q27" s="26">
        <v>2.2207853183671349E-2</v>
      </c>
      <c r="R27" s="26">
        <v>2.5278996463607019E-2</v>
      </c>
      <c r="S27" s="28">
        <v>0</v>
      </c>
      <c r="T27" s="28">
        <v>0</v>
      </c>
      <c r="U27" s="28">
        <v>1.164713664772465E-4</v>
      </c>
      <c r="V27" s="28">
        <v>9.8317473549625417E-5</v>
      </c>
      <c r="W27" s="28">
        <v>4.897034674222067E-5</v>
      </c>
      <c r="X27" s="28">
        <v>1.3437941841274189E-2</v>
      </c>
      <c r="Y27" s="28">
        <v>1.3701701028043281E-2</v>
      </c>
      <c r="Z27" s="30">
        <v>0</v>
      </c>
      <c r="AA27" s="30">
        <v>2.7516120475980978E-3</v>
      </c>
      <c r="AB27" s="30">
        <v>3.4133145577070547E-5</v>
      </c>
      <c r="AC27" s="30">
        <v>2.3968260093961618E-5</v>
      </c>
      <c r="AD27" s="30">
        <v>2.2260246735214739E-5</v>
      </c>
      <c r="AE27" s="30">
        <v>1.5194191966950671E-3</v>
      </c>
      <c r="AF27" s="30">
        <v>4.3513928966994117E-3</v>
      </c>
      <c r="AG27" s="32">
        <v>0</v>
      </c>
      <c r="AH27" s="32">
        <v>1.445647576592023E-5</v>
      </c>
      <c r="AI27" s="32">
        <v>7.7990668318491752E-5</v>
      </c>
      <c r="AJ27" s="32">
        <v>8.5554174677296554E-5</v>
      </c>
      <c r="AK27" s="32">
        <v>2.0774919737405581E-5</v>
      </c>
      <c r="AL27" s="32">
        <v>4.1247769659680297E-3</v>
      </c>
      <c r="AM27" s="32">
        <v>4.3235532044671437E-3</v>
      </c>
      <c r="AN27" s="34">
        <v>0</v>
      </c>
      <c r="AO27" s="34">
        <v>1.036854518903741E-5</v>
      </c>
      <c r="AP27" s="34">
        <v>9.8338590782043418E-8</v>
      </c>
      <c r="AQ27" s="34">
        <v>6.5490648626579012E-8</v>
      </c>
      <c r="AR27" s="34">
        <v>8.2030054051068197E-8</v>
      </c>
      <c r="AS27" s="34">
        <v>3.247132157769772E-6</v>
      </c>
      <c r="AT27" s="34">
        <v>1.3861536640266873E-5</v>
      </c>
      <c r="AU27" s="36">
        <v>0</v>
      </c>
      <c r="AV27" s="36">
        <v>0</v>
      </c>
      <c r="AW27" s="36">
        <v>5.1459998369519894E-2</v>
      </c>
      <c r="AX27" s="36">
        <v>2.01770987761535E-2</v>
      </c>
      <c r="AY27" s="36">
        <v>2.5388456219226894E-2</v>
      </c>
      <c r="AZ27" s="36">
        <v>0.28308506081476031</v>
      </c>
      <c r="BA27" s="36">
        <v>0.38011061417966063</v>
      </c>
      <c r="BB27" s="6"/>
      <c r="BC27" s="6"/>
      <c r="BD27" t="s">
        <v>891</v>
      </c>
      <c r="BF27" s="5">
        <v>1.7454895000000002E-2</v>
      </c>
      <c r="BG27" s="5">
        <f t="shared" si="1"/>
        <v>-7.8241014636070173E-3</v>
      </c>
      <c r="BH27" s="2">
        <v>42.150226000000004</v>
      </c>
    </row>
    <row r="28" spans="1:60" x14ac:dyDescent="0.2">
      <c r="A28" t="str">
        <f t="shared" si="0"/>
        <v>Bicycle, electric, cargo bike - 2030 - NMC - CH</v>
      </c>
      <c r="B28" t="s">
        <v>496</v>
      </c>
      <c r="D28" s="19">
        <v>2030</v>
      </c>
      <c r="E28" t="s">
        <v>37</v>
      </c>
      <c r="F28" t="s">
        <v>140</v>
      </c>
      <c r="G28" t="s">
        <v>39</v>
      </c>
      <c r="H28" t="s">
        <v>32</v>
      </c>
      <c r="I28" t="s">
        <v>43</v>
      </c>
      <c r="J28" t="s">
        <v>140</v>
      </c>
      <c r="L28" s="26">
        <v>0</v>
      </c>
      <c r="M28" s="26">
        <v>0</v>
      </c>
      <c r="N28" s="26">
        <v>1.1004118370386139E-3</v>
      </c>
      <c r="O28" s="26">
        <v>1.195732624675443E-3</v>
      </c>
      <c r="P28" s="26">
        <v>7.6836789343330363E-4</v>
      </c>
      <c r="Q28" s="26">
        <v>2.255563105074997E-2</v>
      </c>
      <c r="R28" s="26">
        <v>2.5620143405897331E-2</v>
      </c>
      <c r="S28" s="28">
        <v>0</v>
      </c>
      <c r="T28" s="28">
        <v>0</v>
      </c>
      <c r="U28" s="28">
        <v>1.164713664772465E-4</v>
      </c>
      <c r="V28" s="28">
        <v>9.8317473549625417E-5</v>
      </c>
      <c r="W28" s="28">
        <v>4.855135425027058E-5</v>
      </c>
      <c r="X28" s="28">
        <v>1.0802098385586909E-2</v>
      </c>
      <c r="Y28" s="28">
        <v>1.1065438579864051E-2</v>
      </c>
      <c r="Z28" s="30">
        <v>0</v>
      </c>
      <c r="AA28" s="30">
        <v>2.7516120475980978E-3</v>
      </c>
      <c r="AB28" s="30">
        <v>3.4133145577070547E-5</v>
      </c>
      <c r="AC28" s="30">
        <v>2.3968260093961618E-5</v>
      </c>
      <c r="AD28" s="30">
        <v>2.2069787061728899E-5</v>
      </c>
      <c r="AE28" s="30">
        <v>1.3863481951345851E-3</v>
      </c>
      <c r="AF28" s="30">
        <v>4.2181314354654432E-3</v>
      </c>
      <c r="AG28" s="32">
        <v>0</v>
      </c>
      <c r="AH28" s="32">
        <v>1.445647576592023E-5</v>
      </c>
      <c r="AI28" s="32">
        <v>7.7990668318491752E-5</v>
      </c>
      <c r="AJ28" s="32">
        <v>8.5554174677296554E-5</v>
      </c>
      <c r="AK28" s="32">
        <v>2.0597168588599979E-5</v>
      </c>
      <c r="AL28" s="32">
        <v>3.870340029132017E-3</v>
      </c>
      <c r="AM28" s="32">
        <v>4.0689385164823259E-3</v>
      </c>
      <c r="AN28" s="34">
        <v>0</v>
      </c>
      <c r="AO28" s="34">
        <v>1.036854518903741E-5</v>
      </c>
      <c r="AP28" s="34">
        <v>9.8338590782043418E-8</v>
      </c>
      <c r="AQ28" s="34">
        <v>6.5490648626579012E-8</v>
      </c>
      <c r="AR28" s="34">
        <v>8.1328201214644952E-8</v>
      </c>
      <c r="AS28" s="34">
        <v>2.7871139311076272E-6</v>
      </c>
      <c r="AT28" s="34">
        <v>1.3400816560768306E-5</v>
      </c>
      <c r="AU28" s="36">
        <v>0</v>
      </c>
      <c r="AV28" s="36">
        <v>0</v>
      </c>
      <c r="AW28" s="36">
        <v>5.1459998369519894E-2</v>
      </c>
      <c r="AX28" s="36">
        <v>2.01770987761535E-2</v>
      </c>
      <c r="AY28" s="36">
        <v>2.5171231444526893E-2</v>
      </c>
      <c r="AZ28" s="36">
        <v>0.27951390716620239</v>
      </c>
      <c r="BA28" s="36">
        <v>0.37632223575640267</v>
      </c>
      <c r="BB28" s="6"/>
      <c r="BC28" s="6"/>
      <c r="BD28" t="s">
        <v>963</v>
      </c>
      <c r="BF28" s="5">
        <v>1.7284722000000002E-2</v>
      </c>
      <c r="BG28" s="5">
        <f t="shared" si="1"/>
        <v>-8.3354214058973287E-3</v>
      </c>
      <c r="BH28" s="2">
        <v>37.065052999999999</v>
      </c>
    </row>
    <row r="29" spans="1:60" x14ac:dyDescent="0.2">
      <c r="A29" t="str">
        <f t="shared" si="0"/>
        <v>Bicycle, electric, cargo bike - 2040 - NMC - CH</v>
      </c>
      <c r="B29" t="s">
        <v>496</v>
      </c>
      <c r="D29" s="19">
        <v>2040</v>
      </c>
      <c r="E29" t="s">
        <v>37</v>
      </c>
      <c r="F29" t="s">
        <v>140</v>
      </c>
      <c r="G29" t="s">
        <v>39</v>
      </c>
      <c r="H29" t="s">
        <v>32</v>
      </c>
      <c r="I29" t="s">
        <v>43</v>
      </c>
      <c r="J29" t="s">
        <v>140</v>
      </c>
      <c r="L29" s="26">
        <v>0</v>
      </c>
      <c r="M29" s="26">
        <v>0</v>
      </c>
      <c r="N29" s="26">
        <v>1.1004118370386139E-3</v>
      </c>
      <c r="O29" s="26">
        <v>1.195732624675443E-3</v>
      </c>
      <c r="P29" s="26">
        <v>7.6248048195077839E-4</v>
      </c>
      <c r="Q29" s="26">
        <v>2.2775274334943339E-2</v>
      </c>
      <c r="R29" s="26">
        <v>2.5833899278608172E-2</v>
      </c>
      <c r="S29" s="28">
        <v>0</v>
      </c>
      <c r="T29" s="28">
        <v>0</v>
      </c>
      <c r="U29" s="28">
        <v>1.164713664772465E-4</v>
      </c>
      <c r="V29" s="28">
        <v>9.8317473549625417E-5</v>
      </c>
      <c r="W29" s="28">
        <v>4.8179342609820628E-5</v>
      </c>
      <c r="X29" s="28">
        <v>9.0372046485396405E-3</v>
      </c>
      <c r="Y29" s="28">
        <v>9.3001728311763333E-3</v>
      </c>
      <c r="Z29" s="30">
        <v>0</v>
      </c>
      <c r="AA29" s="30">
        <v>2.7516120475980978E-3</v>
      </c>
      <c r="AB29" s="30">
        <v>3.4133145577070547E-5</v>
      </c>
      <c r="AC29" s="30">
        <v>2.3968260093961618E-5</v>
      </c>
      <c r="AD29" s="30">
        <v>2.1900683278405099E-5</v>
      </c>
      <c r="AE29" s="30">
        <v>1.2964732590299E-3</v>
      </c>
      <c r="AF29" s="30">
        <v>4.1280873955774353E-3</v>
      </c>
      <c r="AG29" s="32">
        <v>0</v>
      </c>
      <c r="AH29" s="32">
        <v>1.445647576592023E-5</v>
      </c>
      <c r="AI29" s="32">
        <v>7.7990668318491752E-5</v>
      </c>
      <c r="AJ29" s="32">
        <v>8.5554174677296554E-5</v>
      </c>
      <c r="AK29" s="32">
        <v>2.0439348346639859E-5</v>
      </c>
      <c r="AL29" s="32">
        <v>3.696611527351222E-3</v>
      </c>
      <c r="AM29" s="32">
        <v>3.8950521944595704E-3</v>
      </c>
      <c r="AN29" s="34">
        <v>0</v>
      </c>
      <c r="AO29" s="34">
        <v>1.036854518903741E-5</v>
      </c>
      <c r="AP29" s="34">
        <v>9.8338590782043418E-8</v>
      </c>
      <c r="AQ29" s="34">
        <v>6.5490648626579012E-8</v>
      </c>
      <c r="AR29" s="34">
        <v>8.0705045835852706E-8</v>
      </c>
      <c r="AS29" s="34">
        <v>2.4783359410264612E-6</v>
      </c>
      <c r="AT29" s="34">
        <v>1.3091415415308346E-5</v>
      </c>
      <c r="AU29" s="36">
        <v>0</v>
      </c>
      <c r="AV29" s="36">
        <v>0</v>
      </c>
      <c r="AW29" s="36">
        <v>5.1459998369519894E-2</v>
      </c>
      <c r="AX29" s="36">
        <v>2.01770987761535E-2</v>
      </c>
      <c r="AY29" s="36">
        <v>2.4978363681177701E-2</v>
      </c>
      <c r="AZ29" s="36">
        <v>0.27698105092912673</v>
      </c>
      <c r="BA29" s="36">
        <v>0.37359651175597786</v>
      </c>
      <c r="BB29" s="6"/>
      <c r="BC29" s="6"/>
      <c r="BD29" t="s">
        <v>964</v>
      </c>
      <c r="BF29" s="5">
        <v>1.7157363000000002E-2</v>
      </c>
      <c r="BG29" s="5">
        <f t="shared" si="1"/>
        <v>-8.6765362786081698E-3</v>
      </c>
      <c r="BH29" s="2">
        <v>33.642775999999998</v>
      </c>
    </row>
    <row r="30" spans="1:60" x14ac:dyDescent="0.2">
      <c r="A30" t="str">
        <f t="shared" si="0"/>
        <v>Bicycle, electric, cargo bike - 2050 - NMC - CH</v>
      </c>
      <c r="B30" t="s">
        <v>496</v>
      </c>
      <c r="D30" s="19">
        <v>2050</v>
      </c>
      <c r="E30" t="s">
        <v>37</v>
      </c>
      <c r="F30" t="s">
        <v>140</v>
      </c>
      <c r="G30" t="s">
        <v>39</v>
      </c>
      <c r="H30" t="s">
        <v>32</v>
      </c>
      <c r="I30" t="s">
        <v>43</v>
      </c>
      <c r="J30" t="s">
        <v>140</v>
      </c>
      <c r="L30" s="26">
        <v>0</v>
      </c>
      <c r="M30" s="26">
        <v>0</v>
      </c>
      <c r="N30" s="26">
        <v>1.1004118370386139E-3</v>
      </c>
      <c r="O30" s="26">
        <v>1.195732624675443E-3</v>
      </c>
      <c r="P30" s="26">
        <v>7.5856565678971755E-4</v>
      </c>
      <c r="Q30" s="26">
        <v>2.3501171579932319E-2</v>
      </c>
      <c r="R30" s="26">
        <v>2.6555881698436094E-2</v>
      </c>
      <c r="S30" s="28">
        <v>0</v>
      </c>
      <c r="T30" s="28">
        <v>0</v>
      </c>
      <c r="U30" s="28">
        <v>1.164713664772465E-4</v>
      </c>
      <c r="V30" s="28">
        <v>9.8317473549625417E-5</v>
      </c>
      <c r="W30" s="28">
        <v>4.7931974044779159E-5</v>
      </c>
      <c r="X30" s="28">
        <v>8.2575643082954397E-3</v>
      </c>
      <c r="Y30" s="28">
        <v>8.5202851223670911E-3</v>
      </c>
      <c r="Z30" s="30">
        <v>0</v>
      </c>
      <c r="AA30" s="30">
        <v>2.7516120475980978E-3</v>
      </c>
      <c r="AB30" s="30">
        <v>3.4133145577070547E-5</v>
      </c>
      <c r="AC30" s="30">
        <v>2.3968260093961618E-5</v>
      </c>
      <c r="AD30" s="30">
        <v>2.1788237979184629E-5</v>
      </c>
      <c r="AE30" s="30">
        <v>1.2861053425090661E-3</v>
      </c>
      <c r="AF30" s="30">
        <v>4.1176070337573803E-3</v>
      </c>
      <c r="AG30" s="32">
        <v>0</v>
      </c>
      <c r="AH30" s="32">
        <v>1.445647576592023E-5</v>
      </c>
      <c r="AI30" s="32">
        <v>7.7990668318491752E-5</v>
      </c>
      <c r="AJ30" s="32">
        <v>8.5554174677296554E-5</v>
      </c>
      <c r="AK30" s="32">
        <v>2.0334406020800391E-5</v>
      </c>
      <c r="AL30" s="32">
        <v>3.7239045752225672E-3</v>
      </c>
      <c r="AM30" s="32">
        <v>3.9222403000050759E-3</v>
      </c>
      <c r="AN30" s="34">
        <v>0</v>
      </c>
      <c r="AO30" s="34">
        <v>1.036854518903741E-5</v>
      </c>
      <c r="AP30" s="34">
        <v>9.8338590782043418E-8</v>
      </c>
      <c r="AQ30" s="34">
        <v>6.5490648626579012E-8</v>
      </c>
      <c r="AR30" s="34">
        <v>8.0290679630367122E-8</v>
      </c>
      <c r="AS30" s="34">
        <v>2.3494561141384581E-6</v>
      </c>
      <c r="AT30" s="34">
        <v>1.2962121222214858E-5</v>
      </c>
      <c r="AU30" s="36">
        <v>0</v>
      </c>
      <c r="AV30" s="36">
        <v>0</v>
      </c>
      <c r="AW30" s="36">
        <v>5.1459998369519894E-2</v>
      </c>
      <c r="AX30" s="36">
        <v>2.01770987761535E-2</v>
      </c>
      <c r="AY30" s="36">
        <v>2.4850116560187773E-2</v>
      </c>
      <c r="AZ30" s="36">
        <v>0.28232007580793861</v>
      </c>
      <c r="BA30" s="36">
        <v>0.37880728951379977</v>
      </c>
      <c r="BB30" s="6"/>
      <c r="BC30" s="6"/>
      <c r="BD30" t="s">
        <v>965</v>
      </c>
      <c r="BF30" s="5">
        <v>1.7345091E-2</v>
      </c>
      <c r="BG30" s="5">
        <f t="shared" si="1"/>
        <v>-9.2107906984360936E-3</v>
      </c>
      <c r="BH30" s="2">
        <v>32.048532000000002</v>
      </c>
    </row>
    <row r="31" spans="1:60" x14ac:dyDescent="0.2">
      <c r="A31" t="str">
        <f t="shared" si="0"/>
        <v>Bicycle, electric (&lt;25 km/h) - 2020 - LFP - CH</v>
      </c>
      <c r="B31" t="s">
        <v>489</v>
      </c>
      <c r="D31" s="19">
        <v>2020</v>
      </c>
      <c r="E31" t="s">
        <v>37</v>
      </c>
      <c r="F31" t="s">
        <v>140</v>
      </c>
      <c r="G31" t="s">
        <v>39</v>
      </c>
      <c r="H31" t="s">
        <v>32</v>
      </c>
      <c r="I31" t="s">
        <v>44</v>
      </c>
      <c r="J31" t="s">
        <v>140</v>
      </c>
      <c r="L31" s="26">
        <v>0</v>
      </c>
      <c r="M31" s="26">
        <v>0</v>
      </c>
      <c r="N31" s="26">
        <v>7.8217156213787186E-4</v>
      </c>
      <c r="O31" s="26">
        <v>1.195732624675443E-3</v>
      </c>
      <c r="P31" s="26">
        <v>4.6659253373107328E-4</v>
      </c>
      <c r="Q31" s="26">
        <v>1.6505643761205481E-2</v>
      </c>
      <c r="R31" s="26">
        <v>1.895014048174987E-2</v>
      </c>
      <c r="S31" s="28">
        <v>0</v>
      </c>
      <c r="T31" s="28">
        <v>0</v>
      </c>
      <c r="U31" s="28">
        <v>8.2787723282772764E-5</v>
      </c>
      <c r="V31" s="28">
        <v>9.8317473549625417E-5</v>
      </c>
      <c r="W31" s="28">
        <v>2.948288129854695E-5</v>
      </c>
      <c r="X31" s="28">
        <v>8.2258663807938392E-3</v>
      </c>
      <c r="Y31" s="28">
        <v>8.4364544589247848E-3</v>
      </c>
      <c r="Z31" s="30">
        <v>0</v>
      </c>
      <c r="AA31" s="30">
        <v>1.3758060237990489E-3</v>
      </c>
      <c r="AB31" s="30">
        <v>2.4261803533979809E-5</v>
      </c>
      <c r="AC31" s="30">
        <v>2.3968260093961618E-5</v>
      </c>
      <c r="AD31" s="30">
        <v>1.340191066290461E-5</v>
      </c>
      <c r="AE31" s="30">
        <v>1.1968245285550461E-3</v>
      </c>
      <c r="AF31" s="30">
        <v>2.6342625266449413E-3</v>
      </c>
      <c r="AG31" s="32">
        <v>0</v>
      </c>
      <c r="AH31" s="32">
        <v>7.228237882960114E-6</v>
      </c>
      <c r="AI31" s="32">
        <v>5.5435684002652831E-5</v>
      </c>
      <c r="AJ31" s="32">
        <v>8.5554174677296554E-5</v>
      </c>
      <c r="AK31" s="32">
        <v>1.250766092854081E-5</v>
      </c>
      <c r="AL31" s="32">
        <v>3.8296400260956951E-3</v>
      </c>
      <c r="AM31" s="32">
        <v>3.9903657835871457E-3</v>
      </c>
      <c r="AN31" s="34">
        <v>0</v>
      </c>
      <c r="AO31" s="34">
        <v>5.1842725945187069E-6</v>
      </c>
      <c r="AP31" s="34">
        <v>6.9898965624929674E-8</v>
      </c>
      <c r="AQ31" s="34">
        <v>6.5490648626579012E-8</v>
      </c>
      <c r="AR31" s="34">
        <v>4.9386669839850162E-8</v>
      </c>
      <c r="AS31" s="34">
        <v>2.074391227463549E-6</v>
      </c>
      <c r="AT31" s="34">
        <v>7.4434401060736141E-6</v>
      </c>
      <c r="AU31" s="36">
        <v>0</v>
      </c>
      <c r="AV31" s="36">
        <v>0</v>
      </c>
      <c r="AW31" s="36">
        <v>3.6577712050626814E-2</v>
      </c>
      <c r="AX31" s="36">
        <v>2.01770987761535E-2</v>
      </c>
      <c r="AY31" s="36">
        <v>1.5285267327287853E-2</v>
      </c>
      <c r="AZ31" s="36">
        <v>0.21047691392722634</v>
      </c>
      <c r="BA31" s="36">
        <v>0.28251699208129449</v>
      </c>
      <c r="BB31" s="6"/>
      <c r="BC31" s="6"/>
      <c r="BD31" t="s">
        <v>875</v>
      </c>
      <c r="BF31" s="5">
        <v>1.4080789000000002E-2</v>
      </c>
      <c r="BG31" s="5">
        <f t="shared" si="1"/>
        <v>-4.8693514817498684E-3</v>
      </c>
      <c r="BH31" s="2">
        <v>40.805840000000003</v>
      </c>
    </row>
    <row r="32" spans="1:60" x14ac:dyDescent="0.2">
      <c r="A32" t="str">
        <f t="shared" si="0"/>
        <v>Bicycle, electric (&lt;25 km/h) - 2030 - LFP - CH</v>
      </c>
      <c r="B32" t="s">
        <v>489</v>
      </c>
      <c r="D32" s="19">
        <v>2030</v>
      </c>
      <c r="E32" t="s">
        <v>37</v>
      </c>
      <c r="F32" t="s">
        <v>140</v>
      </c>
      <c r="G32" t="s">
        <v>39</v>
      </c>
      <c r="H32" t="s">
        <v>32</v>
      </c>
      <c r="I32" t="s">
        <v>44</v>
      </c>
      <c r="J32" t="s">
        <v>140</v>
      </c>
      <c r="L32" s="26">
        <v>0</v>
      </c>
      <c r="M32" s="26">
        <v>0</v>
      </c>
      <c r="N32" s="26">
        <v>7.8217156213787186E-4</v>
      </c>
      <c r="O32" s="26">
        <v>1.195732624675443E-3</v>
      </c>
      <c r="P32" s="26">
        <v>4.7381523441582089E-4</v>
      </c>
      <c r="Q32" s="26">
        <v>1.730129842392206E-2</v>
      </c>
      <c r="R32" s="26">
        <v>1.9753017845151197E-2</v>
      </c>
      <c r="S32" s="28">
        <v>0</v>
      </c>
      <c r="T32" s="28">
        <v>0</v>
      </c>
      <c r="U32" s="28">
        <v>8.2787723282772764E-5</v>
      </c>
      <c r="V32" s="28">
        <v>9.8317473549625417E-5</v>
      </c>
      <c r="W32" s="28">
        <v>2.993926671311958E-5</v>
      </c>
      <c r="X32" s="28">
        <v>8.3478841054753904E-3</v>
      </c>
      <c r="Y32" s="28">
        <v>8.5589285690209089E-3</v>
      </c>
      <c r="Z32" s="30">
        <v>0</v>
      </c>
      <c r="AA32" s="30">
        <v>1.3758060237990489E-3</v>
      </c>
      <c r="AB32" s="30">
        <v>2.4261803533979809E-5</v>
      </c>
      <c r="AC32" s="30">
        <v>2.3968260093961618E-5</v>
      </c>
      <c r="AD32" s="30">
        <v>1.360936788162145E-5</v>
      </c>
      <c r="AE32" s="30">
        <v>1.241371074846764E-3</v>
      </c>
      <c r="AF32" s="30">
        <v>2.6790165301553755E-3</v>
      </c>
      <c r="AG32" s="32">
        <v>0</v>
      </c>
      <c r="AH32" s="32">
        <v>7.228237882960114E-6</v>
      </c>
      <c r="AI32" s="32">
        <v>5.5435684002652831E-5</v>
      </c>
      <c r="AJ32" s="32">
        <v>8.5554174677296554E-5</v>
      </c>
      <c r="AK32" s="32">
        <v>1.2701275452182609E-5</v>
      </c>
      <c r="AL32" s="32">
        <v>3.9694988774694904E-3</v>
      </c>
      <c r="AM32" s="32">
        <v>4.1304182494845826E-3</v>
      </c>
      <c r="AN32" s="34">
        <v>0</v>
      </c>
      <c r="AO32" s="34">
        <v>5.1842725945187069E-6</v>
      </c>
      <c r="AP32" s="34">
        <v>6.9898965624929674E-8</v>
      </c>
      <c r="AQ32" s="34">
        <v>6.5490648626579012E-8</v>
      </c>
      <c r="AR32" s="34">
        <v>5.0151159428265402E-8</v>
      </c>
      <c r="AS32" s="34">
        <v>2.1123012663586759E-6</v>
      </c>
      <c r="AT32" s="34">
        <v>7.4821146345571557E-6</v>
      </c>
      <c r="AU32" s="36">
        <v>0</v>
      </c>
      <c r="AV32" s="36">
        <v>0</v>
      </c>
      <c r="AW32" s="36">
        <v>3.6577712050626814E-2</v>
      </c>
      <c r="AX32" s="36">
        <v>2.01770987761535E-2</v>
      </c>
      <c r="AY32" s="36">
        <v>1.5521878294695623E-2</v>
      </c>
      <c r="AZ32" s="36">
        <v>0.21911361812630106</v>
      </c>
      <c r="BA32" s="36">
        <v>0.29139030724777698</v>
      </c>
      <c r="BB32" s="6"/>
      <c r="BC32" s="6"/>
      <c r="BD32" t="s">
        <v>966</v>
      </c>
      <c r="BF32" s="5">
        <v>1.4442080000000001E-2</v>
      </c>
      <c r="BG32" s="5">
        <f t="shared" si="1"/>
        <v>-5.3109378451511955E-3</v>
      </c>
      <c r="BH32" s="2">
        <v>41.031095000000001</v>
      </c>
    </row>
    <row r="33" spans="1:60" x14ac:dyDescent="0.2">
      <c r="A33" t="str">
        <f t="shared" si="0"/>
        <v>Bicycle, electric (&lt;25 km/h) - 2040 - LFP - CH</v>
      </c>
      <c r="B33" t="s">
        <v>489</v>
      </c>
      <c r="D33" s="19">
        <v>2040</v>
      </c>
      <c r="E33" t="s">
        <v>37</v>
      </c>
      <c r="F33" t="s">
        <v>140</v>
      </c>
      <c r="G33" t="s">
        <v>39</v>
      </c>
      <c r="H33" t="s">
        <v>32</v>
      </c>
      <c r="I33" t="s">
        <v>44</v>
      </c>
      <c r="J33" t="s">
        <v>140</v>
      </c>
      <c r="L33" s="26">
        <v>0</v>
      </c>
      <c r="M33" s="26">
        <v>0</v>
      </c>
      <c r="N33" s="26">
        <v>7.8217156213787186E-4</v>
      </c>
      <c r="O33" s="26">
        <v>1.195732624675443E-3</v>
      </c>
      <c r="P33" s="26">
        <v>4.7190334305809368E-4</v>
      </c>
      <c r="Q33" s="26">
        <v>1.6441178310260911E-2</v>
      </c>
      <c r="R33" s="26">
        <v>1.889098584013232E-2</v>
      </c>
      <c r="S33" s="28">
        <v>0</v>
      </c>
      <c r="T33" s="28">
        <v>0</v>
      </c>
      <c r="U33" s="28">
        <v>8.2787723282772764E-5</v>
      </c>
      <c r="V33" s="28">
        <v>9.8317473549625417E-5</v>
      </c>
      <c r="W33" s="28">
        <v>2.9818458809262119E-5</v>
      </c>
      <c r="X33" s="28">
        <v>7.5002296310549546E-3</v>
      </c>
      <c r="Y33" s="28">
        <v>7.7111532866966145E-3</v>
      </c>
      <c r="Z33" s="30">
        <v>0</v>
      </c>
      <c r="AA33" s="30">
        <v>1.3758060237990489E-3</v>
      </c>
      <c r="AB33" s="30">
        <v>2.4261803533979809E-5</v>
      </c>
      <c r="AC33" s="30">
        <v>2.3968260093961618E-5</v>
      </c>
      <c r="AD33" s="30">
        <v>1.355445273549052E-5</v>
      </c>
      <c r="AE33" s="30">
        <v>1.135527314052626E-3</v>
      </c>
      <c r="AF33" s="30">
        <v>2.5731178542151068E-3</v>
      </c>
      <c r="AG33" s="32">
        <v>0</v>
      </c>
      <c r="AH33" s="32">
        <v>7.228237882960114E-6</v>
      </c>
      <c r="AI33" s="32">
        <v>5.5435684002652831E-5</v>
      </c>
      <c r="AJ33" s="32">
        <v>8.5554174677296554E-5</v>
      </c>
      <c r="AK33" s="32">
        <v>1.2650024548865661E-5</v>
      </c>
      <c r="AL33" s="32">
        <v>3.631551749364771E-3</v>
      </c>
      <c r="AM33" s="32">
        <v>3.7924198704765463E-3</v>
      </c>
      <c r="AN33" s="34">
        <v>0</v>
      </c>
      <c r="AO33" s="34">
        <v>5.1842725945187069E-6</v>
      </c>
      <c r="AP33" s="34">
        <v>6.9898965624929674E-8</v>
      </c>
      <c r="AQ33" s="34">
        <v>6.5490648626579012E-8</v>
      </c>
      <c r="AR33" s="34">
        <v>4.9948794537214308E-8</v>
      </c>
      <c r="AS33" s="34">
        <v>1.9112971458837662E-6</v>
      </c>
      <c r="AT33" s="34">
        <v>7.2809081491911955E-6</v>
      </c>
      <c r="AU33" s="36">
        <v>0</v>
      </c>
      <c r="AV33" s="36">
        <v>0</v>
      </c>
      <c r="AW33" s="36">
        <v>3.6577712050626814E-2</v>
      </c>
      <c r="AX33" s="36">
        <v>2.01770987761535E-2</v>
      </c>
      <c r="AY33" s="36">
        <v>1.5459245979793569E-2</v>
      </c>
      <c r="AZ33" s="36">
        <v>0.20609465962102799</v>
      </c>
      <c r="BA33" s="36">
        <v>0.27830871642760191</v>
      </c>
      <c r="BB33" s="6"/>
      <c r="BC33" s="6"/>
      <c r="BD33" t="s">
        <v>967</v>
      </c>
      <c r="BF33" s="5">
        <v>1.3640106999999999E-2</v>
      </c>
      <c r="BG33" s="5">
        <f t="shared" si="1"/>
        <v>-5.2508788401323218E-3</v>
      </c>
      <c r="BH33" s="2">
        <v>36.649625999999998</v>
      </c>
    </row>
    <row r="34" spans="1:60" x14ac:dyDescent="0.2">
      <c r="A34" t="str">
        <f t="shared" si="0"/>
        <v>Bicycle, electric (&lt;25 km/h) - 2050 - LFP - CH</v>
      </c>
      <c r="B34" t="s">
        <v>489</v>
      </c>
      <c r="D34" s="19">
        <v>2050</v>
      </c>
      <c r="E34" t="s">
        <v>37</v>
      </c>
      <c r="F34" t="s">
        <v>140</v>
      </c>
      <c r="G34" t="s">
        <v>39</v>
      </c>
      <c r="H34" t="s">
        <v>32</v>
      </c>
      <c r="I34" t="s">
        <v>44</v>
      </c>
      <c r="J34" t="s">
        <v>140</v>
      </c>
      <c r="L34" s="26">
        <v>0</v>
      </c>
      <c r="M34" s="26">
        <v>0</v>
      </c>
      <c r="N34" s="26">
        <v>7.8217156213787186E-4</v>
      </c>
      <c r="O34" s="26">
        <v>1.195732624675443E-3</v>
      </c>
      <c r="P34" s="26">
        <v>4.7492291750402812E-4</v>
      </c>
      <c r="Q34" s="26">
        <v>1.6277304766004991E-2</v>
      </c>
      <c r="R34" s="26">
        <v>1.8730131870322336E-2</v>
      </c>
      <c r="S34" s="28">
        <v>0</v>
      </c>
      <c r="T34" s="28">
        <v>0</v>
      </c>
      <c r="U34" s="28">
        <v>8.2787723282772764E-5</v>
      </c>
      <c r="V34" s="28">
        <v>9.8317473549625417E-5</v>
      </c>
      <c r="W34" s="28">
        <v>3.0009258593925888E-5</v>
      </c>
      <c r="X34" s="28">
        <v>7.1133864594540583E-3</v>
      </c>
      <c r="Y34" s="28">
        <v>7.3245009148803827E-3</v>
      </c>
      <c r="Z34" s="30">
        <v>0</v>
      </c>
      <c r="AA34" s="30">
        <v>1.3758060237990489E-3</v>
      </c>
      <c r="AB34" s="30">
        <v>2.4261803533979809E-5</v>
      </c>
      <c r="AC34" s="30">
        <v>2.3968260093961618E-5</v>
      </c>
      <c r="AD34" s="30">
        <v>1.3641183799617939E-5</v>
      </c>
      <c r="AE34" s="30">
        <v>1.0973681230276621E-3</v>
      </c>
      <c r="AF34" s="30">
        <v>2.5350453942542704E-3</v>
      </c>
      <c r="AG34" s="32">
        <v>0</v>
      </c>
      <c r="AH34" s="32">
        <v>7.228237882960114E-6</v>
      </c>
      <c r="AI34" s="32">
        <v>5.5435684002652831E-5</v>
      </c>
      <c r="AJ34" s="32">
        <v>8.5554174677296554E-5</v>
      </c>
      <c r="AK34" s="32">
        <v>1.2730968435850361E-5</v>
      </c>
      <c r="AL34" s="32">
        <v>3.5071907992978821E-3</v>
      </c>
      <c r="AM34" s="32">
        <v>3.668139864296642E-3</v>
      </c>
      <c r="AN34" s="34">
        <v>0</v>
      </c>
      <c r="AO34" s="34">
        <v>5.1842725945187069E-6</v>
      </c>
      <c r="AP34" s="34">
        <v>6.9898965624929674E-8</v>
      </c>
      <c r="AQ34" s="34">
        <v>6.5490648626579012E-8</v>
      </c>
      <c r="AR34" s="34">
        <v>5.0268402579429921E-8</v>
      </c>
      <c r="AS34" s="34">
        <v>1.8242122660436949E-6</v>
      </c>
      <c r="AT34" s="34">
        <v>7.1941428773933391E-6</v>
      </c>
      <c r="AU34" s="36">
        <v>0</v>
      </c>
      <c r="AV34" s="36">
        <v>0</v>
      </c>
      <c r="AW34" s="36">
        <v>3.6577712050626814E-2</v>
      </c>
      <c r="AX34" s="36">
        <v>2.01770987761535E-2</v>
      </c>
      <c r="AY34" s="36">
        <v>1.5558165270789669E-2</v>
      </c>
      <c r="AZ34" s="36">
        <v>0.20249340819209583</v>
      </c>
      <c r="BA34" s="36">
        <v>0.27480638428966581</v>
      </c>
      <c r="BB34" s="6"/>
      <c r="BC34" s="6"/>
      <c r="BD34" t="s">
        <v>968</v>
      </c>
      <c r="BF34" s="5">
        <v>1.3366602E-2</v>
      </c>
      <c r="BG34" s="5">
        <f t="shared" si="1"/>
        <v>-5.3635298703223356E-3</v>
      </c>
      <c r="BH34" s="2">
        <v>34.545076000000002</v>
      </c>
    </row>
    <row r="35" spans="1:60" x14ac:dyDescent="0.2">
      <c r="A35" t="str">
        <f t="shared" si="0"/>
        <v>Bicycle, electric (&lt;45 km/h) - 2020 - LFP - CH</v>
      </c>
      <c r="B35" t="s">
        <v>490</v>
      </c>
      <c r="D35" s="19">
        <v>2020</v>
      </c>
      <c r="E35" t="s">
        <v>37</v>
      </c>
      <c r="F35" t="s">
        <v>140</v>
      </c>
      <c r="G35" t="s">
        <v>39</v>
      </c>
      <c r="H35" t="s">
        <v>32</v>
      </c>
      <c r="I35" t="s">
        <v>44</v>
      </c>
      <c r="J35" t="s">
        <v>140</v>
      </c>
      <c r="L35" s="26">
        <v>0</v>
      </c>
      <c r="M35" s="26">
        <v>0</v>
      </c>
      <c r="N35" s="26">
        <v>1.4364996721616199E-3</v>
      </c>
      <c r="O35" s="26">
        <v>1.195732624675443E-3</v>
      </c>
      <c r="P35" s="26">
        <v>4.8480102285228591E-4</v>
      </c>
      <c r="Q35" s="26">
        <v>1.197791323700367E-2</v>
      </c>
      <c r="R35" s="26">
        <v>1.509494655669302E-2</v>
      </c>
      <c r="S35" s="28">
        <v>0</v>
      </c>
      <c r="T35" s="28">
        <v>0</v>
      </c>
      <c r="U35" s="28">
        <v>1.520440567152036E-4</v>
      </c>
      <c r="V35" s="28">
        <v>9.8317473549625417E-5</v>
      </c>
      <c r="W35" s="28">
        <v>3.0633432763856099E-5</v>
      </c>
      <c r="X35" s="28">
        <v>5.7162676343939052E-3</v>
      </c>
      <c r="Y35" s="28">
        <v>5.9972625974225903E-3</v>
      </c>
      <c r="Z35" s="30">
        <v>0</v>
      </c>
      <c r="AA35" s="30">
        <v>1.3758060237990489E-3</v>
      </c>
      <c r="AB35" s="30">
        <v>4.4558092507674578E-5</v>
      </c>
      <c r="AC35" s="30">
        <v>2.3968260093961618E-5</v>
      </c>
      <c r="AD35" s="30">
        <v>1.392491205462772E-5</v>
      </c>
      <c r="AE35" s="30">
        <v>8.4585675456149041E-4</v>
      </c>
      <c r="AF35" s="30">
        <v>2.3041140430168031E-3</v>
      </c>
      <c r="AG35" s="32">
        <v>0</v>
      </c>
      <c r="AH35" s="32">
        <v>7.228237882960114E-6</v>
      </c>
      <c r="AI35" s="32">
        <v>1.018105819114773E-4</v>
      </c>
      <c r="AJ35" s="32">
        <v>8.5554174677296554E-5</v>
      </c>
      <c r="AK35" s="32">
        <v>1.299576476965459E-5</v>
      </c>
      <c r="AL35" s="32">
        <v>2.7117016161737882E-3</v>
      </c>
      <c r="AM35" s="32">
        <v>2.9192903754151765E-3</v>
      </c>
      <c r="AN35" s="34">
        <v>0</v>
      </c>
      <c r="AO35" s="34">
        <v>5.1842725945187069E-6</v>
      </c>
      <c r="AP35" s="34">
        <v>1.2837316781270141E-7</v>
      </c>
      <c r="AQ35" s="34">
        <v>6.5490648626579012E-8</v>
      </c>
      <c r="AR35" s="34">
        <v>5.131395451652724E-8</v>
      </c>
      <c r="AS35" s="34">
        <v>1.469558210803564E-6</v>
      </c>
      <c r="AT35" s="34">
        <v>6.8990085762780777E-6</v>
      </c>
      <c r="AU35" s="36">
        <v>0</v>
      </c>
      <c r="AV35" s="36">
        <v>0</v>
      </c>
      <c r="AW35" s="36">
        <v>6.7176913496486523E-2</v>
      </c>
      <c r="AX35" s="36">
        <v>2.01770987761535E-2</v>
      </c>
      <c r="AY35" s="36">
        <v>1.5881765564450298E-2</v>
      </c>
      <c r="AZ35" s="36">
        <v>0.15177121351182457</v>
      </c>
      <c r="BA35" s="36">
        <v>0.25500699134891491</v>
      </c>
      <c r="BB35" s="6"/>
      <c r="BC35" s="6"/>
      <c r="BD35" t="s">
        <v>881</v>
      </c>
      <c r="BF35" s="5">
        <v>1.1719714000000001E-2</v>
      </c>
      <c r="BG35" s="5">
        <f t="shared" si="1"/>
        <v>-3.3752325566930187E-3</v>
      </c>
      <c r="BH35" s="2">
        <v>31.540946000000002</v>
      </c>
    </row>
    <row r="36" spans="1:60" x14ac:dyDescent="0.2">
      <c r="A36" t="str">
        <f t="shared" si="0"/>
        <v>Bicycle, electric (&lt;45 km/h) - 2030 - LFP - CH</v>
      </c>
      <c r="B36" t="s">
        <v>490</v>
      </c>
      <c r="D36" s="19">
        <v>2030</v>
      </c>
      <c r="E36" t="s">
        <v>37</v>
      </c>
      <c r="F36" t="s">
        <v>140</v>
      </c>
      <c r="G36" t="s">
        <v>39</v>
      </c>
      <c r="H36" t="s">
        <v>32</v>
      </c>
      <c r="I36" t="s">
        <v>44</v>
      </c>
      <c r="J36" t="s">
        <v>140</v>
      </c>
      <c r="L36" s="26">
        <v>0</v>
      </c>
      <c r="M36" s="26">
        <v>0</v>
      </c>
      <c r="N36" s="26">
        <v>1.4364996721616199E-3</v>
      </c>
      <c r="O36" s="26">
        <v>1.195732624675443E-3</v>
      </c>
      <c r="P36" s="26">
        <v>4.9161403253180627E-4</v>
      </c>
      <c r="Q36" s="26">
        <v>1.260708056193968E-2</v>
      </c>
      <c r="R36" s="26">
        <v>1.5730926891308551E-2</v>
      </c>
      <c r="S36" s="28">
        <v>0</v>
      </c>
      <c r="T36" s="28">
        <v>0</v>
      </c>
      <c r="U36" s="28">
        <v>1.520440567152036E-4</v>
      </c>
      <c r="V36" s="28">
        <v>9.8317473549625417E-5</v>
      </c>
      <c r="W36" s="28">
        <v>3.1063930770459273E-5</v>
      </c>
      <c r="X36" s="28">
        <v>5.815631562422395E-3</v>
      </c>
      <c r="Y36" s="28">
        <v>6.0970570234576832E-3</v>
      </c>
      <c r="Z36" s="30">
        <v>0</v>
      </c>
      <c r="AA36" s="30">
        <v>1.3758060237990489E-3</v>
      </c>
      <c r="AB36" s="30">
        <v>4.4558092507674578E-5</v>
      </c>
      <c r="AC36" s="30">
        <v>2.3968260093961618E-5</v>
      </c>
      <c r="AD36" s="30">
        <v>1.412060174203078E-5</v>
      </c>
      <c r="AE36" s="30">
        <v>8.8118741862179019E-4</v>
      </c>
      <c r="AF36" s="30">
        <v>2.3396403967645063E-3</v>
      </c>
      <c r="AG36" s="32">
        <v>0</v>
      </c>
      <c r="AH36" s="32">
        <v>7.228237882960114E-6</v>
      </c>
      <c r="AI36" s="32">
        <v>1.018105819114773E-4</v>
      </c>
      <c r="AJ36" s="32">
        <v>8.5554174677296554E-5</v>
      </c>
      <c r="AK36" s="32">
        <v>1.317839695687134E-5</v>
      </c>
      <c r="AL36" s="32">
        <v>2.8239285530257939E-3</v>
      </c>
      <c r="AM36" s="32">
        <v>3.0316999444543993E-3</v>
      </c>
      <c r="AN36" s="34">
        <v>0</v>
      </c>
      <c r="AO36" s="34">
        <v>5.1842725945187069E-6</v>
      </c>
      <c r="AP36" s="34">
        <v>1.2837316781270141E-7</v>
      </c>
      <c r="AQ36" s="34">
        <v>6.5490648626579012E-8</v>
      </c>
      <c r="AR36" s="34">
        <v>5.2035080199717248E-8</v>
      </c>
      <c r="AS36" s="34">
        <v>1.49898500022658E-6</v>
      </c>
      <c r="AT36" s="34">
        <v>6.9291564913842839E-6</v>
      </c>
      <c r="AU36" s="36">
        <v>0</v>
      </c>
      <c r="AV36" s="36">
        <v>0</v>
      </c>
      <c r="AW36" s="36">
        <v>6.7176913496486523E-2</v>
      </c>
      <c r="AX36" s="36">
        <v>2.01770987761535E-2</v>
      </c>
      <c r="AY36" s="36">
        <v>1.6104955321521921E-2</v>
      </c>
      <c r="AZ36" s="36">
        <v>0.15858661301656282</v>
      </c>
      <c r="BA36" s="36">
        <v>0.2620455806107248</v>
      </c>
      <c r="BB36" s="6"/>
      <c r="BC36" s="6"/>
      <c r="BD36" t="s">
        <v>969</v>
      </c>
      <c r="BF36" s="5">
        <v>1.2003552000000001E-2</v>
      </c>
      <c r="BG36" s="5">
        <f t="shared" si="1"/>
        <v>-3.7273748913085498E-3</v>
      </c>
      <c r="BH36" s="2">
        <v>31.717109000000001</v>
      </c>
    </row>
    <row r="37" spans="1:60" x14ac:dyDescent="0.2">
      <c r="A37" t="str">
        <f t="shared" si="0"/>
        <v>Bicycle, electric (&lt;45 km/h) - 2040 - LFP - CH</v>
      </c>
      <c r="B37" t="s">
        <v>490</v>
      </c>
      <c r="D37" s="19">
        <v>2040</v>
      </c>
      <c r="E37" t="s">
        <v>37</v>
      </c>
      <c r="F37" t="s">
        <v>140</v>
      </c>
      <c r="G37" t="s">
        <v>39</v>
      </c>
      <c r="H37" t="s">
        <v>32</v>
      </c>
      <c r="I37" t="s">
        <v>44</v>
      </c>
      <c r="J37" t="s">
        <v>140</v>
      </c>
      <c r="L37" s="26">
        <v>0</v>
      </c>
      <c r="M37" s="26">
        <v>0</v>
      </c>
      <c r="N37" s="26">
        <v>1.4364996721616199E-3</v>
      </c>
      <c r="O37" s="26">
        <v>1.195732624675443E-3</v>
      </c>
      <c r="P37" s="26">
        <v>4.8897380160923046E-4</v>
      </c>
      <c r="Q37" s="26">
        <v>1.208315306485455E-2</v>
      </c>
      <c r="R37" s="26">
        <v>1.5204359163300842E-2</v>
      </c>
      <c r="S37" s="28">
        <v>0</v>
      </c>
      <c r="T37" s="28">
        <v>0</v>
      </c>
      <c r="U37" s="28">
        <v>1.520440567152036E-4</v>
      </c>
      <c r="V37" s="28">
        <v>9.8317473549625417E-5</v>
      </c>
      <c r="W37" s="28">
        <v>3.0897100807989451E-5</v>
      </c>
      <c r="X37" s="28">
        <v>5.2473757180386358E-3</v>
      </c>
      <c r="Y37" s="28">
        <v>5.5286343491114543E-3</v>
      </c>
      <c r="Z37" s="30">
        <v>0</v>
      </c>
      <c r="AA37" s="30">
        <v>1.3758060237990489E-3</v>
      </c>
      <c r="AB37" s="30">
        <v>4.4558092507674578E-5</v>
      </c>
      <c r="AC37" s="30">
        <v>2.3968260093961618E-5</v>
      </c>
      <c r="AD37" s="30">
        <v>1.4044766540230931E-5</v>
      </c>
      <c r="AE37" s="30">
        <v>8.1262323617899406E-4</v>
      </c>
      <c r="AF37" s="30">
        <v>2.2710003791199104E-3</v>
      </c>
      <c r="AG37" s="32">
        <v>0</v>
      </c>
      <c r="AH37" s="32">
        <v>7.228237882960114E-6</v>
      </c>
      <c r="AI37" s="32">
        <v>1.018105819114773E-4</v>
      </c>
      <c r="AJ37" s="32">
        <v>8.5554174677296554E-5</v>
      </c>
      <c r="AK37" s="32">
        <v>1.310762189990984E-5</v>
      </c>
      <c r="AL37" s="32">
        <v>2.603132400579865E-3</v>
      </c>
      <c r="AM37" s="32">
        <v>2.8108330169515088E-3</v>
      </c>
      <c r="AN37" s="34">
        <v>0</v>
      </c>
      <c r="AO37" s="34">
        <v>5.1842725945187069E-6</v>
      </c>
      <c r="AP37" s="34">
        <v>1.2837316781270141E-7</v>
      </c>
      <c r="AQ37" s="34">
        <v>6.5490648626579012E-8</v>
      </c>
      <c r="AR37" s="34">
        <v>5.1755623921599077E-8</v>
      </c>
      <c r="AS37" s="34">
        <v>1.365644327390255E-6</v>
      </c>
      <c r="AT37" s="34">
        <v>6.7955363622698401E-6</v>
      </c>
      <c r="AU37" s="36">
        <v>0</v>
      </c>
      <c r="AV37" s="36">
        <v>0</v>
      </c>
      <c r="AW37" s="36">
        <v>6.7176913496486523E-2</v>
      </c>
      <c r="AX37" s="36">
        <v>2.01770987761535E-2</v>
      </c>
      <c r="AY37" s="36">
        <v>1.6018463077133369E-2</v>
      </c>
      <c r="AZ37" s="36">
        <v>0.15042861546950603</v>
      </c>
      <c r="BA37" s="36">
        <v>0.25380109081927943</v>
      </c>
      <c r="BB37" s="6"/>
      <c r="BC37" s="6"/>
      <c r="BD37" t="s">
        <v>970</v>
      </c>
      <c r="BF37" s="5">
        <v>1.1482738999999999E-2</v>
      </c>
      <c r="BG37" s="5">
        <f t="shared" si="1"/>
        <v>-3.7216201633008435E-3</v>
      </c>
      <c r="BH37" s="2">
        <v>28.773599999999998</v>
      </c>
    </row>
    <row r="38" spans="1:60" x14ac:dyDescent="0.2">
      <c r="A38" t="str">
        <f t="shared" si="0"/>
        <v>Bicycle, electric (&lt;45 km/h) - 2050 - LFP - CH</v>
      </c>
      <c r="B38" t="s">
        <v>490</v>
      </c>
      <c r="D38" s="19">
        <v>2050</v>
      </c>
      <c r="E38" t="s">
        <v>37</v>
      </c>
      <c r="F38" t="s">
        <v>140</v>
      </c>
      <c r="G38" t="s">
        <v>39</v>
      </c>
      <c r="H38" t="s">
        <v>32</v>
      </c>
      <c r="I38" t="s">
        <v>44</v>
      </c>
      <c r="J38" t="s">
        <v>140</v>
      </c>
      <c r="L38" s="26">
        <v>0</v>
      </c>
      <c r="M38" s="26">
        <v>0</v>
      </c>
      <c r="N38" s="26">
        <v>1.4364996721616199E-3</v>
      </c>
      <c r="O38" s="26">
        <v>1.195732624675443E-3</v>
      </c>
      <c r="P38" s="26">
        <v>4.9172024871834666E-4</v>
      </c>
      <c r="Q38" s="26">
        <v>1.2039724651308431E-2</v>
      </c>
      <c r="R38" s="26">
        <v>1.516367719686384E-2</v>
      </c>
      <c r="S38" s="28">
        <v>0</v>
      </c>
      <c r="T38" s="28">
        <v>0</v>
      </c>
      <c r="U38" s="28">
        <v>1.520440567152036E-4</v>
      </c>
      <c r="V38" s="28">
        <v>9.8317473549625417E-5</v>
      </c>
      <c r="W38" s="28">
        <v>3.1070642320673577E-5</v>
      </c>
      <c r="X38" s="28">
        <v>5.0014927998737564E-3</v>
      </c>
      <c r="Y38" s="28">
        <v>5.2829249724592586E-3</v>
      </c>
      <c r="Z38" s="30">
        <v>0</v>
      </c>
      <c r="AA38" s="30">
        <v>1.3758060237990489E-3</v>
      </c>
      <c r="AB38" s="30">
        <v>4.4558092507674578E-5</v>
      </c>
      <c r="AC38" s="30">
        <v>2.3968260093961618E-5</v>
      </c>
      <c r="AD38" s="30">
        <v>1.41236525834825E-5</v>
      </c>
      <c r="AE38" s="30">
        <v>7.9093908825957971E-4</v>
      </c>
      <c r="AF38" s="30">
        <v>2.2493951172437472E-3</v>
      </c>
      <c r="AG38" s="32">
        <v>0</v>
      </c>
      <c r="AH38" s="32">
        <v>7.228237882960114E-6</v>
      </c>
      <c r="AI38" s="32">
        <v>1.018105819114773E-4</v>
      </c>
      <c r="AJ38" s="32">
        <v>8.5554174677296554E-5</v>
      </c>
      <c r="AK38" s="32">
        <v>1.318124422927783E-5</v>
      </c>
      <c r="AL38" s="32">
        <v>2.532883577710338E-3</v>
      </c>
      <c r="AM38" s="32">
        <v>2.7406578164113496E-3</v>
      </c>
      <c r="AN38" s="34">
        <v>0</v>
      </c>
      <c r="AO38" s="34">
        <v>5.1842725945187069E-6</v>
      </c>
      <c r="AP38" s="34">
        <v>1.2837316781270141E-7</v>
      </c>
      <c r="AQ38" s="34">
        <v>6.5490648626579012E-8</v>
      </c>
      <c r="AR38" s="34">
        <v>5.2046322693664528E-8</v>
      </c>
      <c r="AS38" s="34">
        <v>1.310356689145099E-6</v>
      </c>
      <c r="AT38" s="34">
        <v>6.7405394227967507E-6</v>
      </c>
      <c r="AU38" s="36">
        <v>0</v>
      </c>
      <c r="AV38" s="36">
        <v>0</v>
      </c>
      <c r="AW38" s="36">
        <v>6.7176913496486523E-2</v>
      </c>
      <c r="AX38" s="36">
        <v>2.01770987761535E-2</v>
      </c>
      <c r="AY38" s="36">
        <v>1.6108434894572029E-2</v>
      </c>
      <c r="AZ38" s="36">
        <v>0.14873284614030871</v>
      </c>
      <c r="BA38" s="36">
        <v>0.25219529330752077</v>
      </c>
      <c r="BB38" s="6"/>
      <c r="BC38" s="6"/>
      <c r="BD38" t="s">
        <v>971</v>
      </c>
      <c r="BF38" s="5">
        <v>1.1328394E-2</v>
      </c>
      <c r="BG38" s="5">
        <f t="shared" si="1"/>
        <v>-3.8352831968638396E-3</v>
      </c>
      <c r="BH38" s="2">
        <v>27.386825999999999</v>
      </c>
    </row>
    <row r="39" spans="1:60" x14ac:dyDescent="0.2">
      <c r="A39" t="str">
        <f t="shared" si="0"/>
        <v>Bicycle, electric, cargo bike - 2020 - LFP - CH</v>
      </c>
      <c r="B39" t="s">
        <v>496</v>
      </c>
      <c r="D39" s="19">
        <v>2020</v>
      </c>
      <c r="E39" t="s">
        <v>37</v>
      </c>
      <c r="F39" t="s">
        <v>140</v>
      </c>
      <c r="G39" t="s">
        <v>39</v>
      </c>
      <c r="H39" t="s">
        <v>32</v>
      </c>
      <c r="I39" t="s">
        <v>44</v>
      </c>
      <c r="J39" t="s">
        <v>140</v>
      </c>
      <c r="L39" s="26">
        <v>0</v>
      </c>
      <c r="M39" s="26">
        <v>0</v>
      </c>
      <c r="N39" s="26">
        <v>1.1004118370386139E-3</v>
      </c>
      <c r="O39" s="26">
        <v>1.195732624675443E-3</v>
      </c>
      <c r="P39" s="26">
        <v>7.8979321563259718E-4</v>
      </c>
      <c r="Q39" s="26">
        <v>2.542449500895469E-2</v>
      </c>
      <c r="R39" s="26">
        <v>2.8510432686301344E-2</v>
      </c>
      <c r="S39" s="28">
        <v>0</v>
      </c>
      <c r="T39" s="28">
        <v>0</v>
      </c>
      <c r="U39" s="28">
        <v>1.164713664772465E-4</v>
      </c>
      <c r="V39" s="28">
        <v>9.8317473549625417E-5</v>
      </c>
      <c r="W39" s="28">
        <v>4.9905169807784347E-5</v>
      </c>
      <c r="X39" s="28">
        <v>9.1136015202262204E-3</v>
      </c>
      <c r="Y39" s="28">
        <v>9.3782955300608772E-3</v>
      </c>
      <c r="Z39" s="30">
        <v>0</v>
      </c>
      <c r="AA39" s="30">
        <v>2.7516120475980978E-3</v>
      </c>
      <c r="AB39" s="30">
        <v>3.4133145577070547E-5</v>
      </c>
      <c r="AC39" s="30">
        <v>2.3968260093961618E-5</v>
      </c>
      <c r="AD39" s="30">
        <v>2.268518536598976E-5</v>
      </c>
      <c r="AE39" s="30">
        <v>1.5312676604341709E-3</v>
      </c>
      <c r="AF39" s="30">
        <v>4.3636662990692906E-3</v>
      </c>
      <c r="AG39" s="32">
        <v>0</v>
      </c>
      <c r="AH39" s="32">
        <v>1.445647576592023E-5</v>
      </c>
      <c r="AI39" s="32">
        <v>7.7990668318491752E-5</v>
      </c>
      <c r="AJ39" s="32">
        <v>8.5554174677296554E-5</v>
      </c>
      <c r="AK39" s="32">
        <v>2.117150410831053E-5</v>
      </c>
      <c r="AL39" s="32">
        <v>4.6771141513465009E-3</v>
      </c>
      <c r="AM39" s="32">
        <v>4.8762869742165196E-3</v>
      </c>
      <c r="AN39" s="34">
        <v>0</v>
      </c>
      <c r="AO39" s="34">
        <v>1.036854518903741E-5</v>
      </c>
      <c r="AP39" s="34">
        <v>9.8338590782043418E-8</v>
      </c>
      <c r="AQ39" s="34">
        <v>6.5490648626579012E-8</v>
      </c>
      <c r="AR39" s="34">
        <v>8.359597285086832E-8</v>
      </c>
      <c r="AS39" s="34">
        <v>2.795573149973405E-6</v>
      </c>
      <c r="AT39" s="34">
        <v>1.3411543551270306E-5</v>
      </c>
      <c r="AU39" s="36">
        <v>0</v>
      </c>
      <c r="AV39" s="36">
        <v>0</v>
      </c>
      <c r="AW39" s="36">
        <v>5.1459998369519894E-2</v>
      </c>
      <c r="AX39" s="36">
        <v>2.01770987761535E-2</v>
      </c>
      <c r="AY39" s="36">
        <v>2.5873111036921376E-2</v>
      </c>
      <c r="AZ39" s="36">
        <v>0.31624977515645514</v>
      </c>
      <c r="BA39" s="36">
        <v>0.4137599833390499</v>
      </c>
      <c r="BB39" s="6"/>
      <c r="BC39" s="6"/>
      <c r="BD39" t="s">
        <v>887</v>
      </c>
      <c r="BF39" s="5">
        <v>2.0493721999999999E-2</v>
      </c>
      <c r="BG39" s="5">
        <f t="shared" si="1"/>
        <v>-8.0167106863013454E-3</v>
      </c>
      <c r="BH39" s="2">
        <v>50.892327000000002</v>
      </c>
    </row>
    <row r="40" spans="1:60" x14ac:dyDescent="0.2">
      <c r="A40" t="str">
        <f t="shared" si="0"/>
        <v>Bicycle, electric, cargo bike - 2030 - LFP - CH</v>
      </c>
      <c r="B40" t="s">
        <v>496</v>
      </c>
      <c r="D40" s="19">
        <v>2030</v>
      </c>
      <c r="E40" t="s">
        <v>37</v>
      </c>
      <c r="F40" t="s">
        <v>140</v>
      </c>
      <c r="G40" t="s">
        <v>39</v>
      </c>
      <c r="H40" t="s">
        <v>32</v>
      </c>
      <c r="I40" t="s">
        <v>44</v>
      </c>
      <c r="J40" t="s">
        <v>140</v>
      </c>
      <c r="L40" s="26">
        <v>0</v>
      </c>
      <c r="M40" s="26">
        <v>0</v>
      </c>
      <c r="N40" s="26">
        <v>1.1004118370386139E-3</v>
      </c>
      <c r="O40" s="26">
        <v>1.195732624675443E-3</v>
      </c>
      <c r="P40" s="26">
        <v>7.8908004980868317E-4</v>
      </c>
      <c r="Q40" s="26">
        <v>2.626939728422828E-2</v>
      </c>
      <c r="R40" s="26">
        <v>2.9354621795751018E-2</v>
      </c>
      <c r="S40" s="28">
        <v>0</v>
      </c>
      <c r="T40" s="28">
        <v>0</v>
      </c>
      <c r="U40" s="28">
        <v>1.164713664772465E-4</v>
      </c>
      <c r="V40" s="28">
        <v>9.8317473549625417E-5</v>
      </c>
      <c r="W40" s="28">
        <v>4.9860106542059748E-5</v>
      </c>
      <c r="X40" s="28">
        <v>8.7427632140537458E-3</v>
      </c>
      <c r="Y40" s="28">
        <v>9.0074121606226777E-3</v>
      </c>
      <c r="Z40" s="30">
        <v>0</v>
      </c>
      <c r="AA40" s="30">
        <v>2.7516120475980978E-3</v>
      </c>
      <c r="AB40" s="30">
        <v>3.4133145577070547E-5</v>
      </c>
      <c r="AC40" s="30">
        <v>2.3968260093961618E-5</v>
      </c>
      <c r="AD40" s="30">
        <v>2.2664701144813939E-5</v>
      </c>
      <c r="AE40" s="30">
        <v>1.5367796168004259E-3</v>
      </c>
      <c r="AF40" s="30">
        <v>4.3691577712143695E-3</v>
      </c>
      <c r="AG40" s="32">
        <v>0</v>
      </c>
      <c r="AH40" s="32">
        <v>1.445647576592023E-5</v>
      </c>
      <c r="AI40" s="32">
        <v>7.7990668318491752E-5</v>
      </c>
      <c r="AJ40" s="32">
        <v>8.5554174677296554E-5</v>
      </c>
      <c r="AK40" s="32">
        <v>2.1152386707866911E-5</v>
      </c>
      <c r="AL40" s="32">
        <v>4.7055066893301441E-3</v>
      </c>
      <c r="AM40" s="32">
        <v>4.9046603947997197E-3</v>
      </c>
      <c r="AN40" s="34">
        <v>0</v>
      </c>
      <c r="AO40" s="34">
        <v>1.036854518903741E-5</v>
      </c>
      <c r="AP40" s="34">
        <v>9.8338590782043418E-8</v>
      </c>
      <c r="AQ40" s="34">
        <v>6.5490648626579012E-8</v>
      </c>
      <c r="AR40" s="34">
        <v>8.3520487534365137E-8</v>
      </c>
      <c r="AS40" s="34">
        <v>2.7102528686705018E-6</v>
      </c>
      <c r="AT40" s="34">
        <v>1.3326147784650898E-5</v>
      </c>
      <c r="AU40" s="36">
        <v>0</v>
      </c>
      <c r="AV40" s="36">
        <v>0</v>
      </c>
      <c r="AW40" s="36">
        <v>5.1459998369519894E-2</v>
      </c>
      <c r="AX40" s="36">
        <v>2.01770987761535E-2</v>
      </c>
      <c r="AY40" s="36">
        <v>2.5849748189299193E-2</v>
      </c>
      <c r="AZ40" s="36">
        <v>0.32250638016648092</v>
      </c>
      <c r="BA40" s="36">
        <v>0.41999322550145352</v>
      </c>
      <c r="BB40" s="6"/>
      <c r="BC40" s="6"/>
      <c r="BD40" t="s">
        <v>972</v>
      </c>
      <c r="BF40" s="5">
        <v>2.0520664000000001E-2</v>
      </c>
      <c r="BG40" s="5">
        <f t="shared" si="1"/>
        <v>-8.8339577957510171E-3</v>
      </c>
      <c r="BH40" s="2">
        <v>47.962609</v>
      </c>
    </row>
    <row r="41" spans="1:60" x14ac:dyDescent="0.2">
      <c r="A41" t="str">
        <f t="shared" si="0"/>
        <v>Bicycle, electric, cargo bike - 2040 - LFP - CH</v>
      </c>
      <c r="B41" t="s">
        <v>496</v>
      </c>
      <c r="D41" s="19">
        <v>2040</v>
      </c>
      <c r="E41" t="s">
        <v>37</v>
      </c>
      <c r="F41" t="s">
        <v>140</v>
      </c>
      <c r="G41" t="s">
        <v>39</v>
      </c>
      <c r="H41" t="s">
        <v>32</v>
      </c>
      <c r="I41" t="s">
        <v>44</v>
      </c>
      <c r="J41" t="s">
        <v>140</v>
      </c>
      <c r="L41" s="26">
        <v>0</v>
      </c>
      <c r="M41" s="26">
        <v>0</v>
      </c>
      <c r="N41" s="26">
        <v>1.1004118370386139E-3</v>
      </c>
      <c r="O41" s="26">
        <v>1.195732624675443E-3</v>
      </c>
      <c r="P41" s="26">
        <v>7.8220634516542513E-4</v>
      </c>
      <c r="Q41" s="26">
        <v>2.578366496560117E-2</v>
      </c>
      <c r="R41" s="26">
        <v>2.886201577248065E-2</v>
      </c>
      <c r="S41" s="28">
        <v>0</v>
      </c>
      <c r="T41" s="28">
        <v>0</v>
      </c>
      <c r="U41" s="28">
        <v>1.164713664772465E-4</v>
      </c>
      <c r="V41" s="28">
        <v>9.8317473549625417E-5</v>
      </c>
      <c r="W41" s="28">
        <v>4.942577336390553E-5</v>
      </c>
      <c r="X41" s="28">
        <v>7.7968102391621262E-3</v>
      </c>
      <c r="Y41" s="28">
        <v>8.0610248525529032E-3</v>
      </c>
      <c r="Z41" s="30">
        <v>0</v>
      </c>
      <c r="AA41" s="30">
        <v>2.7516120475980978E-3</v>
      </c>
      <c r="AB41" s="30">
        <v>3.4133145577070547E-5</v>
      </c>
      <c r="AC41" s="30">
        <v>2.3968260093961618E-5</v>
      </c>
      <c r="AD41" s="30">
        <v>2.2467268119438459E-5</v>
      </c>
      <c r="AE41" s="30">
        <v>1.4382961002366019E-3</v>
      </c>
      <c r="AF41" s="30">
        <v>4.2704768216251703E-3</v>
      </c>
      <c r="AG41" s="32">
        <v>0</v>
      </c>
      <c r="AH41" s="32">
        <v>1.445647576592023E-5</v>
      </c>
      <c r="AI41" s="32">
        <v>7.7990668318491752E-5</v>
      </c>
      <c r="AJ41" s="32">
        <v>8.5554174677296554E-5</v>
      </c>
      <c r="AK41" s="32">
        <v>2.0968127507846451E-5</v>
      </c>
      <c r="AL41" s="32">
        <v>4.4000001155117428E-3</v>
      </c>
      <c r="AM41" s="32">
        <v>4.5989695617812982E-3</v>
      </c>
      <c r="AN41" s="34">
        <v>0</v>
      </c>
      <c r="AO41" s="34">
        <v>1.036854518903741E-5</v>
      </c>
      <c r="AP41" s="34">
        <v>9.8338590782043418E-8</v>
      </c>
      <c r="AQ41" s="34">
        <v>6.5490648626579012E-8</v>
      </c>
      <c r="AR41" s="34">
        <v>8.2792937568919515E-8</v>
      </c>
      <c r="AS41" s="34">
        <v>2.4823554928813048E-6</v>
      </c>
      <c r="AT41" s="34">
        <v>1.3097522858896257E-5</v>
      </c>
      <c r="AU41" s="36">
        <v>0</v>
      </c>
      <c r="AV41" s="36">
        <v>0</v>
      </c>
      <c r="AW41" s="36">
        <v>5.1459998369519894E-2</v>
      </c>
      <c r="AX41" s="36">
        <v>2.01770987761535E-2</v>
      </c>
      <c r="AY41" s="36">
        <v>2.5624570104770358E-2</v>
      </c>
      <c r="AZ41" s="36">
        <v>0.31251170151621827</v>
      </c>
      <c r="BA41" s="36">
        <v>0.40977336876666204</v>
      </c>
      <c r="BB41" s="6"/>
      <c r="BC41" s="6"/>
      <c r="BD41" t="s">
        <v>973</v>
      </c>
      <c r="BF41" s="5">
        <v>1.9746751E-2</v>
      </c>
      <c r="BG41" s="5">
        <f t="shared" si="1"/>
        <v>-9.1152647724806503E-3</v>
      </c>
      <c r="BH41" s="2">
        <v>42.591959000000003</v>
      </c>
    </row>
    <row r="42" spans="1:60" x14ac:dyDescent="0.2">
      <c r="A42" t="str">
        <f t="shared" si="0"/>
        <v>Bicycle, electric, cargo bike - 2050 - LFP - CH</v>
      </c>
      <c r="B42" t="s">
        <v>496</v>
      </c>
      <c r="D42" s="19">
        <v>2050</v>
      </c>
      <c r="E42" t="s">
        <v>37</v>
      </c>
      <c r="F42" t="s">
        <v>140</v>
      </c>
      <c r="G42" t="s">
        <v>39</v>
      </c>
      <c r="H42" t="s">
        <v>32</v>
      </c>
      <c r="I42" t="s">
        <v>44</v>
      </c>
      <c r="J42" t="s">
        <v>140</v>
      </c>
      <c r="L42" s="26">
        <v>0</v>
      </c>
      <c r="M42" s="26">
        <v>0</v>
      </c>
      <c r="N42" s="26">
        <v>1.1004118370386139E-3</v>
      </c>
      <c r="O42" s="26">
        <v>1.195732624675443E-3</v>
      </c>
      <c r="P42" s="26">
        <v>7.7631893368289989E-4</v>
      </c>
      <c r="Q42" s="26">
        <v>2.5641509576497589E-2</v>
      </c>
      <c r="R42" s="26">
        <v>2.8713972971894545E-2</v>
      </c>
      <c r="S42" s="28">
        <v>0</v>
      </c>
      <c r="T42" s="28">
        <v>0</v>
      </c>
      <c r="U42" s="28">
        <v>1.164713664772465E-4</v>
      </c>
      <c r="V42" s="28">
        <v>9.8317473549625417E-5</v>
      </c>
      <c r="W42" s="28">
        <v>4.9053761723455578E-5</v>
      </c>
      <c r="X42" s="28">
        <v>7.0811706497131482E-3</v>
      </c>
      <c r="Y42" s="28">
        <v>7.345013251463476E-3</v>
      </c>
      <c r="Z42" s="30">
        <v>0</v>
      </c>
      <c r="AA42" s="30">
        <v>2.7516120475980978E-3</v>
      </c>
      <c r="AB42" s="30">
        <v>3.4133145577070547E-5</v>
      </c>
      <c r="AC42" s="30">
        <v>2.3968260093961618E-5</v>
      </c>
      <c r="AD42" s="30">
        <v>2.2298164336114662E-5</v>
      </c>
      <c r="AE42" s="30">
        <v>1.3733371347972199E-3</v>
      </c>
      <c r="AF42" s="30">
        <v>4.2053487524024644E-3</v>
      </c>
      <c r="AG42" s="32">
        <v>0</v>
      </c>
      <c r="AH42" s="32">
        <v>1.445647576592023E-5</v>
      </c>
      <c r="AI42" s="32">
        <v>7.7990668318491752E-5</v>
      </c>
      <c r="AJ42" s="32">
        <v>8.5554174677296554E-5</v>
      </c>
      <c r="AK42" s="32">
        <v>2.0810307265886331E-5</v>
      </c>
      <c r="AL42" s="32">
        <v>4.2012578757362716E-3</v>
      </c>
      <c r="AM42" s="32">
        <v>4.4000695017638661E-3</v>
      </c>
      <c r="AN42" s="34">
        <v>0</v>
      </c>
      <c r="AO42" s="34">
        <v>1.036854518903741E-5</v>
      </c>
      <c r="AP42" s="34">
        <v>9.8338590782043418E-8</v>
      </c>
      <c r="AQ42" s="34">
        <v>6.5490648626579012E-8</v>
      </c>
      <c r="AR42" s="34">
        <v>8.2169782190127282E-8</v>
      </c>
      <c r="AS42" s="34">
        <v>2.3102412858192088E-6</v>
      </c>
      <c r="AT42" s="34">
        <v>1.2924785496455369E-5</v>
      </c>
      <c r="AU42" s="36">
        <v>0</v>
      </c>
      <c r="AV42" s="36">
        <v>0</v>
      </c>
      <c r="AW42" s="36">
        <v>5.1459998369519894E-2</v>
      </c>
      <c r="AX42" s="36">
        <v>2.01770987761535E-2</v>
      </c>
      <c r="AY42" s="36">
        <v>2.5431702341421163E-2</v>
      </c>
      <c r="AZ42" s="36">
        <v>0.30715814296346022</v>
      </c>
      <c r="BA42" s="36">
        <v>0.40422694245055479</v>
      </c>
      <c r="BB42" s="6"/>
      <c r="BC42" s="6"/>
      <c r="BD42" t="s">
        <v>974</v>
      </c>
      <c r="BF42" s="5">
        <v>1.9228395999999998E-2</v>
      </c>
      <c r="BG42" s="5">
        <f t="shared" si="1"/>
        <v>-9.4855769718945465E-3</v>
      </c>
      <c r="BH42" s="2">
        <v>38.341568000000002</v>
      </c>
    </row>
    <row r="43" spans="1:60" x14ac:dyDescent="0.2">
      <c r="A43" t="str">
        <f t="shared" si="0"/>
        <v>Bicycle, electric (&lt;25 km/h) - 2020 - NCA - CH</v>
      </c>
      <c r="B43" t="s">
        <v>489</v>
      </c>
      <c r="D43" s="19">
        <v>2020</v>
      </c>
      <c r="E43" t="s">
        <v>37</v>
      </c>
      <c r="F43" t="s">
        <v>140</v>
      </c>
      <c r="G43" t="s">
        <v>39</v>
      </c>
      <c r="H43" t="s">
        <v>32</v>
      </c>
      <c r="I43" t="s">
        <v>45</v>
      </c>
      <c r="J43" t="s">
        <v>140</v>
      </c>
      <c r="L43" s="26">
        <v>0</v>
      </c>
      <c r="M43" s="26">
        <v>0</v>
      </c>
      <c r="N43" s="26">
        <v>7.8217156213787186E-4</v>
      </c>
      <c r="O43" s="26">
        <v>1.195732624675443E-3</v>
      </c>
      <c r="P43" s="26">
        <v>4.498684323099595E-4</v>
      </c>
      <c r="Q43" s="26">
        <v>1.195942720652177E-2</v>
      </c>
      <c r="R43" s="26">
        <v>1.4387199825645045E-2</v>
      </c>
      <c r="S43" s="28">
        <v>0</v>
      </c>
      <c r="T43" s="28">
        <v>0</v>
      </c>
      <c r="U43" s="28">
        <v>8.2787723282772764E-5</v>
      </c>
      <c r="V43" s="28">
        <v>9.8317473549625417E-5</v>
      </c>
      <c r="W43" s="28">
        <v>2.8426124789648879E-5</v>
      </c>
      <c r="X43" s="28">
        <v>6.1850393424667067E-3</v>
      </c>
      <c r="Y43" s="28">
        <v>6.3945706640887541E-3</v>
      </c>
      <c r="Z43" s="30">
        <v>0</v>
      </c>
      <c r="AA43" s="30">
        <v>1.3758060237990489E-3</v>
      </c>
      <c r="AB43" s="30">
        <v>2.4261803533979809E-5</v>
      </c>
      <c r="AC43" s="30">
        <v>2.3968260093961618E-5</v>
      </c>
      <c r="AD43" s="30">
        <v>1.292154525420241E-5</v>
      </c>
      <c r="AE43" s="30">
        <v>8.2462494292362561E-4</v>
      </c>
      <c r="AF43" s="30">
        <v>2.2615825756048184E-3</v>
      </c>
      <c r="AG43" s="32">
        <v>0</v>
      </c>
      <c r="AH43" s="32">
        <v>7.228237882960114E-6</v>
      </c>
      <c r="AI43" s="32">
        <v>5.5435684002652831E-5</v>
      </c>
      <c r="AJ43" s="32">
        <v>8.5554174677296554E-5</v>
      </c>
      <c r="AK43" s="32">
        <v>1.2059348161430861E-5</v>
      </c>
      <c r="AL43" s="32">
        <v>2.5731631404864201E-3</v>
      </c>
      <c r="AM43" s="32">
        <v>2.7334405852107602E-3</v>
      </c>
      <c r="AN43" s="34">
        <v>0</v>
      </c>
      <c r="AO43" s="34">
        <v>5.1842725945187069E-6</v>
      </c>
      <c r="AP43" s="34">
        <v>6.9898965624929674E-8</v>
      </c>
      <c r="AQ43" s="34">
        <v>6.5490648626579012E-8</v>
      </c>
      <c r="AR43" s="34">
        <v>4.7616500761815227E-8</v>
      </c>
      <c r="AS43" s="34">
        <v>1.614841507887932E-6</v>
      </c>
      <c r="AT43" s="34">
        <v>6.9821202174199619E-6</v>
      </c>
      <c r="AU43" s="36">
        <v>0</v>
      </c>
      <c r="AV43" s="36">
        <v>0</v>
      </c>
      <c r="AW43" s="36">
        <v>3.6577712050626814E-2</v>
      </c>
      <c r="AX43" s="36">
        <v>2.01770987761535E-2</v>
      </c>
      <c r="AY43" s="36">
        <v>1.4737396663807122E-2</v>
      </c>
      <c r="AZ43" s="36">
        <v>0.15192758732811798</v>
      </c>
      <c r="BA43" s="36">
        <v>0.22341979481870541</v>
      </c>
      <c r="BB43" s="6"/>
      <c r="BC43" s="6"/>
      <c r="BD43" t="s">
        <v>877</v>
      </c>
      <c r="BF43" s="5">
        <v>1.0966287E-2</v>
      </c>
      <c r="BG43" s="5">
        <f t="shared" si="1"/>
        <v>-3.4209128256450453E-3</v>
      </c>
      <c r="BH43" s="2">
        <v>29.496977999999999</v>
      </c>
    </row>
    <row r="44" spans="1:60" x14ac:dyDescent="0.2">
      <c r="A44" t="str">
        <f t="shared" si="0"/>
        <v>Bicycle, electric (&lt;25 km/h) - 2030 - NCA - CH</v>
      </c>
      <c r="B44" t="s">
        <v>489</v>
      </c>
      <c r="D44" s="19">
        <v>2030</v>
      </c>
      <c r="E44" t="s">
        <v>37</v>
      </c>
      <c r="F44" t="s">
        <v>140</v>
      </c>
      <c r="G44" t="s">
        <v>39</v>
      </c>
      <c r="H44" t="s">
        <v>32</v>
      </c>
      <c r="I44" t="s">
        <v>45</v>
      </c>
      <c r="J44" t="s">
        <v>140</v>
      </c>
      <c r="L44" s="26">
        <v>0</v>
      </c>
      <c r="M44" s="26">
        <v>0</v>
      </c>
      <c r="N44" s="26">
        <v>7.8217156213787186E-4</v>
      </c>
      <c r="O44" s="26">
        <v>1.195732624675443E-3</v>
      </c>
      <c r="P44" s="26">
        <v>4.5014419855824448E-4</v>
      </c>
      <c r="Q44" s="26">
        <v>1.2439471398616011E-2</v>
      </c>
      <c r="R44" s="26">
        <v>1.486751978398757E-2</v>
      </c>
      <c r="S44" s="28">
        <v>0</v>
      </c>
      <c r="T44" s="28">
        <v>0</v>
      </c>
      <c r="U44" s="28">
        <v>8.2787723282772764E-5</v>
      </c>
      <c r="V44" s="28">
        <v>9.8317473549625417E-5</v>
      </c>
      <c r="W44" s="28">
        <v>2.844354980821769E-5</v>
      </c>
      <c r="X44" s="28">
        <v>6.027723165204296E-3</v>
      </c>
      <c r="Y44" s="28">
        <v>6.237271911844912E-3</v>
      </c>
      <c r="Z44" s="30">
        <v>0</v>
      </c>
      <c r="AA44" s="30">
        <v>1.3758060237990489E-3</v>
      </c>
      <c r="AB44" s="30">
        <v>2.4261803533979809E-5</v>
      </c>
      <c r="AC44" s="30">
        <v>2.3968260093961618E-5</v>
      </c>
      <c r="AD44" s="30">
        <v>1.2929466072381411E-5</v>
      </c>
      <c r="AE44" s="30">
        <v>8.3320773450341152E-4</v>
      </c>
      <c r="AF44" s="30">
        <v>2.2701732880027834E-3</v>
      </c>
      <c r="AG44" s="32">
        <v>0</v>
      </c>
      <c r="AH44" s="32">
        <v>7.228237882960114E-6</v>
      </c>
      <c r="AI44" s="32">
        <v>5.5435684002652831E-5</v>
      </c>
      <c r="AJ44" s="32">
        <v>8.5554174677296554E-5</v>
      </c>
      <c r="AK44" s="32">
        <v>1.2066740458734681E-5</v>
      </c>
      <c r="AL44" s="32">
        <v>2.608428463405082E-3</v>
      </c>
      <c r="AM44" s="32">
        <v>2.7687133004267259E-3</v>
      </c>
      <c r="AN44" s="34">
        <v>0</v>
      </c>
      <c r="AO44" s="34">
        <v>5.1842725945187069E-6</v>
      </c>
      <c r="AP44" s="34">
        <v>6.9898965624929674E-8</v>
      </c>
      <c r="AQ44" s="34">
        <v>6.5490648626579012E-8</v>
      </c>
      <c r="AR44" s="34">
        <v>4.7645689348585192E-8</v>
      </c>
      <c r="AS44" s="34">
        <v>1.577329677426445E-6</v>
      </c>
      <c r="AT44" s="34">
        <v>6.9446375755452444E-6</v>
      </c>
      <c r="AU44" s="36">
        <v>0</v>
      </c>
      <c r="AV44" s="36">
        <v>0</v>
      </c>
      <c r="AW44" s="36">
        <v>3.6577712050626814E-2</v>
      </c>
      <c r="AX44" s="36">
        <v>2.01770987761535E-2</v>
      </c>
      <c r="AY44" s="36">
        <v>1.4746430586384435E-2</v>
      </c>
      <c r="AZ44" s="36">
        <v>0.15604468123473014</v>
      </c>
      <c r="BA44" s="36">
        <v>0.22754592264789489</v>
      </c>
      <c r="BB44" s="6"/>
      <c r="BC44" s="6"/>
      <c r="BD44" t="s">
        <v>975</v>
      </c>
      <c r="BF44" s="5">
        <v>1.1049341999999998E-2</v>
      </c>
      <c r="BG44" s="5">
        <f t="shared" si="1"/>
        <v>-3.8181777839875718E-3</v>
      </c>
      <c r="BH44" s="2">
        <v>28.402825</v>
      </c>
    </row>
    <row r="45" spans="1:60" x14ac:dyDescent="0.2">
      <c r="A45" t="str">
        <f t="shared" si="0"/>
        <v>Bicycle, electric (&lt;25 km/h) - 2040 - NCA - CH</v>
      </c>
      <c r="B45" t="s">
        <v>489</v>
      </c>
      <c r="D45" s="19">
        <v>2040</v>
      </c>
      <c r="E45" t="s">
        <v>37</v>
      </c>
      <c r="F45" t="s">
        <v>140</v>
      </c>
      <c r="G45" t="s">
        <v>39</v>
      </c>
      <c r="H45" t="s">
        <v>32</v>
      </c>
      <c r="I45" t="s">
        <v>45</v>
      </c>
      <c r="J45" t="s">
        <v>140</v>
      </c>
      <c r="L45" s="26">
        <v>0</v>
      </c>
      <c r="M45" s="26">
        <v>0</v>
      </c>
      <c r="N45" s="26">
        <v>7.8217156213787186E-4</v>
      </c>
      <c r="O45" s="26">
        <v>1.195732624675443E-3</v>
      </c>
      <c r="P45" s="26">
        <v>4.472460140397849E-4</v>
      </c>
      <c r="Q45" s="26">
        <v>1.2198250459837801E-2</v>
      </c>
      <c r="R45" s="26">
        <v>1.4623400660690899E-2</v>
      </c>
      <c r="S45" s="28">
        <v>0</v>
      </c>
      <c r="T45" s="28">
        <v>0</v>
      </c>
      <c r="U45" s="28">
        <v>8.2787723282772764E-5</v>
      </c>
      <c r="V45" s="28">
        <v>9.8317473549625417E-5</v>
      </c>
      <c r="W45" s="28">
        <v>2.8260420366655981E-5</v>
      </c>
      <c r="X45" s="28">
        <v>5.3994048208173837E-3</v>
      </c>
      <c r="Y45" s="28">
        <v>5.6087704380164381E-3</v>
      </c>
      <c r="Z45" s="30">
        <v>0</v>
      </c>
      <c r="AA45" s="30">
        <v>1.3758060237990489E-3</v>
      </c>
      <c r="AB45" s="30">
        <v>2.4261803533979809E-5</v>
      </c>
      <c r="AC45" s="30">
        <v>2.3968260093961618E-5</v>
      </c>
      <c r="AD45" s="30">
        <v>1.284622168419881E-5</v>
      </c>
      <c r="AE45" s="30">
        <v>7.7368493079684136E-4</v>
      </c>
      <c r="AF45" s="30">
        <v>2.2105672399080306E-3</v>
      </c>
      <c r="AG45" s="32">
        <v>0</v>
      </c>
      <c r="AH45" s="32">
        <v>7.228237882960114E-6</v>
      </c>
      <c r="AI45" s="32">
        <v>5.5435684002652831E-5</v>
      </c>
      <c r="AJ45" s="32">
        <v>8.5554174677296554E-5</v>
      </c>
      <c r="AK45" s="32">
        <v>1.1989050597357409E-5</v>
      </c>
      <c r="AL45" s="32">
        <v>2.4346642938696621E-3</v>
      </c>
      <c r="AM45" s="32">
        <v>2.5948714410299291E-3</v>
      </c>
      <c r="AN45" s="34">
        <v>0</v>
      </c>
      <c r="AO45" s="34">
        <v>5.1842725945187069E-6</v>
      </c>
      <c r="AP45" s="34">
        <v>6.9898965624929674E-8</v>
      </c>
      <c r="AQ45" s="34">
        <v>6.5490648626579012E-8</v>
      </c>
      <c r="AR45" s="34">
        <v>4.7338929870880761E-8</v>
      </c>
      <c r="AS45" s="34">
        <v>1.4197002256924101E-6</v>
      </c>
      <c r="AT45" s="34">
        <v>6.7867013643335057E-6</v>
      </c>
      <c r="AU45" s="36">
        <v>0</v>
      </c>
      <c r="AV45" s="36">
        <v>0</v>
      </c>
      <c r="AW45" s="36">
        <v>3.6577712050626814E-2</v>
      </c>
      <c r="AX45" s="36">
        <v>2.01770987761535E-2</v>
      </c>
      <c r="AY45" s="36">
        <v>1.4651487950302742E-2</v>
      </c>
      <c r="AZ45" s="36">
        <v>0.15079487731350202</v>
      </c>
      <c r="BA45" s="36">
        <v>0.2222011760905851</v>
      </c>
      <c r="BB45" s="6"/>
      <c r="BC45" s="6"/>
      <c r="BD45" t="s">
        <v>976</v>
      </c>
      <c r="BF45" s="5">
        <v>1.0641948E-2</v>
      </c>
      <c r="BG45" s="5">
        <f t="shared" si="1"/>
        <v>-3.9814526606908995E-3</v>
      </c>
      <c r="BH45" s="2">
        <v>25.328282999999999</v>
      </c>
    </row>
    <row r="46" spans="1:60" x14ac:dyDescent="0.2">
      <c r="A46" t="str">
        <f t="shared" si="0"/>
        <v>Bicycle, electric (&lt;25 km/h) - 2050 - NCA - CH</v>
      </c>
      <c r="B46" t="s">
        <v>489</v>
      </c>
      <c r="D46" s="19">
        <v>2050</v>
      </c>
      <c r="E46" t="s">
        <v>37</v>
      </c>
      <c r="F46" t="s">
        <v>140</v>
      </c>
      <c r="G46" t="s">
        <v>39</v>
      </c>
      <c r="H46" t="s">
        <v>32</v>
      </c>
      <c r="I46" t="s">
        <v>45</v>
      </c>
      <c r="J46" t="s">
        <v>140</v>
      </c>
      <c r="L46" s="26">
        <v>0</v>
      </c>
      <c r="M46" s="26">
        <v>0</v>
      </c>
      <c r="N46" s="26">
        <v>7.8217156213787186E-4</v>
      </c>
      <c r="O46" s="26">
        <v>1.195732624675443E-3</v>
      </c>
      <c r="P46" s="26">
        <v>4.4829300216425461E-4</v>
      </c>
      <c r="Q46" s="26">
        <v>1.260365568323627E-2</v>
      </c>
      <c r="R46" s="26">
        <v>1.5029852872213839E-2</v>
      </c>
      <c r="S46" s="28">
        <v>0</v>
      </c>
      <c r="T46" s="28">
        <v>0</v>
      </c>
      <c r="U46" s="28">
        <v>8.2787723282772764E-5</v>
      </c>
      <c r="V46" s="28">
        <v>9.8317473549625417E-5</v>
      </c>
      <c r="W46" s="28">
        <v>2.832657707591125E-5</v>
      </c>
      <c r="X46" s="28">
        <v>5.3727117660605393E-3</v>
      </c>
      <c r="Y46" s="28">
        <v>5.5821435399688486E-3</v>
      </c>
      <c r="Z46" s="30">
        <v>0</v>
      </c>
      <c r="AA46" s="30">
        <v>1.3758060237990489E-3</v>
      </c>
      <c r="AB46" s="30">
        <v>2.4261803533979809E-5</v>
      </c>
      <c r="AC46" s="30">
        <v>2.3968260093961618E-5</v>
      </c>
      <c r="AD46" s="30">
        <v>1.2876294264222889E-5</v>
      </c>
      <c r="AE46" s="30">
        <v>7.8933914750218843E-4</v>
      </c>
      <c r="AF46" s="30">
        <v>2.2262515291934016E-3</v>
      </c>
      <c r="AG46" s="32">
        <v>0</v>
      </c>
      <c r="AH46" s="32">
        <v>7.228237882960114E-6</v>
      </c>
      <c r="AI46" s="32">
        <v>5.5435684002652831E-5</v>
      </c>
      <c r="AJ46" s="32">
        <v>8.5554174677296554E-5</v>
      </c>
      <c r="AK46" s="32">
        <v>1.201711656822145E-5</v>
      </c>
      <c r="AL46" s="32">
        <v>2.4862151650290108E-3</v>
      </c>
      <c r="AM46" s="32">
        <v>2.6464503781601419E-3</v>
      </c>
      <c r="AN46" s="34">
        <v>0</v>
      </c>
      <c r="AO46" s="34">
        <v>5.1842725945187069E-6</v>
      </c>
      <c r="AP46" s="34">
        <v>6.9898965624929674E-8</v>
      </c>
      <c r="AQ46" s="34">
        <v>6.5490648626579012E-8</v>
      </c>
      <c r="AR46" s="34">
        <v>4.7449748739789693E-8</v>
      </c>
      <c r="AS46" s="34">
        <v>1.415924914824982E-6</v>
      </c>
      <c r="AT46" s="34">
        <v>6.7830368723349863E-6</v>
      </c>
      <c r="AU46" s="36">
        <v>0</v>
      </c>
      <c r="AV46" s="36">
        <v>0</v>
      </c>
      <c r="AW46" s="36">
        <v>3.6577712050626814E-2</v>
      </c>
      <c r="AX46" s="36">
        <v>2.01770987761535E-2</v>
      </c>
      <c r="AY46" s="36">
        <v>1.4685786598939585E-2</v>
      </c>
      <c r="AZ46" s="36">
        <v>0.15478529578694766</v>
      </c>
      <c r="BA46" s="36">
        <v>0.22622589321266756</v>
      </c>
      <c r="BB46" s="6"/>
      <c r="BC46" s="6"/>
      <c r="BD46" t="s">
        <v>977</v>
      </c>
      <c r="BF46" s="5">
        <v>1.0770303E-2</v>
      </c>
      <c r="BG46" s="5">
        <f t="shared" si="1"/>
        <v>-4.259549872213839E-3</v>
      </c>
      <c r="BH46" s="2">
        <v>24.974366</v>
      </c>
    </row>
    <row r="47" spans="1:60" x14ac:dyDescent="0.2">
      <c r="A47" t="str">
        <f t="shared" si="0"/>
        <v>Bicycle, electric (&lt;45 km/h) - 2020 - NCA - CH</v>
      </c>
      <c r="B47" t="s">
        <v>490</v>
      </c>
      <c r="D47" s="19">
        <v>2020</v>
      </c>
      <c r="E47" t="s">
        <v>37</v>
      </c>
      <c r="F47" t="s">
        <v>140</v>
      </c>
      <c r="G47" t="s">
        <v>39</v>
      </c>
      <c r="H47" t="s">
        <v>32</v>
      </c>
      <c r="I47" t="s">
        <v>45</v>
      </c>
      <c r="J47" t="s">
        <v>140</v>
      </c>
      <c r="L47" s="26">
        <v>0</v>
      </c>
      <c r="M47" s="26">
        <v>0</v>
      </c>
      <c r="N47" s="26">
        <v>1.4364996721616199E-3</v>
      </c>
      <c r="O47" s="26">
        <v>1.195732624675443E-3</v>
      </c>
      <c r="P47" s="26">
        <v>4.6807692143117208E-4</v>
      </c>
      <c r="Q47" s="26">
        <v>8.9471022005478597E-3</v>
      </c>
      <c r="R47" s="26">
        <v>1.2047411418816094E-2</v>
      </c>
      <c r="S47" s="28">
        <v>0</v>
      </c>
      <c r="T47" s="28">
        <v>0</v>
      </c>
      <c r="U47" s="28">
        <v>1.520440567152036E-4</v>
      </c>
      <c r="V47" s="28">
        <v>9.8317473549625417E-5</v>
      </c>
      <c r="W47" s="28">
        <v>2.957667625495802E-5</v>
      </c>
      <c r="X47" s="28">
        <v>4.3557162755091484E-3</v>
      </c>
      <c r="Y47" s="28">
        <v>4.6356544820289353E-3</v>
      </c>
      <c r="Z47" s="30">
        <v>0</v>
      </c>
      <c r="AA47" s="30">
        <v>1.3758060237990489E-3</v>
      </c>
      <c r="AB47" s="30">
        <v>4.4558092507674578E-5</v>
      </c>
      <c r="AC47" s="30">
        <v>2.3968260093961618E-5</v>
      </c>
      <c r="AD47" s="30">
        <v>1.344454664592552E-5</v>
      </c>
      <c r="AE47" s="30">
        <v>5.9772369747387736E-4</v>
      </c>
      <c r="AF47" s="30">
        <v>2.0555006205204883E-3</v>
      </c>
      <c r="AG47" s="32">
        <v>0</v>
      </c>
      <c r="AH47" s="32">
        <v>7.228237882960114E-6</v>
      </c>
      <c r="AI47" s="32">
        <v>1.018105819114773E-4</v>
      </c>
      <c r="AJ47" s="32">
        <v>8.5554174677296554E-5</v>
      </c>
      <c r="AK47" s="32">
        <v>1.254745200254465E-5</v>
      </c>
      <c r="AL47" s="32">
        <v>1.8740503591009371E-3</v>
      </c>
      <c r="AM47" s="32">
        <v>2.0811908055752156E-3</v>
      </c>
      <c r="AN47" s="34">
        <v>0</v>
      </c>
      <c r="AO47" s="34">
        <v>5.1842725945187069E-6</v>
      </c>
      <c r="AP47" s="34">
        <v>1.2837316781270141E-7</v>
      </c>
      <c r="AQ47" s="34">
        <v>6.5490648626579012E-8</v>
      </c>
      <c r="AR47" s="34">
        <v>4.9543785438492312E-8</v>
      </c>
      <c r="AS47" s="34">
        <v>1.163191731086597E-6</v>
      </c>
      <c r="AT47" s="34">
        <v>6.5908719274830758E-6</v>
      </c>
      <c r="AU47" s="36">
        <v>0</v>
      </c>
      <c r="AV47" s="36">
        <v>0</v>
      </c>
      <c r="AW47" s="36">
        <v>6.7176913496486523E-2</v>
      </c>
      <c r="AX47" s="36">
        <v>2.01770987761535E-2</v>
      </c>
      <c r="AY47" s="36">
        <v>1.5333894900969576E-2</v>
      </c>
      <c r="AZ47" s="36">
        <v>0.1127383291124191</v>
      </c>
      <c r="BA47" s="36">
        <v>0.21542623628602869</v>
      </c>
      <c r="BB47" s="6"/>
      <c r="BC47" s="6"/>
      <c r="BD47" t="s">
        <v>883</v>
      </c>
      <c r="BF47" s="5">
        <v>9.6366752999999996E-3</v>
      </c>
      <c r="BG47" s="5">
        <f t="shared" si="1"/>
        <v>-2.4107361188160942E-3</v>
      </c>
      <c r="BH47" s="2">
        <v>23.989550000000001</v>
      </c>
    </row>
    <row r="48" spans="1:60" x14ac:dyDescent="0.2">
      <c r="A48" t="str">
        <f t="shared" si="0"/>
        <v>Bicycle, electric (&lt;45 km/h) - 2030 - NCA - CH</v>
      </c>
      <c r="B48" t="s">
        <v>490</v>
      </c>
      <c r="D48" s="19">
        <v>2030</v>
      </c>
      <c r="E48" t="s">
        <v>37</v>
      </c>
      <c r="F48" t="s">
        <v>140</v>
      </c>
      <c r="G48" t="s">
        <v>39</v>
      </c>
      <c r="H48" t="s">
        <v>32</v>
      </c>
      <c r="I48" t="s">
        <v>45</v>
      </c>
      <c r="J48" t="s">
        <v>140</v>
      </c>
      <c r="L48" s="26">
        <v>0</v>
      </c>
      <c r="M48" s="26">
        <v>0</v>
      </c>
      <c r="N48" s="26">
        <v>1.4364996721616199E-3</v>
      </c>
      <c r="O48" s="26">
        <v>1.195732624675443E-3</v>
      </c>
      <c r="P48" s="26">
        <v>4.6794299667422991E-4</v>
      </c>
      <c r="Q48" s="26">
        <v>9.3658625355491978E-3</v>
      </c>
      <c r="R48" s="26">
        <v>1.246603782906049E-2</v>
      </c>
      <c r="S48" s="28">
        <v>0</v>
      </c>
      <c r="T48" s="28">
        <v>0</v>
      </c>
      <c r="U48" s="28">
        <v>1.520440567152036E-4</v>
      </c>
      <c r="V48" s="28">
        <v>9.8317473549625417E-5</v>
      </c>
      <c r="W48" s="28">
        <v>2.956821386555738E-5</v>
      </c>
      <c r="X48" s="28">
        <v>4.2688576020364433E-3</v>
      </c>
      <c r="Y48" s="28">
        <v>4.5487873461668299E-3</v>
      </c>
      <c r="Z48" s="30">
        <v>0</v>
      </c>
      <c r="AA48" s="30">
        <v>1.3758060237990489E-3</v>
      </c>
      <c r="AB48" s="30">
        <v>4.4558092507674578E-5</v>
      </c>
      <c r="AC48" s="30">
        <v>2.3968260093961618E-5</v>
      </c>
      <c r="AD48" s="30">
        <v>1.3440699932790739E-5</v>
      </c>
      <c r="AE48" s="30">
        <v>6.0907852498301245E-4</v>
      </c>
      <c r="AF48" s="30">
        <v>2.0668516013164885E-3</v>
      </c>
      <c r="AG48" s="32">
        <v>0</v>
      </c>
      <c r="AH48" s="32">
        <v>7.228237882960114E-6</v>
      </c>
      <c r="AI48" s="32">
        <v>1.018105819114773E-4</v>
      </c>
      <c r="AJ48" s="32">
        <v>8.5554174677296554E-5</v>
      </c>
      <c r="AK48" s="32">
        <v>1.2543861963423409E-5</v>
      </c>
      <c r="AL48" s="32">
        <v>1.916548276935175E-3</v>
      </c>
      <c r="AM48" s="32">
        <v>2.1236851333703323E-3</v>
      </c>
      <c r="AN48" s="34">
        <v>0</v>
      </c>
      <c r="AO48" s="34">
        <v>5.1842725945187069E-6</v>
      </c>
      <c r="AP48" s="34">
        <v>1.2837316781270141E-7</v>
      </c>
      <c r="AQ48" s="34">
        <v>6.5490648626579012E-8</v>
      </c>
      <c r="AR48" s="34">
        <v>4.9529610120037038E-8</v>
      </c>
      <c r="AS48" s="34">
        <v>1.1423372738046949E-6</v>
      </c>
      <c r="AT48" s="34">
        <v>6.5700032948827185E-6</v>
      </c>
      <c r="AU48" s="36">
        <v>0</v>
      </c>
      <c r="AV48" s="36">
        <v>0</v>
      </c>
      <c r="AW48" s="36">
        <v>6.7176913496486523E-2</v>
      </c>
      <c r="AX48" s="36">
        <v>2.01770987761535E-2</v>
      </c>
      <c r="AY48" s="36">
        <v>1.5329507613210733E-2</v>
      </c>
      <c r="AZ48" s="36">
        <v>0.116540654959193</v>
      </c>
      <c r="BA48" s="36">
        <v>0.21922417484504375</v>
      </c>
      <c r="BB48" s="6"/>
      <c r="BC48" s="6"/>
      <c r="BD48" t="s">
        <v>978</v>
      </c>
      <c r="BF48" s="5">
        <v>9.7322148999999993E-3</v>
      </c>
      <c r="BG48" s="5">
        <f t="shared" si="1"/>
        <v>-2.7338229290604903E-3</v>
      </c>
      <c r="BH48" s="2">
        <v>23.280940999999999</v>
      </c>
    </row>
    <row r="49" spans="1:60" x14ac:dyDescent="0.2">
      <c r="A49" t="str">
        <f t="shared" si="0"/>
        <v>Bicycle, electric (&lt;45 km/h) - 2040 - NCA - CH</v>
      </c>
      <c r="B49" t="s">
        <v>490</v>
      </c>
      <c r="D49" s="19">
        <v>2040</v>
      </c>
      <c r="E49" t="s">
        <v>37</v>
      </c>
      <c r="F49" t="s">
        <v>140</v>
      </c>
      <c r="G49" t="s">
        <v>39</v>
      </c>
      <c r="H49" t="s">
        <v>32</v>
      </c>
      <c r="I49" t="s">
        <v>45</v>
      </c>
      <c r="J49" t="s">
        <v>140</v>
      </c>
      <c r="L49" s="26">
        <v>0</v>
      </c>
      <c r="M49" s="26">
        <v>0</v>
      </c>
      <c r="N49" s="26">
        <v>1.4364996721616199E-3</v>
      </c>
      <c r="O49" s="26">
        <v>1.195732624675443E-3</v>
      </c>
      <c r="P49" s="26">
        <v>4.6431647259092168E-4</v>
      </c>
      <c r="Q49" s="26">
        <v>9.2545344979058069E-3</v>
      </c>
      <c r="R49" s="26">
        <v>1.2351083267333791E-2</v>
      </c>
      <c r="S49" s="28">
        <v>0</v>
      </c>
      <c r="T49" s="28">
        <v>0</v>
      </c>
      <c r="U49" s="28">
        <v>1.520440567152036E-4</v>
      </c>
      <c r="V49" s="28">
        <v>9.8317473549625417E-5</v>
      </c>
      <c r="W49" s="28">
        <v>2.9339062365383309E-5</v>
      </c>
      <c r="X49" s="28">
        <v>3.8468258445469201E-3</v>
      </c>
      <c r="Y49" s="28">
        <v>4.1265264371771323E-3</v>
      </c>
      <c r="Z49" s="30">
        <v>0</v>
      </c>
      <c r="AA49" s="30">
        <v>1.3758060237990489E-3</v>
      </c>
      <c r="AB49" s="30">
        <v>4.4558092507674578E-5</v>
      </c>
      <c r="AC49" s="30">
        <v>2.3968260093961618E-5</v>
      </c>
      <c r="AD49" s="30">
        <v>1.3336535488939229E-5</v>
      </c>
      <c r="AE49" s="30">
        <v>5.7139498067513704E-4</v>
      </c>
      <c r="AF49" s="30">
        <v>2.0290638925647615E-3</v>
      </c>
      <c r="AG49" s="32">
        <v>0</v>
      </c>
      <c r="AH49" s="32">
        <v>7.228237882960114E-6</v>
      </c>
      <c r="AI49" s="32">
        <v>1.018105819114773E-4</v>
      </c>
      <c r="AJ49" s="32">
        <v>8.5554174677296554E-5</v>
      </c>
      <c r="AK49" s="32">
        <v>1.244664794840158E-5</v>
      </c>
      <c r="AL49" s="32">
        <v>1.805207430249791E-3</v>
      </c>
      <c r="AM49" s="32">
        <v>2.0122470726699265E-3</v>
      </c>
      <c r="AN49" s="34">
        <v>0</v>
      </c>
      <c r="AO49" s="34">
        <v>5.1842725945187069E-6</v>
      </c>
      <c r="AP49" s="34">
        <v>1.2837316781270141E-7</v>
      </c>
      <c r="AQ49" s="34">
        <v>6.5490648626579012E-8</v>
      </c>
      <c r="AR49" s="34">
        <v>4.9145759255265523E-8</v>
      </c>
      <c r="AS49" s="34">
        <v>1.0379130472625481E-6</v>
      </c>
      <c r="AT49" s="34">
        <v>6.4651952174758007E-6</v>
      </c>
      <c r="AU49" s="36">
        <v>0</v>
      </c>
      <c r="AV49" s="36">
        <v>0</v>
      </c>
      <c r="AW49" s="36">
        <v>6.7176913496486523E-2</v>
      </c>
      <c r="AX49" s="36">
        <v>2.01770987761535E-2</v>
      </c>
      <c r="AY49" s="36">
        <v>1.5210705047642539E-2</v>
      </c>
      <c r="AZ49" s="36">
        <v>0.11356209393115528</v>
      </c>
      <c r="BA49" s="36">
        <v>0.21612681125143784</v>
      </c>
      <c r="BB49" s="6"/>
      <c r="BC49" s="6"/>
      <c r="BD49" t="s">
        <v>979</v>
      </c>
      <c r="BF49" s="5">
        <v>9.4739565000000001E-3</v>
      </c>
      <c r="BG49" s="5">
        <f t="shared" si="1"/>
        <v>-2.8771267673337909E-3</v>
      </c>
      <c r="BH49" s="2">
        <v>21.207725</v>
      </c>
    </row>
    <row r="50" spans="1:60" x14ac:dyDescent="0.2">
      <c r="A50" t="str">
        <f t="shared" si="0"/>
        <v>Bicycle, electric (&lt;45 km/h) - 2050 - NCA - CH</v>
      </c>
      <c r="B50" t="s">
        <v>490</v>
      </c>
      <c r="D50" s="19">
        <v>2050</v>
      </c>
      <c r="E50" t="s">
        <v>37</v>
      </c>
      <c r="F50" t="s">
        <v>140</v>
      </c>
      <c r="G50" t="s">
        <v>39</v>
      </c>
      <c r="H50" t="s">
        <v>32</v>
      </c>
      <c r="I50" t="s">
        <v>45</v>
      </c>
      <c r="J50" t="s">
        <v>140</v>
      </c>
      <c r="L50" s="26">
        <v>0</v>
      </c>
      <c r="M50" s="26">
        <v>0</v>
      </c>
      <c r="N50" s="26">
        <v>1.4364996721616199E-3</v>
      </c>
      <c r="O50" s="26">
        <v>1.195732624675443E-3</v>
      </c>
      <c r="P50" s="26">
        <v>4.6509033337857321E-4</v>
      </c>
      <c r="Q50" s="26">
        <v>9.5906252532761711E-3</v>
      </c>
      <c r="R50" s="26">
        <v>1.2687947883491807E-2</v>
      </c>
      <c r="S50" s="28">
        <v>0</v>
      </c>
      <c r="T50" s="28">
        <v>0</v>
      </c>
      <c r="U50" s="28">
        <v>1.520440567152036E-4</v>
      </c>
      <c r="V50" s="28">
        <v>9.8317473549625417E-5</v>
      </c>
      <c r="W50" s="28">
        <v>2.9387960802658939E-5</v>
      </c>
      <c r="X50" s="28">
        <v>3.8410430040728498E-3</v>
      </c>
      <c r="Y50" s="28">
        <v>4.1207924951403374E-3</v>
      </c>
      <c r="Z50" s="30">
        <v>0</v>
      </c>
      <c r="AA50" s="30">
        <v>1.3758060237990489E-3</v>
      </c>
      <c r="AB50" s="30">
        <v>4.4558092507674578E-5</v>
      </c>
      <c r="AC50" s="30">
        <v>2.3968260093961618E-5</v>
      </c>
      <c r="AD50" s="30">
        <v>1.335876304808745E-5</v>
      </c>
      <c r="AE50" s="30">
        <v>5.8558643783272095E-4</v>
      </c>
      <c r="AF50" s="30">
        <v>2.0432775772814935E-3</v>
      </c>
      <c r="AG50" s="32">
        <v>0</v>
      </c>
      <c r="AH50" s="32">
        <v>7.228237882960114E-6</v>
      </c>
      <c r="AI50" s="32">
        <v>1.018105819114773E-4</v>
      </c>
      <c r="AJ50" s="32">
        <v>8.5554174677296554E-5</v>
      </c>
      <c r="AK50" s="32">
        <v>1.246739236164892E-5</v>
      </c>
      <c r="AL50" s="32">
        <v>1.852233154816748E-3</v>
      </c>
      <c r="AM50" s="32">
        <v>2.0592935416501308E-3</v>
      </c>
      <c r="AN50" s="34">
        <v>0</v>
      </c>
      <c r="AO50" s="34">
        <v>5.1842725945187069E-6</v>
      </c>
      <c r="AP50" s="34">
        <v>1.2837316781270141E-7</v>
      </c>
      <c r="AQ50" s="34">
        <v>6.5490648626579012E-8</v>
      </c>
      <c r="AR50" s="34">
        <v>4.9227668854024287E-8</v>
      </c>
      <c r="AS50" s="34">
        <v>1.038165121198836E-6</v>
      </c>
      <c r="AT50" s="34">
        <v>6.4655292010108477E-6</v>
      </c>
      <c r="AU50" s="36">
        <v>0</v>
      </c>
      <c r="AV50" s="36">
        <v>0</v>
      </c>
      <c r="AW50" s="36">
        <v>6.7176913496486523E-2</v>
      </c>
      <c r="AX50" s="36">
        <v>2.01770987761535E-2</v>
      </c>
      <c r="AY50" s="36">
        <v>1.5236056222721946E-2</v>
      </c>
      <c r="AZ50" s="36">
        <v>0.11692743774055409</v>
      </c>
      <c r="BA50" s="36">
        <v>0.21951750623591607</v>
      </c>
      <c r="BB50" s="6"/>
      <c r="BC50" s="6"/>
      <c r="BD50" t="s">
        <v>980</v>
      </c>
      <c r="BF50" s="5">
        <v>9.5867544999999992E-3</v>
      </c>
      <c r="BG50" s="5">
        <f t="shared" si="1"/>
        <v>-3.1011933834918081E-3</v>
      </c>
      <c r="BH50" s="2">
        <v>20.986547999999999</v>
      </c>
    </row>
    <row r="51" spans="1:60" x14ac:dyDescent="0.2">
      <c r="A51" t="str">
        <f t="shared" si="0"/>
        <v>Bicycle, electric, cargo bike - 2020 - NCA - CH</v>
      </c>
      <c r="B51" t="s">
        <v>496</v>
      </c>
      <c r="D51" s="19">
        <v>2020</v>
      </c>
      <c r="E51" t="s">
        <v>37</v>
      </c>
      <c r="F51" t="s">
        <v>140</v>
      </c>
      <c r="G51" t="s">
        <v>39</v>
      </c>
      <c r="H51" t="s">
        <v>32</v>
      </c>
      <c r="I51" t="s">
        <v>45</v>
      </c>
      <c r="J51" t="s">
        <v>140</v>
      </c>
      <c r="L51" s="26">
        <v>0</v>
      </c>
      <c r="M51" s="26">
        <v>0</v>
      </c>
      <c r="N51" s="26">
        <v>1.1004118370386139E-3</v>
      </c>
      <c r="O51" s="26">
        <v>1.195732624675443E-3</v>
      </c>
      <c r="P51" s="26">
        <v>7.7306911421148351E-4</v>
      </c>
      <c r="Q51" s="26">
        <v>2.0878278466762681E-2</v>
      </c>
      <c r="R51" s="26">
        <v>2.3947492042688222E-2</v>
      </c>
      <c r="S51" s="28">
        <v>0</v>
      </c>
      <c r="T51" s="28">
        <v>0</v>
      </c>
      <c r="U51" s="28">
        <v>1.164713664772465E-4</v>
      </c>
      <c r="V51" s="28">
        <v>9.8317473549625417E-5</v>
      </c>
      <c r="W51" s="28">
        <v>4.8848413298886282E-5</v>
      </c>
      <c r="X51" s="28">
        <v>7.0727744821350233E-3</v>
      </c>
      <c r="Y51" s="28">
        <v>7.3364117354607818E-3</v>
      </c>
      <c r="Z51" s="30">
        <v>0</v>
      </c>
      <c r="AA51" s="30">
        <v>2.7516120475980978E-3</v>
      </c>
      <c r="AB51" s="30">
        <v>3.4133145577070547E-5</v>
      </c>
      <c r="AC51" s="30">
        <v>2.3968260093961618E-5</v>
      </c>
      <c r="AD51" s="30">
        <v>2.220481995728756E-5</v>
      </c>
      <c r="AE51" s="30">
        <v>1.159068076553423E-3</v>
      </c>
      <c r="AF51" s="30">
        <v>3.9909863497798407E-3</v>
      </c>
      <c r="AG51" s="32">
        <v>0</v>
      </c>
      <c r="AH51" s="32">
        <v>1.445647576592023E-5</v>
      </c>
      <c r="AI51" s="32">
        <v>7.7990668318491752E-5</v>
      </c>
      <c r="AJ51" s="32">
        <v>8.5554174677296554E-5</v>
      </c>
      <c r="AK51" s="32">
        <v>2.0723191341200589E-5</v>
      </c>
      <c r="AL51" s="32">
        <v>3.4206372658351892E-3</v>
      </c>
      <c r="AM51" s="32">
        <v>3.6193617759380983E-3</v>
      </c>
      <c r="AN51" s="34">
        <v>0</v>
      </c>
      <c r="AO51" s="34">
        <v>1.036854518903741E-5</v>
      </c>
      <c r="AP51" s="34">
        <v>9.8338590782043418E-8</v>
      </c>
      <c r="AQ51" s="34">
        <v>6.5490648626579012E-8</v>
      </c>
      <c r="AR51" s="34">
        <v>8.1825803772833398E-8</v>
      </c>
      <c r="AS51" s="34">
        <v>2.3360234366057679E-6</v>
      </c>
      <c r="AT51" s="34">
        <v>1.2950223668824633E-5</v>
      </c>
      <c r="AU51" s="36">
        <v>0</v>
      </c>
      <c r="AV51" s="36">
        <v>0</v>
      </c>
      <c r="AW51" s="36">
        <v>5.1459998369519894E-2</v>
      </c>
      <c r="AX51" s="36">
        <v>2.01770987761535E-2</v>
      </c>
      <c r="AY51" s="36">
        <v>2.5325240373440656E-2</v>
      </c>
      <c r="AZ51" s="36">
        <v>0.25770044876159887</v>
      </c>
      <c r="BA51" s="36">
        <v>0.35466278628071291</v>
      </c>
      <c r="BB51" s="6"/>
      <c r="BC51" s="6"/>
      <c r="BD51" t="s">
        <v>889</v>
      </c>
      <c r="BF51" s="5">
        <v>1.7379221E-2</v>
      </c>
      <c r="BG51" s="5">
        <f t="shared" si="1"/>
        <v>-6.5682710426882215E-3</v>
      </c>
      <c r="BH51" s="2">
        <v>39.583464999999997</v>
      </c>
    </row>
    <row r="52" spans="1:60" x14ac:dyDescent="0.2">
      <c r="A52" t="str">
        <f t="shared" si="0"/>
        <v>Bicycle, electric, cargo bike - 2030 - NCA - CH</v>
      </c>
      <c r="B52" t="s">
        <v>496</v>
      </c>
      <c r="D52" s="19">
        <v>2030</v>
      </c>
      <c r="E52" t="s">
        <v>37</v>
      </c>
      <c r="F52" t="s">
        <v>140</v>
      </c>
      <c r="G52" t="s">
        <v>39</v>
      </c>
      <c r="H52" t="s">
        <v>32</v>
      </c>
      <c r="I52" t="s">
        <v>45</v>
      </c>
      <c r="J52" t="s">
        <v>140</v>
      </c>
      <c r="L52" s="26">
        <v>0</v>
      </c>
      <c r="M52" s="26">
        <v>0</v>
      </c>
      <c r="N52" s="26">
        <v>1.1004118370386139E-3</v>
      </c>
      <c r="O52" s="26">
        <v>1.195732624675443E-3</v>
      </c>
      <c r="P52" s="26">
        <v>7.6836789343330363E-4</v>
      </c>
      <c r="Q52" s="26">
        <v>2.20152986110074E-2</v>
      </c>
      <c r="R52" s="26">
        <v>2.5079810966154761E-2</v>
      </c>
      <c r="S52" s="28">
        <v>0</v>
      </c>
      <c r="T52" s="28">
        <v>0</v>
      </c>
      <c r="U52" s="28">
        <v>1.164713664772465E-4</v>
      </c>
      <c r="V52" s="28">
        <v>9.8317473549625417E-5</v>
      </c>
      <c r="W52" s="28">
        <v>4.855135425027058E-5</v>
      </c>
      <c r="X52" s="28">
        <v>6.7126223626184402E-3</v>
      </c>
      <c r="Y52" s="28">
        <v>6.9759625568955822E-3</v>
      </c>
      <c r="Z52" s="30">
        <v>0</v>
      </c>
      <c r="AA52" s="30">
        <v>2.7516120475980978E-3</v>
      </c>
      <c r="AB52" s="30">
        <v>3.4133145577070547E-5</v>
      </c>
      <c r="AC52" s="30">
        <v>2.3968260093961618E-5</v>
      </c>
      <c r="AD52" s="30">
        <v>2.2069787061728899E-5</v>
      </c>
      <c r="AE52" s="30">
        <v>1.17963669245097E-3</v>
      </c>
      <c r="AF52" s="30">
        <v>4.0114199327818288E-3</v>
      </c>
      <c r="AG52" s="32">
        <v>0</v>
      </c>
      <c r="AH52" s="32">
        <v>1.445647576592023E-5</v>
      </c>
      <c r="AI52" s="32">
        <v>7.7990668318491752E-5</v>
      </c>
      <c r="AJ52" s="32">
        <v>8.5554174677296554E-5</v>
      </c>
      <c r="AK52" s="32">
        <v>2.0597168588599979E-5</v>
      </c>
      <c r="AL52" s="32">
        <v>3.5145700701957861E-3</v>
      </c>
      <c r="AM52" s="32">
        <v>3.7131685575460946E-3</v>
      </c>
      <c r="AN52" s="34">
        <v>0</v>
      </c>
      <c r="AO52" s="34">
        <v>1.036854518903741E-5</v>
      </c>
      <c r="AP52" s="34">
        <v>9.8338590782043418E-8</v>
      </c>
      <c r="AQ52" s="34">
        <v>6.5490648626579012E-8</v>
      </c>
      <c r="AR52" s="34">
        <v>8.1328201214644952E-8</v>
      </c>
      <c r="AS52" s="34">
        <v>2.2421527293958001E-6</v>
      </c>
      <c r="AT52" s="34">
        <v>1.2855855359056477E-5</v>
      </c>
      <c r="AU52" s="36">
        <v>0</v>
      </c>
      <c r="AV52" s="36">
        <v>0</v>
      </c>
      <c r="AW52" s="36">
        <v>5.1459998369519894E-2</v>
      </c>
      <c r="AX52" s="36">
        <v>2.01770987761535E-2</v>
      </c>
      <c r="AY52" s="36">
        <v>2.5171231444526893E-2</v>
      </c>
      <c r="AZ52" s="36">
        <v>0.26732106008133277</v>
      </c>
      <c r="BA52" s="36">
        <v>0.36412938867153305</v>
      </c>
      <c r="BB52" s="6"/>
      <c r="BC52" s="6"/>
      <c r="BD52" t="s">
        <v>981</v>
      </c>
      <c r="BF52" s="5">
        <v>1.7551673E-2</v>
      </c>
      <c r="BG52" s="5">
        <f t="shared" si="1"/>
        <v>-7.5281379661547611E-3</v>
      </c>
      <c r="BH52" s="2">
        <v>36.912382999999998</v>
      </c>
    </row>
    <row r="53" spans="1:60" x14ac:dyDescent="0.2">
      <c r="A53" t="str">
        <f t="shared" si="0"/>
        <v>Bicycle, electric, cargo bike - 2040 - NCA - CH</v>
      </c>
      <c r="B53" t="s">
        <v>496</v>
      </c>
      <c r="D53" s="19">
        <v>2040</v>
      </c>
      <c r="E53" t="s">
        <v>37</v>
      </c>
      <c r="F53" t="s">
        <v>140</v>
      </c>
      <c r="G53" t="s">
        <v>39</v>
      </c>
      <c r="H53" t="s">
        <v>32</v>
      </c>
      <c r="I53" t="s">
        <v>45</v>
      </c>
      <c r="J53" t="s">
        <v>140</v>
      </c>
      <c r="L53" s="26">
        <v>0</v>
      </c>
      <c r="M53" s="26">
        <v>0</v>
      </c>
      <c r="N53" s="26">
        <v>1.1004118370386139E-3</v>
      </c>
      <c r="O53" s="26">
        <v>1.195732624675443E-3</v>
      </c>
      <c r="P53" s="26">
        <v>7.6248048195077839E-4</v>
      </c>
      <c r="Q53" s="26">
        <v>2.2389322592270031E-2</v>
      </c>
      <c r="R53" s="26">
        <v>2.5447947535934864E-2</v>
      </c>
      <c r="S53" s="28">
        <v>0</v>
      </c>
      <c r="T53" s="28">
        <v>0</v>
      </c>
      <c r="U53" s="28">
        <v>1.164713664772465E-4</v>
      </c>
      <c r="V53" s="28">
        <v>9.8317473549625417E-5</v>
      </c>
      <c r="W53" s="28">
        <v>4.8179342609820628E-5</v>
      </c>
      <c r="X53" s="28">
        <v>6.116150346419302E-3</v>
      </c>
      <c r="Y53" s="28">
        <v>6.3791185290559948E-3</v>
      </c>
      <c r="Z53" s="30">
        <v>0</v>
      </c>
      <c r="AA53" s="30">
        <v>2.7516120475980978E-3</v>
      </c>
      <c r="AB53" s="30">
        <v>3.4133145577070547E-5</v>
      </c>
      <c r="AC53" s="30">
        <v>2.3968260093961618E-5</v>
      </c>
      <c r="AD53" s="30">
        <v>2.1900683278405099E-5</v>
      </c>
      <c r="AE53" s="30">
        <v>1.1488221856844601E-3</v>
      </c>
      <c r="AF53" s="30">
        <v>3.980436322231995E-3</v>
      </c>
      <c r="AG53" s="32">
        <v>0</v>
      </c>
      <c r="AH53" s="32">
        <v>1.445647576592023E-5</v>
      </c>
      <c r="AI53" s="32">
        <v>7.7990668318491752E-5</v>
      </c>
      <c r="AJ53" s="32">
        <v>8.5554174677296554E-5</v>
      </c>
      <c r="AK53" s="32">
        <v>2.0439348346639859E-5</v>
      </c>
      <c r="AL53" s="32">
        <v>3.4424901281110551E-3</v>
      </c>
      <c r="AM53" s="32">
        <v>3.6409307952194035E-3</v>
      </c>
      <c r="AN53" s="34">
        <v>0</v>
      </c>
      <c r="AO53" s="34">
        <v>1.036854518903741E-5</v>
      </c>
      <c r="AP53" s="34">
        <v>9.8338590782043418E-8</v>
      </c>
      <c r="AQ53" s="34">
        <v>6.5490648626579012E-8</v>
      </c>
      <c r="AR53" s="34">
        <v>8.0705045835852706E-8</v>
      </c>
      <c r="AS53" s="34">
        <v>2.0890779398036739E-6</v>
      </c>
      <c r="AT53" s="34">
        <v>1.2702157414085559E-5</v>
      </c>
      <c r="AU53" s="36">
        <v>0</v>
      </c>
      <c r="AV53" s="36">
        <v>0</v>
      </c>
      <c r="AW53" s="36">
        <v>5.1459998369519894E-2</v>
      </c>
      <c r="AX53" s="36">
        <v>2.01770987761535E-2</v>
      </c>
      <c r="AY53" s="36">
        <v>2.4978363681177701E-2</v>
      </c>
      <c r="AZ53" s="36">
        <v>0.26827187443993367</v>
      </c>
      <c r="BA53" s="36">
        <v>0.36488733526678474</v>
      </c>
      <c r="BB53" s="6"/>
      <c r="BC53" s="6"/>
      <c r="BD53" t="s">
        <v>982</v>
      </c>
      <c r="BF53" s="5">
        <v>1.7348043E-2</v>
      </c>
      <c r="BG53" s="5">
        <f t="shared" si="1"/>
        <v>-8.099904535934864E-3</v>
      </c>
      <c r="BH53" s="2">
        <v>33.533726000000001</v>
      </c>
    </row>
    <row r="54" spans="1:60" x14ac:dyDescent="0.2">
      <c r="A54" t="str">
        <f t="shared" si="0"/>
        <v>Bicycle, electric, cargo bike - 2050 - NCA - CH</v>
      </c>
      <c r="B54" t="s">
        <v>496</v>
      </c>
      <c r="D54" s="19">
        <v>2050</v>
      </c>
      <c r="E54" t="s">
        <v>37</v>
      </c>
      <c r="F54" t="s">
        <v>140</v>
      </c>
      <c r="G54" t="s">
        <v>39</v>
      </c>
      <c r="H54" t="s">
        <v>32</v>
      </c>
      <c r="I54" t="s">
        <v>45</v>
      </c>
      <c r="J54" t="s">
        <v>140</v>
      </c>
      <c r="L54" s="26">
        <v>0</v>
      </c>
      <c r="M54" s="26">
        <v>0</v>
      </c>
      <c r="N54" s="26">
        <v>1.1004118370386139E-3</v>
      </c>
      <c r="O54" s="26">
        <v>1.195732624675443E-3</v>
      </c>
      <c r="P54" s="26">
        <v>7.5856565678971755E-4</v>
      </c>
      <c r="Q54" s="26">
        <v>2.3192410185793658E-2</v>
      </c>
      <c r="R54" s="26">
        <v>2.6247120304297433E-2</v>
      </c>
      <c r="S54" s="28">
        <v>0</v>
      </c>
      <c r="T54" s="28">
        <v>0</v>
      </c>
      <c r="U54" s="28">
        <v>1.164713664772465E-4</v>
      </c>
      <c r="V54" s="28">
        <v>9.8317473549625417E-5</v>
      </c>
      <c r="W54" s="28">
        <v>4.7931974044779159E-5</v>
      </c>
      <c r="X54" s="28">
        <v>5.9207208665991726E-3</v>
      </c>
      <c r="Y54" s="28">
        <v>6.183441680670824E-3</v>
      </c>
      <c r="Z54" s="30">
        <v>0</v>
      </c>
      <c r="AA54" s="30">
        <v>2.7516120475980978E-3</v>
      </c>
      <c r="AB54" s="30">
        <v>3.4133145577070547E-5</v>
      </c>
      <c r="AC54" s="30">
        <v>2.3968260093961618E-5</v>
      </c>
      <c r="AD54" s="30">
        <v>2.1788237979184629E-5</v>
      </c>
      <c r="AE54" s="30">
        <v>1.1679844838327149E-3</v>
      </c>
      <c r="AF54" s="30">
        <v>3.9994861750810295E-3</v>
      </c>
      <c r="AG54" s="32">
        <v>0</v>
      </c>
      <c r="AH54" s="32">
        <v>1.445647576592023E-5</v>
      </c>
      <c r="AI54" s="32">
        <v>7.7990668318491752E-5</v>
      </c>
      <c r="AJ54" s="32">
        <v>8.5554174677296554E-5</v>
      </c>
      <c r="AK54" s="32">
        <v>2.0334406020800391E-5</v>
      </c>
      <c r="AL54" s="32">
        <v>3.5206074558304318E-3</v>
      </c>
      <c r="AM54" s="32">
        <v>3.7189431806129406E-3</v>
      </c>
      <c r="AN54" s="34">
        <v>0</v>
      </c>
      <c r="AO54" s="34">
        <v>1.036854518903741E-5</v>
      </c>
      <c r="AP54" s="34">
        <v>9.8338590782043418E-8</v>
      </c>
      <c r="AQ54" s="34">
        <v>6.5490648626579012E-8</v>
      </c>
      <c r="AR54" s="34">
        <v>8.0290679630367122E-8</v>
      </c>
      <c r="AS54" s="34">
        <v>2.038049713160376E-6</v>
      </c>
      <c r="AT54" s="34">
        <v>1.2650714821236776E-5</v>
      </c>
      <c r="AU54" s="36">
        <v>0</v>
      </c>
      <c r="AV54" s="36">
        <v>0</v>
      </c>
      <c r="AW54" s="36">
        <v>5.1459998369519894E-2</v>
      </c>
      <c r="AX54" s="36">
        <v>2.01770987761535E-2</v>
      </c>
      <c r="AY54" s="36">
        <v>2.4850116560187773E-2</v>
      </c>
      <c r="AZ54" s="36">
        <v>0.27535273461658422</v>
      </c>
      <c r="BA54" s="36">
        <v>0.37183994832244538</v>
      </c>
      <c r="BB54" s="6"/>
      <c r="BC54" s="6"/>
      <c r="BD54" t="s">
        <v>983</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489</v>
      </c>
      <c r="D55" s="19">
        <v>2020</v>
      </c>
      <c r="E55" t="s">
        <v>37</v>
      </c>
      <c r="F55" t="s">
        <v>140</v>
      </c>
      <c r="G55" t="s">
        <v>39</v>
      </c>
      <c r="H55" t="s">
        <v>32</v>
      </c>
      <c r="I55" t="s">
        <v>43</v>
      </c>
      <c r="J55" t="s">
        <v>861</v>
      </c>
      <c r="L55" s="26">
        <v>0</v>
      </c>
      <c r="M55" s="26">
        <v>0</v>
      </c>
      <c r="N55" s="26">
        <v>1.5173567960250059E-4</v>
      </c>
      <c r="O55" s="26">
        <v>1.195732624675443E-3</v>
      </c>
      <c r="P55" s="26">
        <v>4.5179813632008798E-4</v>
      </c>
      <c r="Q55" s="26">
        <v>1.328900195020182E-2</v>
      </c>
      <c r="R55" s="26">
        <v>1.5088268390799851E-2</v>
      </c>
      <c r="S55" s="28">
        <v>0</v>
      </c>
      <c r="T55" s="28">
        <v>0</v>
      </c>
      <c r="U55" s="28">
        <v>8.6491252881602508E-5</v>
      </c>
      <c r="V55" s="28">
        <v>9.8317473549625417E-5</v>
      </c>
      <c r="W55" s="28">
        <v>2.854805823298327E-5</v>
      </c>
      <c r="X55" s="28">
        <v>1.255020670214965E-2</v>
      </c>
      <c r="Y55" s="28">
        <v>1.2763563486813862E-2</v>
      </c>
      <c r="Z55" s="30">
        <v>0</v>
      </c>
      <c r="AA55" s="30">
        <v>1.3758060237990489E-3</v>
      </c>
      <c r="AB55" s="30">
        <v>1.5261971665741149E-5</v>
      </c>
      <c r="AC55" s="30">
        <v>2.3968260093961618E-5</v>
      </c>
      <c r="AD55" s="30">
        <v>1.2976972032129591E-5</v>
      </c>
      <c r="AE55" s="30">
        <v>1.184976064930756E-3</v>
      </c>
      <c r="AF55" s="30">
        <v>2.6129892925216371E-3</v>
      </c>
      <c r="AG55" s="32">
        <v>0</v>
      </c>
      <c r="AH55" s="32">
        <v>7.228237882960114E-6</v>
      </c>
      <c r="AI55" s="32">
        <v>5.7195725930249998E-5</v>
      </c>
      <c r="AJ55" s="32">
        <v>8.5554174677296554E-5</v>
      </c>
      <c r="AK55" s="32">
        <v>1.2111076557635849E-5</v>
      </c>
      <c r="AL55" s="32">
        <v>3.2773028407887422E-3</v>
      </c>
      <c r="AM55" s="32">
        <v>3.4393920558368849E-3</v>
      </c>
      <c r="AN55" s="34">
        <v>0</v>
      </c>
      <c r="AO55" s="34">
        <v>5.1842725945187069E-6</v>
      </c>
      <c r="AP55" s="34">
        <v>1.3512839746900889E-7</v>
      </c>
      <c r="AQ55" s="34">
        <v>6.5490648626579012E-8</v>
      </c>
      <c r="AR55" s="34">
        <v>4.7820751040050032E-8</v>
      </c>
      <c r="AS55" s="34">
        <v>2.5259502359604321E-6</v>
      </c>
      <c r="AT55" s="34">
        <v>7.9586626276147763E-6</v>
      </c>
      <c r="AU55" s="36">
        <v>0</v>
      </c>
      <c r="AV55" s="36">
        <v>0</v>
      </c>
      <c r="AW55" s="36">
        <v>1.5117612549304556E-3</v>
      </c>
      <c r="AX55" s="36">
        <v>2.01770987761535E-2</v>
      </c>
      <c r="AY55" s="36">
        <v>1.4800612509593357E-2</v>
      </c>
      <c r="AZ55" s="36">
        <v>0.17731219978001517</v>
      </c>
      <c r="BA55" s="36">
        <v>0.21380167232069247</v>
      </c>
      <c r="BB55" s="6"/>
      <c r="BC55" s="6"/>
      <c r="BD55" t="s">
        <v>878</v>
      </c>
      <c r="BF55" s="5">
        <v>1.0108142000000001E-2</v>
      </c>
      <c r="BG55" s="5">
        <f t="shared" si="1"/>
        <v>-4.9801263907998505E-3</v>
      </c>
      <c r="BH55" s="2">
        <v>30.324580000000001</v>
      </c>
    </row>
    <row r="56" spans="1:60" x14ac:dyDescent="0.2">
      <c r="A56" t="str">
        <f t="shared" si="4"/>
        <v>Bicycle, electric (&lt;25 km/h) - 2030 - NMC - CH</v>
      </c>
      <c r="B56" t="s">
        <v>489</v>
      </c>
      <c r="D56" s="19">
        <v>2030</v>
      </c>
      <c r="E56" t="s">
        <v>37</v>
      </c>
      <c r="F56" t="s">
        <v>140</v>
      </c>
      <c r="G56" t="s">
        <v>39</v>
      </c>
      <c r="H56" t="s">
        <v>32</v>
      </c>
      <c r="I56" t="s">
        <v>43</v>
      </c>
      <c r="J56" t="s">
        <v>861</v>
      </c>
      <c r="L56" s="26">
        <v>0</v>
      </c>
      <c r="M56" s="26">
        <v>0</v>
      </c>
      <c r="N56" s="26">
        <v>1.5173567960250059E-4</v>
      </c>
      <c r="O56" s="26">
        <v>1.195732624675443E-3</v>
      </c>
      <c r="P56" s="26">
        <v>4.5014419855824448E-4</v>
      </c>
      <c r="Q56" s="26">
        <v>1.3056994186893239E-2</v>
      </c>
      <c r="R56" s="26">
        <v>1.4854606689729427E-2</v>
      </c>
      <c r="S56" s="28">
        <v>0</v>
      </c>
      <c r="T56" s="28">
        <v>0</v>
      </c>
      <c r="U56" s="28">
        <v>8.6491252881602508E-5</v>
      </c>
      <c r="V56" s="28">
        <v>9.8317473549625417E-5</v>
      </c>
      <c r="W56" s="28">
        <v>2.844354980821769E-5</v>
      </c>
      <c r="X56" s="28">
        <v>1.0701410048596829E-2</v>
      </c>
      <c r="Y56" s="28">
        <v>1.0914662324836275E-2</v>
      </c>
      <c r="Z56" s="30">
        <v>0</v>
      </c>
      <c r="AA56" s="30">
        <v>1.3758060237990489E-3</v>
      </c>
      <c r="AB56" s="30">
        <v>1.5261971665741149E-5</v>
      </c>
      <c r="AC56" s="30">
        <v>2.3968260093961618E-5</v>
      </c>
      <c r="AD56" s="30">
        <v>1.2929466072381411E-5</v>
      </c>
      <c r="AE56" s="30">
        <v>1.0694494518561149E-3</v>
      </c>
      <c r="AF56" s="30">
        <v>2.4974151734872482E-3</v>
      </c>
      <c r="AG56" s="32">
        <v>0</v>
      </c>
      <c r="AH56" s="32">
        <v>7.228237882960114E-6</v>
      </c>
      <c r="AI56" s="32">
        <v>5.7195725930249998E-5</v>
      </c>
      <c r="AJ56" s="32">
        <v>8.5554174677296554E-5</v>
      </c>
      <c r="AK56" s="32">
        <v>1.2066740458734681E-5</v>
      </c>
      <c r="AL56" s="32">
        <v>3.0150227021893518E-3</v>
      </c>
      <c r="AM56" s="32">
        <v>3.177067581138593E-3</v>
      </c>
      <c r="AN56" s="34">
        <v>0</v>
      </c>
      <c r="AO56" s="34">
        <v>5.1842725945187069E-6</v>
      </c>
      <c r="AP56" s="34">
        <v>1.3512839746900889E-7</v>
      </c>
      <c r="AQ56" s="34">
        <v>6.5490648626579012E-8</v>
      </c>
      <c r="AR56" s="34">
        <v>4.7645689348585192E-8</v>
      </c>
      <c r="AS56" s="34">
        <v>2.2001424793828139E-6</v>
      </c>
      <c r="AT56" s="34">
        <v>7.6326798093456933E-6</v>
      </c>
      <c r="AU56" s="36">
        <v>0</v>
      </c>
      <c r="AV56" s="36">
        <v>0</v>
      </c>
      <c r="AW56" s="36">
        <v>1.5117612549304556E-3</v>
      </c>
      <c r="AX56" s="36">
        <v>2.01770987761535E-2</v>
      </c>
      <c r="AY56" s="36">
        <v>1.4746430586384435E-2</v>
      </c>
      <c r="AZ56" s="36">
        <v>0.16997936361743826</v>
      </c>
      <c r="BA56" s="36">
        <v>0.20641465423490665</v>
      </c>
      <c r="BB56" s="6"/>
      <c r="BC56" s="6"/>
      <c r="BD56" t="s">
        <v>984</v>
      </c>
      <c r="BF56" s="5">
        <v>9.8103290999999992E-3</v>
      </c>
      <c r="BG56" s="5">
        <f t="shared" si="1"/>
        <v>-5.0442775897294283E-3</v>
      </c>
      <c r="BH56" s="2">
        <v>26.837948999999998</v>
      </c>
    </row>
    <row r="57" spans="1:60" x14ac:dyDescent="0.2">
      <c r="A57" t="str">
        <f t="shared" si="4"/>
        <v>Bicycle, electric (&lt;25 km/h) - 2040 - NMC - CH</v>
      </c>
      <c r="B57" t="s">
        <v>489</v>
      </c>
      <c r="D57" s="19">
        <v>2040</v>
      </c>
      <c r="E57" t="s">
        <v>37</v>
      </c>
      <c r="F57" t="s">
        <v>140</v>
      </c>
      <c r="G57" t="s">
        <v>39</v>
      </c>
      <c r="H57" t="s">
        <v>32</v>
      </c>
      <c r="I57" t="s">
        <v>43</v>
      </c>
      <c r="J57" t="s">
        <v>861</v>
      </c>
      <c r="L57" s="26">
        <v>0</v>
      </c>
      <c r="M57" s="26">
        <v>0</v>
      </c>
      <c r="N57" s="26">
        <v>1.5173567960250059E-4</v>
      </c>
      <c r="O57" s="26">
        <v>1.195732624675443E-3</v>
      </c>
      <c r="P57" s="26">
        <v>4.472460140397849E-4</v>
      </c>
      <c r="Q57" s="26">
        <v>1.2680690138179381E-2</v>
      </c>
      <c r="R57" s="26">
        <v>1.447540445649711E-2</v>
      </c>
      <c r="S57" s="28">
        <v>0</v>
      </c>
      <c r="T57" s="28">
        <v>0</v>
      </c>
      <c r="U57" s="28">
        <v>8.6491252881602508E-5</v>
      </c>
      <c r="V57" s="28">
        <v>9.8317473549625417E-5</v>
      </c>
      <c r="W57" s="28">
        <v>2.8260420366655981E-5</v>
      </c>
      <c r="X57" s="28">
        <v>9.0507226984678068E-3</v>
      </c>
      <c r="Y57" s="28">
        <v>9.2637918452656912E-3</v>
      </c>
      <c r="Z57" s="30">
        <v>0</v>
      </c>
      <c r="AA57" s="30">
        <v>1.3758060237990489E-3</v>
      </c>
      <c r="AB57" s="30">
        <v>1.5261971665741149E-5</v>
      </c>
      <c r="AC57" s="30">
        <v>2.3968260093961618E-5</v>
      </c>
      <c r="AD57" s="30">
        <v>1.284622168419881E-5</v>
      </c>
      <c r="AE57" s="30">
        <v>9.5824877247864082E-4</v>
      </c>
      <c r="AF57" s="30">
        <v>2.3861312497215912E-3</v>
      </c>
      <c r="AG57" s="32">
        <v>0</v>
      </c>
      <c r="AH57" s="32">
        <v>7.228237882960114E-6</v>
      </c>
      <c r="AI57" s="32">
        <v>5.7195725930249998E-5</v>
      </c>
      <c r="AJ57" s="32">
        <v>8.5554174677296554E-5</v>
      </c>
      <c r="AK57" s="32">
        <v>1.1989050597357409E-5</v>
      </c>
      <c r="AL57" s="32">
        <v>2.752316042919872E-3</v>
      </c>
      <c r="AM57" s="32">
        <v>2.9142832320077361E-3</v>
      </c>
      <c r="AN57" s="34">
        <v>0</v>
      </c>
      <c r="AO57" s="34">
        <v>5.1842725945187069E-6</v>
      </c>
      <c r="AP57" s="34">
        <v>1.3512839746900889E-7</v>
      </c>
      <c r="AQ57" s="34">
        <v>6.5490648626579012E-8</v>
      </c>
      <c r="AR57" s="34">
        <v>4.7338929870880761E-8</v>
      </c>
      <c r="AS57" s="34">
        <v>1.9062727272207299E-6</v>
      </c>
      <c r="AT57" s="34">
        <v>7.3385032977059051E-6</v>
      </c>
      <c r="AU57" s="36">
        <v>0</v>
      </c>
      <c r="AV57" s="36">
        <v>0</v>
      </c>
      <c r="AW57" s="36">
        <v>1.5117612549304556E-3</v>
      </c>
      <c r="AX57" s="36">
        <v>2.01770987761535E-2</v>
      </c>
      <c r="AY57" s="36">
        <v>1.4651487950302742E-2</v>
      </c>
      <c r="AZ57" s="36">
        <v>0.16168134792499275</v>
      </c>
      <c r="BA57" s="36">
        <v>0.19802169590637944</v>
      </c>
      <c r="BB57" s="6"/>
      <c r="BC57" s="6"/>
      <c r="BD57" t="s">
        <v>985</v>
      </c>
      <c r="BF57" s="5">
        <v>9.4696734999999994E-3</v>
      </c>
      <c r="BG57" s="5">
        <f t="shared" si="1"/>
        <v>-5.0057309564971106E-3</v>
      </c>
      <c r="BH57" s="2">
        <v>23.725239999999999</v>
      </c>
    </row>
    <row r="58" spans="1:60" x14ac:dyDescent="0.2">
      <c r="A58" t="str">
        <f t="shared" si="4"/>
        <v>Bicycle, electric (&lt;25 km/h) - 2050 - NMC - CH</v>
      </c>
      <c r="B58" t="s">
        <v>489</v>
      </c>
      <c r="D58" s="19">
        <v>2050</v>
      </c>
      <c r="E58" t="s">
        <v>37</v>
      </c>
      <c r="F58" t="s">
        <v>140</v>
      </c>
      <c r="G58" t="s">
        <v>39</v>
      </c>
      <c r="H58" t="s">
        <v>32</v>
      </c>
      <c r="I58" t="s">
        <v>43</v>
      </c>
      <c r="J58" t="s">
        <v>861</v>
      </c>
      <c r="L58" s="26">
        <v>0</v>
      </c>
      <c r="M58" s="26">
        <v>0</v>
      </c>
      <c r="N58" s="26">
        <v>1.5173567960250059E-4</v>
      </c>
      <c r="O58" s="26">
        <v>1.195732624675443E-3</v>
      </c>
      <c r="P58" s="26">
        <v>4.4829300216425461E-4</v>
      </c>
      <c r="Q58" s="26">
        <v>1.306679777444421E-2</v>
      </c>
      <c r="R58" s="26">
        <v>1.4862559080886408E-2</v>
      </c>
      <c r="S58" s="28">
        <v>0</v>
      </c>
      <c r="T58" s="28">
        <v>0</v>
      </c>
      <c r="U58" s="28">
        <v>8.6491252881602508E-5</v>
      </c>
      <c r="V58" s="28">
        <v>9.8317473549625417E-5</v>
      </c>
      <c r="W58" s="28">
        <v>2.832657707591125E-5</v>
      </c>
      <c r="X58" s="28">
        <v>8.8779769286049474E-3</v>
      </c>
      <c r="Y58" s="28">
        <v>9.0911122321120866E-3</v>
      </c>
      <c r="Z58" s="30">
        <v>0</v>
      </c>
      <c r="AA58" s="30">
        <v>1.3758060237990489E-3</v>
      </c>
      <c r="AB58" s="30">
        <v>1.5261971665741149E-5</v>
      </c>
      <c r="AC58" s="30">
        <v>2.3968260093961618E-5</v>
      </c>
      <c r="AD58" s="30">
        <v>1.2876294264222889E-5</v>
      </c>
      <c r="AE58" s="30">
        <v>9.6652043551671634E-4</v>
      </c>
      <c r="AF58" s="30">
        <v>2.3944329853396906E-3</v>
      </c>
      <c r="AG58" s="32">
        <v>0</v>
      </c>
      <c r="AH58" s="32">
        <v>7.228237882960114E-6</v>
      </c>
      <c r="AI58" s="32">
        <v>5.7195725930249998E-5</v>
      </c>
      <c r="AJ58" s="32">
        <v>8.5554174677296554E-5</v>
      </c>
      <c r="AK58" s="32">
        <v>1.201711656822145E-5</v>
      </c>
      <c r="AL58" s="32">
        <v>2.7911608441172149E-3</v>
      </c>
      <c r="AM58" s="32">
        <v>2.9531560991759428E-3</v>
      </c>
      <c r="AN58" s="34">
        <v>0</v>
      </c>
      <c r="AO58" s="34">
        <v>5.1842725945187069E-6</v>
      </c>
      <c r="AP58" s="34">
        <v>1.3512839746900889E-7</v>
      </c>
      <c r="AQ58" s="34">
        <v>6.5490648626579012E-8</v>
      </c>
      <c r="AR58" s="34">
        <v>4.7449748739789693E-8</v>
      </c>
      <c r="AS58" s="34">
        <v>1.883034516292265E-6</v>
      </c>
      <c r="AT58" s="34">
        <v>7.3153759056463493E-6</v>
      </c>
      <c r="AU58" s="36">
        <v>0</v>
      </c>
      <c r="AV58" s="36">
        <v>0</v>
      </c>
      <c r="AW58" s="36">
        <v>1.5117612549304556E-3</v>
      </c>
      <c r="AX58" s="36">
        <v>2.01770987761535E-2</v>
      </c>
      <c r="AY58" s="36">
        <v>1.4685786598939585E-2</v>
      </c>
      <c r="AZ58" s="36">
        <v>0.16523630757397889</v>
      </c>
      <c r="BA58" s="36">
        <v>0.20161095420400243</v>
      </c>
      <c r="BB58" s="6"/>
      <c r="BC58" s="6"/>
      <c r="BD58" t="s">
        <v>986</v>
      </c>
      <c r="BF58" s="5">
        <v>9.6075623000000006E-3</v>
      </c>
      <c r="BG58" s="5">
        <f t="shared" si="1"/>
        <v>-5.2549967808864072E-3</v>
      </c>
      <c r="BH58" s="2">
        <v>23.365870999999999</v>
      </c>
    </row>
    <row r="59" spans="1:60" x14ac:dyDescent="0.2">
      <c r="A59" t="str">
        <f t="shared" si="4"/>
        <v>Bicycle, electric (&lt;45 km/h) - 2020 - NMC - CH</v>
      </c>
      <c r="B59" t="s">
        <v>490</v>
      </c>
      <c r="D59" s="19">
        <v>2020</v>
      </c>
      <c r="E59" t="s">
        <v>37</v>
      </c>
      <c r="F59" t="s">
        <v>140</v>
      </c>
      <c r="G59" t="s">
        <v>39</v>
      </c>
      <c r="H59" t="s">
        <v>32</v>
      </c>
      <c r="I59" t="s">
        <v>43</v>
      </c>
      <c r="J59" t="s">
        <v>861</v>
      </c>
      <c r="L59" s="26">
        <v>0</v>
      </c>
      <c r="M59" s="26">
        <v>0</v>
      </c>
      <c r="N59" s="26">
        <v>2.7867064536129458E-4</v>
      </c>
      <c r="O59" s="26">
        <v>1.195732624675443E-3</v>
      </c>
      <c r="P59" s="26">
        <v>4.7000662544130072E-4</v>
      </c>
      <c r="Q59" s="26">
        <v>9.8334853630012153E-3</v>
      </c>
      <c r="R59" s="26">
        <v>1.1777895258479254E-2</v>
      </c>
      <c r="S59" s="28">
        <v>0</v>
      </c>
      <c r="T59" s="28">
        <v>0</v>
      </c>
      <c r="U59" s="28">
        <v>1.5884578578857799E-4</v>
      </c>
      <c r="V59" s="28">
        <v>9.8317473549625417E-5</v>
      </c>
      <c r="W59" s="28">
        <v>2.9698609698292419E-5</v>
      </c>
      <c r="X59" s="28">
        <v>8.5991611819644376E-3</v>
      </c>
      <c r="Y59" s="28">
        <v>8.8860230510009342E-3</v>
      </c>
      <c r="Z59" s="30">
        <v>0</v>
      </c>
      <c r="AA59" s="30">
        <v>1.3758060237990489E-3</v>
      </c>
      <c r="AB59" s="30">
        <v>2.8029422642845481E-5</v>
      </c>
      <c r="AC59" s="30">
        <v>2.3968260093961618E-5</v>
      </c>
      <c r="AD59" s="30">
        <v>1.3499973423852701E-5</v>
      </c>
      <c r="AE59" s="30">
        <v>8.3795777881196366E-4</v>
      </c>
      <c r="AF59" s="30">
        <v>2.2792614587716724E-3</v>
      </c>
      <c r="AG59" s="32">
        <v>0</v>
      </c>
      <c r="AH59" s="32">
        <v>7.228237882960114E-6</v>
      </c>
      <c r="AI59" s="32">
        <v>1.050429925159661E-4</v>
      </c>
      <c r="AJ59" s="32">
        <v>8.5554174677296554E-5</v>
      </c>
      <c r="AK59" s="32">
        <v>1.259918039874964E-5</v>
      </c>
      <c r="AL59" s="32">
        <v>2.343476825969153E-3</v>
      </c>
      <c r="AM59" s="32">
        <v>2.5539014114441256E-3</v>
      </c>
      <c r="AN59" s="34">
        <v>0</v>
      </c>
      <c r="AO59" s="34">
        <v>5.1842725945187069E-6</v>
      </c>
      <c r="AP59" s="34">
        <v>2.4817048849666651E-7</v>
      </c>
      <c r="AQ59" s="34">
        <v>6.5490648626579012E-8</v>
      </c>
      <c r="AR59" s="34">
        <v>4.974803571672711E-8</v>
      </c>
      <c r="AS59" s="34">
        <v>1.770597549801543E-6</v>
      </c>
      <c r="AT59" s="34">
        <v>7.3182793171602223E-6</v>
      </c>
      <c r="AU59" s="36">
        <v>0</v>
      </c>
      <c r="AV59" s="36">
        <v>0</v>
      </c>
      <c r="AW59" s="36">
        <v>2.7764299448046754E-3</v>
      </c>
      <c r="AX59" s="36">
        <v>2.01770987761535E-2</v>
      </c>
      <c r="AY59" s="36">
        <v>1.5397110746755812E-2</v>
      </c>
      <c r="AZ59" s="36">
        <v>0.12966140408035057</v>
      </c>
      <c r="BA59" s="36">
        <v>0.16801204354806454</v>
      </c>
      <c r="BB59" s="6"/>
      <c r="BC59" s="6"/>
      <c r="BD59" t="s">
        <v>884</v>
      </c>
      <c r="BF59" s="5">
        <v>7.9732819999999999E-3</v>
      </c>
      <c r="BG59" s="5">
        <f t="shared" si="1"/>
        <v>-3.8046132584792537E-3</v>
      </c>
      <c r="BH59" s="2">
        <v>22.508680999999999</v>
      </c>
    </row>
    <row r="60" spans="1:60" x14ac:dyDescent="0.2">
      <c r="A60" t="str">
        <f t="shared" si="4"/>
        <v>Bicycle, electric (&lt;45 km/h) - 2030 - NMC - CH</v>
      </c>
      <c r="B60" t="s">
        <v>490</v>
      </c>
      <c r="D60" s="19">
        <v>2030</v>
      </c>
      <c r="E60" t="s">
        <v>37</v>
      </c>
      <c r="F60" t="s">
        <v>140</v>
      </c>
      <c r="G60" t="s">
        <v>39</v>
      </c>
      <c r="H60" t="s">
        <v>32</v>
      </c>
      <c r="I60" t="s">
        <v>43</v>
      </c>
      <c r="J60" t="s">
        <v>861</v>
      </c>
      <c r="L60" s="26">
        <v>0</v>
      </c>
      <c r="M60" s="26">
        <v>0</v>
      </c>
      <c r="N60" s="26">
        <v>2.7867064536129458E-4</v>
      </c>
      <c r="O60" s="26">
        <v>1.195732624675443E-3</v>
      </c>
      <c r="P60" s="26">
        <v>4.6794299667422991E-4</v>
      </c>
      <c r="Q60" s="26">
        <v>9.7775443944006918E-3</v>
      </c>
      <c r="R60" s="26">
        <v>1.1719890661111659E-2</v>
      </c>
      <c r="S60" s="28">
        <v>0</v>
      </c>
      <c r="T60" s="28">
        <v>0</v>
      </c>
      <c r="U60" s="28">
        <v>1.5884578578857799E-4</v>
      </c>
      <c r="V60" s="28">
        <v>9.8317473549625417E-5</v>
      </c>
      <c r="W60" s="28">
        <v>2.956821386555738E-5</v>
      </c>
      <c r="X60" s="28">
        <v>7.3846488576314673E-3</v>
      </c>
      <c r="Y60" s="28">
        <v>7.6713803308352283E-3</v>
      </c>
      <c r="Z60" s="30">
        <v>0</v>
      </c>
      <c r="AA60" s="30">
        <v>1.3758060237990489E-3</v>
      </c>
      <c r="AB60" s="30">
        <v>2.8029422642845481E-5</v>
      </c>
      <c r="AC60" s="30">
        <v>2.3968260093961618E-5</v>
      </c>
      <c r="AD60" s="30">
        <v>1.3440699932790739E-5</v>
      </c>
      <c r="AE60" s="30">
        <v>7.665730032181484E-4</v>
      </c>
      <c r="AF60" s="30">
        <v>2.2078174096867953E-3</v>
      </c>
      <c r="AG60" s="32">
        <v>0</v>
      </c>
      <c r="AH60" s="32">
        <v>7.228237882960114E-6</v>
      </c>
      <c r="AI60" s="32">
        <v>1.050429925159661E-4</v>
      </c>
      <c r="AJ60" s="32">
        <v>8.5554174677296554E-5</v>
      </c>
      <c r="AK60" s="32">
        <v>1.2543861963423409E-5</v>
      </c>
      <c r="AL60" s="32">
        <v>2.1876111027913561E-3</v>
      </c>
      <c r="AM60" s="32">
        <v>2.3979803698310023E-3</v>
      </c>
      <c r="AN60" s="34">
        <v>0</v>
      </c>
      <c r="AO60" s="34">
        <v>5.1842725945187069E-6</v>
      </c>
      <c r="AP60" s="34">
        <v>2.4817048849666651E-7</v>
      </c>
      <c r="AQ60" s="34">
        <v>6.5490648626579012E-8</v>
      </c>
      <c r="AR60" s="34">
        <v>4.9529610120037038E-8</v>
      </c>
      <c r="AS60" s="34">
        <v>1.557545808442301E-6</v>
      </c>
      <c r="AT60" s="34">
        <v>7.1050091502042901E-6</v>
      </c>
      <c r="AU60" s="36">
        <v>0</v>
      </c>
      <c r="AV60" s="36">
        <v>0</v>
      </c>
      <c r="AW60" s="36">
        <v>2.7764299448046754E-3</v>
      </c>
      <c r="AX60" s="36">
        <v>2.01770987761535E-2</v>
      </c>
      <c r="AY60" s="36">
        <v>1.5329507613210733E-2</v>
      </c>
      <c r="AZ60" s="36">
        <v>0.12583044321433179</v>
      </c>
      <c r="BA60" s="36">
        <v>0.1641134795485007</v>
      </c>
      <c r="BB60" s="6"/>
      <c r="BC60" s="6"/>
      <c r="BD60" t="s">
        <v>987</v>
      </c>
      <c r="BF60" s="5">
        <v>7.814128699999999E-3</v>
      </c>
      <c r="BG60" s="5">
        <f t="shared" si="1"/>
        <v>-3.9057619611116597E-3</v>
      </c>
      <c r="BH60" s="2">
        <v>20.203738999999999</v>
      </c>
    </row>
    <row r="61" spans="1:60" x14ac:dyDescent="0.2">
      <c r="A61" t="str">
        <f t="shared" si="4"/>
        <v>Bicycle, electric (&lt;45 km/h) - 2040 - NMC - CH</v>
      </c>
      <c r="B61" t="s">
        <v>490</v>
      </c>
      <c r="D61" s="19">
        <v>2040</v>
      </c>
      <c r="E61" t="s">
        <v>37</v>
      </c>
      <c r="F61" t="s">
        <v>140</v>
      </c>
      <c r="G61" t="s">
        <v>39</v>
      </c>
      <c r="H61" t="s">
        <v>32</v>
      </c>
      <c r="I61" t="s">
        <v>43</v>
      </c>
      <c r="J61" t="s">
        <v>861</v>
      </c>
      <c r="L61" s="26">
        <v>0</v>
      </c>
      <c r="M61" s="26">
        <v>0</v>
      </c>
      <c r="N61" s="26">
        <v>2.7867064536129458E-4</v>
      </c>
      <c r="O61" s="26">
        <v>1.195732624675443E-3</v>
      </c>
      <c r="P61" s="26">
        <v>4.6431647259092168E-4</v>
      </c>
      <c r="Q61" s="26">
        <v>9.5761609501335328E-3</v>
      </c>
      <c r="R61" s="26">
        <v>1.1514880692761192E-2</v>
      </c>
      <c r="S61" s="28">
        <v>0</v>
      </c>
      <c r="T61" s="28">
        <v>0</v>
      </c>
      <c r="U61" s="28">
        <v>1.5884578578857799E-4</v>
      </c>
      <c r="V61" s="28">
        <v>9.8317473549625417E-5</v>
      </c>
      <c r="W61" s="28">
        <v>2.9339062365383309E-5</v>
      </c>
      <c r="X61" s="28">
        <v>6.2810377629805309E-3</v>
      </c>
      <c r="Y61" s="28">
        <v>6.5675400846841175E-3</v>
      </c>
      <c r="Z61" s="30">
        <v>0</v>
      </c>
      <c r="AA61" s="30">
        <v>1.3758060237990489E-3</v>
      </c>
      <c r="AB61" s="30">
        <v>2.8029422642845481E-5</v>
      </c>
      <c r="AC61" s="30">
        <v>2.3968260093961618E-5</v>
      </c>
      <c r="AD61" s="30">
        <v>1.3336535488939229E-5</v>
      </c>
      <c r="AE61" s="30">
        <v>6.9443754179633642E-4</v>
      </c>
      <c r="AF61" s="30">
        <v>2.1355777838211317E-3</v>
      </c>
      <c r="AG61" s="32">
        <v>0</v>
      </c>
      <c r="AH61" s="32">
        <v>7.228237882960114E-6</v>
      </c>
      <c r="AI61" s="32">
        <v>1.050429925159661E-4</v>
      </c>
      <c r="AJ61" s="32">
        <v>8.5554174677296554E-5</v>
      </c>
      <c r="AK61" s="32">
        <v>1.244664794840158E-5</v>
      </c>
      <c r="AL61" s="32">
        <v>2.016975262949929E-3</v>
      </c>
      <c r="AM61" s="32">
        <v>2.2272473159745533E-3</v>
      </c>
      <c r="AN61" s="34">
        <v>0</v>
      </c>
      <c r="AO61" s="34">
        <v>5.1842725945187069E-6</v>
      </c>
      <c r="AP61" s="34">
        <v>2.4817048849666651E-7</v>
      </c>
      <c r="AQ61" s="34">
        <v>6.5490648626579012E-8</v>
      </c>
      <c r="AR61" s="34">
        <v>4.9145759255265523E-8</v>
      </c>
      <c r="AS61" s="34">
        <v>1.3622947149483109E-6</v>
      </c>
      <c r="AT61" s="34">
        <v>6.9093742058455284E-6</v>
      </c>
      <c r="AU61" s="36">
        <v>0</v>
      </c>
      <c r="AV61" s="36">
        <v>0</v>
      </c>
      <c r="AW61" s="36">
        <v>2.7764299448046754E-3</v>
      </c>
      <c r="AX61" s="36">
        <v>2.01770987761535E-2</v>
      </c>
      <c r="AY61" s="36">
        <v>1.5210705047642539E-2</v>
      </c>
      <c r="AZ61" s="36">
        <v>0.12081974100548248</v>
      </c>
      <c r="BA61" s="36">
        <v>0.15898397477408321</v>
      </c>
      <c r="BB61" s="6"/>
      <c r="BC61" s="6"/>
      <c r="BD61" t="s">
        <v>988</v>
      </c>
      <c r="BF61" s="5">
        <v>7.6003578000000006E-3</v>
      </c>
      <c r="BG61" s="5">
        <f t="shared" si="1"/>
        <v>-3.9145228927611915E-3</v>
      </c>
      <c r="BH61" s="2">
        <v>18.105080000000001</v>
      </c>
    </row>
    <row r="62" spans="1:60" x14ac:dyDescent="0.2">
      <c r="A62" t="str">
        <f t="shared" si="4"/>
        <v>Bicycle, electric (&lt;45 km/h) - 2050 - NMC - CH</v>
      </c>
      <c r="B62" t="s">
        <v>490</v>
      </c>
      <c r="D62" s="19">
        <v>2050</v>
      </c>
      <c r="E62" t="s">
        <v>37</v>
      </c>
      <c r="F62" t="s">
        <v>140</v>
      </c>
      <c r="G62" t="s">
        <v>39</v>
      </c>
      <c r="H62" t="s">
        <v>32</v>
      </c>
      <c r="I62" t="s">
        <v>43</v>
      </c>
      <c r="J62" t="s">
        <v>861</v>
      </c>
      <c r="L62" s="26">
        <v>0</v>
      </c>
      <c r="M62" s="26">
        <v>0</v>
      </c>
      <c r="N62" s="26">
        <v>2.7867064536129458E-4</v>
      </c>
      <c r="O62" s="26">
        <v>1.195732624675443E-3</v>
      </c>
      <c r="P62" s="26">
        <v>4.6509033337857321E-4</v>
      </c>
      <c r="Q62" s="26">
        <v>9.8993866474147967E-3</v>
      </c>
      <c r="R62" s="26">
        <v>1.1838880250830108E-2</v>
      </c>
      <c r="S62" s="28">
        <v>0</v>
      </c>
      <c r="T62" s="28">
        <v>0</v>
      </c>
      <c r="U62" s="28">
        <v>1.5884578578857799E-4</v>
      </c>
      <c r="V62" s="28">
        <v>9.8317473549625417E-5</v>
      </c>
      <c r="W62" s="28">
        <v>2.9387960802658939E-5</v>
      </c>
      <c r="X62" s="28">
        <v>6.17788644576912E-3</v>
      </c>
      <c r="Y62" s="28">
        <v>6.4644376659099825E-3</v>
      </c>
      <c r="Z62" s="30">
        <v>0</v>
      </c>
      <c r="AA62" s="30">
        <v>1.3758060237990489E-3</v>
      </c>
      <c r="AB62" s="30">
        <v>2.8029422642845481E-5</v>
      </c>
      <c r="AC62" s="30">
        <v>2.3968260093961618E-5</v>
      </c>
      <c r="AD62" s="30">
        <v>1.335876304808745E-5</v>
      </c>
      <c r="AE62" s="30">
        <v>7.0370729650907275E-4</v>
      </c>
      <c r="AF62" s="30">
        <v>2.1448697660930161E-3</v>
      </c>
      <c r="AG62" s="32">
        <v>0</v>
      </c>
      <c r="AH62" s="32">
        <v>7.228237882960114E-6</v>
      </c>
      <c r="AI62" s="32">
        <v>1.050429925159661E-4</v>
      </c>
      <c r="AJ62" s="32">
        <v>8.5554174677296554E-5</v>
      </c>
      <c r="AK62" s="32">
        <v>1.246739236164892E-5</v>
      </c>
      <c r="AL62" s="32">
        <v>2.0555302742088799E-3</v>
      </c>
      <c r="AM62" s="32">
        <v>2.2658230716467516E-3</v>
      </c>
      <c r="AN62" s="34">
        <v>0</v>
      </c>
      <c r="AO62" s="34">
        <v>5.1842725945187069E-6</v>
      </c>
      <c r="AP62" s="34">
        <v>2.4817048849666651E-7</v>
      </c>
      <c r="AQ62" s="34">
        <v>6.5490648626579012E-8</v>
      </c>
      <c r="AR62" s="34">
        <v>4.9227668854024287E-8</v>
      </c>
      <c r="AS62" s="34">
        <v>1.349571522177053E-6</v>
      </c>
      <c r="AT62" s="34">
        <v>6.8967329226730297E-6</v>
      </c>
      <c r="AU62" s="36">
        <v>0</v>
      </c>
      <c r="AV62" s="36">
        <v>0</v>
      </c>
      <c r="AW62" s="36">
        <v>2.7764299448046754E-3</v>
      </c>
      <c r="AX62" s="36">
        <v>2.01770987761535E-2</v>
      </c>
      <c r="AY62" s="36">
        <v>1.5236056222721946E-2</v>
      </c>
      <c r="AZ62" s="36">
        <v>0.12389477893190831</v>
      </c>
      <c r="BA62" s="36">
        <v>0.16208436387558844</v>
      </c>
      <c r="BB62" s="6"/>
      <c r="BC62" s="6"/>
      <c r="BD62" t="s">
        <v>989</v>
      </c>
      <c r="BF62" s="5">
        <v>7.7195110999999997E-3</v>
      </c>
      <c r="BG62" s="5">
        <f t="shared" si="1"/>
        <v>-4.1193691508301083E-3</v>
      </c>
      <c r="BH62" s="2">
        <v>17.880268000000001</v>
      </c>
    </row>
    <row r="63" spans="1:60" x14ac:dyDescent="0.2">
      <c r="A63" t="str">
        <f t="shared" si="4"/>
        <v>Bicycle, electric, cargo bike - 2020 - NMC - CH</v>
      </c>
      <c r="B63" t="s">
        <v>496</v>
      </c>
      <c r="D63" s="19">
        <v>2020</v>
      </c>
      <c r="E63" t="s">
        <v>37</v>
      </c>
      <c r="F63" t="s">
        <v>140</v>
      </c>
      <c r="G63" t="s">
        <v>39</v>
      </c>
      <c r="H63" t="s">
        <v>32</v>
      </c>
      <c r="I63" t="s">
        <v>43</v>
      </c>
      <c r="J63" t="s">
        <v>861</v>
      </c>
      <c r="L63" s="26">
        <v>0</v>
      </c>
      <c r="M63" s="26">
        <v>0</v>
      </c>
      <c r="N63" s="26">
        <v>2.1347201307001551E-4</v>
      </c>
      <c r="O63" s="26">
        <v>1.195732624675443E-3</v>
      </c>
      <c r="P63" s="26">
        <v>7.7499881822161193E-4</v>
      </c>
      <c r="Q63" s="26">
        <v>2.2207853183671349E-2</v>
      </c>
      <c r="R63" s="26">
        <v>2.4392056639638421E-2</v>
      </c>
      <c r="S63" s="28">
        <v>0</v>
      </c>
      <c r="T63" s="28">
        <v>0</v>
      </c>
      <c r="U63" s="28">
        <v>1.2168174231632199E-4</v>
      </c>
      <c r="V63" s="28">
        <v>9.8317473549625417E-5</v>
      </c>
      <c r="W63" s="28">
        <v>4.897034674222067E-5</v>
      </c>
      <c r="X63" s="28">
        <v>1.3437941841274189E-2</v>
      </c>
      <c r="Y63" s="28">
        <v>1.3706911403882357E-2</v>
      </c>
      <c r="Z63" s="30">
        <v>0</v>
      </c>
      <c r="AA63" s="30">
        <v>2.7516120475980978E-3</v>
      </c>
      <c r="AB63" s="30">
        <v>2.1471573616951781E-5</v>
      </c>
      <c r="AC63" s="30">
        <v>2.3968260093961618E-5</v>
      </c>
      <c r="AD63" s="30">
        <v>2.2260246735214739E-5</v>
      </c>
      <c r="AE63" s="30">
        <v>1.5194191966950671E-3</v>
      </c>
      <c r="AF63" s="30">
        <v>4.3387313247392929E-3</v>
      </c>
      <c r="AG63" s="32">
        <v>0</v>
      </c>
      <c r="AH63" s="32">
        <v>1.445647576592023E-5</v>
      </c>
      <c r="AI63" s="32">
        <v>8.0466814300478743E-5</v>
      </c>
      <c r="AJ63" s="32">
        <v>8.5554174677296554E-5</v>
      </c>
      <c r="AK63" s="32">
        <v>2.0774919737405581E-5</v>
      </c>
      <c r="AL63" s="32">
        <v>4.1247769659680297E-3</v>
      </c>
      <c r="AM63" s="32">
        <v>4.326029350449131E-3</v>
      </c>
      <c r="AN63" s="34">
        <v>0</v>
      </c>
      <c r="AO63" s="34">
        <v>1.036854518903741E-5</v>
      </c>
      <c r="AP63" s="34">
        <v>1.901077657292092E-7</v>
      </c>
      <c r="AQ63" s="34">
        <v>6.5490648626579012E-8</v>
      </c>
      <c r="AR63" s="34">
        <v>8.2030054051068197E-8</v>
      </c>
      <c r="AS63" s="34">
        <v>3.247132157769772E-6</v>
      </c>
      <c r="AT63" s="34">
        <v>1.395330581521404E-5</v>
      </c>
      <c r="AU63" s="36">
        <v>0</v>
      </c>
      <c r="AV63" s="36">
        <v>0</v>
      </c>
      <c r="AW63" s="36">
        <v>2.1268479451680587E-3</v>
      </c>
      <c r="AX63" s="36">
        <v>2.01770987761535E-2</v>
      </c>
      <c r="AY63" s="36">
        <v>2.5388456219226894E-2</v>
      </c>
      <c r="AZ63" s="36">
        <v>0.28308506081476031</v>
      </c>
      <c r="BA63" s="36">
        <v>0.33077746375530875</v>
      </c>
      <c r="BB63" s="6"/>
      <c r="BC63" s="6"/>
      <c r="BD63" t="s">
        <v>890</v>
      </c>
      <c r="BF63" s="5">
        <v>1.6140363000000001E-2</v>
      </c>
      <c r="BG63" s="5">
        <f t="shared" si="1"/>
        <v>-8.2516936396384195E-3</v>
      </c>
      <c r="BH63" s="2">
        <v>39.702021999999999</v>
      </c>
    </row>
    <row r="64" spans="1:60" x14ac:dyDescent="0.2">
      <c r="A64" t="str">
        <f t="shared" si="4"/>
        <v>Bicycle, electric, cargo bike - 2030 - NMC - CH</v>
      </c>
      <c r="B64" t="s">
        <v>496</v>
      </c>
      <c r="D64" s="19">
        <v>2030</v>
      </c>
      <c r="E64" t="s">
        <v>37</v>
      </c>
      <c r="F64" t="s">
        <v>140</v>
      </c>
      <c r="G64" t="s">
        <v>39</v>
      </c>
      <c r="H64" t="s">
        <v>32</v>
      </c>
      <c r="I64" t="s">
        <v>43</v>
      </c>
      <c r="J64" t="s">
        <v>861</v>
      </c>
      <c r="L64" s="26">
        <v>0</v>
      </c>
      <c r="M64" s="26">
        <v>0</v>
      </c>
      <c r="N64" s="26">
        <v>2.1347201307001551E-4</v>
      </c>
      <c r="O64" s="26">
        <v>1.195732624675443E-3</v>
      </c>
      <c r="P64" s="26">
        <v>7.6836789343330363E-4</v>
      </c>
      <c r="Q64" s="26">
        <v>2.255563105074997E-2</v>
      </c>
      <c r="R64" s="26">
        <v>2.4733203581928733E-2</v>
      </c>
      <c r="S64" s="28">
        <v>0</v>
      </c>
      <c r="T64" s="28">
        <v>0</v>
      </c>
      <c r="U64" s="28">
        <v>1.2168174231632199E-4</v>
      </c>
      <c r="V64" s="28">
        <v>9.8317473549625417E-5</v>
      </c>
      <c r="W64" s="28">
        <v>4.855135425027058E-5</v>
      </c>
      <c r="X64" s="28">
        <v>1.0802098385586909E-2</v>
      </c>
      <c r="Y64" s="28">
        <v>1.1070648955703127E-2</v>
      </c>
      <c r="Z64" s="30">
        <v>0</v>
      </c>
      <c r="AA64" s="30">
        <v>2.7516120475980978E-3</v>
      </c>
      <c r="AB64" s="30">
        <v>2.1471573616951781E-5</v>
      </c>
      <c r="AC64" s="30">
        <v>2.3968260093961618E-5</v>
      </c>
      <c r="AD64" s="30">
        <v>2.2069787061728899E-5</v>
      </c>
      <c r="AE64" s="30">
        <v>1.3863481951345851E-3</v>
      </c>
      <c r="AF64" s="30">
        <v>4.2054698635053244E-3</v>
      </c>
      <c r="AG64" s="32">
        <v>0</v>
      </c>
      <c r="AH64" s="32">
        <v>1.445647576592023E-5</v>
      </c>
      <c r="AI64" s="32">
        <v>8.0466814300478743E-5</v>
      </c>
      <c r="AJ64" s="32">
        <v>8.5554174677296554E-5</v>
      </c>
      <c r="AK64" s="32">
        <v>2.0597168588599979E-5</v>
      </c>
      <c r="AL64" s="32">
        <v>3.870340029132017E-3</v>
      </c>
      <c r="AM64" s="32">
        <v>4.0714146624643123E-3</v>
      </c>
      <c r="AN64" s="34">
        <v>0</v>
      </c>
      <c r="AO64" s="34">
        <v>1.036854518903741E-5</v>
      </c>
      <c r="AP64" s="34">
        <v>1.901077657292092E-7</v>
      </c>
      <c r="AQ64" s="34">
        <v>6.5490648626579012E-8</v>
      </c>
      <c r="AR64" s="34">
        <v>8.1328201214644952E-8</v>
      </c>
      <c r="AS64" s="34">
        <v>2.7871139311076272E-6</v>
      </c>
      <c r="AT64" s="34">
        <v>1.3492585735715473E-5</v>
      </c>
      <c r="AU64" s="36">
        <v>0</v>
      </c>
      <c r="AV64" s="36">
        <v>0</v>
      </c>
      <c r="AW64" s="36">
        <v>2.1268479451680587E-3</v>
      </c>
      <c r="AX64" s="36">
        <v>2.01770987761535E-2</v>
      </c>
      <c r="AY64" s="36">
        <v>2.5171231444526893E-2</v>
      </c>
      <c r="AZ64" s="36">
        <v>0.27951390716620239</v>
      </c>
      <c r="BA64" s="36">
        <v>0.32698908533205084</v>
      </c>
      <c r="BB64" s="6"/>
      <c r="BC64" s="6"/>
      <c r="BD64" t="s">
        <v>990</v>
      </c>
      <c r="BF64" s="5">
        <v>1.5970189000000003E-2</v>
      </c>
      <c r="BG64" s="5">
        <f t="shared" si="1"/>
        <v>-8.7630145819287304E-3</v>
      </c>
      <c r="BH64" s="2">
        <v>34.616849000000002</v>
      </c>
    </row>
    <row r="65" spans="1:60" x14ac:dyDescent="0.2">
      <c r="A65" t="str">
        <f t="shared" si="4"/>
        <v>Bicycle, electric, cargo bike - 2040 - NMC - CH</v>
      </c>
      <c r="B65" t="s">
        <v>496</v>
      </c>
      <c r="D65" s="19">
        <v>2040</v>
      </c>
      <c r="E65" t="s">
        <v>37</v>
      </c>
      <c r="F65" t="s">
        <v>140</v>
      </c>
      <c r="G65" t="s">
        <v>39</v>
      </c>
      <c r="H65" t="s">
        <v>32</v>
      </c>
      <c r="I65" t="s">
        <v>43</v>
      </c>
      <c r="J65" t="s">
        <v>861</v>
      </c>
      <c r="L65" s="26">
        <v>0</v>
      </c>
      <c r="M65" s="26">
        <v>0</v>
      </c>
      <c r="N65" s="26">
        <v>2.1347201307001551E-4</v>
      </c>
      <c r="O65" s="26">
        <v>1.195732624675443E-3</v>
      </c>
      <c r="P65" s="26">
        <v>7.6248048195077839E-4</v>
      </c>
      <c r="Q65" s="26">
        <v>2.2775274334943339E-2</v>
      </c>
      <c r="R65" s="26">
        <v>2.4946959454639574E-2</v>
      </c>
      <c r="S65" s="28">
        <v>0</v>
      </c>
      <c r="T65" s="28">
        <v>0</v>
      </c>
      <c r="U65" s="28">
        <v>1.2168174231632199E-4</v>
      </c>
      <c r="V65" s="28">
        <v>9.8317473549625417E-5</v>
      </c>
      <c r="W65" s="28">
        <v>4.8179342609820628E-5</v>
      </c>
      <c r="X65" s="28">
        <v>9.0372046485396405E-3</v>
      </c>
      <c r="Y65" s="28">
        <v>9.3053832070154087E-3</v>
      </c>
      <c r="Z65" s="30">
        <v>0</v>
      </c>
      <c r="AA65" s="30">
        <v>2.7516120475980978E-3</v>
      </c>
      <c r="AB65" s="30">
        <v>2.1471573616951781E-5</v>
      </c>
      <c r="AC65" s="30">
        <v>2.3968260093961618E-5</v>
      </c>
      <c r="AD65" s="30">
        <v>2.1900683278405099E-5</v>
      </c>
      <c r="AE65" s="30">
        <v>1.2964732590299E-3</v>
      </c>
      <c r="AF65" s="30">
        <v>4.1154258236173165E-3</v>
      </c>
      <c r="AG65" s="32">
        <v>0</v>
      </c>
      <c r="AH65" s="32">
        <v>1.445647576592023E-5</v>
      </c>
      <c r="AI65" s="32">
        <v>8.0466814300478743E-5</v>
      </c>
      <c r="AJ65" s="32">
        <v>8.5554174677296554E-5</v>
      </c>
      <c r="AK65" s="32">
        <v>2.0439348346639859E-5</v>
      </c>
      <c r="AL65" s="32">
        <v>3.696611527351222E-3</v>
      </c>
      <c r="AM65" s="32">
        <v>3.8975283404415573E-3</v>
      </c>
      <c r="AN65" s="34">
        <v>0</v>
      </c>
      <c r="AO65" s="34">
        <v>1.036854518903741E-5</v>
      </c>
      <c r="AP65" s="34">
        <v>1.901077657292092E-7</v>
      </c>
      <c r="AQ65" s="34">
        <v>6.5490648626579012E-8</v>
      </c>
      <c r="AR65" s="34">
        <v>8.0705045835852706E-8</v>
      </c>
      <c r="AS65" s="34">
        <v>2.4783359410264612E-6</v>
      </c>
      <c r="AT65" s="34">
        <v>1.3183184590255513E-5</v>
      </c>
      <c r="AU65" s="36">
        <v>0</v>
      </c>
      <c r="AV65" s="36">
        <v>0</v>
      </c>
      <c r="AW65" s="36">
        <v>2.1268479451680587E-3</v>
      </c>
      <c r="AX65" s="36">
        <v>2.01770987761535E-2</v>
      </c>
      <c r="AY65" s="36">
        <v>2.4978363681177701E-2</v>
      </c>
      <c r="AZ65" s="36">
        <v>0.27698105092912673</v>
      </c>
      <c r="BA65" s="36">
        <v>0.32426336133162598</v>
      </c>
      <c r="BB65" s="6"/>
      <c r="BC65" s="6"/>
      <c r="BD65" t="s">
        <v>991</v>
      </c>
      <c r="BF65" s="5">
        <v>1.5842831000000002E-2</v>
      </c>
      <c r="BG65" s="5">
        <f t="shared" si="1"/>
        <v>-9.104128454639572E-3</v>
      </c>
      <c r="BH65" s="2">
        <v>31.194571</v>
      </c>
    </row>
    <row r="66" spans="1:60" x14ac:dyDescent="0.2">
      <c r="A66" t="str">
        <f t="shared" si="4"/>
        <v>Bicycle, electric, cargo bike - 2050 - NMC - CH</v>
      </c>
      <c r="B66" t="s">
        <v>496</v>
      </c>
      <c r="D66" s="19">
        <v>2050</v>
      </c>
      <c r="E66" t="s">
        <v>37</v>
      </c>
      <c r="F66" t="s">
        <v>140</v>
      </c>
      <c r="G66" t="s">
        <v>39</v>
      </c>
      <c r="H66" t="s">
        <v>32</v>
      </c>
      <c r="I66" t="s">
        <v>43</v>
      </c>
      <c r="J66" t="s">
        <v>861</v>
      </c>
      <c r="L66" s="26">
        <v>0</v>
      </c>
      <c r="M66" s="26">
        <v>0</v>
      </c>
      <c r="N66" s="26">
        <v>2.1347201307001551E-4</v>
      </c>
      <c r="O66" s="26">
        <v>1.195732624675443E-3</v>
      </c>
      <c r="P66" s="26">
        <v>7.5856565678971755E-4</v>
      </c>
      <c r="Q66" s="26">
        <v>2.3501171579932319E-2</v>
      </c>
      <c r="R66" s="26">
        <v>2.5668941874467496E-2</v>
      </c>
      <c r="S66" s="28">
        <v>0</v>
      </c>
      <c r="T66" s="28">
        <v>0</v>
      </c>
      <c r="U66" s="28">
        <v>1.2168174231632199E-4</v>
      </c>
      <c r="V66" s="28">
        <v>9.8317473549625417E-5</v>
      </c>
      <c r="W66" s="28">
        <v>4.7931974044779159E-5</v>
      </c>
      <c r="X66" s="28">
        <v>8.2575643082954397E-3</v>
      </c>
      <c r="Y66" s="28">
        <v>8.5254954982061665E-3</v>
      </c>
      <c r="Z66" s="30">
        <v>0</v>
      </c>
      <c r="AA66" s="30">
        <v>2.7516120475980978E-3</v>
      </c>
      <c r="AB66" s="30">
        <v>2.1471573616951781E-5</v>
      </c>
      <c r="AC66" s="30">
        <v>2.3968260093961618E-5</v>
      </c>
      <c r="AD66" s="30">
        <v>2.1788237979184629E-5</v>
      </c>
      <c r="AE66" s="30">
        <v>1.2861053425090661E-3</v>
      </c>
      <c r="AF66" s="30">
        <v>4.1049454617972615E-3</v>
      </c>
      <c r="AG66" s="32">
        <v>0</v>
      </c>
      <c r="AH66" s="32">
        <v>1.445647576592023E-5</v>
      </c>
      <c r="AI66" s="32">
        <v>8.0466814300478743E-5</v>
      </c>
      <c r="AJ66" s="32">
        <v>8.5554174677296554E-5</v>
      </c>
      <c r="AK66" s="32">
        <v>2.0334406020800391E-5</v>
      </c>
      <c r="AL66" s="32">
        <v>3.7239045752225672E-3</v>
      </c>
      <c r="AM66" s="32">
        <v>3.9247164459870632E-3</v>
      </c>
      <c r="AN66" s="34">
        <v>0</v>
      </c>
      <c r="AO66" s="34">
        <v>1.036854518903741E-5</v>
      </c>
      <c r="AP66" s="34">
        <v>1.901077657292092E-7</v>
      </c>
      <c r="AQ66" s="34">
        <v>6.5490648626579012E-8</v>
      </c>
      <c r="AR66" s="34">
        <v>8.0290679630367122E-8</v>
      </c>
      <c r="AS66" s="34">
        <v>2.3494561141384581E-6</v>
      </c>
      <c r="AT66" s="34">
        <v>1.3053890397162026E-5</v>
      </c>
      <c r="AU66" s="36">
        <v>0</v>
      </c>
      <c r="AV66" s="36">
        <v>0</v>
      </c>
      <c r="AW66" s="36">
        <v>2.1268479451680587E-3</v>
      </c>
      <c r="AX66" s="36">
        <v>2.01770987761535E-2</v>
      </c>
      <c r="AY66" s="36">
        <v>2.4850116560187773E-2</v>
      </c>
      <c r="AZ66" s="36">
        <v>0.28232007580793861</v>
      </c>
      <c r="BA66" s="36">
        <v>0.32947413908944795</v>
      </c>
      <c r="BB66" s="6"/>
      <c r="BC66" s="6"/>
      <c r="BD66" t="s">
        <v>992</v>
      </c>
      <c r="BF66" s="5">
        <v>1.6030559E-2</v>
      </c>
      <c r="BG66" s="5">
        <f t="shared" si="1"/>
        <v>-9.6383828744674958E-3</v>
      </c>
      <c r="BH66" s="2">
        <v>29.600327</v>
      </c>
    </row>
    <row r="67" spans="1:60" x14ac:dyDescent="0.2">
      <c r="A67" t="str">
        <f t="shared" si="4"/>
        <v>Bicycle, electric (&lt;25 km/h) - 2020 - LFP - CH</v>
      </c>
      <c r="B67" t="s">
        <v>489</v>
      </c>
      <c r="D67" s="19">
        <v>2020</v>
      </c>
      <c r="E67" t="s">
        <v>37</v>
      </c>
      <c r="F67" t="s">
        <v>140</v>
      </c>
      <c r="G67" t="s">
        <v>39</v>
      </c>
      <c r="H67" t="s">
        <v>32</v>
      </c>
      <c r="I67" t="s">
        <v>44</v>
      </c>
      <c r="J67" t="s">
        <v>861</v>
      </c>
      <c r="L67" s="26">
        <v>0</v>
      </c>
      <c r="M67" s="26">
        <v>0</v>
      </c>
      <c r="N67" s="26">
        <v>1.5173567960250059E-4</v>
      </c>
      <c r="O67" s="26">
        <v>1.195732624675443E-3</v>
      </c>
      <c r="P67" s="26">
        <v>4.6659253373107328E-4</v>
      </c>
      <c r="Q67" s="26">
        <v>1.6505643761205481E-2</v>
      </c>
      <c r="R67" s="26">
        <v>1.8319704599214497E-2</v>
      </c>
      <c r="S67" s="28">
        <v>0</v>
      </c>
      <c r="T67" s="28">
        <v>0</v>
      </c>
      <c r="U67" s="28">
        <v>8.6491252881602508E-5</v>
      </c>
      <c r="V67" s="28">
        <v>9.8317473549625417E-5</v>
      </c>
      <c r="W67" s="28">
        <v>2.948288129854695E-5</v>
      </c>
      <c r="X67" s="28">
        <v>8.2258663807938392E-3</v>
      </c>
      <c r="Y67" s="28">
        <v>8.4401579885236139E-3</v>
      </c>
      <c r="Z67" s="30">
        <v>0</v>
      </c>
      <c r="AA67" s="30">
        <v>1.3758060237990489E-3</v>
      </c>
      <c r="AB67" s="30">
        <v>1.5261971665741149E-5</v>
      </c>
      <c r="AC67" s="30">
        <v>2.3968260093961618E-5</v>
      </c>
      <c r="AD67" s="30">
        <v>1.340191066290461E-5</v>
      </c>
      <c r="AE67" s="30">
        <v>1.1968245285550461E-3</v>
      </c>
      <c r="AF67" s="30">
        <v>2.6252626947767021E-3</v>
      </c>
      <c r="AG67" s="32">
        <v>0</v>
      </c>
      <c r="AH67" s="32">
        <v>7.228237882960114E-6</v>
      </c>
      <c r="AI67" s="32">
        <v>5.7195725930249998E-5</v>
      </c>
      <c r="AJ67" s="32">
        <v>8.5554174677296554E-5</v>
      </c>
      <c r="AK67" s="32">
        <v>1.250766092854081E-5</v>
      </c>
      <c r="AL67" s="32">
        <v>3.8296400260956951E-3</v>
      </c>
      <c r="AM67" s="32">
        <v>3.9921258255147425E-3</v>
      </c>
      <c r="AN67" s="34">
        <v>0</v>
      </c>
      <c r="AO67" s="34">
        <v>5.1842725945187069E-6</v>
      </c>
      <c r="AP67" s="34">
        <v>1.3512839746900889E-7</v>
      </c>
      <c r="AQ67" s="34">
        <v>6.5490648626579012E-8</v>
      </c>
      <c r="AR67" s="34">
        <v>4.9386669839850162E-8</v>
      </c>
      <c r="AS67" s="34">
        <v>2.074391227463549E-6</v>
      </c>
      <c r="AT67" s="34">
        <v>7.5086695379176938E-6</v>
      </c>
      <c r="AU67" s="36">
        <v>0</v>
      </c>
      <c r="AV67" s="36">
        <v>0</v>
      </c>
      <c r="AW67" s="36">
        <v>1.5117612549304556E-3</v>
      </c>
      <c r="AX67" s="36">
        <v>2.01770987761535E-2</v>
      </c>
      <c r="AY67" s="36">
        <v>1.5285267327287853E-2</v>
      </c>
      <c r="AZ67" s="36">
        <v>0.21047691392722634</v>
      </c>
      <c r="BA67" s="36">
        <v>0.24745104128559814</v>
      </c>
      <c r="BB67" s="6"/>
      <c r="BC67" s="6"/>
      <c r="BD67" t="s">
        <v>874</v>
      </c>
      <c r="BF67" s="5">
        <v>1.3146863999999999E-2</v>
      </c>
      <c r="BG67" s="5">
        <f t="shared" si="1"/>
        <v>-5.1728405992144972E-3</v>
      </c>
      <c r="BH67" s="2">
        <v>39.066484000000003</v>
      </c>
    </row>
    <row r="68" spans="1:60" x14ac:dyDescent="0.2">
      <c r="A68" t="str">
        <f t="shared" si="4"/>
        <v>Bicycle, electric (&lt;25 km/h) - 2030 - LFP - CH</v>
      </c>
      <c r="B68" t="s">
        <v>489</v>
      </c>
      <c r="D68" s="19">
        <v>2030</v>
      </c>
      <c r="E68" t="s">
        <v>37</v>
      </c>
      <c r="F68" t="s">
        <v>140</v>
      </c>
      <c r="G68" t="s">
        <v>39</v>
      </c>
      <c r="H68" t="s">
        <v>32</v>
      </c>
      <c r="I68" t="s">
        <v>44</v>
      </c>
      <c r="J68" t="s">
        <v>861</v>
      </c>
      <c r="L68" s="26">
        <v>0</v>
      </c>
      <c r="M68" s="26">
        <v>0</v>
      </c>
      <c r="N68" s="26">
        <v>1.5173567960250059E-4</v>
      </c>
      <c r="O68" s="26">
        <v>1.195732624675443E-3</v>
      </c>
      <c r="P68" s="26">
        <v>4.7381523441582089E-4</v>
      </c>
      <c r="Q68" s="26">
        <v>1.730129842392206E-2</v>
      </c>
      <c r="R68" s="26">
        <v>1.9122581962615823E-2</v>
      </c>
      <c r="S68" s="28">
        <v>0</v>
      </c>
      <c r="T68" s="28">
        <v>0</v>
      </c>
      <c r="U68" s="28">
        <v>8.6491252881602508E-5</v>
      </c>
      <c r="V68" s="28">
        <v>9.8317473549625417E-5</v>
      </c>
      <c r="W68" s="28">
        <v>2.993926671311958E-5</v>
      </c>
      <c r="X68" s="28">
        <v>8.3478841054753904E-3</v>
      </c>
      <c r="Y68" s="28">
        <v>8.562632098619738E-3</v>
      </c>
      <c r="Z68" s="30">
        <v>0</v>
      </c>
      <c r="AA68" s="30">
        <v>1.3758060237990489E-3</v>
      </c>
      <c r="AB68" s="30">
        <v>1.5261971665741149E-5</v>
      </c>
      <c r="AC68" s="30">
        <v>2.3968260093961618E-5</v>
      </c>
      <c r="AD68" s="30">
        <v>1.360936788162145E-5</v>
      </c>
      <c r="AE68" s="30">
        <v>1.241371074846764E-3</v>
      </c>
      <c r="AF68" s="30">
        <v>2.6700166982871372E-3</v>
      </c>
      <c r="AG68" s="32">
        <v>0</v>
      </c>
      <c r="AH68" s="32">
        <v>7.228237882960114E-6</v>
      </c>
      <c r="AI68" s="32">
        <v>5.7195725930249998E-5</v>
      </c>
      <c r="AJ68" s="32">
        <v>8.5554174677296554E-5</v>
      </c>
      <c r="AK68" s="32">
        <v>1.2701275452182609E-5</v>
      </c>
      <c r="AL68" s="32">
        <v>3.9694988774694904E-3</v>
      </c>
      <c r="AM68" s="32">
        <v>4.1321782914121793E-3</v>
      </c>
      <c r="AN68" s="34">
        <v>0</v>
      </c>
      <c r="AO68" s="34">
        <v>5.1842725945187069E-6</v>
      </c>
      <c r="AP68" s="34">
        <v>1.3512839746900889E-7</v>
      </c>
      <c r="AQ68" s="34">
        <v>6.5490648626579012E-8</v>
      </c>
      <c r="AR68" s="34">
        <v>5.0151159428265402E-8</v>
      </c>
      <c r="AS68" s="34">
        <v>2.1123012663586759E-6</v>
      </c>
      <c r="AT68" s="34">
        <v>7.5473440664012354E-6</v>
      </c>
      <c r="AU68" s="36">
        <v>0</v>
      </c>
      <c r="AV68" s="36">
        <v>0</v>
      </c>
      <c r="AW68" s="36">
        <v>1.5117612549304556E-3</v>
      </c>
      <c r="AX68" s="36">
        <v>2.01770987761535E-2</v>
      </c>
      <c r="AY68" s="36">
        <v>1.5521878294695623E-2</v>
      </c>
      <c r="AZ68" s="36">
        <v>0.21911361812630106</v>
      </c>
      <c r="BA68" s="36">
        <v>0.25632435645208063</v>
      </c>
      <c r="BB68" s="6"/>
      <c r="BC68" s="6"/>
      <c r="BD68" t="s">
        <v>993</v>
      </c>
      <c r="BF68" s="5">
        <v>1.3508155000000001E-2</v>
      </c>
      <c r="BG68" s="5">
        <f t="shared" ref="BG68:BG131" si="5">BF68-R68</f>
        <v>-5.6144269626158226E-3</v>
      </c>
      <c r="BH68" s="2">
        <v>39.291739</v>
      </c>
    </row>
    <row r="69" spans="1:60" x14ac:dyDescent="0.2">
      <c r="A69" t="str">
        <f t="shared" si="4"/>
        <v>Bicycle, electric (&lt;25 km/h) - 2040 - LFP - CH</v>
      </c>
      <c r="B69" t="s">
        <v>489</v>
      </c>
      <c r="D69" s="19">
        <v>2040</v>
      </c>
      <c r="E69" t="s">
        <v>37</v>
      </c>
      <c r="F69" t="s">
        <v>140</v>
      </c>
      <c r="G69" t="s">
        <v>39</v>
      </c>
      <c r="H69" t="s">
        <v>32</v>
      </c>
      <c r="I69" t="s">
        <v>44</v>
      </c>
      <c r="J69" t="s">
        <v>861</v>
      </c>
      <c r="L69" s="26">
        <v>0</v>
      </c>
      <c r="M69" s="26">
        <v>0</v>
      </c>
      <c r="N69" s="26">
        <v>1.5173567960250059E-4</v>
      </c>
      <c r="O69" s="26">
        <v>1.195732624675443E-3</v>
      </c>
      <c r="P69" s="26">
        <v>4.7190334305809368E-4</v>
      </c>
      <c r="Q69" s="26">
        <v>1.6441178310260911E-2</v>
      </c>
      <c r="R69" s="26">
        <v>1.8260549957596947E-2</v>
      </c>
      <c r="S69" s="28">
        <v>0</v>
      </c>
      <c r="T69" s="28">
        <v>0</v>
      </c>
      <c r="U69" s="28">
        <v>8.6491252881602508E-5</v>
      </c>
      <c r="V69" s="28">
        <v>9.8317473549625417E-5</v>
      </c>
      <c r="W69" s="28">
        <v>2.9818458809262119E-5</v>
      </c>
      <c r="X69" s="28">
        <v>7.5002296310549546E-3</v>
      </c>
      <c r="Y69" s="28">
        <v>7.7148568162954444E-3</v>
      </c>
      <c r="Z69" s="30">
        <v>0</v>
      </c>
      <c r="AA69" s="30">
        <v>1.3758060237990489E-3</v>
      </c>
      <c r="AB69" s="30">
        <v>1.5261971665741149E-5</v>
      </c>
      <c r="AC69" s="30">
        <v>2.3968260093961618E-5</v>
      </c>
      <c r="AD69" s="30">
        <v>1.355445273549052E-5</v>
      </c>
      <c r="AE69" s="30">
        <v>1.135527314052626E-3</v>
      </c>
      <c r="AF69" s="30">
        <v>2.5641180223468681E-3</v>
      </c>
      <c r="AG69" s="32">
        <v>0</v>
      </c>
      <c r="AH69" s="32">
        <v>7.228237882960114E-6</v>
      </c>
      <c r="AI69" s="32">
        <v>5.7195725930249998E-5</v>
      </c>
      <c r="AJ69" s="32">
        <v>8.5554174677296554E-5</v>
      </c>
      <c r="AK69" s="32">
        <v>1.2650024548865661E-5</v>
      </c>
      <c r="AL69" s="32">
        <v>3.631551749364771E-3</v>
      </c>
      <c r="AM69" s="32">
        <v>3.7941799124041435E-3</v>
      </c>
      <c r="AN69" s="34">
        <v>0</v>
      </c>
      <c r="AO69" s="34">
        <v>5.1842725945187069E-6</v>
      </c>
      <c r="AP69" s="34">
        <v>1.3512839746900889E-7</v>
      </c>
      <c r="AQ69" s="34">
        <v>6.5490648626579012E-8</v>
      </c>
      <c r="AR69" s="34">
        <v>4.9948794537214308E-8</v>
      </c>
      <c r="AS69" s="34">
        <v>1.9112971458837662E-6</v>
      </c>
      <c r="AT69" s="34">
        <v>7.3461375810352752E-6</v>
      </c>
      <c r="AU69" s="36">
        <v>0</v>
      </c>
      <c r="AV69" s="36">
        <v>0</v>
      </c>
      <c r="AW69" s="36">
        <v>1.5117612549304556E-3</v>
      </c>
      <c r="AX69" s="36">
        <v>2.01770987761535E-2</v>
      </c>
      <c r="AY69" s="36">
        <v>1.5459245979793569E-2</v>
      </c>
      <c r="AZ69" s="36">
        <v>0.20609465962102799</v>
      </c>
      <c r="BA69" s="36">
        <v>0.2432427656319055</v>
      </c>
      <c r="BB69" s="6"/>
      <c r="BC69" s="6"/>
      <c r="BD69" t="s">
        <v>994</v>
      </c>
      <c r="BF69" s="5">
        <v>1.2706182E-2</v>
      </c>
      <c r="BG69" s="5">
        <f t="shared" si="5"/>
        <v>-5.5543679575969472E-3</v>
      </c>
      <c r="BH69" s="2">
        <v>34.910271000000002</v>
      </c>
    </row>
    <row r="70" spans="1:60" x14ac:dyDescent="0.2">
      <c r="A70" t="str">
        <f t="shared" si="4"/>
        <v>Bicycle, electric (&lt;25 km/h) - 2050 - LFP - CH</v>
      </c>
      <c r="B70" t="s">
        <v>489</v>
      </c>
      <c r="D70" s="19">
        <v>2050</v>
      </c>
      <c r="E70" t="s">
        <v>37</v>
      </c>
      <c r="F70" t="s">
        <v>140</v>
      </c>
      <c r="G70" t="s">
        <v>39</v>
      </c>
      <c r="H70" t="s">
        <v>32</v>
      </c>
      <c r="I70" t="s">
        <v>44</v>
      </c>
      <c r="J70" t="s">
        <v>861</v>
      </c>
      <c r="L70" s="26">
        <v>0</v>
      </c>
      <c r="M70" s="26">
        <v>0</v>
      </c>
      <c r="N70" s="26">
        <v>1.5173567960250059E-4</v>
      </c>
      <c r="O70" s="26">
        <v>1.195732624675443E-3</v>
      </c>
      <c r="P70" s="26">
        <v>4.7492291750402812E-4</v>
      </c>
      <c r="Q70" s="26">
        <v>1.6277304766004991E-2</v>
      </c>
      <c r="R70" s="26">
        <v>1.8099695987786962E-2</v>
      </c>
      <c r="S70" s="28">
        <v>0</v>
      </c>
      <c r="T70" s="28">
        <v>0</v>
      </c>
      <c r="U70" s="28">
        <v>8.6491252881602508E-5</v>
      </c>
      <c r="V70" s="28">
        <v>9.8317473549625417E-5</v>
      </c>
      <c r="W70" s="28">
        <v>3.0009258593925888E-5</v>
      </c>
      <c r="X70" s="28">
        <v>7.1133864594540583E-3</v>
      </c>
      <c r="Y70" s="28">
        <v>7.3282044444792117E-3</v>
      </c>
      <c r="Z70" s="30">
        <v>0</v>
      </c>
      <c r="AA70" s="30">
        <v>1.3758060237990489E-3</v>
      </c>
      <c r="AB70" s="30">
        <v>1.5261971665741149E-5</v>
      </c>
      <c r="AC70" s="30">
        <v>2.3968260093961618E-5</v>
      </c>
      <c r="AD70" s="30">
        <v>1.3641183799617939E-5</v>
      </c>
      <c r="AE70" s="30">
        <v>1.0973681230276621E-3</v>
      </c>
      <c r="AF70" s="30">
        <v>2.5260455623860316E-3</v>
      </c>
      <c r="AG70" s="32">
        <v>0</v>
      </c>
      <c r="AH70" s="32">
        <v>7.228237882960114E-6</v>
      </c>
      <c r="AI70" s="32">
        <v>5.7195725930249998E-5</v>
      </c>
      <c r="AJ70" s="32">
        <v>8.5554174677296554E-5</v>
      </c>
      <c r="AK70" s="32">
        <v>1.2730968435850361E-5</v>
      </c>
      <c r="AL70" s="32">
        <v>3.5071907992978821E-3</v>
      </c>
      <c r="AM70" s="32">
        <v>3.6698999062242392E-3</v>
      </c>
      <c r="AN70" s="34">
        <v>0</v>
      </c>
      <c r="AO70" s="34">
        <v>5.1842725945187069E-6</v>
      </c>
      <c r="AP70" s="34">
        <v>1.3512839746900889E-7</v>
      </c>
      <c r="AQ70" s="34">
        <v>6.5490648626579012E-8</v>
      </c>
      <c r="AR70" s="34">
        <v>5.0268402579429921E-8</v>
      </c>
      <c r="AS70" s="34">
        <v>1.8242122660436949E-6</v>
      </c>
      <c r="AT70" s="34">
        <v>7.2593723092374188E-6</v>
      </c>
      <c r="AU70" s="36">
        <v>0</v>
      </c>
      <c r="AV70" s="36">
        <v>0</v>
      </c>
      <c r="AW70" s="36">
        <v>1.5117612549304556E-3</v>
      </c>
      <c r="AX70" s="36">
        <v>2.01770987761535E-2</v>
      </c>
      <c r="AY70" s="36">
        <v>1.5558165270789669E-2</v>
      </c>
      <c r="AZ70" s="36">
        <v>0.20249340819209583</v>
      </c>
      <c r="BA70" s="36">
        <v>0.23974043349396945</v>
      </c>
      <c r="BB70" s="6"/>
      <c r="BC70" s="6"/>
      <c r="BD70" t="s">
        <v>995</v>
      </c>
      <c r="BF70" s="5">
        <v>1.2432677000000001E-2</v>
      </c>
      <c r="BG70" s="5">
        <f t="shared" si="5"/>
        <v>-5.667018987786961E-3</v>
      </c>
      <c r="BH70" s="2">
        <v>32.805720000000001</v>
      </c>
    </row>
    <row r="71" spans="1:60" x14ac:dyDescent="0.2">
      <c r="A71" t="str">
        <f t="shared" si="4"/>
        <v>Bicycle, electric (&lt;45 km/h) - 2020 - LFP - CH</v>
      </c>
      <c r="B71" t="s">
        <v>490</v>
      </c>
      <c r="D71" s="19">
        <v>2020</v>
      </c>
      <c r="E71" t="s">
        <v>37</v>
      </c>
      <c r="F71" t="s">
        <v>140</v>
      </c>
      <c r="G71" t="s">
        <v>39</v>
      </c>
      <c r="H71" t="s">
        <v>32</v>
      </c>
      <c r="I71" t="s">
        <v>44</v>
      </c>
      <c r="J71" t="s">
        <v>861</v>
      </c>
      <c r="L71" s="26">
        <v>0</v>
      </c>
      <c r="M71" s="26">
        <v>0</v>
      </c>
      <c r="N71" s="26">
        <v>2.7867064536129458E-4</v>
      </c>
      <c r="O71" s="26">
        <v>1.195732624675443E-3</v>
      </c>
      <c r="P71" s="26">
        <v>4.8480102285228591E-4</v>
      </c>
      <c r="Q71" s="26">
        <v>1.197791323700367E-2</v>
      </c>
      <c r="R71" s="26">
        <v>1.3937117529892693E-2</v>
      </c>
      <c r="S71" s="28">
        <v>0</v>
      </c>
      <c r="T71" s="28">
        <v>0</v>
      </c>
      <c r="U71" s="28">
        <v>1.5884578578857799E-4</v>
      </c>
      <c r="V71" s="28">
        <v>9.8317473549625417E-5</v>
      </c>
      <c r="W71" s="28">
        <v>3.0633432763856099E-5</v>
      </c>
      <c r="X71" s="28">
        <v>5.7162676343939052E-3</v>
      </c>
      <c r="Y71" s="28">
        <v>6.0040643264959647E-3</v>
      </c>
      <c r="Z71" s="30">
        <v>0</v>
      </c>
      <c r="AA71" s="30">
        <v>1.3758060237990489E-3</v>
      </c>
      <c r="AB71" s="30">
        <v>2.8029422642845481E-5</v>
      </c>
      <c r="AC71" s="30">
        <v>2.3968260093961618E-5</v>
      </c>
      <c r="AD71" s="30">
        <v>1.392491205462772E-5</v>
      </c>
      <c r="AE71" s="30">
        <v>8.4585675456149041E-4</v>
      </c>
      <c r="AF71" s="30">
        <v>2.2875853731519746E-3</v>
      </c>
      <c r="AG71" s="32">
        <v>0</v>
      </c>
      <c r="AH71" s="32">
        <v>7.228237882960114E-6</v>
      </c>
      <c r="AI71" s="32">
        <v>1.050429925159661E-4</v>
      </c>
      <c r="AJ71" s="32">
        <v>8.5554174677296554E-5</v>
      </c>
      <c r="AK71" s="32">
        <v>1.299576476965459E-5</v>
      </c>
      <c r="AL71" s="32">
        <v>2.7117016161737882E-3</v>
      </c>
      <c r="AM71" s="32">
        <v>2.9225227860196655E-3</v>
      </c>
      <c r="AN71" s="34">
        <v>0</v>
      </c>
      <c r="AO71" s="34">
        <v>5.1842725945187069E-6</v>
      </c>
      <c r="AP71" s="34">
        <v>2.4817048849666651E-7</v>
      </c>
      <c r="AQ71" s="34">
        <v>6.5490648626579012E-8</v>
      </c>
      <c r="AR71" s="34">
        <v>5.131395451652724E-8</v>
      </c>
      <c r="AS71" s="34">
        <v>1.469558210803564E-6</v>
      </c>
      <c r="AT71" s="34">
        <v>7.0188058969620429E-6</v>
      </c>
      <c r="AU71" s="36">
        <v>0</v>
      </c>
      <c r="AV71" s="36">
        <v>0</v>
      </c>
      <c r="AW71" s="36">
        <v>2.7764299448046754E-3</v>
      </c>
      <c r="AX71" s="36">
        <v>2.01770987761535E-2</v>
      </c>
      <c r="AY71" s="36">
        <v>1.5881765564450298E-2</v>
      </c>
      <c r="AZ71" s="36">
        <v>0.15177121351182457</v>
      </c>
      <c r="BA71" s="36">
        <v>0.19060650779723304</v>
      </c>
      <c r="BB71" s="6"/>
      <c r="BC71" s="6"/>
      <c r="BD71" t="s">
        <v>880</v>
      </c>
      <c r="BF71" s="5">
        <v>1.0004999000000001E-2</v>
      </c>
      <c r="BG71" s="5">
        <f t="shared" si="5"/>
        <v>-3.9321185298926923E-3</v>
      </c>
      <c r="BH71" s="2">
        <v>28.347435000000001</v>
      </c>
    </row>
    <row r="72" spans="1:60" x14ac:dyDescent="0.2">
      <c r="A72" t="str">
        <f t="shared" si="4"/>
        <v>Bicycle, electric (&lt;45 km/h) - 2030 - LFP - CH</v>
      </c>
      <c r="B72" t="s">
        <v>490</v>
      </c>
      <c r="D72" s="19">
        <v>2030</v>
      </c>
      <c r="E72" t="s">
        <v>37</v>
      </c>
      <c r="F72" t="s">
        <v>140</v>
      </c>
      <c r="G72" t="s">
        <v>39</v>
      </c>
      <c r="H72" t="s">
        <v>32</v>
      </c>
      <c r="I72" t="s">
        <v>44</v>
      </c>
      <c r="J72" t="s">
        <v>861</v>
      </c>
      <c r="L72" s="26">
        <v>0</v>
      </c>
      <c r="M72" s="26">
        <v>0</v>
      </c>
      <c r="N72" s="26">
        <v>2.7867064536129458E-4</v>
      </c>
      <c r="O72" s="26">
        <v>1.195732624675443E-3</v>
      </c>
      <c r="P72" s="26">
        <v>4.9161403253180627E-4</v>
      </c>
      <c r="Q72" s="26">
        <v>1.260708056193968E-2</v>
      </c>
      <c r="R72" s="26">
        <v>1.4573097864508224E-2</v>
      </c>
      <c r="S72" s="28">
        <v>0</v>
      </c>
      <c r="T72" s="28">
        <v>0</v>
      </c>
      <c r="U72" s="28">
        <v>1.5884578578857799E-4</v>
      </c>
      <c r="V72" s="28">
        <v>9.8317473549625417E-5</v>
      </c>
      <c r="W72" s="28">
        <v>3.1063930770459273E-5</v>
      </c>
      <c r="X72" s="28">
        <v>5.815631562422395E-3</v>
      </c>
      <c r="Y72" s="28">
        <v>6.1038587525310576E-3</v>
      </c>
      <c r="Z72" s="30">
        <v>0</v>
      </c>
      <c r="AA72" s="30">
        <v>1.3758060237990489E-3</v>
      </c>
      <c r="AB72" s="30">
        <v>2.8029422642845481E-5</v>
      </c>
      <c r="AC72" s="30">
        <v>2.3968260093961618E-5</v>
      </c>
      <c r="AD72" s="30">
        <v>1.412060174203078E-5</v>
      </c>
      <c r="AE72" s="30">
        <v>8.8118741862179019E-4</v>
      </c>
      <c r="AF72" s="30">
        <v>2.3231117268996773E-3</v>
      </c>
      <c r="AG72" s="32">
        <v>0</v>
      </c>
      <c r="AH72" s="32">
        <v>7.228237882960114E-6</v>
      </c>
      <c r="AI72" s="32">
        <v>1.050429925159661E-4</v>
      </c>
      <c r="AJ72" s="32">
        <v>8.5554174677296554E-5</v>
      </c>
      <c r="AK72" s="32">
        <v>1.317839695687134E-5</v>
      </c>
      <c r="AL72" s="32">
        <v>2.8239285530257939E-3</v>
      </c>
      <c r="AM72" s="32">
        <v>3.0349323550588878E-3</v>
      </c>
      <c r="AN72" s="34">
        <v>0</v>
      </c>
      <c r="AO72" s="34">
        <v>5.1842725945187069E-6</v>
      </c>
      <c r="AP72" s="34">
        <v>2.4817048849666651E-7</v>
      </c>
      <c r="AQ72" s="34">
        <v>6.5490648626579012E-8</v>
      </c>
      <c r="AR72" s="34">
        <v>5.2035080199717248E-8</v>
      </c>
      <c r="AS72" s="34">
        <v>1.49898500022658E-6</v>
      </c>
      <c r="AT72" s="34">
        <v>7.0489538120682492E-6</v>
      </c>
      <c r="AU72" s="36">
        <v>0</v>
      </c>
      <c r="AV72" s="36">
        <v>0</v>
      </c>
      <c r="AW72" s="36">
        <v>2.7764299448046754E-3</v>
      </c>
      <c r="AX72" s="36">
        <v>2.01770987761535E-2</v>
      </c>
      <c r="AY72" s="36">
        <v>1.6104955321521921E-2</v>
      </c>
      <c r="AZ72" s="36">
        <v>0.15858661301656282</v>
      </c>
      <c r="BA72" s="36">
        <v>0.19764509705904293</v>
      </c>
      <c r="BB72" s="6"/>
      <c r="BC72" s="6"/>
      <c r="BD72" t="s">
        <v>996</v>
      </c>
      <c r="BF72" s="5">
        <v>1.0288837E-2</v>
      </c>
      <c r="BG72" s="5">
        <f t="shared" si="5"/>
        <v>-4.2842608645082235E-3</v>
      </c>
      <c r="BH72" s="2">
        <v>28.523598</v>
      </c>
    </row>
    <row r="73" spans="1:60" x14ac:dyDescent="0.2">
      <c r="A73" t="str">
        <f t="shared" si="4"/>
        <v>Bicycle, electric (&lt;45 km/h) - 2040 - LFP - CH</v>
      </c>
      <c r="B73" t="s">
        <v>490</v>
      </c>
      <c r="D73" s="19">
        <v>2040</v>
      </c>
      <c r="E73" t="s">
        <v>37</v>
      </c>
      <c r="F73" t="s">
        <v>140</v>
      </c>
      <c r="G73" t="s">
        <v>39</v>
      </c>
      <c r="H73" t="s">
        <v>32</v>
      </c>
      <c r="I73" t="s">
        <v>44</v>
      </c>
      <c r="J73" t="s">
        <v>861</v>
      </c>
      <c r="L73" s="26">
        <v>0</v>
      </c>
      <c r="M73" s="26">
        <v>0</v>
      </c>
      <c r="N73" s="26">
        <v>2.7867064536129458E-4</v>
      </c>
      <c r="O73" s="26">
        <v>1.195732624675443E-3</v>
      </c>
      <c r="P73" s="26">
        <v>4.8897380160923046E-4</v>
      </c>
      <c r="Q73" s="26">
        <v>1.208315306485455E-2</v>
      </c>
      <c r="R73" s="26">
        <v>1.4046530136500517E-2</v>
      </c>
      <c r="S73" s="28">
        <v>0</v>
      </c>
      <c r="T73" s="28">
        <v>0</v>
      </c>
      <c r="U73" s="28">
        <v>1.5884578578857799E-4</v>
      </c>
      <c r="V73" s="28">
        <v>9.8317473549625417E-5</v>
      </c>
      <c r="W73" s="28">
        <v>3.0897100807989451E-5</v>
      </c>
      <c r="X73" s="28">
        <v>5.2473757180386358E-3</v>
      </c>
      <c r="Y73" s="28">
        <v>5.5354360781848288E-3</v>
      </c>
      <c r="Z73" s="30">
        <v>0</v>
      </c>
      <c r="AA73" s="30">
        <v>1.3758060237990489E-3</v>
      </c>
      <c r="AB73" s="30">
        <v>2.8029422642845481E-5</v>
      </c>
      <c r="AC73" s="30">
        <v>2.3968260093961618E-5</v>
      </c>
      <c r="AD73" s="30">
        <v>1.4044766540230931E-5</v>
      </c>
      <c r="AE73" s="30">
        <v>8.1262323617899406E-4</v>
      </c>
      <c r="AF73" s="30">
        <v>2.254471709255081E-3</v>
      </c>
      <c r="AG73" s="32">
        <v>0</v>
      </c>
      <c r="AH73" s="32">
        <v>7.228237882960114E-6</v>
      </c>
      <c r="AI73" s="32">
        <v>1.050429925159661E-4</v>
      </c>
      <c r="AJ73" s="32">
        <v>8.5554174677296554E-5</v>
      </c>
      <c r="AK73" s="32">
        <v>1.310762189990984E-5</v>
      </c>
      <c r="AL73" s="32">
        <v>2.603132400579865E-3</v>
      </c>
      <c r="AM73" s="32">
        <v>2.8140654275559977E-3</v>
      </c>
      <c r="AN73" s="34">
        <v>0</v>
      </c>
      <c r="AO73" s="34">
        <v>5.1842725945187069E-6</v>
      </c>
      <c r="AP73" s="34">
        <v>2.4817048849666651E-7</v>
      </c>
      <c r="AQ73" s="34">
        <v>6.5490648626579012E-8</v>
      </c>
      <c r="AR73" s="34">
        <v>5.1755623921599077E-8</v>
      </c>
      <c r="AS73" s="34">
        <v>1.365644327390255E-6</v>
      </c>
      <c r="AT73" s="34">
        <v>6.9153336829538054E-6</v>
      </c>
      <c r="AU73" s="36">
        <v>0</v>
      </c>
      <c r="AV73" s="36">
        <v>0</v>
      </c>
      <c r="AW73" s="36">
        <v>2.7764299448046754E-3</v>
      </c>
      <c r="AX73" s="36">
        <v>2.01770987761535E-2</v>
      </c>
      <c r="AY73" s="36">
        <v>1.6018463077133369E-2</v>
      </c>
      <c r="AZ73" s="36">
        <v>0.15042861546950603</v>
      </c>
      <c r="BA73" s="36">
        <v>0.18940060726759758</v>
      </c>
      <c r="BB73" s="6"/>
      <c r="BC73" s="6"/>
      <c r="BD73" t="s">
        <v>997</v>
      </c>
      <c r="BF73" s="5">
        <v>9.7680244999999999E-3</v>
      </c>
      <c r="BG73" s="5">
        <f t="shared" si="5"/>
        <v>-4.2785056365005174E-3</v>
      </c>
      <c r="BH73" s="2">
        <v>25.580089000000001</v>
      </c>
    </row>
    <row r="74" spans="1:60" x14ac:dyDescent="0.2">
      <c r="A74" t="str">
        <f t="shared" si="4"/>
        <v>Bicycle, electric (&lt;45 km/h) - 2050 - LFP - CH</v>
      </c>
      <c r="B74" t="s">
        <v>490</v>
      </c>
      <c r="D74" s="19">
        <v>2050</v>
      </c>
      <c r="E74" t="s">
        <v>37</v>
      </c>
      <c r="F74" t="s">
        <v>140</v>
      </c>
      <c r="G74" t="s">
        <v>39</v>
      </c>
      <c r="H74" t="s">
        <v>32</v>
      </c>
      <c r="I74" t="s">
        <v>44</v>
      </c>
      <c r="J74" t="s">
        <v>861</v>
      </c>
      <c r="L74" s="26">
        <v>0</v>
      </c>
      <c r="M74" s="26">
        <v>0</v>
      </c>
      <c r="N74" s="26">
        <v>2.7867064536129458E-4</v>
      </c>
      <c r="O74" s="26">
        <v>1.195732624675443E-3</v>
      </c>
      <c r="P74" s="26">
        <v>4.9172024871834666E-4</v>
      </c>
      <c r="Q74" s="26">
        <v>1.2039724651308431E-2</v>
      </c>
      <c r="R74" s="26">
        <v>1.4005848170063515E-2</v>
      </c>
      <c r="S74" s="28">
        <v>0</v>
      </c>
      <c r="T74" s="28">
        <v>0</v>
      </c>
      <c r="U74" s="28">
        <v>1.5884578578857799E-4</v>
      </c>
      <c r="V74" s="28">
        <v>9.8317473549625417E-5</v>
      </c>
      <c r="W74" s="28">
        <v>3.1070642320673577E-5</v>
      </c>
      <c r="X74" s="28">
        <v>5.0014927998737564E-3</v>
      </c>
      <c r="Y74" s="28">
        <v>5.289726701532633E-3</v>
      </c>
      <c r="Z74" s="30">
        <v>0</v>
      </c>
      <c r="AA74" s="30">
        <v>1.3758060237990489E-3</v>
      </c>
      <c r="AB74" s="30">
        <v>2.8029422642845481E-5</v>
      </c>
      <c r="AC74" s="30">
        <v>2.3968260093961618E-5</v>
      </c>
      <c r="AD74" s="30">
        <v>1.41236525834825E-5</v>
      </c>
      <c r="AE74" s="30">
        <v>7.9093908825957971E-4</v>
      </c>
      <c r="AF74" s="30">
        <v>2.2328664473789182E-3</v>
      </c>
      <c r="AG74" s="32">
        <v>0</v>
      </c>
      <c r="AH74" s="32">
        <v>7.228237882960114E-6</v>
      </c>
      <c r="AI74" s="32">
        <v>1.050429925159661E-4</v>
      </c>
      <c r="AJ74" s="32">
        <v>8.5554174677296554E-5</v>
      </c>
      <c r="AK74" s="32">
        <v>1.318124422927783E-5</v>
      </c>
      <c r="AL74" s="32">
        <v>2.532883577710338E-3</v>
      </c>
      <c r="AM74" s="32">
        <v>2.7438902270158386E-3</v>
      </c>
      <c r="AN74" s="34">
        <v>0</v>
      </c>
      <c r="AO74" s="34">
        <v>5.1842725945187069E-6</v>
      </c>
      <c r="AP74" s="34">
        <v>2.4817048849666651E-7</v>
      </c>
      <c r="AQ74" s="34">
        <v>6.5490648626579012E-8</v>
      </c>
      <c r="AR74" s="34">
        <v>5.2046322693664528E-8</v>
      </c>
      <c r="AS74" s="34">
        <v>1.310356689145099E-6</v>
      </c>
      <c r="AT74" s="34">
        <v>6.8603367434807159E-6</v>
      </c>
      <c r="AU74" s="36">
        <v>0</v>
      </c>
      <c r="AV74" s="36">
        <v>0</v>
      </c>
      <c r="AW74" s="36">
        <v>2.7764299448046754E-3</v>
      </c>
      <c r="AX74" s="36">
        <v>2.01770987761535E-2</v>
      </c>
      <c r="AY74" s="36">
        <v>1.6108434894572029E-2</v>
      </c>
      <c r="AZ74" s="36">
        <v>0.14873284614030871</v>
      </c>
      <c r="BA74" s="36">
        <v>0.1877948097558389</v>
      </c>
      <c r="BB74" s="6"/>
      <c r="BC74" s="6"/>
      <c r="BD74" t="s">
        <v>998</v>
      </c>
      <c r="BF74" s="5">
        <v>9.6136794999999997E-3</v>
      </c>
      <c r="BG74" s="5">
        <f t="shared" si="5"/>
        <v>-4.3921686700635152E-3</v>
      </c>
      <c r="BH74" s="2">
        <v>24.193314999999998</v>
      </c>
    </row>
    <row r="75" spans="1:60" x14ac:dyDescent="0.2">
      <c r="A75" t="str">
        <f t="shared" si="4"/>
        <v>Bicycle, electric, cargo bike - 2020 - LFP - CH</v>
      </c>
      <c r="B75" t="s">
        <v>496</v>
      </c>
      <c r="D75" s="19">
        <v>2020</v>
      </c>
      <c r="E75" t="s">
        <v>37</v>
      </c>
      <c r="F75" t="s">
        <v>140</v>
      </c>
      <c r="G75" t="s">
        <v>39</v>
      </c>
      <c r="H75" t="s">
        <v>32</v>
      </c>
      <c r="I75" t="s">
        <v>44</v>
      </c>
      <c r="J75" t="s">
        <v>861</v>
      </c>
      <c r="L75" s="26">
        <v>0</v>
      </c>
      <c r="M75" s="26">
        <v>0</v>
      </c>
      <c r="N75" s="26">
        <v>2.1347201307001551E-4</v>
      </c>
      <c r="O75" s="26">
        <v>1.195732624675443E-3</v>
      </c>
      <c r="P75" s="26">
        <v>7.8979321563259718E-4</v>
      </c>
      <c r="Q75" s="26">
        <v>2.542449500895469E-2</v>
      </c>
      <c r="R75" s="26">
        <v>2.7623492862332746E-2</v>
      </c>
      <c r="S75" s="28">
        <v>0</v>
      </c>
      <c r="T75" s="28">
        <v>0</v>
      </c>
      <c r="U75" s="28">
        <v>1.2168174231632199E-4</v>
      </c>
      <c r="V75" s="28">
        <v>9.8317473549625417E-5</v>
      </c>
      <c r="W75" s="28">
        <v>4.9905169807784347E-5</v>
      </c>
      <c r="X75" s="28">
        <v>9.1136015202262204E-3</v>
      </c>
      <c r="Y75" s="28">
        <v>9.3835059058999526E-3</v>
      </c>
      <c r="Z75" s="30">
        <v>0</v>
      </c>
      <c r="AA75" s="30">
        <v>2.7516120475980978E-3</v>
      </c>
      <c r="AB75" s="30">
        <v>2.1471573616951781E-5</v>
      </c>
      <c r="AC75" s="30">
        <v>2.3968260093961618E-5</v>
      </c>
      <c r="AD75" s="30">
        <v>2.268518536598976E-5</v>
      </c>
      <c r="AE75" s="30">
        <v>1.5312676604341709E-3</v>
      </c>
      <c r="AF75" s="30">
        <v>4.3510047271091718E-3</v>
      </c>
      <c r="AG75" s="32">
        <v>0</v>
      </c>
      <c r="AH75" s="32">
        <v>1.445647576592023E-5</v>
      </c>
      <c r="AI75" s="32">
        <v>8.0466814300478743E-5</v>
      </c>
      <c r="AJ75" s="32">
        <v>8.5554174677296554E-5</v>
      </c>
      <c r="AK75" s="32">
        <v>2.117150410831053E-5</v>
      </c>
      <c r="AL75" s="32">
        <v>4.6771141513465009E-3</v>
      </c>
      <c r="AM75" s="32">
        <v>4.8787631201985069E-3</v>
      </c>
      <c r="AN75" s="34">
        <v>0</v>
      </c>
      <c r="AO75" s="34">
        <v>1.036854518903741E-5</v>
      </c>
      <c r="AP75" s="34">
        <v>1.901077657292092E-7</v>
      </c>
      <c r="AQ75" s="34">
        <v>6.5490648626579012E-8</v>
      </c>
      <c r="AR75" s="34">
        <v>8.359597285086832E-8</v>
      </c>
      <c r="AS75" s="34">
        <v>2.795573149973405E-6</v>
      </c>
      <c r="AT75" s="34">
        <v>1.3503312726217473E-5</v>
      </c>
      <c r="AU75" s="36">
        <v>0</v>
      </c>
      <c r="AV75" s="36">
        <v>0</v>
      </c>
      <c r="AW75" s="36">
        <v>2.1268479451680587E-3</v>
      </c>
      <c r="AX75" s="36">
        <v>2.01770987761535E-2</v>
      </c>
      <c r="AY75" s="36">
        <v>2.5873111036921376E-2</v>
      </c>
      <c r="AZ75" s="36">
        <v>0.31624977515645514</v>
      </c>
      <c r="BA75" s="36">
        <v>0.36442683291469807</v>
      </c>
      <c r="BB75" s="6"/>
      <c r="BC75" s="6"/>
      <c r="BD75" t="s">
        <v>886</v>
      </c>
      <c r="BF75" s="5">
        <v>1.9179189999999999E-2</v>
      </c>
      <c r="BG75" s="5">
        <f t="shared" si="5"/>
        <v>-8.4443028623327476E-3</v>
      </c>
      <c r="BH75" s="2">
        <v>48.444122</v>
      </c>
    </row>
    <row r="76" spans="1:60" x14ac:dyDescent="0.2">
      <c r="A76" t="str">
        <f t="shared" si="4"/>
        <v>Bicycle, electric, cargo bike - 2030 - LFP - CH</v>
      </c>
      <c r="B76" t="s">
        <v>496</v>
      </c>
      <c r="D76" s="19">
        <v>2030</v>
      </c>
      <c r="E76" t="s">
        <v>37</v>
      </c>
      <c r="F76" t="s">
        <v>140</v>
      </c>
      <c r="G76" t="s">
        <v>39</v>
      </c>
      <c r="H76" t="s">
        <v>32</v>
      </c>
      <c r="I76" t="s">
        <v>44</v>
      </c>
      <c r="J76" t="s">
        <v>861</v>
      </c>
      <c r="L76" s="26">
        <v>0</v>
      </c>
      <c r="M76" s="26">
        <v>0</v>
      </c>
      <c r="N76" s="26">
        <v>2.1347201307001551E-4</v>
      </c>
      <c r="O76" s="26">
        <v>1.195732624675443E-3</v>
      </c>
      <c r="P76" s="26">
        <v>7.8908004980868317E-4</v>
      </c>
      <c r="Q76" s="26">
        <v>2.626939728422828E-2</v>
      </c>
      <c r="R76" s="26">
        <v>2.846768197178242E-2</v>
      </c>
      <c r="S76" s="28">
        <v>0</v>
      </c>
      <c r="T76" s="28">
        <v>0</v>
      </c>
      <c r="U76" s="28">
        <v>1.2168174231632199E-4</v>
      </c>
      <c r="V76" s="28">
        <v>9.8317473549625417E-5</v>
      </c>
      <c r="W76" s="28">
        <v>4.9860106542059748E-5</v>
      </c>
      <c r="X76" s="28">
        <v>8.7427632140537458E-3</v>
      </c>
      <c r="Y76" s="28">
        <v>9.0126225364617531E-3</v>
      </c>
      <c r="Z76" s="30">
        <v>0</v>
      </c>
      <c r="AA76" s="30">
        <v>2.7516120475980978E-3</v>
      </c>
      <c r="AB76" s="30">
        <v>2.1471573616951781E-5</v>
      </c>
      <c r="AC76" s="30">
        <v>2.3968260093961618E-5</v>
      </c>
      <c r="AD76" s="30">
        <v>2.2664701144813939E-5</v>
      </c>
      <c r="AE76" s="30">
        <v>1.5367796168004259E-3</v>
      </c>
      <c r="AF76" s="30">
        <v>4.3564961992542508E-3</v>
      </c>
      <c r="AG76" s="32">
        <v>0</v>
      </c>
      <c r="AH76" s="32">
        <v>1.445647576592023E-5</v>
      </c>
      <c r="AI76" s="32">
        <v>8.0466814300478743E-5</v>
      </c>
      <c r="AJ76" s="32">
        <v>8.5554174677296554E-5</v>
      </c>
      <c r="AK76" s="32">
        <v>2.1152386707866911E-5</v>
      </c>
      <c r="AL76" s="32">
        <v>4.7055066893301441E-3</v>
      </c>
      <c r="AM76" s="32">
        <v>4.9071365407817062E-3</v>
      </c>
      <c r="AN76" s="34">
        <v>0</v>
      </c>
      <c r="AO76" s="34">
        <v>1.036854518903741E-5</v>
      </c>
      <c r="AP76" s="34">
        <v>1.901077657292092E-7</v>
      </c>
      <c r="AQ76" s="34">
        <v>6.5490648626579012E-8</v>
      </c>
      <c r="AR76" s="34">
        <v>8.3520487534365137E-8</v>
      </c>
      <c r="AS76" s="34">
        <v>2.7102528686705018E-6</v>
      </c>
      <c r="AT76" s="34">
        <v>1.3417916959598066E-5</v>
      </c>
      <c r="AU76" s="36">
        <v>0</v>
      </c>
      <c r="AV76" s="36">
        <v>0</v>
      </c>
      <c r="AW76" s="36">
        <v>2.1268479451680587E-3</v>
      </c>
      <c r="AX76" s="36">
        <v>2.01770987761535E-2</v>
      </c>
      <c r="AY76" s="36">
        <v>2.5849748189299193E-2</v>
      </c>
      <c r="AZ76" s="36">
        <v>0.32250638016648092</v>
      </c>
      <c r="BA76" s="36">
        <v>0.37066007507710169</v>
      </c>
      <c r="BB76" s="6"/>
      <c r="BC76" s="6"/>
      <c r="BD76" t="s">
        <v>999</v>
      </c>
      <c r="BF76" s="5">
        <v>1.9206132000000001E-2</v>
      </c>
      <c r="BG76" s="5">
        <f t="shared" si="5"/>
        <v>-9.2615499717824193E-3</v>
      </c>
      <c r="BH76" s="2">
        <v>45.514404999999996</v>
      </c>
    </row>
    <row r="77" spans="1:60" x14ac:dyDescent="0.2">
      <c r="A77" t="str">
        <f t="shared" si="4"/>
        <v>Bicycle, electric, cargo bike - 2040 - LFP - CH</v>
      </c>
      <c r="B77" t="s">
        <v>496</v>
      </c>
      <c r="D77" s="19">
        <v>2040</v>
      </c>
      <c r="E77" t="s">
        <v>37</v>
      </c>
      <c r="F77" t="s">
        <v>140</v>
      </c>
      <c r="G77" t="s">
        <v>39</v>
      </c>
      <c r="H77" t="s">
        <v>32</v>
      </c>
      <c r="I77" t="s">
        <v>44</v>
      </c>
      <c r="J77" t="s">
        <v>861</v>
      </c>
      <c r="L77" s="26">
        <v>0</v>
      </c>
      <c r="M77" s="26">
        <v>0</v>
      </c>
      <c r="N77" s="26">
        <v>2.1347201307001551E-4</v>
      </c>
      <c r="O77" s="26">
        <v>1.195732624675443E-3</v>
      </c>
      <c r="P77" s="26">
        <v>7.8220634516542513E-4</v>
      </c>
      <c r="Q77" s="26">
        <v>2.578366496560117E-2</v>
      </c>
      <c r="R77" s="26">
        <v>2.7975075948512052E-2</v>
      </c>
      <c r="S77" s="28">
        <v>0</v>
      </c>
      <c r="T77" s="28">
        <v>0</v>
      </c>
      <c r="U77" s="28">
        <v>1.2168174231632199E-4</v>
      </c>
      <c r="V77" s="28">
        <v>9.8317473549625417E-5</v>
      </c>
      <c r="W77" s="28">
        <v>4.942577336390553E-5</v>
      </c>
      <c r="X77" s="28">
        <v>7.7968102391621262E-3</v>
      </c>
      <c r="Y77" s="28">
        <v>8.0662352283919787E-3</v>
      </c>
      <c r="Z77" s="30">
        <v>0</v>
      </c>
      <c r="AA77" s="30">
        <v>2.7516120475980978E-3</v>
      </c>
      <c r="AB77" s="30">
        <v>2.1471573616951781E-5</v>
      </c>
      <c r="AC77" s="30">
        <v>2.3968260093961618E-5</v>
      </c>
      <c r="AD77" s="30">
        <v>2.2467268119438459E-5</v>
      </c>
      <c r="AE77" s="30">
        <v>1.4382961002366019E-3</v>
      </c>
      <c r="AF77" s="30">
        <v>4.2578152496650515E-3</v>
      </c>
      <c r="AG77" s="32">
        <v>0</v>
      </c>
      <c r="AH77" s="32">
        <v>1.445647576592023E-5</v>
      </c>
      <c r="AI77" s="32">
        <v>8.0466814300478743E-5</v>
      </c>
      <c r="AJ77" s="32">
        <v>8.5554174677296554E-5</v>
      </c>
      <c r="AK77" s="32">
        <v>2.0968127507846451E-5</v>
      </c>
      <c r="AL77" s="32">
        <v>4.4000001155117428E-3</v>
      </c>
      <c r="AM77" s="32">
        <v>4.6014457077632846E-3</v>
      </c>
      <c r="AN77" s="34">
        <v>0</v>
      </c>
      <c r="AO77" s="34">
        <v>1.036854518903741E-5</v>
      </c>
      <c r="AP77" s="34">
        <v>1.901077657292092E-7</v>
      </c>
      <c r="AQ77" s="34">
        <v>6.5490648626579012E-8</v>
      </c>
      <c r="AR77" s="34">
        <v>8.2792937568919515E-8</v>
      </c>
      <c r="AS77" s="34">
        <v>2.4823554928813048E-6</v>
      </c>
      <c r="AT77" s="34">
        <v>1.3189292033843424E-5</v>
      </c>
      <c r="AU77" s="36">
        <v>0</v>
      </c>
      <c r="AV77" s="36">
        <v>0</v>
      </c>
      <c r="AW77" s="36">
        <v>2.1268479451680587E-3</v>
      </c>
      <c r="AX77" s="36">
        <v>2.01770987761535E-2</v>
      </c>
      <c r="AY77" s="36">
        <v>2.5624570104770358E-2</v>
      </c>
      <c r="AZ77" s="36">
        <v>0.31251170151621827</v>
      </c>
      <c r="BA77" s="36">
        <v>0.36044021834231021</v>
      </c>
      <c r="BB77" s="6"/>
      <c r="BC77" s="6"/>
      <c r="BD77" t="s">
        <v>1000</v>
      </c>
      <c r="BF77" s="5">
        <v>1.8432219000000003E-2</v>
      </c>
      <c r="BG77" s="5">
        <f t="shared" si="5"/>
        <v>-9.542856948512049E-3</v>
      </c>
      <c r="BH77" s="2">
        <v>40.143754999999999</v>
      </c>
    </row>
    <row r="78" spans="1:60" x14ac:dyDescent="0.2">
      <c r="A78" t="str">
        <f t="shared" si="4"/>
        <v>Bicycle, electric, cargo bike - 2050 - LFP - CH</v>
      </c>
      <c r="B78" t="s">
        <v>496</v>
      </c>
      <c r="D78" s="19">
        <v>2050</v>
      </c>
      <c r="E78" t="s">
        <v>37</v>
      </c>
      <c r="F78" t="s">
        <v>140</v>
      </c>
      <c r="G78" t="s">
        <v>39</v>
      </c>
      <c r="H78" t="s">
        <v>32</v>
      </c>
      <c r="I78" t="s">
        <v>44</v>
      </c>
      <c r="J78" t="s">
        <v>861</v>
      </c>
      <c r="L78" s="26">
        <v>0</v>
      </c>
      <c r="M78" s="26">
        <v>0</v>
      </c>
      <c r="N78" s="26">
        <v>2.1347201307001551E-4</v>
      </c>
      <c r="O78" s="26">
        <v>1.195732624675443E-3</v>
      </c>
      <c r="P78" s="26">
        <v>7.7631893368289989E-4</v>
      </c>
      <c r="Q78" s="26">
        <v>2.5641509576497589E-2</v>
      </c>
      <c r="R78" s="26">
        <v>2.7827033147925947E-2</v>
      </c>
      <c r="S78" s="28">
        <v>0</v>
      </c>
      <c r="T78" s="28">
        <v>0</v>
      </c>
      <c r="U78" s="28">
        <v>1.2168174231632199E-4</v>
      </c>
      <c r="V78" s="28">
        <v>9.8317473549625417E-5</v>
      </c>
      <c r="W78" s="28">
        <v>4.9053761723455578E-5</v>
      </c>
      <c r="X78" s="28">
        <v>7.0811706497131482E-3</v>
      </c>
      <c r="Y78" s="28">
        <v>7.3502236273025514E-3</v>
      </c>
      <c r="Z78" s="30">
        <v>0</v>
      </c>
      <c r="AA78" s="30">
        <v>2.7516120475980978E-3</v>
      </c>
      <c r="AB78" s="30">
        <v>2.1471573616951781E-5</v>
      </c>
      <c r="AC78" s="30">
        <v>2.3968260093961618E-5</v>
      </c>
      <c r="AD78" s="30">
        <v>2.2298164336114662E-5</v>
      </c>
      <c r="AE78" s="30">
        <v>1.3733371347972199E-3</v>
      </c>
      <c r="AF78" s="30">
        <v>4.1926871804423456E-3</v>
      </c>
      <c r="AG78" s="32">
        <v>0</v>
      </c>
      <c r="AH78" s="32">
        <v>1.445647576592023E-5</v>
      </c>
      <c r="AI78" s="32">
        <v>8.0466814300478743E-5</v>
      </c>
      <c r="AJ78" s="32">
        <v>8.5554174677296554E-5</v>
      </c>
      <c r="AK78" s="32">
        <v>2.0810307265886331E-5</v>
      </c>
      <c r="AL78" s="32">
        <v>4.2012578757362716E-3</v>
      </c>
      <c r="AM78" s="32">
        <v>4.4025456477458534E-3</v>
      </c>
      <c r="AN78" s="34">
        <v>0</v>
      </c>
      <c r="AO78" s="34">
        <v>1.036854518903741E-5</v>
      </c>
      <c r="AP78" s="34">
        <v>1.901077657292092E-7</v>
      </c>
      <c r="AQ78" s="34">
        <v>6.5490648626579012E-8</v>
      </c>
      <c r="AR78" s="34">
        <v>8.2169782190127282E-8</v>
      </c>
      <c r="AS78" s="34">
        <v>2.3102412858192088E-6</v>
      </c>
      <c r="AT78" s="34">
        <v>1.3016554671402537E-5</v>
      </c>
      <c r="AU78" s="36">
        <v>0</v>
      </c>
      <c r="AV78" s="36">
        <v>0</v>
      </c>
      <c r="AW78" s="36">
        <v>2.1268479451680587E-3</v>
      </c>
      <c r="AX78" s="36">
        <v>2.01770987761535E-2</v>
      </c>
      <c r="AY78" s="36">
        <v>2.5431702341421163E-2</v>
      </c>
      <c r="AZ78" s="36">
        <v>0.30715814296346022</v>
      </c>
      <c r="BA78" s="36">
        <v>0.35489379202620297</v>
      </c>
      <c r="BB78" s="6"/>
      <c r="BC78" s="6"/>
      <c r="BD78" t="s">
        <v>1001</v>
      </c>
      <c r="BF78" s="5">
        <v>1.7913862999999999E-2</v>
      </c>
      <c r="BG78" s="5">
        <f t="shared" si="5"/>
        <v>-9.9131701479259482E-3</v>
      </c>
      <c r="BH78" s="2">
        <v>35.893363999999998</v>
      </c>
    </row>
    <row r="79" spans="1:60" x14ac:dyDescent="0.2">
      <c r="A79" t="str">
        <f t="shared" si="4"/>
        <v>Bicycle, electric (&lt;25 km/h) - 2020 - NCA - CH</v>
      </c>
      <c r="B79" t="s">
        <v>489</v>
      </c>
      <c r="D79" s="19">
        <v>2020</v>
      </c>
      <c r="E79" t="s">
        <v>37</v>
      </c>
      <c r="F79" t="s">
        <v>140</v>
      </c>
      <c r="G79" t="s">
        <v>39</v>
      </c>
      <c r="H79" t="s">
        <v>32</v>
      </c>
      <c r="I79" t="s">
        <v>45</v>
      </c>
      <c r="J79" t="s">
        <v>861</v>
      </c>
      <c r="L79" s="26">
        <v>0</v>
      </c>
      <c r="M79" s="26">
        <v>0</v>
      </c>
      <c r="N79" s="26">
        <v>1.5173567960250059E-4</v>
      </c>
      <c r="O79" s="26">
        <v>1.195732624675443E-3</v>
      </c>
      <c r="P79" s="26">
        <v>4.498684323099595E-4</v>
      </c>
      <c r="Q79" s="26">
        <v>1.195942720652177E-2</v>
      </c>
      <c r="R79" s="26">
        <v>1.3756763943109674E-2</v>
      </c>
      <c r="S79" s="28">
        <v>0</v>
      </c>
      <c r="T79" s="28">
        <v>0</v>
      </c>
      <c r="U79" s="28">
        <v>8.6491252881602508E-5</v>
      </c>
      <c r="V79" s="28">
        <v>9.8317473549625417E-5</v>
      </c>
      <c r="W79" s="28">
        <v>2.8426124789648879E-5</v>
      </c>
      <c r="X79" s="28">
        <v>6.1850393424667067E-3</v>
      </c>
      <c r="Y79" s="28">
        <v>6.3982741936875831E-3</v>
      </c>
      <c r="Z79" s="30">
        <v>0</v>
      </c>
      <c r="AA79" s="30">
        <v>1.3758060237990489E-3</v>
      </c>
      <c r="AB79" s="30">
        <v>1.5261971665741149E-5</v>
      </c>
      <c r="AC79" s="30">
        <v>2.3968260093961618E-5</v>
      </c>
      <c r="AD79" s="30">
        <v>1.292154525420241E-5</v>
      </c>
      <c r="AE79" s="30">
        <v>8.2462494292362561E-4</v>
      </c>
      <c r="AF79" s="30">
        <v>2.2525827437365796E-3</v>
      </c>
      <c r="AG79" s="32">
        <v>0</v>
      </c>
      <c r="AH79" s="32">
        <v>7.228237882960114E-6</v>
      </c>
      <c r="AI79" s="32">
        <v>5.7195725930249998E-5</v>
      </c>
      <c r="AJ79" s="32">
        <v>8.5554174677296554E-5</v>
      </c>
      <c r="AK79" s="32">
        <v>1.2059348161430861E-5</v>
      </c>
      <c r="AL79" s="32">
        <v>2.5731631404864201E-3</v>
      </c>
      <c r="AM79" s="32">
        <v>2.7352006271383574E-3</v>
      </c>
      <c r="AN79" s="34">
        <v>0</v>
      </c>
      <c r="AO79" s="34">
        <v>5.1842725945187069E-6</v>
      </c>
      <c r="AP79" s="34">
        <v>1.3512839746900889E-7</v>
      </c>
      <c r="AQ79" s="34">
        <v>6.5490648626579012E-8</v>
      </c>
      <c r="AR79" s="34">
        <v>4.7616500761815227E-8</v>
      </c>
      <c r="AS79" s="34">
        <v>1.614841507887932E-6</v>
      </c>
      <c r="AT79" s="34">
        <v>7.0473496492640416E-6</v>
      </c>
      <c r="AU79" s="36">
        <v>0</v>
      </c>
      <c r="AV79" s="36">
        <v>0</v>
      </c>
      <c r="AW79" s="36">
        <v>1.5117612549304556E-3</v>
      </c>
      <c r="AX79" s="36">
        <v>2.01770987761535E-2</v>
      </c>
      <c r="AY79" s="36">
        <v>1.4737396663807122E-2</v>
      </c>
      <c r="AZ79" s="36">
        <v>0.15192758732811798</v>
      </c>
      <c r="BA79" s="36">
        <v>0.18835384402300906</v>
      </c>
      <c r="BB79" s="6"/>
      <c r="BC79" s="6"/>
      <c r="BD79" t="s">
        <v>876</v>
      </c>
      <c r="BF79" s="5">
        <v>1.0032362E-2</v>
      </c>
      <c r="BG79" s="5">
        <f t="shared" si="5"/>
        <v>-3.7244019431096741E-3</v>
      </c>
      <c r="BH79" s="2">
        <v>27.757622000000001</v>
      </c>
    </row>
    <row r="80" spans="1:60" x14ac:dyDescent="0.2">
      <c r="A80" t="str">
        <f t="shared" si="4"/>
        <v>Bicycle, electric (&lt;25 km/h) - 2030 - NCA - CH</v>
      </c>
      <c r="B80" t="s">
        <v>489</v>
      </c>
      <c r="D80" s="19">
        <v>2030</v>
      </c>
      <c r="E80" t="s">
        <v>37</v>
      </c>
      <c r="F80" t="s">
        <v>140</v>
      </c>
      <c r="G80" t="s">
        <v>39</v>
      </c>
      <c r="H80" t="s">
        <v>32</v>
      </c>
      <c r="I80" t="s">
        <v>45</v>
      </c>
      <c r="J80" t="s">
        <v>861</v>
      </c>
      <c r="L80" s="26">
        <v>0</v>
      </c>
      <c r="M80" s="26">
        <v>0</v>
      </c>
      <c r="N80" s="26">
        <v>1.5173567960250059E-4</v>
      </c>
      <c r="O80" s="26">
        <v>1.195732624675443E-3</v>
      </c>
      <c r="P80" s="26">
        <v>4.5014419855824448E-4</v>
      </c>
      <c r="Q80" s="26">
        <v>1.2439471398616011E-2</v>
      </c>
      <c r="R80" s="26">
        <v>1.4237083901452199E-2</v>
      </c>
      <c r="S80" s="28">
        <v>0</v>
      </c>
      <c r="T80" s="28">
        <v>0</v>
      </c>
      <c r="U80" s="28">
        <v>8.6491252881602508E-5</v>
      </c>
      <c r="V80" s="28">
        <v>9.8317473549625417E-5</v>
      </c>
      <c r="W80" s="28">
        <v>2.844354980821769E-5</v>
      </c>
      <c r="X80" s="28">
        <v>6.027723165204296E-3</v>
      </c>
      <c r="Y80" s="28">
        <v>6.240975441443742E-3</v>
      </c>
      <c r="Z80" s="30">
        <v>0</v>
      </c>
      <c r="AA80" s="30">
        <v>1.3758060237990489E-3</v>
      </c>
      <c r="AB80" s="30">
        <v>1.5261971665741149E-5</v>
      </c>
      <c r="AC80" s="30">
        <v>2.3968260093961618E-5</v>
      </c>
      <c r="AD80" s="30">
        <v>1.2929466072381411E-5</v>
      </c>
      <c r="AE80" s="30">
        <v>8.3320773450341152E-4</v>
      </c>
      <c r="AF80" s="30">
        <v>2.2611734561345446E-3</v>
      </c>
      <c r="AG80" s="32">
        <v>0</v>
      </c>
      <c r="AH80" s="32">
        <v>7.228237882960114E-6</v>
      </c>
      <c r="AI80" s="32">
        <v>5.7195725930249998E-5</v>
      </c>
      <c r="AJ80" s="32">
        <v>8.5554174677296554E-5</v>
      </c>
      <c r="AK80" s="32">
        <v>1.2066740458734681E-5</v>
      </c>
      <c r="AL80" s="32">
        <v>2.608428463405082E-3</v>
      </c>
      <c r="AM80" s="32">
        <v>2.7704733423543231E-3</v>
      </c>
      <c r="AN80" s="34">
        <v>0</v>
      </c>
      <c r="AO80" s="34">
        <v>5.1842725945187069E-6</v>
      </c>
      <c r="AP80" s="34">
        <v>1.3512839746900889E-7</v>
      </c>
      <c r="AQ80" s="34">
        <v>6.5490648626579012E-8</v>
      </c>
      <c r="AR80" s="34">
        <v>4.7645689348585192E-8</v>
      </c>
      <c r="AS80" s="34">
        <v>1.577329677426445E-6</v>
      </c>
      <c r="AT80" s="34">
        <v>7.0098670073893242E-6</v>
      </c>
      <c r="AU80" s="36">
        <v>0</v>
      </c>
      <c r="AV80" s="36">
        <v>0</v>
      </c>
      <c r="AW80" s="36">
        <v>1.5117612549304556E-3</v>
      </c>
      <c r="AX80" s="36">
        <v>2.01770987761535E-2</v>
      </c>
      <c r="AY80" s="36">
        <v>1.4746430586384435E-2</v>
      </c>
      <c r="AZ80" s="36">
        <v>0.15604468123473014</v>
      </c>
      <c r="BA80" s="36">
        <v>0.19247997185219853</v>
      </c>
      <c r="BB80" s="6"/>
      <c r="BC80" s="6"/>
      <c r="BD80" t="s">
        <v>1002</v>
      </c>
      <c r="BF80" s="5">
        <v>1.0115417E-2</v>
      </c>
      <c r="BG80" s="5">
        <f t="shared" si="5"/>
        <v>-4.1216669014521989E-3</v>
      </c>
      <c r="BH80" s="2">
        <v>26.663468999999999</v>
      </c>
    </row>
    <row r="81" spans="1:60" x14ac:dyDescent="0.2">
      <c r="A81" t="str">
        <f t="shared" si="4"/>
        <v>Bicycle, electric (&lt;25 km/h) - 2040 - NCA - CH</v>
      </c>
      <c r="B81" t="s">
        <v>489</v>
      </c>
      <c r="D81" s="19">
        <v>2040</v>
      </c>
      <c r="E81" t="s">
        <v>37</v>
      </c>
      <c r="F81" t="s">
        <v>140</v>
      </c>
      <c r="G81" t="s">
        <v>39</v>
      </c>
      <c r="H81" t="s">
        <v>32</v>
      </c>
      <c r="I81" t="s">
        <v>45</v>
      </c>
      <c r="J81" t="s">
        <v>861</v>
      </c>
      <c r="L81" s="26">
        <v>0</v>
      </c>
      <c r="M81" s="26">
        <v>0</v>
      </c>
      <c r="N81" s="26">
        <v>1.5173567960250059E-4</v>
      </c>
      <c r="O81" s="26">
        <v>1.195732624675443E-3</v>
      </c>
      <c r="P81" s="26">
        <v>4.472460140397849E-4</v>
      </c>
      <c r="Q81" s="26">
        <v>1.2198250459837801E-2</v>
      </c>
      <c r="R81" s="26">
        <v>1.399296477815553E-2</v>
      </c>
      <c r="S81" s="28">
        <v>0</v>
      </c>
      <c r="T81" s="28">
        <v>0</v>
      </c>
      <c r="U81" s="28">
        <v>8.6491252881602508E-5</v>
      </c>
      <c r="V81" s="28">
        <v>9.8317473549625417E-5</v>
      </c>
      <c r="W81" s="28">
        <v>2.8260420366655981E-5</v>
      </c>
      <c r="X81" s="28">
        <v>5.3994048208173837E-3</v>
      </c>
      <c r="Y81" s="28">
        <v>5.6124739676152672E-3</v>
      </c>
      <c r="Z81" s="30">
        <v>0</v>
      </c>
      <c r="AA81" s="30">
        <v>1.3758060237990489E-3</v>
      </c>
      <c r="AB81" s="30">
        <v>1.5261971665741149E-5</v>
      </c>
      <c r="AC81" s="30">
        <v>2.3968260093961618E-5</v>
      </c>
      <c r="AD81" s="30">
        <v>1.284622168419881E-5</v>
      </c>
      <c r="AE81" s="30">
        <v>7.7368493079684136E-4</v>
      </c>
      <c r="AF81" s="30">
        <v>2.2015674080397918E-3</v>
      </c>
      <c r="AG81" s="32">
        <v>0</v>
      </c>
      <c r="AH81" s="32">
        <v>7.228237882960114E-6</v>
      </c>
      <c r="AI81" s="32">
        <v>5.7195725930249998E-5</v>
      </c>
      <c r="AJ81" s="32">
        <v>8.5554174677296554E-5</v>
      </c>
      <c r="AK81" s="32">
        <v>1.1989050597357409E-5</v>
      </c>
      <c r="AL81" s="32">
        <v>2.4346642938696621E-3</v>
      </c>
      <c r="AM81" s="32">
        <v>2.5966314829575263E-3</v>
      </c>
      <c r="AN81" s="34">
        <v>0</v>
      </c>
      <c r="AO81" s="34">
        <v>5.1842725945187069E-6</v>
      </c>
      <c r="AP81" s="34">
        <v>1.3512839746900889E-7</v>
      </c>
      <c r="AQ81" s="34">
        <v>6.5490648626579012E-8</v>
      </c>
      <c r="AR81" s="34">
        <v>4.7338929870880761E-8</v>
      </c>
      <c r="AS81" s="34">
        <v>1.4197002256924101E-6</v>
      </c>
      <c r="AT81" s="34">
        <v>6.8519307961775854E-6</v>
      </c>
      <c r="AU81" s="36">
        <v>0</v>
      </c>
      <c r="AV81" s="36">
        <v>0</v>
      </c>
      <c r="AW81" s="36">
        <v>1.5117612549304556E-3</v>
      </c>
      <c r="AX81" s="36">
        <v>2.01770987761535E-2</v>
      </c>
      <c r="AY81" s="36">
        <v>1.4651487950302742E-2</v>
      </c>
      <c r="AZ81" s="36">
        <v>0.15079487731350202</v>
      </c>
      <c r="BA81" s="36">
        <v>0.18713522529488871</v>
      </c>
      <c r="BB81" s="6"/>
      <c r="BC81" s="6"/>
      <c r="BD81" t="s">
        <v>1003</v>
      </c>
      <c r="BF81" s="5">
        <v>9.7080232000000006E-3</v>
      </c>
      <c r="BG81" s="5">
        <f t="shared" si="5"/>
        <v>-4.2849415781555291E-3</v>
      </c>
      <c r="BH81" s="2">
        <v>23.588927000000002</v>
      </c>
    </row>
    <row r="82" spans="1:60" x14ac:dyDescent="0.2">
      <c r="A82" t="str">
        <f t="shared" si="4"/>
        <v>Bicycle, electric (&lt;25 km/h) - 2050 - NCA - CH</v>
      </c>
      <c r="B82" t="s">
        <v>489</v>
      </c>
      <c r="D82" s="19">
        <v>2050</v>
      </c>
      <c r="E82" t="s">
        <v>37</v>
      </c>
      <c r="F82" t="s">
        <v>140</v>
      </c>
      <c r="G82" t="s">
        <v>39</v>
      </c>
      <c r="H82" t="s">
        <v>32</v>
      </c>
      <c r="I82" t="s">
        <v>45</v>
      </c>
      <c r="J82" t="s">
        <v>861</v>
      </c>
      <c r="L82" s="26">
        <v>0</v>
      </c>
      <c r="M82" s="26">
        <v>0</v>
      </c>
      <c r="N82" s="26">
        <v>1.5173567960250059E-4</v>
      </c>
      <c r="O82" s="26">
        <v>1.195732624675443E-3</v>
      </c>
      <c r="P82" s="26">
        <v>4.4829300216425461E-4</v>
      </c>
      <c r="Q82" s="26">
        <v>1.260365568323627E-2</v>
      </c>
      <c r="R82" s="26">
        <v>1.4399416989678468E-2</v>
      </c>
      <c r="S82" s="28">
        <v>0</v>
      </c>
      <c r="T82" s="28">
        <v>0</v>
      </c>
      <c r="U82" s="28">
        <v>8.6491252881602508E-5</v>
      </c>
      <c r="V82" s="28">
        <v>9.8317473549625417E-5</v>
      </c>
      <c r="W82" s="28">
        <v>2.832657707591125E-5</v>
      </c>
      <c r="X82" s="28">
        <v>5.3727117660605393E-3</v>
      </c>
      <c r="Y82" s="28">
        <v>5.5858470695676786E-3</v>
      </c>
      <c r="Z82" s="30">
        <v>0</v>
      </c>
      <c r="AA82" s="30">
        <v>1.3758060237990489E-3</v>
      </c>
      <c r="AB82" s="30">
        <v>1.5261971665741149E-5</v>
      </c>
      <c r="AC82" s="30">
        <v>2.3968260093961618E-5</v>
      </c>
      <c r="AD82" s="30">
        <v>1.2876294264222889E-5</v>
      </c>
      <c r="AE82" s="30">
        <v>7.8933914750218843E-4</v>
      </c>
      <c r="AF82" s="30">
        <v>2.2172516973251628E-3</v>
      </c>
      <c r="AG82" s="32">
        <v>0</v>
      </c>
      <c r="AH82" s="32">
        <v>7.228237882960114E-6</v>
      </c>
      <c r="AI82" s="32">
        <v>5.7195725930249998E-5</v>
      </c>
      <c r="AJ82" s="32">
        <v>8.5554174677296554E-5</v>
      </c>
      <c r="AK82" s="32">
        <v>1.201711656822145E-5</v>
      </c>
      <c r="AL82" s="32">
        <v>2.4862151650290108E-3</v>
      </c>
      <c r="AM82" s="32">
        <v>2.6482104200877387E-3</v>
      </c>
      <c r="AN82" s="34">
        <v>0</v>
      </c>
      <c r="AO82" s="34">
        <v>5.1842725945187069E-6</v>
      </c>
      <c r="AP82" s="34">
        <v>1.3512839746900889E-7</v>
      </c>
      <c r="AQ82" s="34">
        <v>6.5490648626579012E-8</v>
      </c>
      <c r="AR82" s="34">
        <v>4.7449748739789693E-8</v>
      </c>
      <c r="AS82" s="34">
        <v>1.415924914824982E-6</v>
      </c>
      <c r="AT82" s="34">
        <v>6.848266304179066E-6</v>
      </c>
      <c r="AU82" s="36">
        <v>0</v>
      </c>
      <c r="AV82" s="36">
        <v>0</v>
      </c>
      <c r="AW82" s="36">
        <v>1.5117612549304556E-3</v>
      </c>
      <c r="AX82" s="36">
        <v>2.01770987761535E-2</v>
      </c>
      <c r="AY82" s="36">
        <v>1.4685786598939585E-2</v>
      </c>
      <c r="AZ82" s="36">
        <v>0.15478529578694766</v>
      </c>
      <c r="BA82" s="36">
        <v>0.19115994241697121</v>
      </c>
      <c r="BB82" s="6"/>
      <c r="BC82" s="6"/>
      <c r="BD82" t="s">
        <v>1004</v>
      </c>
      <c r="BF82" s="5">
        <v>9.8363779999999998E-3</v>
      </c>
      <c r="BG82" s="5">
        <f t="shared" si="5"/>
        <v>-4.5630389896784678E-3</v>
      </c>
      <c r="BH82" s="2">
        <v>23.235011</v>
      </c>
    </row>
    <row r="83" spans="1:60" x14ac:dyDescent="0.2">
      <c r="A83" t="str">
        <f t="shared" si="4"/>
        <v>Bicycle, electric (&lt;45 km/h) - 2020 - NCA - CH</v>
      </c>
      <c r="B83" t="s">
        <v>490</v>
      </c>
      <c r="D83" s="19">
        <v>2020</v>
      </c>
      <c r="E83" t="s">
        <v>37</v>
      </c>
      <c r="F83" t="s">
        <v>140</v>
      </c>
      <c r="G83" t="s">
        <v>39</v>
      </c>
      <c r="H83" t="s">
        <v>32</v>
      </c>
      <c r="I83" t="s">
        <v>45</v>
      </c>
      <c r="J83" t="s">
        <v>861</v>
      </c>
      <c r="L83" s="26">
        <v>0</v>
      </c>
      <c r="M83" s="26">
        <v>0</v>
      </c>
      <c r="N83" s="26">
        <v>2.7867064536129458E-4</v>
      </c>
      <c r="O83" s="26">
        <v>1.195732624675443E-3</v>
      </c>
      <c r="P83" s="26">
        <v>4.6807692143117208E-4</v>
      </c>
      <c r="Q83" s="26">
        <v>8.9471022005478597E-3</v>
      </c>
      <c r="R83" s="26">
        <v>1.0889582392015769E-2</v>
      </c>
      <c r="S83" s="28">
        <v>0</v>
      </c>
      <c r="T83" s="28">
        <v>0</v>
      </c>
      <c r="U83" s="28">
        <v>1.5884578578857799E-4</v>
      </c>
      <c r="V83" s="28">
        <v>9.8317473549625417E-5</v>
      </c>
      <c r="W83" s="28">
        <v>2.957667625495802E-5</v>
      </c>
      <c r="X83" s="28">
        <v>4.3557162755091484E-3</v>
      </c>
      <c r="Y83" s="28">
        <v>4.6424562111023098E-3</v>
      </c>
      <c r="Z83" s="30">
        <v>0</v>
      </c>
      <c r="AA83" s="30">
        <v>1.3758060237990489E-3</v>
      </c>
      <c r="AB83" s="30">
        <v>2.8029422642845481E-5</v>
      </c>
      <c r="AC83" s="30">
        <v>2.3968260093961618E-5</v>
      </c>
      <c r="AD83" s="30">
        <v>1.344454664592552E-5</v>
      </c>
      <c r="AE83" s="30">
        <v>5.9772369747387736E-4</v>
      </c>
      <c r="AF83" s="30">
        <v>2.0389719506556589E-3</v>
      </c>
      <c r="AG83" s="32">
        <v>0</v>
      </c>
      <c r="AH83" s="32">
        <v>7.228237882960114E-6</v>
      </c>
      <c r="AI83" s="32">
        <v>1.050429925159661E-4</v>
      </c>
      <c r="AJ83" s="32">
        <v>8.5554174677296554E-5</v>
      </c>
      <c r="AK83" s="32">
        <v>1.254745200254465E-5</v>
      </c>
      <c r="AL83" s="32">
        <v>1.8740503591009371E-3</v>
      </c>
      <c r="AM83" s="32">
        <v>2.0844232161797045E-3</v>
      </c>
      <c r="AN83" s="34">
        <v>0</v>
      </c>
      <c r="AO83" s="34">
        <v>5.1842725945187069E-6</v>
      </c>
      <c r="AP83" s="34">
        <v>2.4817048849666651E-7</v>
      </c>
      <c r="AQ83" s="34">
        <v>6.5490648626579012E-8</v>
      </c>
      <c r="AR83" s="34">
        <v>4.9543785438492312E-8</v>
      </c>
      <c r="AS83" s="34">
        <v>1.163191731086597E-6</v>
      </c>
      <c r="AT83" s="34">
        <v>6.7106692481670411E-6</v>
      </c>
      <c r="AU83" s="36">
        <v>0</v>
      </c>
      <c r="AV83" s="36">
        <v>0</v>
      </c>
      <c r="AW83" s="36">
        <v>2.7764299448046754E-3</v>
      </c>
      <c r="AX83" s="36">
        <v>2.01770987761535E-2</v>
      </c>
      <c r="AY83" s="36">
        <v>1.5333894900969576E-2</v>
      </c>
      <c r="AZ83" s="36">
        <v>0.1127383291124191</v>
      </c>
      <c r="BA83" s="36">
        <v>0.15102575273434685</v>
      </c>
      <c r="BB83" s="6"/>
      <c r="BC83" s="6"/>
      <c r="BD83" t="s">
        <v>882</v>
      </c>
      <c r="BF83" s="5">
        <v>7.9219604000000006E-3</v>
      </c>
      <c r="BG83" s="5">
        <f t="shared" si="5"/>
        <v>-2.9676219920157683E-3</v>
      </c>
      <c r="BH83" s="2">
        <v>20.796040000000001</v>
      </c>
    </row>
    <row r="84" spans="1:60" x14ac:dyDescent="0.2">
      <c r="A84" t="str">
        <f t="shared" si="4"/>
        <v>Bicycle, electric (&lt;45 km/h) - 2030 - NCA - CH</v>
      </c>
      <c r="B84" t="s">
        <v>490</v>
      </c>
      <c r="D84" s="19">
        <v>2030</v>
      </c>
      <c r="E84" t="s">
        <v>37</v>
      </c>
      <c r="F84" t="s">
        <v>140</v>
      </c>
      <c r="G84" t="s">
        <v>39</v>
      </c>
      <c r="H84" t="s">
        <v>32</v>
      </c>
      <c r="I84" t="s">
        <v>45</v>
      </c>
      <c r="J84" t="s">
        <v>861</v>
      </c>
      <c r="L84" s="26">
        <v>0</v>
      </c>
      <c r="M84" s="26">
        <v>0</v>
      </c>
      <c r="N84" s="26">
        <v>2.7867064536129458E-4</v>
      </c>
      <c r="O84" s="26">
        <v>1.195732624675443E-3</v>
      </c>
      <c r="P84" s="26">
        <v>4.6794299667422991E-4</v>
      </c>
      <c r="Q84" s="26">
        <v>9.3658625355491978E-3</v>
      </c>
      <c r="R84" s="26">
        <v>1.1308208802260165E-2</v>
      </c>
      <c r="S84" s="28">
        <v>0</v>
      </c>
      <c r="T84" s="28">
        <v>0</v>
      </c>
      <c r="U84" s="28">
        <v>1.5884578578857799E-4</v>
      </c>
      <c r="V84" s="28">
        <v>9.8317473549625417E-5</v>
      </c>
      <c r="W84" s="28">
        <v>2.956821386555738E-5</v>
      </c>
      <c r="X84" s="28">
        <v>4.2688576020364433E-3</v>
      </c>
      <c r="Y84" s="28">
        <v>4.5555890752402043E-3</v>
      </c>
      <c r="Z84" s="30">
        <v>0</v>
      </c>
      <c r="AA84" s="30">
        <v>1.3758060237990489E-3</v>
      </c>
      <c r="AB84" s="30">
        <v>2.8029422642845481E-5</v>
      </c>
      <c r="AC84" s="30">
        <v>2.3968260093961618E-5</v>
      </c>
      <c r="AD84" s="30">
        <v>1.3440699932790739E-5</v>
      </c>
      <c r="AE84" s="30">
        <v>6.0907852498301245E-4</v>
      </c>
      <c r="AF84" s="30">
        <v>2.0503229314516591E-3</v>
      </c>
      <c r="AG84" s="32">
        <v>0</v>
      </c>
      <c r="AH84" s="32">
        <v>7.228237882960114E-6</v>
      </c>
      <c r="AI84" s="32">
        <v>1.050429925159661E-4</v>
      </c>
      <c r="AJ84" s="32">
        <v>8.5554174677296554E-5</v>
      </c>
      <c r="AK84" s="32">
        <v>1.2543861963423409E-5</v>
      </c>
      <c r="AL84" s="32">
        <v>1.916548276935175E-3</v>
      </c>
      <c r="AM84" s="32">
        <v>2.1269175439748212E-3</v>
      </c>
      <c r="AN84" s="34">
        <v>0</v>
      </c>
      <c r="AO84" s="34">
        <v>5.1842725945187069E-6</v>
      </c>
      <c r="AP84" s="34">
        <v>2.4817048849666651E-7</v>
      </c>
      <c r="AQ84" s="34">
        <v>6.5490648626579012E-8</v>
      </c>
      <c r="AR84" s="34">
        <v>4.9529610120037038E-8</v>
      </c>
      <c r="AS84" s="34">
        <v>1.1423372738046949E-6</v>
      </c>
      <c r="AT84" s="34">
        <v>6.6898006155666838E-6</v>
      </c>
      <c r="AU84" s="36">
        <v>0</v>
      </c>
      <c r="AV84" s="36">
        <v>0</v>
      </c>
      <c r="AW84" s="36">
        <v>2.7764299448046754E-3</v>
      </c>
      <c r="AX84" s="36">
        <v>2.01770987761535E-2</v>
      </c>
      <c r="AY84" s="36">
        <v>1.5329507613210733E-2</v>
      </c>
      <c r="AZ84" s="36">
        <v>0.116540654959193</v>
      </c>
      <c r="BA84" s="36">
        <v>0.1548236912933619</v>
      </c>
      <c r="BB84" s="6"/>
      <c r="BC84" s="6"/>
      <c r="BD84" t="s">
        <v>1005</v>
      </c>
      <c r="BF84" s="5">
        <v>8.0175000999999999E-3</v>
      </c>
      <c r="BG84" s="5">
        <f t="shared" si="5"/>
        <v>-3.2907087022601648E-3</v>
      </c>
      <c r="BH84" s="2">
        <v>20.087430000000001</v>
      </c>
    </row>
    <row r="85" spans="1:60" x14ac:dyDescent="0.2">
      <c r="A85" t="str">
        <f t="shared" si="4"/>
        <v>Bicycle, electric (&lt;45 km/h) - 2040 - NCA - CH</v>
      </c>
      <c r="B85" t="s">
        <v>490</v>
      </c>
      <c r="D85" s="19">
        <v>2040</v>
      </c>
      <c r="E85" t="s">
        <v>37</v>
      </c>
      <c r="F85" t="s">
        <v>140</v>
      </c>
      <c r="G85" t="s">
        <v>39</v>
      </c>
      <c r="H85" t="s">
        <v>32</v>
      </c>
      <c r="I85" t="s">
        <v>45</v>
      </c>
      <c r="J85" t="s">
        <v>861</v>
      </c>
      <c r="L85" s="26">
        <v>0</v>
      </c>
      <c r="M85" s="26">
        <v>0</v>
      </c>
      <c r="N85" s="26">
        <v>2.7867064536129458E-4</v>
      </c>
      <c r="O85" s="26">
        <v>1.195732624675443E-3</v>
      </c>
      <c r="P85" s="26">
        <v>4.6431647259092168E-4</v>
      </c>
      <c r="Q85" s="26">
        <v>9.2545344979058069E-3</v>
      </c>
      <c r="R85" s="26">
        <v>1.1193254240533466E-2</v>
      </c>
      <c r="S85" s="28">
        <v>0</v>
      </c>
      <c r="T85" s="28">
        <v>0</v>
      </c>
      <c r="U85" s="28">
        <v>1.5884578578857799E-4</v>
      </c>
      <c r="V85" s="28">
        <v>9.8317473549625417E-5</v>
      </c>
      <c r="W85" s="28">
        <v>2.9339062365383309E-5</v>
      </c>
      <c r="X85" s="28">
        <v>3.8468258445469201E-3</v>
      </c>
      <c r="Y85" s="28">
        <v>4.1333281662505068E-3</v>
      </c>
      <c r="Z85" s="30">
        <v>0</v>
      </c>
      <c r="AA85" s="30">
        <v>1.3758060237990489E-3</v>
      </c>
      <c r="AB85" s="30">
        <v>2.8029422642845481E-5</v>
      </c>
      <c r="AC85" s="30">
        <v>2.3968260093961618E-5</v>
      </c>
      <c r="AD85" s="30">
        <v>1.3336535488939229E-5</v>
      </c>
      <c r="AE85" s="30">
        <v>5.7139498067513704E-4</v>
      </c>
      <c r="AF85" s="30">
        <v>2.0125352226999325E-3</v>
      </c>
      <c r="AG85" s="32">
        <v>0</v>
      </c>
      <c r="AH85" s="32">
        <v>7.228237882960114E-6</v>
      </c>
      <c r="AI85" s="32">
        <v>1.050429925159661E-4</v>
      </c>
      <c r="AJ85" s="32">
        <v>8.5554174677296554E-5</v>
      </c>
      <c r="AK85" s="32">
        <v>1.244664794840158E-5</v>
      </c>
      <c r="AL85" s="32">
        <v>1.805207430249791E-3</v>
      </c>
      <c r="AM85" s="32">
        <v>2.0154794832744154E-3</v>
      </c>
      <c r="AN85" s="34">
        <v>0</v>
      </c>
      <c r="AO85" s="34">
        <v>5.1842725945187069E-6</v>
      </c>
      <c r="AP85" s="34">
        <v>2.4817048849666651E-7</v>
      </c>
      <c r="AQ85" s="34">
        <v>6.5490648626579012E-8</v>
      </c>
      <c r="AR85" s="34">
        <v>4.9145759255265523E-8</v>
      </c>
      <c r="AS85" s="34">
        <v>1.0379130472625481E-6</v>
      </c>
      <c r="AT85" s="34">
        <v>6.584992538159766E-6</v>
      </c>
      <c r="AU85" s="36">
        <v>0</v>
      </c>
      <c r="AV85" s="36">
        <v>0</v>
      </c>
      <c r="AW85" s="36">
        <v>2.7764299448046754E-3</v>
      </c>
      <c r="AX85" s="36">
        <v>2.01770987761535E-2</v>
      </c>
      <c r="AY85" s="36">
        <v>1.5210705047642539E-2</v>
      </c>
      <c r="AZ85" s="36">
        <v>0.11356209393115528</v>
      </c>
      <c r="BA85" s="36">
        <v>0.151726327699756</v>
      </c>
      <c r="BB85" s="6"/>
      <c r="BC85" s="6"/>
      <c r="BD85" t="s">
        <v>1006</v>
      </c>
      <c r="BF85" s="5">
        <v>7.7592416999999999E-3</v>
      </c>
      <c r="BG85" s="5">
        <f t="shared" si="5"/>
        <v>-3.4340125405334663E-3</v>
      </c>
      <c r="BH85" s="2">
        <v>18.014213999999999</v>
      </c>
    </row>
    <row r="86" spans="1:60" x14ac:dyDescent="0.2">
      <c r="A86" t="str">
        <f t="shared" si="4"/>
        <v>Bicycle, electric (&lt;45 km/h) - 2050 - NCA - CH</v>
      </c>
      <c r="B86" t="s">
        <v>490</v>
      </c>
      <c r="D86" s="19">
        <v>2050</v>
      </c>
      <c r="E86" t="s">
        <v>37</v>
      </c>
      <c r="F86" t="s">
        <v>140</v>
      </c>
      <c r="G86" t="s">
        <v>39</v>
      </c>
      <c r="H86" t="s">
        <v>32</v>
      </c>
      <c r="I86" t="s">
        <v>45</v>
      </c>
      <c r="J86" t="s">
        <v>861</v>
      </c>
      <c r="L86" s="26">
        <v>0</v>
      </c>
      <c r="M86" s="26">
        <v>0</v>
      </c>
      <c r="N86" s="26">
        <v>2.7867064536129458E-4</v>
      </c>
      <c r="O86" s="26">
        <v>1.195732624675443E-3</v>
      </c>
      <c r="P86" s="26">
        <v>4.6509033337857321E-4</v>
      </c>
      <c r="Q86" s="26">
        <v>9.5906252532761711E-3</v>
      </c>
      <c r="R86" s="26">
        <v>1.1530118856691482E-2</v>
      </c>
      <c r="S86" s="28">
        <v>0</v>
      </c>
      <c r="T86" s="28">
        <v>0</v>
      </c>
      <c r="U86" s="28">
        <v>1.5884578578857799E-4</v>
      </c>
      <c r="V86" s="28">
        <v>9.8317473549625417E-5</v>
      </c>
      <c r="W86" s="28">
        <v>2.9387960802658939E-5</v>
      </c>
      <c r="X86" s="28">
        <v>3.8410430040728498E-3</v>
      </c>
      <c r="Y86" s="28">
        <v>4.1275942242137119E-3</v>
      </c>
      <c r="Z86" s="30">
        <v>0</v>
      </c>
      <c r="AA86" s="30">
        <v>1.3758060237990489E-3</v>
      </c>
      <c r="AB86" s="30">
        <v>2.8029422642845481E-5</v>
      </c>
      <c r="AC86" s="30">
        <v>2.3968260093961618E-5</v>
      </c>
      <c r="AD86" s="30">
        <v>1.335876304808745E-5</v>
      </c>
      <c r="AE86" s="30">
        <v>5.8558643783272095E-4</v>
      </c>
      <c r="AF86" s="30">
        <v>2.0267489074166645E-3</v>
      </c>
      <c r="AG86" s="32">
        <v>0</v>
      </c>
      <c r="AH86" s="32">
        <v>7.228237882960114E-6</v>
      </c>
      <c r="AI86" s="32">
        <v>1.050429925159661E-4</v>
      </c>
      <c r="AJ86" s="32">
        <v>8.5554174677296554E-5</v>
      </c>
      <c r="AK86" s="32">
        <v>1.246739236164892E-5</v>
      </c>
      <c r="AL86" s="32">
        <v>1.852233154816748E-3</v>
      </c>
      <c r="AM86" s="32">
        <v>2.0625259522546197E-3</v>
      </c>
      <c r="AN86" s="34">
        <v>0</v>
      </c>
      <c r="AO86" s="34">
        <v>5.1842725945187069E-6</v>
      </c>
      <c r="AP86" s="34">
        <v>2.4817048849666651E-7</v>
      </c>
      <c r="AQ86" s="34">
        <v>6.5490648626579012E-8</v>
      </c>
      <c r="AR86" s="34">
        <v>4.9227668854024287E-8</v>
      </c>
      <c r="AS86" s="34">
        <v>1.038165121198836E-6</v>
      </c>
      <c r="AT86" s="34">
        <v>6.5853265216948129E-6</v>
      </c>
      <c r="AU86" s="36">
        <v>0</v>
      </c>
      <c r="AV86" s="36">
        <v>0</v>
      </c>
      <c r="AW86" s="36">
        <v>2.7764299448046754E-3</v>
      </c>
      <c r="AX86" s="36">
        <v>2.01770987761535E-2</v>
      </c>
      <c r="AY86" s="36">
        <v>1.5236056222721946E-2</v>
      </c>
      <c r="AZ86" s="36">
        <v>0.11692743774055409</v>
      </c>
      <c r="BA86" s="36">
        <v>0.15511702268423422</v>
      </c>
      <c r="BB86" s="6"/>
      <c r="BC86" s="6"/>
      <c r="BD86" t="s">
        <v>1007</v>
      </c>
      <c r="BF86" s="5">
        <v>7.8720396999999998E-3</v>
      </c>
      <c r="BG86" s="5">
        <f t="shared" si="5"/>
        <v>-3.6580791566914826E-3</v>
      </c>
      <c r="BH86" s="2">
        <v>17.793037000000002</v>
      </c>
    </row>
    <row r="87" spans="1:60" x14ac:dyDescent="0.2">
      <c r="A87" t="str">
        <f t="shared" si="4"/>
        <v>Bicycle, electric, cargo bike - 2020 - NCA - CH</v>
      </c>
      <c r="B87" t="s">
        <v>496</v>
      </c>
      <c r="D87" s="19">
        <v>2020</v>
      </c>
      <c r="E87" t="s">
        <v>37</v>
      </c>
      <c r="F87" t="s">
        <v>140</v>
      </c>
      <c r="G87" t="s">
        <v>39</v>
      </c>
      <c r="H87" t="s">
        <v>32</v>
      </c>
      <c r="I87" t="s">
        <v>45</v>
      </c>
      <c r="J87" t="s">
        <v>861</v>
      </c>
      <c r="L87" s="26">
        <v>0</v>
      </c>
      <c r="M87" s="26">
        <v>0</v>
      </c>
      <c r="N87" s="26">
        <v>2.1347201307001551E-4</v>
      </c>
      <c r="O87" s="26">
        <v>1.195732624675443E-3</v>
      </c>
      <c r="P87" s="26">
        <v>7.7306911421148351E-4</v>
      </c>
      <c r="Q87" s="26">
        <v>2.0878278466762681E-2</v>
      </c>
      <c r="R87" s="26">
        <v>2.3060552218719624E-2</v>
      </c>
      <c r="S87" s="28">
        <v>0</v>
      </c>
      <c r="T87" s="28">
        <v>0</v>
      </c>
      <c r="U87" s="28">
        <v>1.2168174231632199E-4</v>
      </c>
      <c r="V87" s="28">
        <v>9.8317473549625417E-5</v>
      </c>
      <c r="W87" s="28">
        <v>4.8848413298886282E-5</v>
      </c>
      <c r="X87" s="28">
        <v>7.0727744821350233E-3</v>
      </c>
      <c r="Y87" s="28">
        <v>7.3416221112998573E-3</v>
      </c>
      <c r="Z87" s="30">
        <v>0</v>
      </c>
      <c r="AA87" s="30">
        <v>2.7516120475980978E-3</v>
      </c>
      <c r="AB87" s="30">
        <v>2.1471573616951781E-5</v>
      </c>
      <c r="AC87" s="30">
        <v>2.3968260093961618E-5</v>
      </c>
      <c r="AD87" s="30">
        <v>2.220481995728756E-5</v>
      </c>
      <c r="AE87" s="30">
        <v>1.159068076553423E-3</v>
      </c>
      <c r="AF87" s="30">
        <v>3.9783247778197219E-3</v>
      </c>
      <c r="AG87" s="32">
        <v>0</v>
      </c>
      <c r="AH87" s="32">
        <v>1.445647576592023E-5</v>
      </c>
      <c r="AI87" s="32">
        <v>8.0466814300478743E-5</v>
      </c>
      <c r="AJ87" s="32">
        <v>8.5554174677296554E-5</v>
      </c>
      <c r="AK87" s="32">
        <v>2.0723191341200589E-5</v>
      </c>
      <c r="AL87" s="32">
        <v>3.4206372658351892E-3</v>
      </c>
      <c r="AM87" s="32">
        <v>3.6218379219200851E-3</v>
      </c>
      <c r="AN87" s="34">
        <v>0</v>
      </c>
      <c r="AO87" s="34">
        <v>1.036854518903741E-5</v>
      </c>
      <c r="AP87" s="34">
        <v>1.901077657292092E-7</v>
      </c>
      <c r="AQ87" s="34">
        <v>6.5490648626579012E-8</v>
      </c>
      <c r="AR87" s="34">
        <v>8.1825803772833398E-8</v>
      </c>
      <c r="AS87" s="34">
        <v>2.3360234366057679E-6</v>
      </c>
      <c r="AT87" s="34">
        <v>1.3041992843771801E-5</v>
      </c>
      <c r="AU87" s="36">
        <v>0</v>
      </c>
      <c r="AV87" s="36">
        <v>0</v>
      </c>
      <c r="AW87" s="36">
        <v>2.1268479451680587E-3</v>
      </c>
      <c r="AX87" s="36">
        <v>2.01770987761535E-2</v>
      </c>
      <c r="AY87" s="36">
        <v>2.5325240373440656E-2</v>
      </c>
      <c r="AZ87" s="36">
        <v>0.25770044876159887</v>
      </c>
      <c r="BA87" s="36">
        <v>0.30532963585636108</v>
      </c>
      <c r="BB87" s="6"/>
      <c r="BC87" s="6"/>
      <c r="BD87" t="s">
        <v>888</v>
      </c>
      <c r="BF87" s="5">
        <v>1.6064688000000001E-2</v>
      </c>
      <c r="BG87" s="5">
        <f t="shared" si="5"/>
        <v>-6.9958642187196232E-3</v>
      </c>
      <c r="BH87" s="2">
        <v>37.135261</v>
      </c>
    </row>
    <row r="88" spans="1:60" x14ac:dyDescent="0.2">
      <c r="A88" t="str">
        <f t="shared" si="4"/>
        <v>Bicycle, electric, cargo bike - 2030 - NCA - CH</v>
      </c>
      <c r="B88" t="s">
        <v>496</v>
      </c>
      <c r="D88" s="19">
        <v>2030</v>
      </c>
      <c r="E88" t="s">
        <v>37</v>
      </c>
      <c r="F88" t="s">
        <v>140</v>
      </c>
      <c r="G88" t="s">
        <v>39</v>
      </c>
      <c r="H88" t="s">
        <v>32</v>
      </c>
      <c r="I88" t="s">
        <v>45</v>
      </c>
      <c r="J88" t="s">
        <v>861</v>
      </c>
      <c r="L88" s="26">
        <v>0</v>
      </c>
      <c r="M88" s="26">
        <v>0</v>
      </c>
      <c r="N88" s="26">
        <v>2.1347201307001551E-4</v>
      </c>
      <c r="O88" s="26">
        <v>1.195732624675443E-3</v>
      </c>
      <c r="P88" s="26">
        <v>7.6836789343330363E-4</v>
      </c>
      <c r="Q88" s="26">
        <v>2.20152986110074E-2</v>
      </c>
      <c r="R88" s="26">
        <v>2.4192871142186163E-2</v>
      </c>
      <c r="S88" s="28">
        <v>0</v>
      </c>
      <c r="T88" s="28">
        <v>0</v>
      </c>
      <c r="U88" s="28">
        <v>1.2168174231632199E-4</v>
      </c>
      <c r="V88" s="28">
        <v>9.8317473549625417E-5</v>
      </c>
      <c r="W88" s="28">
        <v>4.855135425027058E-5</v>
      </c>
      <c r="X88" s="28">
        <v>6.7126223626184402E-3</v>
      </c>
      <c r="Y88" s="28">
        <v>6.9811729327346585E-3</v>
      </c>
      <c r="Z88" s="30">
        <v>0</v>
      </c>
      <c r="AA88" s="30">
        <v>2.7516120475980978E-3</v>
      </c>
      <c r="AB88" s="30">
        <v>2.1471573616951781E-5</v>
      </c>
      <c r="AC88" s="30">
        <v>2.3968260093961618E-5</v>
      </c>
      <c r="AD88" s="30">
        <v>2.2069787061728899E-5</v>
      </c>
      <c r="AE88" s="30">
        <v>1.17963669245097E-3</v>
      </c>
      <c r="AF88" s="30">
        <v>3.99875836082171E-3</v>
      </c>
      <c r="AG88" s="32">
        <v>0</v>
      </c>
      <c r="AH88" s="32">
        <v>1.445647576592023E-5</v>
      </c>
      <c r="AI88" s="32">
        <v>8.0466814300478743E-5</v>
      </c>
      <c r="AJ88" s="32">
        <v>8.5554174677296554E-5</v>
      </c>
      <c r="AK88" s="32">
        <v>2.0597168588599979E-5</v>
      </c>
      <c r="AL88" s="32">
        <v>3.5145700701957861E-3</v>
      </c>
      <c r="AM88" s="32">
        <v>3.7156447035280814E-3</v>
      </c>
      <c r="AN88" s="34">
        <v>0</v>
      </c>
      <c r="AO88" s="34">
        <v>1.036854518903741E-5</v>
      </c>
      <c r="AP88" s="34">
        <v>1.901077657292092E-7</v>
      </c>
      <c r="AQ88" s="34">
        <v>6.5490648626579012E-8</v>
      </c>
      <c r="AR88" s="34">
        <v>8.1328201214644952E-8</v>
      </c>
      <c r="AS88" s="34">
        <v>2.2421527293958001E-6</v>
      </c>
      <c r="AT88" s="34">
        <v>1.2947624534003645E-5</v>
      </c>
      <c r="AU88" s="36">
        <v>0</v>
      </c>
      <c r="AV88" s="36">
        <v>0</v>
      </c>
      <c r="AW88" s="36">
        <v>2.1268479451680587E-3</v>
      </c>
      <c r="AX88" s="36">
        <v>2.01770987761535E-2</v>
      </c>
      <c r="AY88" s="36">
        <v>2.5171231444526893E-2</v>
      </c>
      <c r="AZ88" s="36">
        <v>0.26732106008133277</v>
      </c>
      <c r="BA88" s="36">
        <v>0.31479623824718123</v>
      </c>
      <c r="BB88" s="6"/>
      <c r="BC88" s="6"/>
      <c r="BD88" t="s">
        <v>1008</v>
      </c>
      <c r="BF88" s="5">
        <v>1.6237141E-2</v>
      </c>
      <c r="BG88" s="5">
        <f t="shared" si="5"/>
        <v>-7.9557301421861633E-3</v>
      </c>
      <c r="BH88" s="2">
        <v>34.464179000000001</v>
      </c>
    </row>
    <row r="89" spans="1:60" x14ac:dyDescent="0.2">
      <c r="A89" t="str">
        <f t="shared" si="4"/>
        <v>Bicycle, electric, cargo bike - 2040 - NCA - CH</v>
      </c>
      <c r="B89" t="s">
        <v>496</v>
      </c>
      <c r="D89" s="19">
        <v>2040</v>
      </c>
      <c r="E89" t="s">
        <v>37</v>
      </c>
      <c r="F89" t="s">
        <v>140</v>
      </c>
      <c r="G89" t="s">
        <v>39</v>
      </c>
      <c r="H89" t="s">
        <v>32</v>
      </c>
      <c r="I89" t="s">
        <v>45</v>
      </c>
      <c r="J89" t="s">
        <v>861</v>
      </c>
      <c r="L89" s="26">
        <v>0</v>
      </c>
      <c r="M89" s="26">
        <v>0</v>
      </c>
      <c r="N89" s="26">
        <v>2.1347201307001551E-4</v>
      </c>
      <c r="O89" s="26">
        <v>1.195732624675443E-3</v>
      </c>
      <c r="P89" s="26">
        <v>7.6248048195077839E-4</v>
      </c>
      <c r="Q89" s="26">
        <v>2.2389322592270031E-2</v>
      </c>
      <c r="R89" s="26">
        <v>2.4561007711966266E-2</v>
      </c>
      <c r="S89" s="28">
        <v>0</v>
      </c>
      <c r="T89" s="28">
        <v>0</v>
      </c>
      <c r="U89" s="28">
        <v>1.2168174231632199E-4</v>
      </c>
      <c r="V89" s="28">
        <v>9.8317473549625417E-5</v>
      </c>
      <c r="W89" s="28">
        <v>4.8179342609820628E-5</v>
      </c>
      <c r="X89" s="28">
        <v>6.116150346419302E-3</v>
      </c>
      <c r="Y89" s="28">
        <v>6.3843289048950702E-3</v>
      </c>
      <c r="Z89" s="30">
        <v>0</v>
      </c>
      <c r="AA89" s="30">
        <v>2.7516120475980978E-3</v>
      </c>
      <c r="AB89" s="30">
        <v>2.1471573616951781E-5</v>
      </c>
      <c r="AC89" s="30">
        <v>2.3968260093961618E-5</v>
      </c>
      <c r="AD89" s="30">
        <v>2.1900683278405099E-5</v>
      </c>
      <c r="AE89" s="30">
        <v>1.1488221856844601E-3</v>
      </c>
      <c r="AF89" s="30">
        <v>3.9677747502718762E-3</v>
      </c>
      <c r="AG89" s="32">
        <v>0</v>
      </c>
      <c r="AH89" s="32">
        <v>1.445647576592023E-5</v>
      </c>
      <c r="AI89" s="32">
        <v>8.0466814300478743E-5</v>
      </c>
      <c r="AJ89" s="32">
        <v>8.5554174677296554E-5</v>
      </c>
      <c r="AK89" s="32">
        <v>2.0439348346639859E-5</v>
      </c>
      <c r="AL89" s="32">
        <v>3.4424901281110551E-3</v>
      </c>
      <c r="AM89" s="32">
        <v>3.6434069412013903E-3</v>
      </c>
      <c r="AN89" s="34">
        <v>0</v>
      </c>
      <c r="AO89" s="34">
        <v>1.036854518903741E-5</v>
      </c>
      <c r="AP89" s="34">
        <v>1.901077657292092E-7</v>
      </c>
      <c r="AQ89" s="34">
        <v>6.5490648626579012E-8</v>
      </c>
      <c r="AR89" s="34">
        <v>8.0705045835852706E-8</v>
      </c>
      <c r="AS89" s="34">
        <v>2.0890779398036739E-6</v>
      </c>
      <c r="AT89" s="34">
        <v>1.2793926589032726E-5</v>
      </c>
      <c r="AU89" s="36">
        <v>0</v>
      </c>
      <c r="AV89" s="36">
        <v>0</v>
      </c>
      <c r="AW89" s="36">
        <v>2.1268479451680587E-3</v>
      </c>
      <c r="AX89" s="36">
        <v>2.01770987761535E-2</v>
      </c>
      <c r="AY89" s="36">
        <v>2.4978363681177701E-2</v>
      </c>
      <c r="AZ89" s="36">
        <v>0.26827187443993367</v>
      </c>
      <c r="BA89" s="36">
        <v>0.31555418484243292</v>
      </c>
      <c r="BB89" s="6"/>
      <c r="BC89" s="6"/>
      <c r="BD89" t="s">
        <v>1009</v>
      </c>
      <c r="BF89" s="5">
        <v>1.6033511E-2</v>
      </c>
      <c r="BG89" s="5">
        <f t="shared" si="5"/>
        <v>-8.5274967119662662E-3</v>
      </c>
      <c r="BH89" s="2">
        <v>31.085521</v>
      </c>
    </row>
    <row r="90" spans="1:60" x14ac:dyDescent="0.2">
      <c r="A90" t="str">
        <f t="shared" si="4"/>
        <v>Bicycle, electric, cargo bike - 2050 - NCA - CH</v>
      </c>
      <c r="B90" t="s">
        <v>496</v>
      </c>
      <c r="D90" s="19">
        <v>2050</v>
      </c>
      <c r="E90" t="s">
        <v>37</v>
      </c>
      <c r="F90" t="s">
        <v>140</v>
      </c>
      <c r="G90" t="s">
        <v>39</v>
      </c>
      <c r="H90" t="s">
        <v>32</v>
      </c>
      <c r="I90" t="s">
        <v>45</v>
      </c>
      <c r="J90" t="s">
        <v>861</v>
      </c>
      <c r="L90" s="26">
        <v>0</v>
      </c>
      <c r="M90" s="26">
        <v>0</v>
      </c>
      <c r="N90" s="26">
        <v>2.1347201307001551E-4</v>
      </c>
      <c r="O90" s="26">
        <v>1.195732624675443E-3</v>
      </c>
      <c r="P90" s="26">
        <v>7.5856565678971755E-4</v>
      </c>
      <c r="Q90" s="26">
        <v>2.3192410185793658E-2</v>
      </c>
      <c r="R90" s="26">
        <v>2.5360180480328835E-2</v>
      </c>
      <c r="S90" s="28">
        <v>0</v>
      </c>
      <c r="T90" s="28">
        <v>0</v>
      </c>
      <c r="U90" s="28">
        <v>1.2168174231632199E-4</v>
      </c>
      <c r="V90" s="28">
        <v>9.8317473549625417E-5</v>
      </c>
      <c r="W90" s="28">
        <v>4.7931974044779159E-5</v>
      </c>
      <c r="X90" s="28">
        <v>5.9207208665991726E-3</v>
      </c>
      <c r="Y90" s="28">
        <v>6.1886520565098994E-3</v>
      </c>
      <c r="Z90" s="30">
        <v>0</v>
      </c>
      <c r="AA90" s="30">
        <v>2.7516120475980978E-3</v>
      </c>
      <c r="AB90" s="30">
        <v>2.1471573616951781E-5</v>
      </c>
      <c r="AC90" s="30">
        <v>2.3968260093961618E-5</v>
      </c>
      <c r="AD90" s="30">
        <v>2.1788237979184629E-5</v>
      </c>
      <c r="AE90" s="30">
        <v>1.1679844838327149E-3</v>
      </c>
      <c r="AF90" s="30">
        <v>3.9868246031209108E-3</v>
      </c>
      <c r="AG90" s="32">
        <v>0</v>
      </c>
      <c r="AH90" s="32">
        <v>1.445647576592023E-5</v>
      </c>
      <c r="AI90" s="32">
        <v>8.0466814300478743E-5</v>
      </c>
      <c r="AJ90" s="32">
        <v>8.5554174677296554E-5</v>
      </c>
      <c r="AK90" s="32">
        <v>2.0334406020800391E-5</v>
      </c>
      <c r="AL90" s="32">
        <v>3.5206074558304318E-3</v>
      </c>
      <c r="AM90" s="32">
        <v>3.7214193265949279E-3</v>
      </c>
      <c r="AN90" s="34">
        <v>0</v>
      </c>
      <c r="AO90" s="34">
        <v>1.036854518903741E-5</v>
      </c>
      <c r="AP90" s="34">
        <v>1.901077657292092E-7</v>
      </c>
      <c r="AQ90" s="34">
        <v>6.5490648626579012E-8</v>
      </c>
      <c r="AR90" s="34">
        <v>8.0290679630367122E-8</v>
      </c>
      <c r="AS90" s="34">
        <v>2.038049713160376E-6</v>
      </c>
      <c r="AT90" s="34">
        <v>1.2742483996183944E-5</v>
      </c>
      <c r="AU90" s="36">
        <v>0</v>
      </c>
      <c r="AV90" s="36">
        <v>0</v>
      </c>
      <c r="AW90" s="36">
        <v>2.1268479451680587E-3</v>
      </c>
      <c r="AX90" s="36">
        <v>2.01770987761535E-2</v>
      </c>
      <c r="AY90" s="36">
        <v>2.4850116560187773E-2</v>
      </c>
      <c r="AZ90" s="36">
        <v>0.27535273461658422</v>
      </c>
      <c r="BA90" s="36">
        <v>0.32250679789809356</v>
      </c>
      <c r="BB90" s="6"/>
      <c r="BC90" s="6"/>
      <c r="BD90" t="s">
        <v>1010</v>
      </c>
      <c r="BF90" s="5">
        <v>1.6183102000000001E-2</v>
      </c>
      <c r="BG90" s="5">
        <f t="shared" si="5"/>
        <v>-9.177078480328834E-3</v>
      </c>
      <c r="BH90" s="2">
        <v>29.513086999999999</v>
      </c>
    </row>
    <row r="91" spans="1:60" x14ac:dyDescent="0.2">
      <c r="A91" t="str">
        <f t="shared" si="0"/>
        <v>Tram, electric - 2020 - None - CH</v>
      </c>
      <c r="B91" t="s">
        <v>491</v>
      </c>
      <c r="C91" t="s">
        <v>34</v>
      </c>
      <c r="D91" s="19">
        <v>2020</v>
      </c>
      <c r="E91" t="s">
        <v>37</v>
      </c>
      <c r="F91" t="s">
        <v>140</v>
      </c>
      <c r="G91" t="s">
        <v>40</v>
      </c>
      <c r="H91" t="s">
        <v>32</v>
      </c>
      <c r="I91" t="s">
        <v>140</v>
      </c>
      <c r="J91" t="s">
        <v>140</v>
      </c>
      <c r="L91" s="26">
        <v>0</v>
      </c>
      <c r="M91" s="26">
        <v>1.956797293172932E-4</v>
      </c>
      <c r="N91" s="26">
        <v>9.3541078224898492E-3</v>
      </c>
      <c r="O91" s="26">
        <v>3.2777569908739641E-4</v>
      </c>
      <c r="P91" s="26">
        <v>0</v>
      </c>
      <c r="Q91" s="26">
        <v>1.8324312001857101E-3</v>
      </c>
      <c r="R91" s="26">
        <v>1.1709994451080249E-2</v>
      </c>
      <c r="S91" s="28">
        <v>0</v>
      </c>
      <c r="T91" s="28">
        <v>0</v>
      </c>
      <c r="U91" s="28">
        <v>3.5924961226553142E-4</v>
      </c>
      <c r="V91" s="28">
        <v>1.0483734955580971E-5</v>
      </c>
      <c r="W91" s="28">
        <v>0</v>
      </c>
      <c r="X91" s="28">
        <v>1.711018047193602E-3</v>
      </c>
      <c r="Y91" s="28">
        <v>2.0807513944147145E-3</v>
      </c>
      <c r="Z91" s="30">
        <v>1.718433157894737E-6</v>
      </c>
      <c r="AA91" s="30">
        <v>6.9022556390977446E-9</v>
      </c>
      <c r="AB91" s="30">
        <v>2.295759312253106E-4</v>
      </c>
      <c r="AC91" s="30">
        <v>7.030026356166962E-6</v>
      </c>
      <c r="AD91" s="30">
        <v>0</v>
      </c>
      <c r="AE91" s="30">
        <v>1.830788584424419E-4</v>
      </c>
      <c r="AF91" s="30">
        <v>4.2141015143745328E-4</v>
      </c>
      <c r="AG91" s="32">
        <v>4.8749999999999999E-7</v>
      </c>
      <c r="AH91" s="32">
        <v>0</v>
      </c>
      <c r="AI91" s="32">
        <v>2.7705030440136521E-4</v>
      </c>
      <c r="AJ91" s="32">
        <v>7.4651632094057728E-6</v>
      </c>
      <c r="AK91" s="32">
        <v>0</v>
      </c>
      <c r="AL91" s="32">
        <v>8.6983450217119546E-4</v>
      </c>
      <c r="AM91" s="32">
        <v>1.1548374697819665E-3</v>
      </c>
      <c r="AN91" s="34">
        <v>3.0749789473684212E-7</v>
      </c>
      <c r="AO91" s="34">
        <v>0</v>
      </c>
      <c r="AP91" s="34">
        <v>4.7419718910257708E-7</v>
      </c>
      <c r="AQ91" s="34">
        <v>1.9176305050935569E-8</v>
      </c>
      <c r="AR91" s="34">
        <v>0</v>
      </c>
      <c r="AS91" s="34">
        <v>4.083793281378228E-7</v>
      </c>
      <c r="AT91" s="34">
        <v>1.2092507170281777E-6</v>
      </c>
      <c r="AU91" s="36">
        <v>0</v>
      </c>
      <c r="AV91" s="36">
        <v>0</v>
      </c>
      <c r="AW91" s="36">
        <v>0.44863833161575678</v>
      </c>
      <c r="AX91" s="36">
        <v>1.2439104189875273E-2</v>
      </c>
      <c r="AY91" s="36">
        <v>0</v>
      </c>
      <c r="AZ91" s="36">
        <v>2.4726970774509874E-2</v>
      </c>
      <c r="BA91" s="36">
        <v>0.4858044065801419</v>
      </c>
      <c r="BB91" s="6"/>
      <c r="BC91" s="6"/>
      <c r="BD91" s="6" t="s">
        <v>1130</v>
      </c>
      <c r="BF91" s="5">
        <f>19.126506/1000</f>
        <v>1.9126505999999998E-2</v>
      </c>
      <c r="BG91" s="5">
        <f t="shared" si="5"/>
        <v>7.4165115489197488E-3</v>
      </c>
      <c r="BH91" s="2">
        <f>36.08469/1000</f>
        <v>3.6084690000000003E-2</v>
      </c>
    </row>
    <row r="92" spans="1:60" x14ac:dyDescent="0.2">
      <c r="A92" t="str">
        <f t="shared" si="0"/>
        <v>Tram, electric - 2030 - None - CH</v>
      </c>
      <c r="B92" t="s">
        <v>491</v>
      </c>
      <c r="C92" t="s">
        <v>34</v>
      </c>
      <c r="D92" s="19">
        <v>2030</v>
      </c>
      <c r="E92" t="s">
        <v>37</v>
      </c>
      <c r="F92" t="s">
        <v>140</v>
      </c>
      <c r="G92" t="s">
        <v>40</v>
      </c>
      <c r="H92" t="s">
        <v>32</v>
      </c>
      <c r="I92" t="s">
        <v>140</v>
      </c>
      <c r="J92" t="s">
        <v>140</v>
      </c>
      <c r="L92" s="26">
        <v>0</v>
      </c>
      <c r="M92" s="26">
        <v>3.3250878004241052E-4</v>
      </c>
      <c r="N92" s="26">
        <v>9.3541078224898492E-3</v>
      </c>
      <c r="O92" s="26">
        <v>3.2937200159192373E-4</v>
      </c>
      <c r="P92" s="26">
        <v>0</v>
      </c>
      <c r="Q92" s="26">
        <v>2.231267179567592E-3</v>
      </c>
      <c r="R92" s="26">
        <v>1.2247255783691777E-2</v>
      </c>
      <c r="S92" s="28">
        <v>0</v>
      </c>
      <c r="T92" s="28">
        <v>0</v>
      </c>
      <c r="U92" s="28">
        <v>3.5924961226553142E-4</v>
      </c>
      <c r="V92" s="28">
        <v>1.052491235450947E-5</v>
      </c>
      <c r="W92" s="28">
        <v>0</v>
      </c>
      <c r="X92" s="28">
        <v>1.7741581220618429E-3</v>
      </c>
      <c r="Y92" s="28">
        <v>2.1439326466818837E-3</v>
      </c>
      <c r="Z92" s="30">
        <v>1.718433157894737E-6</v>
      </c>
      <c r="AA92" s="30">
        <v>1.172865789473684E-8</v>
      </c>
      <c r="AB92" s="30">
        <v>2.295759312253106E-4</v>
      </c>
      <c r="AC92" s="30">
        <v>7.1156606251453789E-6</v>
      </c>
      <c r="AD92" s="30">
        <v>0</v>
      </c>
      <c r="AE92" s="30">
        <v>2.0523456651903011E-4</v>
      </c>
      <c r="AF92" s="30">
        <v>4.436563201852756E-4</v>
      </c>
      <c r="AG92" s="32">
        <v>4.8749999999999999E-7</v>
      </c>
      <c r="AH92" s="32">
        <v>0</v>
      </c>
      <c r="AI92" s="32">
        <v>2.7705030440136521E-4</v>
      </c>
      <c r="AJ92" s="32">
        <v>7.491203811326216E-6</v>
      </c>
      <c r="AK92" s="32">
        <v>0</v>
      </c>
      <c r="AL92" s="32">
        <v>9.4229451472251579E-4</v>
      </c>
      <c r="AM92" s="32">
        <v>1.2273235229352071E-3</v>
      </c>
      <c r="AN92" s="34">
        <v>3.0749789473684212E-7</v>
      </c>
      <c r="AO92" s="34">
        <v>0</v>
      </c>
      <c r="AP92" s="34">
        <v>4.7419718910257708E-7</v>
      </c>
      <c r="AQ92" s="34">
        <v>1.925346272557938E-8</v>
      </c>
      <c r="AR92" s="34">
        <v>0</v>
      </c>
      <c r="AS92" s="34">
        <v>4.2433346793508008E-7</v>
      </c>
      <c r="AT92" s="34">
        <v>1.2252820145000786E-6</v>
      </c>
      <c r="AU92" s="36">
        <v>0</v>
      </c>
      <c r="AV92" s="36">
        <v>0</v>
      </c>
      <c r="AW92" s="36">
        <v>0.44863833161575678</v>
      </c>
      <c r="AX92" s="36">
        <v>1.2450287382389258E-2</v>
      </c>
      <c r="AY92" s="36">
        <v>0</v>
      </c>
      <c r="AZ92" s="36">
        <v>2.8950228379673943E-2</v>
      </c>
      <c r="BA92" s="36">
        <v>0.49003884737781994</v>
      </c>
      <c r="BB92" s="6"/>
      <c r="BC92" s="6"/>
      <c r="BD92" s="6" t="s">
        <v>1131</v>
      </c>
      <c r="BF92" s="5">
        <f>19.437868/1000</f>
        <v>1.9437868000000001E-2</v>
      </c>
      <c r="BG92" s="5">
        <f t="shared" si="5"/>
        <v>7.1906122163082238E-3</v>
      </c>
      <c r="BH92" s="2">
        <f>36.248877/1000</f>
        <v>3.6248876999999999E-2</v>
      </c>
    </row>
    <row r="93" spans="1:60" x14ac:dyDescent="0.2">
      <c r="A93" t="str">
        <f t="shared" si="0"/>
        <v>Tram, electric - 2040 - None - CH</v>
      </c>
      <c r="B93" t="s">
        <v>491</v>
      </c>
      <c r="C93" t="s">
        <v>34</v>
      </c>
      <c r="D93" s="19">
        <v>2040</v>
      </c>
      <c r="E93" t="s">
        <v>37</v>
      </c>
      <c r="F93" t="s">
        <v>140</v>
      </c>
      <c r="G93" t="s">
        <v>40</v>
      </c>
      <c r="H93" t="s">
        <v>32</v>
      </c>
      <c r="I93" t="s">
        <v>140</v>
      </c>
      <c r="J93" t="s">
        <v>140</v>
      </c>
      <c r="L93" s="26">
        <v>0</v>
      </c>
      <c r="M93" s="26">
        <v>3.3250878004241052E-4</v>
      </c>
      <c r="N93" s="26">
        <v>9.3541078224898492E-3</v>
      </c>
      <c r="O93" s="26">
        <v>3.2937200159192373E-4</v>
      </c>
      <c r="P93" s="26">
        <v>0</v>
      </c>
      <c r="Q93" s="26">
        <v>2.4938322929111629E-3</v>
      </c>
      <c r="R93" s="26">
        <v>1.2509820897035347E-2</v>
      </c>
      <c r="S93" s="28">
        <v>0</v>
      </c>
      <c r="T93" s="28">
        <v>0</v>
      </c>
      <c r="U93" s="28">
        <v>3.5924961226553142E-4</v>
      </c>
      <c r="V93" s="28">
        <v>1.052491235450947E-5</v>
      </c>
      <c r="W93" s="28">
        <v>0</v>
      </c>
      <c r="X93" s="28">
        <v>1.8131463030672829E-3</v>
      </c>
      <c r="Y93" s="28">
        <v>2.1829208276873237E-3</v>
      </c>
      <c r="Z93" s="30">
        <v>1.718433157894737E-6</v>
      </c>
      <c r="AA93" s="30">
        <v>1.172865789473684E-8</v>
      </c>
      <c r="AB93" s="30">
        <v>2.295759312253106E-4</v>
      </c>
      <c r="AC93" s="30">
        <v>7.1156606251453789E-6</v>
      </c>
      <c r="AD93" s="30">
        <v>0</v>
      </c>
      <c r="AE93" s="30">
        <v>2.196727822363444E-4</v>
      </c>
      <c r="AF93" s="30">
        <v>4.5809453590258986E-4</v>
      </c>
      <c r="AG93" s="32">
        <v>4.8749999999999999E-7</v>
      </c>
      <c r="AH93" s="32">
        <v>0</v>
      </c>
      <c r="AI93" s="32">
        <v>2.7705030440136521E-4</v>
      </c>
      <c r="AJ93" s="32">
        <v>7.491203811326216E-6</v>
      </c>
      <c r="AK93" s="32">
        <v>0</v>
      </c>
      <c r="AL93" s="32">
        <v>9.8902258984547259E-4</v>
      </c>
      <c r="AM93" s="32">
        <v>1.274051598058164E-3</v>
      </c>
      <c r="AN93" s="34">
        <v>3.0749789473684212E-7</v>
      </c>
      <c r="AO93" s="34">
        <v>0</v>
      </c>
      <c r="AP93" s="34">
        <v>4.7419718910257708E-7</v>
      </c>
      <c r="AQ93" s="34">
        <v>1.925346272557938E-8</v>
      </c>
      <c r="AR93" s="34">
        <v>0</v>
      </c>
      <c r="AS93" s="34">
        <v>4.3422842372512038E-7</v>
      </c>
      <c r="AT93" s="34">
        <v>1.2351769702901189E-6</v>
      </c>
      <c r="AU93" s="36">
        <v>0</v>
      </c>
      <c r="AV93" s="36">
        <v>0</v>
      </c>
      <c r="AW93" s="36">
        <v>0.44863833161575678</v>
      </c>
      <c r="AX93" s="36">
        <v>1.2450287382389258E-2</v>
      </c>
      <c r="AY93" s="36">
        <v>0</v>
      </c>
      <c r="AZ93" s="36">
        <v>3.1720858368947807E-2</v>
      </c>
      <c r="BA93" s="36">
        <v>0.4928094773670938</v>
      </c>
      <c r="BB93" s="6"/>
      <c r="BC93" s="6"/>
      <c r="BD93" s="6" t="s">
        <v>1132</v>
      </c>
      <c r="BF93" s="5">
        <f>19.544804/1000</f>
        <v>1.9544803999999999E-2</v>
      </c>
      <c r="BG93" s="5">
        <f t="shared" si="5"/>
        <v>7.0349831029646523E-3</v>
      </c>
      <c r="BH93" s="2">
        <f>36.292762/1000</f>
        <v>3.6292762000000006E-2</v>
      </c>
    </row>
    <row r="94" spans="1:60" x14ac:dyDescent="0.2">
      <c r="A94" t="str">
        <f t="shared" si="0"/>
        <v>Tram, electric - 2050 - None - CH</v>
      </c>
      <c r="B94" t="s">
        <v>491</v>
      </c>
      <c r="C94" t="s">
        <v>34</v>
      </c>
      <c r="D94" s="19">
        <v>2050</v>
      </c>
      <c r="E94" t="s">
        <v>37</v>
      </c>
      <c r="F94" t="s">
        <v>140</v>
      </c>
      <c r="G94" t="s">
        <v>40</v>
      </c>
      <c r="H94" t="s">
        <v>32</v>
      </c>
      <c r="I94" t="s">
        <v>140</v>
      </c>
      <c r="J94" t="s">
        <v>140</v>
      </c>
      <c r="L94" s="26">
        <v>0</v>
      </c>
      <c r="M94" s="26">
        <v>3.3250878004241052E-4</v>
      </c>
      <c r="N94" s="26">
        <v>9.3541078224898492E-3</v>
      </c>
      <c r="O94" s="26">
        <v>3.2937200159192373E-4</v>
      </c>
      <c r="P94" s="26">
        <v>0</v>
      </c>
      <c r="Q94" s="26">
        <v>2.756702822032019E-3</v>
      </c>
      <c r="R94" s="26">
        <v>1.2772691426156203E-2</v>
      </c>
      <c r="S94" s="28">
        <v>0</v>
      </c>
      <c r="T94" s="28">
        <v>0</v>
      </c>
      <c r="U94" s="28">
        <v>3.5924961226553142E-4</v>
      </c>
      <c r="V94" s="28">
        <v>1.052491235450947E-5</v>
      </c>
      <c r="W94" s="28">
        <v>0</v>
      </c>
      <c r="X94" s="28">
        <v>1.852419664499443E-3</v>
      </c>
      <c r="Y94" s="28">
        <v>2.2221941891194838E-3</v>
      </c>
      <c r="Z94" s="30">
        <v>1.718433157894737E-6</v>
      </c>
      <c r="AA94" s="30">
        <v>1.172865789473684E-8</v>
      </c>
      <c r="AB94" s="30">
        <v>2.295759312253106E-4</v>
      </c>
      <c r="AC94" s="30">
        <v>7.1156606251453789E-6</v>
      </c>
      <c r="AD94" s="30">
        <v>0</v>
      </c>
      <c r="AE94" s="30">
        <v>2.341415121840008E-4</v>
      </c>
      <c r="AF94" s="30">
        <v>4.7256326585024629E-4</v>
      </c>
      <c r="AG94" s="32">
        <v>4.8749999999999999E-7</v>
      </c>
      <c r="AH94" s="32">
        <v>0</v>
      </c>
      <c r="AI94" s="32">
        <v>2.7705030440136521E-4</v>
      </c>
      <c r="AJ94" s="32">
        <v>7.491203811326216E-6</v>
      </c>
      <c r="AK94" s="32">
        <v>0</v>
      </c>
      <c r="AL94" s="32">
        <v>1.035895642900098E-3</v>
      </c>
      <c r="AM94" s="32">
        <v>1.3209246511127893E-3</v>
      </c>
      <c r="AN94" s="34">
        <v>3.0749789473684212E-7</v>
      </c>
      <c r="AO94" s="34">
        <v>0</v>
      </c>
      <c r="AP94" s="34">
        <v>4.7419718910257708E-7</v>
      </c>
      <c r="AQ94" s="34">
        <v>1.925346272557938E-8</v>
      </c>
      <c r="AR94" s="34">
        <v>0</v>
      </c>
      <c r="AS94" s="34">
        <v>4.4419144508488108E-7</v>
      </c>
      <c r="AT94" s="34">
        <v>1.2451399916498797E-6</v>
      </c>
      <c r="AU94" s="36">
        <v>0</v>
      </c>
      <c r="AV94" s="36">
        <v>0</v>
      </c>
      <c r="AW94" s="36">
        <v>0.44863833161575678</v>
      </c>
      <c r="AX94" s="36">
        <v>1.2450287382389258E-2</v>
      </c>
      <c r="AY94" s="36">
        <v>0</v>
      </c>
      <c r="AZ94" s="36">
        <v>3.4495609660682769E-2</v>
      </c>
      <c r="BA94" s="36">
        <v>0.49558422865882878</v>
      </c>
      <c r="BB94" s="6"/>
      <c r="BC94" s="6"/>
      <c r="BD94" s="6" t="s">
        <v>1133</v>
      </c>
      <c r="BF94" s="5">
        <f>19.651928/1000</f>
        <v>1.9651928000000003E-2</v>
      </c>
      <c r="BG94" s="5">
        <f t="shared" si="5"/>
        <v>6.8792365738437992E-3</v>
      </c>
      <c r="BH94" s="2">
        <f>36.337108/1000</f>
        <v>3.6337108E-2</v>
      </c>
    </row>
    <row r="95" spans="1:60" x14ac:dyDescent="0.2">
      <c r="A95" t="str">
        <f t="shared" si="0"/>
        <v>Moped, gasoline, &lt;4kW, EURO-3 - 2006 - None - CH</v>
      </c>
      <c r="B95" t="s">
        <v>579</v>
      </c>
      <c r="D95" s="19">
        <v>2006</v>
      </c>
      <c r="E95" t="s">
        <v>37</v>
      </c>
      <c r="F95" t="s">
        <v>141</v>
      </c>
      <c r="G95" t="s">
        <v>39</v>
      </c>
      <c r="H95" t="s">
        <v>35</v>
      </c>
      <c r="I95" t="s">
        <v>140</v>
      </c>
      <c r="J95" t="s">
        <v>140</v>
      </c>
      <c r="L95" s="26">
        <v>7.6158807849571478E-2</v>
      </c>
      <c r="M95" s="26">
        <v>0</v>
      </c>
      <c r="N95" s="26">
        <v>1.2216500437448451E-2</v>
      </c>
      <c r="O95" s="26">
        <v>9.5118975182542226E-3</v>
      </c>
      <c r="P95" s="26">
        <v>4.327689440643121E-3</v>
      </c>
      <c r="Q95" s="26">
        <v>1.1663392242302031E-2</v>
      </c>
      <c r="R95" s="26">
        <v>0.11387828748821929</v>
      </c>
      <c r="S95" s="28">
        <v>0</v>
      </c>
      <c r="T95" s="28">
        <v>0</v>
      </c>
      <c r="U95" s="28">
        <v>2.8032155576443652E-4</v>
      </c>
      <c r="V95" s="28">
        <v>5.4149643498382851E-4</v>
      </c>
      <c r="W95" s="28">
        <v>3.0040213972647579E-4</v>
      </c>
      <c r="X95" s="28">
        <v>2.6915767937218918E-3</v>
      </c>
      <c r="Y95" s="28">
        <v>3.8137969241966328E-3</v>
      </c>
      <c r="Z95" s="30">
        <v>2.5595337125993631E-2</v>
      </c>
      <c r="AA95" s="30">
        <v>2.7516120475980978E-3</v>
      </c>
      <c r="AB95" s="30">
        <v>6.2619259792784333E-4</v>
      </c>
      <c r="AC95" s="30">
        <v>1.891362620619139E-4</v>
      </c>
      <c r="AD95" s="30">
        <v>1.3387280590702801E-4</v>
      </c>
      <c r="AE95" s="30">
        <v>5.6825601161226871E-4</v>
      </c>
      <c r="AF95" s="30">
        <v>2.9864406851100783E-2</v>
      </c>
      <c r="AG95" s="32">
        <v>2.3696459537734282E-6</v>
      </c>
      <c r="AH95" s="32">
        <v>1.445647576592023E-5</v>
      </c>
      <c r="AI95" s="32">
        <v>1.092229405257441E-4</v>
      </c>
      <c r="AJ95" s="32">
        <v>3.7496238084001741E-4</v>
      </c>
      <c r="AK95" s="32">
        <v>1.8347596037874211E-4</v>
      </c>
      <c r="AL95" s="32">
        <v>1.2416250313614481E-3</v>
      </c>
      <c r="AM95" s="32">
        <v>1.9261124348256453E-3</v>
      </c>
      <c r="AN95" s="34">
        <v>5.700466977606345E-6</v>
      </c>
      <c r="AO95" s="34">
        <v>1.036854518903741E-5</v>
      </c>
      <c r="AP95" s="34">
        <v>2.40276050593929E-6</v>
      </c>
      <c r="AQ95" s="34">
        <v>5.7073161734124143E-7</v>
      </c>
      <c r="AR95" s="34">
        <v>7.4612909852064662E-7</v>
      </c>
      <c r="AS95" s="34">
        <v>2.4241264442910122E-6</v>
      </c>
      <c r="AT95" s="34">
        <v>2.2212759832735942E-5</v>
      </c>
      <c r="AU95" s="36">
        <v>0</v>
      </c>
      <c r="AV95" s="36">
        <v>0</v>
      </c>
      <c r="AW95" s="36">
        <v>1.0704762575237599</v>
      </c>
      <c r="AX95" s="36">
        <v>0.17743074935185008</v>
      </c>
      <c r="AY95" s="36">
        <v>0.15224090294374568</v>
      </c>
      <c r="AZ95" s="36">
        <v>0.17321715958219866</v>
      </c>
      <c r="BA95" s="36">
        <v>1.5733650694015544</v>
      </c>
      <c r="BB95" s="6"/>
      <c r="BC95" s="6"/>
      <c r="BD95" t="s">
        <v>892</v>
      </c>
      <c r="BF95" s="5">
        <v>0.11010976</v>
      </c>
      <c r="BG95" s="5">
        <f t="shared" si="5"/>
        <v>-3.7685274882192921E-3</v>
      </c>
      <c r="BH95" s="2">
        <v>239.49606</v>
      </c>
    </row>
    <row r="96" spans="1:60" x14ac:dyDescent="0.2">
      <c r="A96" t="str">
        <f t="shared" si="0"/>
        <v>Moped, gasoline, &lt;4kW, EURO-4 - 2016 - None - CH</v>
      </c>
      <c r="B96" t="s">
        <v>580</v>
      </c>
      <c r="D96" s="19">
        <v>2016</v>
      </c>
      <c r="E96" t="s">
        <v>37</v>
      </c>
      <c r="F96" t="s">
        <v>142</v>
      </c>
      <c r="G96" t="s">
        <v>39</v>
      </c>
      <c r="H96" t="s">
        <v>35</v>
      </c>
      <c r="I96" t="s">
        <v>140</v>
      </c>
      <c r="J96" t="s">
        <v>140</v>
      </c>
      <c r="L96" s="26">
        <v>7.2098118546289489E-2</v>
      </c>
      <c r="M96" s="26">
        <v>0</v>
      </c>
      <c r="N96" s="26">
        <v>1.209554498757272E-2</v>
      </c>
      <c r="O96" s="26">
        <v>9.5118975182542226E-3</v>
      </c>
      <c r="P96" s="26">
        <v>4.3219588877075046E-3</v>
      </c>
      <c r="Q96" s="26">
        <v>1.164930380824032E-2</v>
      </c>
      <c r="R96" s="26">
        <v>0.10967682374806426</v>
      </c>
      <c r="S96" s="28">
        <v>0</v>
      </c>
      <c r="T96" s="28">
        <v>0</v>
      </c>
      <c r="U96" s="28">
        <v>2.775460948162738E-4</v>
      </c>
      <c r="V96" s="28">
        <v>5.4149643498382851E-4</v>
      </c>
      <c r="W96" s="28">
        <v>3.000400396075031E-4</v>
      </c>
      <c r="X96" s="28">
        <v>2.6912906902973742E-3</v>
      </c>
      <c r="Y96" s="28">
        <v>3.8103732597049795E-3</v>
      </c>
      <c r="Z96" s="30">
        <v>1.259043798309188E-2</v>
      </c>
      <c r="AA96" s="30">
        <v>2.7516120475980978E-3</v>
      </c>
      <c r="AB96" s="30">
        <v>6.1999267121568653E-4</v>
      </c>
      <c r="AC96" s="30">
        <v>1.891362620619139E-4</v>
      </c>
      <c r="AD96" s="30">
        <v>1.3370820756277669E-4</v>
      </c>
      <c r="AE96" s="30">
        <v>5.6727139557644698E-4</v>
      </c>
      <c r="AF96" s="30">
        <v>1.6852158567106802E-2</v>
      </c>
      <c r="AG96" s="32">
        <v>1.237606184978023E-6</v>
      </c>
      <c r="AH96" s="32">
        <v>1.445647576592023E-5</v>
      </c>
      <c r="AI96" s="32">
        <v>1.08141525273014E-4</v>
      </c>
      <c r="AJ96" s="32">
        <v>3.7496238084001741E-4</v>
      </c>
      <c r="AK96" s="32">
        <v>1.833223449479966E-4</v>
      </c>
      <c r="AL96" s="32">
        <v>1.2415357770236589E-3</v>
      </c>
      <c r="AM96" s="32">
        <v>1.9236561100355852E-3</v>
      </c>
      <c r="AN96" s="34">
        <v>2.894383995750942E-6</v>
      </c>
      <c r="AO96" s="34">
        <v>1.036854518903741E-5</v>
      </c>
      <c r="AP96" s="34">
        <v>2.3789707979596928E-6</v>
      </c>
      <c r="AQ96" s="34">
        <v>5.7073161734124143E-7</v>
      </c>
      <c r="AR96" s="34">
        <v>7.4552254589630871E-7</v>
      </c>
      <c r="AS96" s="34">
        <v>2.420480924882581E-6</v>
      </c>
      <c r="AT96" s="34">
        <v>1.9378635070868174E-5</v>
      </c>
      <c r="AU96" s="36">
        <v>0</v>
      </c>
      <c r="AV96" s="36">
        <v>0</v>
      </c>
      <c r="AW96" s="36">
        <v>1.0598774826967927</v>
      </c>
      <c r="AX96" s="36">
        <v>0.17743074935185008</v>
      </c>
      <c r="AY96" s="36">
        <v>0.15205317376416869</v>
      </c>
      <c r="AZ96" s="36">
        <v>0.1730072649338944</v>
      </c>
      <c r="BA96" s="36">
        <v>1.5623686707467059</v>
      </c>
      <c r="BB96" s="6"/>
      <c r="BC96" s="6"/>
      <c r="BD96" t="s">
        <v>893</v>
      </c>
      <c r="BF96" s="5">
        <v>0.10933002999999999</v>
      </c>
      <c r="BG96" s="5">
        <f t="shared" si="5"/>
        <v>-3.4679374806426133E-4</v>
      </c>
      <c r="BH96" s="2">
        <v>171.39883</v>
      </c>
    </row>
    <row r="97" spans="1:60" x14ac:dyDescent="0.2">
      <c r="A97" t="str">
        <f t="shared" si="0"/>
        <v>Moped, gasoline, &lt;4kW, EURO-5 - 2020 - None - CH</v>
      </c>
      <c r="B97" t="s">
        <v>581</v>
      </c>
      <c r="D97" s="19">
        <v>2020</v>
      </c>
      <c r="E97" t="s">
        <v>37</v>
      </c>
      <c r="F97" t="s">
        <v>143</v>
      </c>
      <c r="G97" t="s">
        <v>39</v>
      </c>
      <c r="H97" t="s">
        <v>35</v>
      </c>
      <c r="I97" t="s">
        <v>140</v>
      </c>
      <c r="J97" t="s">
        <v>140</v>
      </c>
      <c r="L97" s="26">
        <v>7.1377137360826598E-2</v>
      </c>
      <c r="M97" s="26">
        <v>0</v>
      </c>
      <c r="N97" s="26">
        <v>1.197458953769699E-2</v>
      </c>
      <c r="O97" s="26">
        <v>9.5118975182542226E-3</v>
      </c>
      <c r="P97" s="26">
        <v>4.3181385190837586E-3</v>
      </c>
      <c r="Q97" s="26">
        <v>1.1639911526481649E-2</v>
      </c>
      <c r="R97" s="26">
        <v>0.10882167446234323</v>
      </c>
      <c r="S97" s="28">
        <v>0</v>
      </c>
      <c r="T97" s="28">
        <v>0</v>
      </c>
      <c r="U97" s="28">
        <v>2.7477063386811108E-4</v>
      </c>
      <c r="V97" s="28">
        <v>5.4149643498382851E-4</v>
      </c>
      <c r="W97" s="28">
        <v>2.9979863952818789E-4</v>
      </c>
      <c r="X97" s="28">
        <v>2.691099954845204E-3</v>
      </c>
      <c r="Y97" s="28">
        <v>3.8071656632253314E-3</v>
      </c>
      <c r="Z97" s="30">
        <v>1.246453360326096E-2</v>
      </c>
      <c r="AA97" s="30">
        <v>2.7516120475980978E-3</v>
      </c>
      <c r="AB97" s="30">
        <v>6.1379274450352962E-4</v>
      </c>
      <c r="AC97" s="30">
        <v>1.891362620619139E-4</v>
      </c>
      <c r="AD97" s="30">
        <v>1.335984753332758E-4</v>
      </c>
      <c r="AE97" s="30">
        <v>5.6661498494713265E-4</v>
      </c>
      <c r="AF97" s="30">
        <v>1.6719288117704911E-2</v>
      </c>
      <c r="AG97" s="32">
        <v>1.2252301231282421E-6</v>
      </c>
      <c r="AH97" s="32">
        <v>1.445647576592023E-5</v>
      </c>
      <c r="AI97" s="32">
        <v>1.070601100202838E-4</v>
      </c>
      <c r="AJ97" s="32">
        <v>3.7496238084001741E-4</v>
      </c>
      <c r="AK97" s="32">
        <v>1.832199346608329E-4</v>
      </c>
      <c r="AL97" s="32">
        <v>1.2414762741699431E-3</v>
      </c>
      <c r="AM97" s="32">
        <v>1.9224004055801258E-3</v>
      </c>
      <c r="AN97" s="34">
        <v>2.8654401557934321E-6</v>
      </c>
      <c r="AO97" s="34">
        <v>1.036854518903741E-5</v>
      </c>
      <c r="AP97" s="34">
        <v>2.3551810899800961E-6</v>
      </c>
      <c r="AQ97" s="34">
        <v>5.7073161734124143E-7</v>
      </c>
      <c r="AR97" s="34">
        <v>7.4511817748008339E-7</v>
      </c>
      <c r="AS97" s="34">
        <v>2.4180505789840031E-6</v>
      </c>
      <c r="AT97" s="34">
        <v>1.9323066808616268E-5</v>
      </c>
      <c r="AU97" s="36">
        <v>0</v>
      </c>
      <c r="AV97" s="36">
        <v>0</v>
      </c>
      <c r="AW97" s="36">
        <v>1.0492787078698251</v>
      </c>
      <c r="AX97" s="36">
        <v>0.17743074935185008</v>
      </c>
      <c r="AY97" s="36">
        <v>0.15192802097778405</v>
      </c>
      <c r="AZ97" s="36">
        <v>0.17286733527208248</v>
      </c>
      <c r="BA97" s="36">
        <v>1.5515048134715417</v>
      </c>
      <c r="BB97" s="6"/>
      <c r="BC97" s="6"/>
      <c r="BD97" t="s">
        <v>894</v>
      </c>
      <c r="BF97" s="5">
        <v>0.10852245000000001</v>
      </c>
      <c r="BG97" s="5">
        <f t="shared" si="5"/>
        <v>-2.9922446234321998E-4</v>
      </c>
      <c r="BH97" s="2">
        <v>170.18522999999999</v>
      </c>
    </row>
    <row r="98" spans="1:60" x14ac:dyDescent="0.2">
      <c r="A98" t="str">
        <f t="shared" si="0"/>
        <v>Moped, gasoline, &lt;4kW, EURO-5 - 2030 - None - CH</v>
      </c>
      <c r="B98" t="s">
        <v>581</v>
      </c>
      <c r="D98" s="19">
        <v>2030</v>
      </c>
      <c r="E98" t="s">
        <v>37</v>
      </c>
      <c r="F98" t="s">
        <v>143</v>
      </c>
      <c r="G98" t="s">
        <v>39</v>
      </c>
      <c r="H98" t="s">
        <v>35</v>
      </c>
      <c r="I98" t="s">
        <v>140</v>
      </c>
      <c r="J98" t="s">
        <v>140</v>
      </c>
      <c r="L98" s="26">
        <v>7.0663365987218341E-2</v>
      </c>
      <c r="M98" s="26">
        <v>0</v>
      </c>
      <c r="N98" s="26">
        <v>1.185484364232002E-2</v>
      </c>
      <c r="O98" s="26">
        <v>9.5118975182542226E-3</v>
      </c>
      <c r="P98" s="26">
        <v>4.3123533406807801E-3</v>
      </c>
      <c r="Q98" s="26">
        <v>1.334277129371862E-2</v>
      </c>
      <c r="R98" s="26">
        <v>0.10968523178219199</v>
      </c>
      <c r="S98" s="28">
        <v>0</v>
      </c>
      <c r="T98" s="28">
        <v>0</v>
      </c>
      <c r="U98" s="28">
        <v>2.7202292752943002E-4</v>
      </c>
      <c r="V98" s="28">
        <v>5.4149643498382851E-4</v>
      </c>
      <c r="W98" s="28">
        <v>2.9943308775481919E-4</v>
      </c>
      <c r="X98" s="28">
        <v>2.9972968297730918E-3</v>
      </c>
      <c r="Y98" s="28">
        <v>4.1102492800411698E-3</v>
      </c>
      <c r="Z98" s="30">
        <v>1.2339888267228351E-2</v>
      </c>
      <c r="AA98" s="30">
        <v>2.7516120475980978E-3</v>
      </c>
      <c r="AB98" s="30">
        <v>6.0765481705849444E-4</v>
      </c>
      <c r="AC98" s="30">
        <v>1.891362620619139E-4</v>
      </c>
      <c r="AD98" s="30">
        <v>1.3343230798484919E-4</v>
      </c>
      <c r="AE98" s="30">
        <v>6.6360526640711149E-4</v>
      </c>
      <c r="AF98" s="30">
        <v>1.6685328968338818E-2</v>
      </c>
      <c r="AG98" s="32">
        <v>1.21297782189696E-6</v>
      </c>
      <c r="AH98" s="32">
        <v>1.445647576592023E-5</v>
      </c>
      <c r="AI98" s="32">
        <v>1.0598950892008099E-4</v>
      </c>
      <c r="AJ98" s="32">
        <v>3.7496238084001741E-4</v>
      </c>
      <c r="AK98" s="32">
        <v>1.8306485491856409E-4</v>
      </c>
      <c r="AL98" s="32">
        <v>1.565631020328212E-3</v>
      </c>
      <c r="AM98" s="32">
        <v>2.245317218594692E-3</v>
      </c>
      <c r="AN98" s="34">
        <v>2.8367857542354979E-6</v>
      </c>
      <c r="AO98" s="34">
        <v>1.036854518903741E-5</v>
      </c>
      <c r="AP98" s="34">
        <v>2.331629279080296E-6</v>
      </c>
      <c r="AQ98" s="34">
        <v>5.7073161734124143E-7</v>
      </c>
      <c r="AR98" s="34">
        <v>7.445058430017154E-7</v>
      </c>
      <c r="AS98" s="34">
        <v>2.4944900648852379E-6</v>
      </c>
      <c r="AT98" s="34">
        <v>1.9346687747581396E-5</v>
      </c>
      <c r="AU98" s="36">
        <v>0</v>
      </c>
      <c r="AV98" s="36">
        <v>0</v>
      </c>
      <c r="AW98" s="36">
        <v>1.0387859207911265</v>
      </c>
      <c r="AX98" s="36">
        <v>0.17743074935185008</v>
      </c>
      <c r="AY98" s="36">
        <v>0.15173850230349559</v>
      </c>
      <c r="AZ98" s="36">
        <v>0.19100922548704211</v>
      </c>
      <c r="BA98" s="36">
        <v>1.5589643979335144</v>
      </c>
      <c r="BB98" s="6"/>
      <c r="BC98" s="6"/>
      <c r="BD98" t="s">
        <v>1011</v>
      </c>
      <c r="BF98" s="5">
        <v>0.10845150000000001</v>
      </c>
      <c r="BG98" s="5">
        <f t="shared" si="5"/>
        <v>-1.2337317821919797E-3</v>
      </c>
      <c r="BH98" s="2">
        <v>169.38229000000001</v>
      </c>
    </row>
    <row r="99" spans="1:60" x14ac:dyDescent="0.2">
      <c r="A99" t="str">
        <f t="shared" si="0"/>
        <v>Moped, gasoline, &lt;4kW, EURO-5 - 2040 - None - CH</v>
      </c>
      <c r="B99" t="s">
        <v>581</v>
      </c>
      <c r="D99" s="19">
        <v>2040</v>
      </c>
      <c r="E99" t="s">
        <v>37</v>
      </c>
      <c r="F99" t="s">
        <v>143</v>
      </c>
      <c r="G99" t="s">
        <v>39</v>
      </c>
      <c r="H99" t="s">
        <v>35</v>
      </c>
      <c r="I99" t="s">
        <v>140</v>
      </c>
      <c r="J99" t="s">
        <v>140</v>
      </c>
      <c r="L99" s="26">
        <v>6.9956732327346144E-2</v>
      </c>
      <c r="M99" s="26">
        <v>0</v>
      </c>
      <c r="N99" s="26">
        <v>1.1736295205896819E-2</v>
      </c>
      <c r="O99" s="26">
        <v>9.5118975182542226E-3</v>
      </c>
      <c r="P99" s="26">
        <v>4.3083827520217846E-3</v>
      </c>
      <c r="Q99" s="26">
        <v>1.451150879229869E-2</v>
      </c>
      <c r="R99" s="26">
        <v>0.11002481659581766</v>
      </c>
      <c r="S99" s="28">
        <v>0</v>
      </c>
      <c r="T99" s="28">
        <v>0</v>
      </c>
      <c r="U99" s="28">
        <v>2.6930269825413568E-4</v>
      </c>
      <c r="V99" s="28">
        <v>5.4149643498382851E-4</v>
      </c>
      <c r="W99" s="28">
        <v>2.9918219562591531E-4</v>
      </c>
      <c r="X99" s="28">
        <v>3.2074513873982398E-3</v>
      </c>
      <c r="Y99" s="28">
        <v>4.3174327162621194E-3</v>
      </c>
      <c r="Z99" s="30">
        <v>1.221648938455607E-2</v>
      </c>
      <c r="AA99" s="30">
        <v>2.7516120475980978E-3</v>
      </c>
      <c r="AB99" s="30">
        <v>6.0157826888790941E-4</v>
      </c>
      <c r="AC99" s="30">
        <v>1.891362620619139E-4</v>
      </c>
      <c r="AD99" s="30">
        <v>1.333182609938666E-4</v>
      </c>
      <c r="AE99" s="30">
        <v>7.3017339203925846E-4</v>
      </c>
      <c r="AF99" s="30">
        <v>1.6622307616137116E-2</v>
      </c>
      <c r="AG99" s="32">
        <v>1.2008480436779901E-6</v>
      </c>
      <c r="AH99" s="32">
        <v>1.445647576592023E-5</v>
      </c>
      <c r="AI99" s="32">
        <v>1.0492961383088021E-4</v>
      </c>
      <c r="AJ99" s="32">
        <v>3.7496238084001741E-4</v>
      </c>
      <c r="AK99" s="32">
        <v>1.8295841777471119E-4</v>
      </c>
      <c r="AL99" s="32">
        <v>1.7881107853725199E-3</v>
      </c>
      <c r="AM99" s="32">
        <v>2.466618521627727E-3</v>
      </c>
      <c r="AN99" s="34">
        <v>2.8084178966931429E-6</v>
      </c>
      <c r="AO99" s="34">
        <v>1.036854518903741E-5</v>
      </c>
      <c r="AP99" s="34">
        <v>2.308312986289492E-6</v>
      </c>
      <c r="AQ99" s="34">
        <v>5.7073161734124143E-7</v>
      </c>
      <c r="AR99" s="34">
        <v>7.4408557448690755E-7</v>
      </c>
      <c r="AS99" s="34">
        <v>2.5469533531252588E-6</v>
      </c>
      <c r="AT99" s="34">
        <v>1.9347046616973454E-5</v>
      </c>
      <c r="AU99" s="36">
        <v>0</v>
      </c>
      <c r="AV99" s="36">
        <v>0</v>
      </c>
      <c r="AW99" s="36">
        <v>1.0283980615832151</v>
      </c>
      <c r="AX99" s="36">
        <v>0.17743074935185008</v>
      </c>
      <c r="AY99" s="36">
        <v>0.15160842840665434</v>
      </c>
      <c r="AZ99" s="36">
        <v>0.20346069449177195</v>
      </c>
      <c r="BA99" s="36">
        <v>1.5608979338334916</v>
      </c>
      <c r="BB99" s="6"/>
      <c r="BC99" s="6"/>
      <c r="BD99" t="s">
        <v>1012</v>
      </c>
      <c r="BF99" s="5">
        <v>0.10816863</v>
      </c>
      <c r="BG99" s="5">
        <f t="shared" si="5"/>
        <v>-1.8561865958176549E-3</v>
      </c>
      <c r="BH99" s="2">
        <v>168.49018000000001</v>
      </c>
    </row>
    <row r="100" spans="1:60" x14ac:dyDescent="0.2">
      <c r="A100" t="str">
        <f t="shared" si="0"/>
        <v>Moped, gasoline, &lt;4kW, EURO-5 - 2050 - None - CH</v>
      </c>
      <c r="B100" t="s">
        <v>581</v>
      </c>
      <c r="D100" s="19">
        <v>2050</v>
      </c>
      <c r="E100" t="s">
        <v>37</v>
      </c>
      <c r="F100" t="s">
        <v>143</v>
      </c>
      <c r="G100" t="s">
        <v>39</v>
      </c>
      <c r="H100" t="s">
        <v>35</v>
      </c>
      <c r="I100" t="s">
        <v>140</v>
      </c>
      <c r="J100" t="s">
        <v>140</v>
      </c>
      <c r="L100" s="26">
        <v>6.9257165004072682E-2</v>
      </c>
      <c r="M100" s="26">
        <v>0</v>
      </c>
      <c r="N100" s="26">
        <v>1.161893225383785E-2</v>
      </c>
      <c r="O100" s="26">
        <v>9.5118975182542226E-3</v>
      </c>
      <c r="P100" s="26">
        <v>4.3043529857731463E-3</v>
      </c>
      <c r="Q100" s="26">
        <v>1.569766507499884E-2</v>
      </c>
      <c r="R100" s="26">
        <v>0.11039001283693674</v>
      </c>
      <c r="S100" s="28">
        <v>0</v>
      </c>
      <c r="T100" s="28">
        <v>0</v>
      </c>
      <c r="U100" s="28">
        <v>2.6660967127159431E-4</v>
      </c>
      <c r="V100" s="28">
        <v>5.4149643498382851E-4</v>
      </c>
      <c r="W100" s="28">
        <v>2.9892756420474899E-4</v>
      </c>
      <c r="X100" s="28">
        <v>3.420738093818463E-3</v>
      </c>
      <c r="Y100" s="28">
        <v>4.527771764278635E-3</v>
      </c>
      <c r="Z100" s="30">
        <v>1.209432449071051E-2</v>
      </c>
      <c r="AA100" s="30">
        <v>2.7516120475980978E-3</v>
      </c>
      <c r="AB100" s="30">
        <v>5.9556248619903026E-4</v>
      </c>
      <c r="AC100" s="30">
        <v>1.891362620619139E-4</v>
      </c>
      <c r="AD100" s="30">
        <v>1.332025142483609E-4</v>
      </c>
      <c r="AE100" s="30">
        <v>7.9773364226647494E-4</v>
      </c>
      <c r="AF100" s="30">
        <v>1.6561571443084389E-2</v>
      </c>
      <c r="AG100" s="32">
        <v>1.18883956324121E-6</v>
      </c>
      <c r="AH100" s="32">
        <v>1.445647576592023E-5</v>
      </c>
      <c r="AI100" s="32">
        <v>1.038803176925714E-4</v>
      </c>
      <c r="AJ100" s="32">
        <v>3.7496238084001741E-4</v>
      </c>
      <c r="AK100" s="32">
        <v>1.828503942933747E-4</v>
      </c>
      <c r="AL100" s="32">
        <v>2.0139063565176429E-3</v>
      </c>
      <c r="AM100" s="32">
        <v>2.6912447646727676E-3</v>
      </c>
      <c r="AN100" s="34">
        <v>2.7803337177262118E-6</v>
      </c>
      <c r="AO100" s="34">
        <v>1.036854518903741E-5</v>
      </c>
      <c r="AP100" s="34">
        <v>2.285229856426598E-6</v>
      </c>
      <c r="AQ100" s="34">
        <v>5.7073161734124143E-7</v>
      </c>
      <c r="AR100" s="34">
        <v>7.4365904229690045E-7</v>
      </c>
      <c r="AS100" s="34">
        <v>2.6001985906203342E-6</v>
      </c>
      <c r="AT100" s="34">
        <v>1.9348698013448696E-5</v>
      </c>
      <c r="AU100" s="36">
        <v>0</v>
      </c>
      <c r="AV100" s="36">
        <v>0</v>
      </c>
      <c r="AW100" s="36">
        <v>1.0181140809673834</v>
      </c>
      <c r="AX100" s="36">
        <v>0.17743074935185008</v>
      </c>
      <c r="AY100" s="36">
        <v>0.15147641589054234</v>
      </c>
      <c r="AZ100" s="36">
        <v>0.21609774034262755</v>
      </c>
      <c r="BA100" s="36">
        <v>1.5631189865524036</v>
      </c>
      <c r="BB100" s="6"/>
      <c r="BC100" s="6"/>
      <c r="BD100" t="s">
        <v>1013</v>
      </c>
      <c r="BF100" s="5">
        <v>0.1078909</v>
      </c>
      <c r="BG100" s="5">
        <f t="shared" si="5"/>
        <v>-2.4991128369367399E-3</v>
      </c>
      <c r="BH100" s="2">
        <v>167.60146</v>
      </c>
    </row>
    <row r="101" spans="1:60" x14ac:dyDescent="0.2">
      <c r="A101" t="str">
        <f t="shared" si="0"/>
        <v>Scooter, gasoline, &lt;4kW, EURO-3 - 2006 - None - CH</v>
      </c>
      <c r="B101" t="s">
        <v>609</v>
      </c>
      <c r="D101" s="19">
        <v>2006</v>
      </c>
      <c r="E101" t="s">
        <v>37</v>
      </c>
      <c r="F101" t="s">
        <v>143</v>
      </c>
      <c r="G101" t="s">
        <v>39</v>
      </c>
      <c r="H101" t="s">
        <v>35</v>
      </c>
      <c r="I101" t="s">
        <v>140</v>
      </c>
      <c r="J101" t="s">
        <v>140</v>
      </c>
      <c r="L101" s="26">
        <v>0</v>
      </c>
      <c r="M101" s="26">
        <v>0</v>
      </c>
      <c r="N101" s="26">
        <v>0</v>
      </c>
      <c r="O101" s="26">
        <v>0</v>
      </c>
      <c r="P101" s="26">
        <v>0</v>
      </c>
      <c r="Q101" s="26">
        <v>0</v>
      </c>
      <c r="R101" s="26">
        <v>0</v>
      </c>
      <c r="S101" s="28">
        <v>0</v>
      </c>
      <c r="T101" s="28">
        <v>0</v>
      </c>
      <c r="U101" s="28">
        <v>0</v>
      </c>
      <c r="V101" s="28">
        <v>0</v>
      </c>
      <c r="W101" s="28">
        <v>0</v>
      </c>
      <c r="X101" s="28">
        <v>0</v>
      </c>
      <c r="Y101" s="28">
        <v>0</v>
      </c>
      <c r="Z101" s="30">
        <v>0</v>
      </c>
      <c r="AA101" s="30">
        <v>0</v>
      </c>
      <c r="AB101" s="30">
        <v>0</v>
      </c>
      <c r="AC101" s="30">
        <v>0</v>
      </c>
      <c r="AD101" s="30">
        <v>0</v>
      </c>
      <c r="AE101" s="30">
        <v>0</v>
      </c>
      <c r="AF101" s="30">
        <v>0</v>
      </c>
      <c r="AG101" s="32">
        <v>0</v>
      </c>
      <c r="AH101" s="32">
        <v>0</v>
      </c>
      <c r="AI101" s="32">
        <v>0</v>
      </c>
      <c r="AJ101" s="32">
        <v>0</v>
      </c>
      <c r="AK101" s="32">
        <v>0</v>
      </c>
      <c r="AL101" s="32">
        <v>0</v>
      </c>
      <c r="AM101" s="32">
        <v>0</v>
      </c>
      <c r="AN101" s="34">
        <v>0</v>
      </c>
      <c r="AO101" s="34">
        <v>0</v>
      </c>
      <c r="AP101" s="34">
        <v>0</v>
      </c>
      <c r="AQ101" s="34">
        <v>0</v>
      </c>
      <c r="AR101" s="34">
        <v>0</v>
      </c>
      <c r="AS101" s="34">
        <v>0</v>
      </c>
      <c r="AT101" s="34">
        <v>0</v>
      </c>
      <c r="AU101" s="36">
        <v>0</v>
      </c>
      <c r="AV101" s="36">
        <v>0</v>
      </c>
      <c r="AW101" s="36">
        <v>0</v>
      </c>
      <c r="AX101" s="36">
        <v>0</v>
      </c>
      <c r="AY101" s="36">
        <v>0</v>
      </c>
      <c r="AZ101" s="36">
        <v>0</v>
      </c>
      <c r="BA101" s="36">
        <v>0</v>
      </c>
      <c r="BB101" s="6"/>
      <c r="BC101" s="6"/>
      <c r="BD101" t="s">
        <v>938</v>
      </c>
      <c r="BF101" s="5">
        <v>0.16551129000000001</v>
      </c>
      <c r="BG101" s="5">
        <f t="shared" si="5"/>
        <v>0.16551129000000001</v>
      </c>
      <c r="BH101" s="2">
        <v>257.89483999999999</v>
      </c>
    </row>
    <row r="102" spans="1:60" x14ac:dyDescent="0.2">
      <c r="A102" t="str">
        <f t="shared" si="0"/>
        <v>Scooter, gasoline, &lt;4kW, EURO-4 - 2016 - None - CH</v>
      </c>
      <c r="B102" t="s">
        <v>610</v>
      </c>
      <c r="D102" s="19">
        <v>2016</v>
      </c>
      <c r="E102" t="s">
        <v>37</v>
      </c>
      <c r="F102" t="s">
        <v>142</v>
      </c>
      <c r="G102" t="s">
        <v>39</v>
      </c>
      <c r="H102" t="s">
        <v>35</v>
      </c>
      <c r="I102" t="s">
        <v>140</v>
      </c>
      <c r="J102" t="s">
        <v>140</v>
      </c>
      <c r="L102" s="26">
        <v>0.1128969651379165</v>
      </c>
      <c r="M102" s="26">
        <v>0</v>
      </c>
      <c r="N102" s="26">
        <v>1.8940165822903782E-2</v>
      </c>
      <c r="O102" s="26">
        <v>9.5118975182542226E-3</v>
      </c>
      <c r="P102" s="26">
        <v>4.4596981416954867E-3</v>
      </c>
      <c r="Q102" s="26">
        <v>1.7347925130808101E-2</v>
      </c>
      <c r="R102" s="26">
        <v>0.16315665175157809</v>
      </c>
      <c r="S102" s="28">
        <v>0</v>
      </c>
      <c r="T102" s="28">
        <v>0</v>
      </c>
      <c r="U102" s="28">
        <v>4.3460373755135011E-4</v>
      </c>
      <c r="V102" s="28">
        <v>5.4149643498382851E-4</v>
      </c>
      <c r="W102" s="28">
        <v>3.0874345807630068E-4</v>
      </c>
      <c r="X102" s="28">
        <v>4.0150139972204022E-3</v>
      </c>
      <c r="Y102" s="28">
        <v>5.2998576278318818E-3</v>
      </c>
      <c r="Z102" s="30">
        <v>1.971510861459749E-2</v>
      </c>
      <c r="AA102" s="30">
        <v>4.6261147379200417E-3</v>
      </c>
      <c r="AB102" s="30">
        <v>9.7083380813969041E-4</v>
      </c>
      <c r="AC102" s="30">
        <v>1.891362620619139E-4</v>
      </c>
      <c r="AD102" s="30">
        <v>1.3766448427805311E-4</v>
      </c>
      <c r="AE102" s="30">
        <v>8.4431375179181605E-4</v>
      </c>
      <c r="AF102" s="30">
        <v>2.6483171658789006E-2</v>
      </c>
      <c r="AG102" s="32">
        <v>1.9379421424184219E-6</v>
      </c>
      <c r="AH102" s="32">
        <v>2.4017681479425239E-5</v>
      </c>
      <c r="AI102" s="32">
        <v>1.6933659650036591E-4</v>
      </c>
      <c r="AJ102" s="32">
        <v>3.7496238084001741E-4</v>
      </c>
      <c r="AK102" s="32">
        <v>1.8701463696059191E-4</v>
      </c>
      <c r="AL102" s="32">
        <v>1.852588283102466E-3</v>
      </c>
      <c r="AM102" s="32">
        <v>2.6098575210252847E-3</v>
      </c>
      <c r="AN102" s="34">
        <v>4.5322565366839864E-6</v>
      </c>
      <c r="AO102" s="34">
        <v>1.7366458046533871E-5</v>
      </c>
      <c r="AP102" s="34">
        <v>3.7251815811107482E-6</v>
      </c>
      <c r="AQ102" s="34">
        <v>5.7073161734124143E-7</v>
      </c>
      <c r="AR102" s="34">
        <v>7.6010161128832478E-7</v>
      </c>
      <c r="AS102" s="34">
        <v>3.6032811164636561E-6</v>
      </c>
      <c r="AT102" s="34">
        <v>3.0558010509421825E-5</v>
      </c>
      <c r="AU102" s="36">
        <v>0</v>
      </c>
      <c r="AV102" s="36">
        <v>0</v>
      </c>
      <c r="AW102" s="36">
        <v>1.6596404126365452</v>
      </c>
      <c r="AX102" s="36">
        <v>0.17743074935185008</v>
      </c>
      <c r="AY102" s="36">
        <v>0.15656542196032386</v>
      </c>
      <c r="AZ102" s="36">
        <v>0.25714487608654957</v>
      </c>
      <c r="BA102" s="36">
        <v>2.2507814600352685</v>
      </c>
      <c r="BB102" s="6"/>
      <c r="BC102" s="6"/>
      <c r="BD102" t="s">
        <v>939</v>
      </c>
      <c r="BF102" s="5">
        <v>0.15808216</v>
      </c>
      <c r="BG102" s="5">
        <f t="shared" si="5"/>
        <v>-5.0744917515780918E-3</v>
      </c>
      <c r="BH102" s="2">
        <v>246.73308999999998</v>
      </c>
    </row>
    <row r="103" spans="1:60" x14ac:dyDescent="0.2">
      <c r="A103" t="str">
        <f t="shared" si="0"/>
        <v>Scooter, gasoline, &lt;4kW, EURO-5 - 2020 - None - CH</v>
      </c>
      <c r="B103" t="s">
        <v>611</v>
      </c>
      <c r="D103" s="19">
        <v>2020</v>
      </c>
      <c r="E103" t="s">
        <v>37</v>
      </c>
      <c r="F103" t="s">
        <v>143</v>
      </c>
      <c r="G103" t="s">
        <v>39</v>
      </c>
      <c r="H103" t="s">
        <v>35</v>
      </c>
      <c r="I103" t="s">
        <v>140</v>
      </c>
      <c r="J103" t="s">
        <v>140</v>
      </c>
      <c r="L103" s="26">
        <v>0.11176799548653731</v>
      </c>
      <c r="M103" s="26">
        <v>0</v>
      </c>
      <c r="N103" s="26">
        <v>1.8750764164674749E-2</v>
      </c>
      <c r="O103" s="26">
        <v>9.5118975182542226E-3</v>
      </c>
      <c r="P103" s="26">
        <v>4.4548728920783664E-3</v>
      </c>
      <c r="Q103" s="26">
        <v>1.7336062327081739E-2</v>
      </c>
      <c r="R103" s="26">
        <v>0.16182159238862637</v>
      </c>
      <c r="S103" s="28">
        <v>0</v>
      </c>
      <c r="T103" s="28">
        <v>0</v>
      </c>
      <c r="U103" s="28">
        <v>4.3025770017583661E-4</v>
      </c>
      <c r="V103" s="28">
        <v>5.4149643498382851E-4</v>
      </c>
      <c r="W103" s="28">
        <v>3.0843856193799382E-4</v>
      </c>
      <c r="X103" s="28">
        <v>4.0147730912364343E-3</v>
      </c>
      <c r="Y103" s="28">
        <v>5.2949657883340929E-3</v>
      </c>
      <c r="Z103" s="30">
        <v>1.9517957528451511E-2</v>
      </c>
      <c r="AA103" s="30">
        <v>4.6261147379200417E-3</v>
      </c>
      <c r="AB103" s="30">
        <v>9.6112547005829346E-4</v>
      </c>
      <c r="AC103" s="30">
        <v>1.891362620619139E-4</v>
      </c>
      <c r="AD103" s="30">
        <v>1.375258889092465E-4</v>
      </c>
      <c r="AE103" s="30">
        <v>8.4348467871178689E-4</v>
      </c>
      <c r="AF103" s="30">
        <v>2.6275344566112795E-2</v>
      </c>
      <c r="AG103" s="32">
        <v>1.918562720994238E-6</v>
      </c>
      <c r="AH103" s="32">
        <v>2.4017681479425239E-5</v>
      </c>
      <c r="AI103" s="32">
        <v>1.6764323053536221E-4</v>
      </c>
      <c r="AJ103" s="32">
        <v>3.7496238084001741E-4</v>
      </c>
      <c r="AK103" s="32">
        <v>1.868852894426968E-4</v>
      </c>
      <c r="AL103" s="32">
        <v>1.8525131287290639E-3</v>
      </c>
      <c r="AM103" s="32">
        <v>2.6079402737475598E-3</v>
      </c>
      <c r="AN103" s="34">
        <v>4.4869339713171451E-6</v>
      </c>
      <c r="AO103" s="34">
        <v>1.7366458046533871E-5</v>
      </c>
      <c r="AP103" s="34">
        <v>3.6879297652996402E-6</v>
      </c>
      <c r="AQ103" s="34">
        <v>5.7073161734124143E-7</v>
      </c>
      <c r="AR103" s="34">
        <v>7.5959088084900532E-7</v>
      </c>
      <c r="AS103" s="34">
        <v>3.6002114922254679E-6</v>
      </c>
      <c r="AT103" s="34">
        <v>3.047185577356637E-5</v>
      </c>
      <c r="AU103" s="36">
        <v>0</v>
      </c>
      <c r="AV103" s="36">
        <v>0</v>
      </c>
      <c r="AW103" s="36">
        <v>1.6430440085101798</v>
      </c>
      <c r="AX103" s="36">
        <v>0.17743074935185008</v>
      </c>
      <c r="AY103" s="36">
        <v>0.15640734992747582</v>
      </c>
      <c r="AZ103" s="36">
        <v>0.25696813964292659</v>
      </c>
      <c r="BA103" s="36">
        <v>2.2338502474324322</v>
      </c>
      <c r="BB103" s="6"/>
      <c r="BC103" s="6"/>
      <c r="BD103" t="s">
        <v>940</v>
      </c>
      <c r="BF103" s="5">
        <v>0.15683154999999999</v>
      </c>
      <c r="BG103" s="5">
        <f t="shared" si="5"/>
        <v>-4.9900423886263812E-3</v>
      </c>
      <c r="BH103" s="2">
        <v>244.84818999999999</v>
      </c>
    </row>
    <row r="104" spans="1:60" x14ac:dyDescent="0.2">
      <c r="A104" t="str">
        <f t="shared" si="0"/>
        <v>Scooter, gasoline, &lt;4kW, EURO-5 - 2030 - None - CH</v>
      </c>
      <c r="B104" t="s">
        <v>611</v>
      </c>
      <c r="D104" s="19">
        <v>2030</v>
      </c>
      <c r="E104" t="s">
        <v>37</v>
      </c>
      <c r="F104" t="s">
        <v>143</v>
      </c>
      <c r="G104" t="s">
        <v>39</v>
      </c>
      <c r="H104" t="s">
        <v>35</v>
      </c>
      <c r="I104" t="s">
        <v>140</v>
      </c>
      <c r="J104" t="s">
        <v>140</v>
      </c>
      <c r="L104" s="26">
        <v>0.1106503155316719</v>
      </c>
      <c r="M104" s="26">
        <v>0</v>
      </c>
      <c r="N104" s="26">
        <v>1.8563256523027989E-2</v>
      </c>
      <c r="O104" s="26">
        <v>9.5118975182542226E-3</v>
      </c>
      <c r="P104" s="26">
        <v>4.4430828953723814E-3</v>
      </c>
      <c r="Q104" s="26">
        <v>1.9264430544300909E-2</v>
      </c>
      <c r="R104" s="26">
        <v>0.1624329830126274</v>
      </c>
      <c r="S104" s="28">
        <v>0</v>
      </c>
      <c r="T104" s="28">
        <v>0</v>
      </c>
      <c r="U104" s="28">
        <v>4.2595512317407808E-4</v>
      </c>
      <c r="V104" s="28">
        <v>5.4149643498382851E-4</v>
      </c>
      <c r="W104" s="28">
        <v>3.0769357986420607E-4</v>
      </c>
      <c r="X104" s="28">
        <v>4.3506640148857868E-3</v>
      </c>
      <c r="Y104" s="28">
        <v>5.6258091529078997E-3</v>
      </c>
      <c r="Z104" s="30">
        <v>1.9322777953167E-2</v>
      </c>
      <c r="AA104" s="30">
        <v>4.6261147379200417E-3</v>
      </c>
      <c r="AB104" s="30">
        <v>9.5151421535771038E-4</v>
      </c>
      <c r="AC104" s="30">
        <v>1.891362620619139E-4</v>
      </c>
      <c r="AD104" s="30">
        <v>1.371872455081058E-4</v>
      </c>
      <c r="AE104" s="30">
        <v>9.5497248338508858E-4</v>
      </c>
      <c r="AF104" s="30">
        <v>2.618170289739986E-2</v>
      </c>
      <c r="AG104" s="32">
        <v>1.8993770937842949E-6</v>
      </c>
      <c r="AH104" s="32">
        <v>2.4017681479425239E-5</v>
      </c>
      <c r="AI104" s="32">
        <v>1.659667982300086E-4</v>
      </c>
      <c r="AJ104" s="32">
        <v>3.7496238084001741E-4</v>
      </c>
      <c r="AK104" s="32">
        <v>1.8656924220557559E-4</v>
      </c>
      <c r="AL104" s="32">
        <v>2.2362937921843332E-3</v>
      </c>
      <c r="AM104" s="32">
        <v>2.9897092720331444E-3</v>
      </c>
      <c r="AN104" s="34">
        <v>4.4420646316039738E-6</v>
      </c>
      <c r="AO104" s="34">
        <v>1.7366458046533871E-5</v>
      </c>
      <c r="AP104" s="34">
        <v>3.6510504676466428E-6</v>
      </c>
      <c r="AQ104" s="34">
        <v>5.7073161734124143E-7</v>
      </c>
      <c r="AR104" s="34">
        <v>7.5834296402085692E-7</v>
      </c>
      <c r="AS104" s="34">
        <v>3.6537168051200861E-6</v>
      </c>
      <c r="AT104" s="34">
        <v>3.0442364532266668E-5</v>
      </c>
      <c r="AU104" s="36">
        <v>0</v>
      </c>
      <c r="AV104" s="36">
        <v>0</v>
      </c>
      <c r="AW104" s="36">
        <v>1.626613568425078</v>
      </c>
      <c r="AX104" s="36">
        <v>0.17743074935185008</v>
      </c>
      <c r="AY104" s="36">
        <v>0.15602111731891316</v>
      </c>
      <c r="AZ104" s="36">
        <v>0.27669049883705338</v>
      </c>
      <c r="BA104" s="36">
        <v>2.2367559339328946</v>
      </c>
      <c r="BB104" s="6"/>
      <c r="BC104" s="6"/>
      <c r="BD104" t="s">
        <v>1014</v>
      </c>
      <c r="BF104" s="5">
        <v>0.15633928999999999</v>
      </c>
      <c r="BG104" s="5">
        <f t="shared" si="5"/>
        <v>-6.0936930126274103E-3</v>
      </c>
      <c r="BH104" s="2">
        <v>243.20273</v>
      </c>
    </row>
    <row r="105" spans="1:60" x14ac:dyDescent="0.2">
      <c r="A105" t="str">
        <f t="shared" si="0"/>
        <v>Scooter, gasoline, &lt;4kW, EURO-5 - 2040 - None - CH</v>
      </c>
      <c r="B105" t="s">
        <v>611</v>
      </c>
      <c r="D105" s="19">
        <v>2040</v>
      </c>
      <c r="E105" t="s">
        <v>37</v>
      </c>
      <c r="F105" t="s">
        <v>143</v>
      </c>
      <c r="G105" t="s">
        <v>39</v>
      </c>
      <c r="H105" t="s">
        <v>35</v>
      </c>
      <c r="I105" t="s">
        <v>140</v>
      </c>
      <c r="J105" t="s">
        <v>140</v>
      </c>
      <c r="L105" s="26">
        <v>0.1095438123763552</v>
      </c>
      <c r="M105" s="26">
        <v>0</v>
      </c>
      <c r="N105" s="26">
        <v>1.8377623957797719E-2</v>
      </c>
      <c r="O105" s="26">
        <v>9.5118975182542226E-3</v>
      </c>
      <c r="P105" s="26">
        <v>4.4341607357029867E-3</v>
      </c>
      <c r="Q105" s="26">
        <v>2.050285446007101E-2</v>
      </c>
      <c r="R105" s="26">
        <v>0.16237034904818115</v>
      </c>
      <c r="S105" s="28">
        <v>0</v>
      </c>
      <c r="T105" s="28">
        <v>0</v>
      </c>
      <c r="U105" s="28">
        <v>4.2169557194233738E-4</v>
      </c>
      <c r="V105" s="28">
        <v>5.4149643498382851E-4</v>
      </c>
      <c r="W105" s="28">
        <v>3.0712980964620458E-4</v>
      </c>
      <c r="X105" s="28">
        <v>4.5635792844195312E-3</v>
      </c>
      <c r="Y105" s="28">
        <v>5.8339011009919013E-3</v>
      </c>
      <c r="Z105" s="30">
        <v>1.912955017363533E-2</v>
      </c>
      <c r="AA105" s="30">
        <v>4.6261147379200417E-3</v>
      </c>
      <c r="AB105" s="30">
        <v>9.4199907320413341E-4</v>
      </c>
      <c r="AC105" s="30">
        <v>1.891362620619139E-4</v>
      </c>
      <c r="AD105" s="30">
        <v>1.3693097482616139E-4</v>
      </c>
      <c r="AE105" s="30">
        <v>1.0269976166834051E-3</v>
      </c>
      <c r="AF105" s="30">
        <v>2.6050728838330983E-2</v>
      </c>
      <c r="AG105" s="32">
        <v>1.880383322846452E-6</v>
      </c>
      <c r="AH105" s="32">
        <v>2.4017681479425239E-5</v>
      </c>
      <c r="AI105" s="32">
        <v>1.6430713024770849E-4</v>
      </c>
      <c r="AJ105" s="32">
        <v>3.7496238084001741E-4</v>
      </c>
      <c r="AK105" s="32">
        <v>1.8633007132342979E-4</v>
      </c>
      <c r="AL105" s="32">
        <v>2.487067527395477E-3</v>
      </c>
      <c r="AM105" s="32">
        <v>3.2385651746089043E-3</v>
      </c>
      <c r="AN105" s="34">
        <v>4.3976439852879343E-6</v>
      </c>
      <c r="AO105" s="34">
        <v>1.7366458046533871E-5</v>
      </c>
      <c r="AP105" s="34">
        <v>3.6145399629701769E-6</v>
      </c>
      <c r="AQ105" s="34">
        <v>5.7073161734124143E-7</v>
      </c>
      <c r="AR105" s="34">
        <v>7.5739859452928519E-7</v>
      </c>
      <c r="AS105" s="34">
        <v>3.679556920721218E-6</v>
      </c>
      <c r="AT105" s="34">
        <v>3.0386329127383723E-5</v>
      </c>
      <c r="AU105" s="36">
        <v>0</v>
      </c>
      <c r="AV105" s="36">
        <v>0</v>
      </c>
      <c r="AW105" s="36">
        <v>1.6103474327408269</v>
      </c>
      <c r="AX105" s="36">
        <v>0.17743074935185008</v>
      </c>
      <c r="AY105" s="36">
        <v>0.15572883318270353</v>
      </c>
      <c r="AZ105" s="36">
        <v>0.28914454762042363</v>
      </c>
      <c r="BA105" s="36">
        <v>2.2326515628958044</v>
      </c>
      <c r="BB105" s="6"/>
      <c r="BC105" s="6"/>
      <c r="BD105" t="s">
        <v>1015</v>
      </c>
      <c r="BF105" s="5">
        <v>0.15559520000000002</v>
      </c>
      <c r="BG105" s="5">
        <f t="shared" si="5"/>
        <v>-6.7751490481811338E-3</v>
      </c>
      <c r="BH105" s="2">
        <v>241.48463000000001</v>
      </c>
    </row>
    <row r="106" spans="1:60" x14ac:dyDescent="0.2">
      <c r="A106" t="str">
        <f t="shared" si="0"/>
        <v>Scooter, gasoline, &lt;4kW, EURO-5 - 2050 - None - CH</v>
      </c>
      <c r="B106" t="s">
        <v>611</v>
      </c>
      <c r="D106" s="19">
        <v>2050</v>
      </c>
      <c r="E106" t="s">
        <v>37</v>
      </c>
      <c r="F106" t="s">
        <v>143</v>
      </c>
      <c r="G106" t="s">
        <v>39</v>
      </c>
      <c r="H106" t="s">
        <v>35</v>
      </c>
      <c r="I106" t="s">
        <v>140</v>
      </c>
      <c r="J106" t="s">
        <v>140</v>
      </c>
      <c r="L106" s="26">
        <v>0.1084483742525917</v>
      </c>
      <c r="M106" s="26">
        <v>0</v>
      </c>
      <c r="N106" s="26">
        <v>1.819384771821974E-2</v>
      </c>
      <c r="O106" s="26">
        <v>9.5118975182542226E-3</v>
      </c>
      <c r="P106" s="26">
        <v>4.4252385760335921E-3</v>
      </c>
      <c r="Q106" s="26">
        <v>2.1741278732531299E-2</v>
      </c>
      <c r="R106" s="26">
        <v>0.16232063679763051</v>
      </c>
      <c r="S106" s="28">
        <v>0</v>
      </c>
      <c r="T106" s="28">
        <v>0</v>
      </c>
      <c r="U106" s="28">
        <v>4.1747861622291399E-4</v>
      </c>
      <c r="V106" s="28">
        <v>5.4149643498382851E-4</v>
      </c>
      <c r="W106" s="28">
        <v>3.0656603942820319E-4</v>
      </c>
      <c r="X106" s="28">
        <v>4.7764946514093302E-3</v>
      </c>
      <c r="Y106" s="28">
        <v>6.0420357420442761E-3</v>
      </c>
      <c r="Z106" s="30">
        <v>1.8938254671898979E-2</v>
      </c>
      <c r="AA106" s="30">
        <v>4.6261147379200417E-3</v>
      </c>
      <c r="AB106" s="30">
        <v>9.3257908247209209E-4</v>
      </c>
      <c r="AC106" s="30">
        <v>1.891362620619139E-4</v>
      </c>
      <c r="AD106" s="30">
        <v>1.366747041442171E-4</v>
      </c>
      <c r="AE106" s="30">
        <v>1.0990227598976379E-3</v>
      </c>
      <c r="AF106" s="30">
        <v>2.5921782218394883E-2</v>
      </c>
      <c r="AG106" s="32">
        <v>1.861579489617988E-6</v>
      </c>
      <c r="AH106" s="32">
        <v>2.4017681479425239E-5</v>
      </c>
      <c r="AI106" s="32">
        <v>1.626640589452314E-4</v>
      </c>
      <c r="AJ106" s="32">
        <v>3.7496238084001741E-4</v>
      </c>
      <c r="AK106" s="32">
        <v>1.8609090044128409E-4</v>
      </c>
      <c r="AL106" s="32">
        <v>2.7378412903129681E-3</v>
      </c>
      <c r="AM106" s="32">
        <v>3.4874378915085444E-3</v>
      </c>
      <c r="AN106" s="34">
        <v>4.3536675454350546E-6</v>
      </c>
      <c r="AO106" s="34">
        <v>1.7366458046533871E-5</v>
      </c>
      <c r="AP106" s="34">
        <v>3.5783945633404761E-6</v>
      </c>
      <c r="AQ106" s="34">
        <v>5.7073161734124143E-7</v>
      </c>
      <c r="AR106" s="34">
        <v>7.5645422503771335E-7</v>
      </c>
      <c r="AS106" s="34">
        <v>3.7053971164142811E-6</v>
      </c>
      <c r="AT106" s="34">
        <v>3.0331103114102639E-5</v>
      </c>
      <c r="AU106" s="36">
        <v>0</v>
      </c>
      <c r="AV106" s="36">
        <v>0</v>
      </c>
      <c r="AW106" s="36">
        <v>1.5942439584134194</v>
      </c>
      <c r="AX106" s="36">
        <v>0.17743074935185008</v>
      </c>
      <c r="AY106" s="36">
        <v>0.15543654904649395</v>
      </c>
      <c r="AZ106" s="36">
        <v>0.30159860218350926</v>
      </c>
      <c r="BA106" s="36">
        <v>2.2287098589952725</v>
      </c>
      <c r="BB106" s="6"/>
      <c r="BC106" s="6"/>
      <c r="BD106" t="s">
        <v>1016</v>
      </c>
      <c r="BF106" s="5">
        <v>0.15485291000000001</v>
      </c>
      <c r="BG106" s="5">
        <f t="shared" si="5"/>
        <v>-7.4677267976304973E-3</v>
      </c>
      <c r="BH106" s="2">
        <v>239.7551</v>
      </c>
    </row>
    <row r="107" spans="1:60" x14ac:dyDescent="0.2">
      <c r="A107" t="str">
        <f t="shared" si="0"/>
        <v>Scooter, gasoline, 4-11kW, EURO-3 - 2006 - None - CH</v>
      </c>
      <c r="B107" t="s">
        <v>570</v>
      </c>
      <c r="D107" s="19">
        <v>2006</v>
      </c>
      <c r="E107" t="s">
        <v>37</v>
      </c>
      <c r="F107" t="s">
        <v>143</v>
      </c>
      <c r="G107" t="s">
        <v>39</v>
      </c>
      <c r="H107" t="s">
        <v>35</v>
      </c>
      <c r="I107" t="s">
        <v>140</v>
      </c>
      <c r="J107" t="s">
        <v>140</v>
      </c>
      <c r="L107" s="26">
        <v>0</v>
      </c>
      <c r="M107" s="26">
        <v>0</v>
      </c>
      <c r="N107" s="26">
        <v>0</v>
      </c>
      <c r="O107" s="26">
        <v>0</v>
      </c>
      <c r="P107" s="26">
        <v>0</v>
      </c>
      <c r="Q107" s="26">
        <v>0</v>
      </c>
      <c r="R107" s="26">
        <v>0</v>
      </c>
      <c r="S107" s="28">
        <v>0</v>
      </c>
      <c r="T107" s="28">
        <v>0</v>
      </c>
      <c r="U107" s="28">
        <v>0</v>
      </c>
      <c r="V107" s="28">
        <v>0</v>
      </c>
      <c r="W107" s="28">
        <v>0</v>
      </c>
      <c r="X107" s="28">
        <v>0</v>
      </c>
      <c r="Y107" s="28">
        <v>0</v>
      </c>
      <c r="Z107" s="30">
        <v>0</v>
      </c>
      <c r="AA107" s="30">
        <v>0</v>
      </c>
      <c r="AB107" s="30">
        <v>0</v>
      </c>
      <c r="AC107" s="30">
        <v>0</v>
      </c>
      <c r="AD107" s="30">
        <v>0</v>
      </c>
      <c r="AE107" s="30">
        <v>0</v>
      </c>
      <c r="AF107" s="30">
        <v>0</v>
      </c>
      <c r="AG107" s="32">
        <v>0</v>
      </c>
      <c r="AH107" s="32">
        <v>0</v>
      </c>
      <c r="AI107" s="32">
        <v>0</v>
      </c>
      <c r="AJ107" s="32">
        <v>0</v>
      </c>
      <c r="AK107" s="32">
        <v>0</v>
      </c>
      <c r="AL107" s="32">
        <v>0</v>
      </c>
      <c r="AM107" s="32">
        <v>0</v>
      </c>
      <c r="AN107" s="34">
        <v>0</v>
      </c>
      <c r="AO107" s="34">
        <v>0</v>
      </c>
      <c r="AP107" s="34">
        <v>0</v>
      </c>
      <c r="AQ107" s="34">
        <v>0</v>
      </c>
      <c r="AR107" s="34">
        <v>0</v>
      </c>
      <c r="AS107" s="34">
        <v>0</v>
      </c>
      <c r="AT107" s="34">
        <v>0</v>
      </c>
      <c r="AU107" s="36">
        <v>0</v>
      </c>
      <c r="AV107" s="36">
        <v>0</v>
      </c>
      <c r="AW107" s="36">
        <v>0</v>
      </c>
      <c r="AX107" s="36">
        <v>0</v>
      </c>
      <c r="AY107" s="36">
        <v>0</v>
      </c>
      <c r="AZ107" s="36">
        <v>0</v>
      </c>
      <c r="BA107" s="36">
        <v>0</v>
      </c>
      <c r="BB107" s="6"/>
      <c r="BC107" s="6"/>
      <c r="BD107" t="s">
        <v>941</v>
      </c>
      <c r="BF107" s="5">
        <v>0.13600822999999998</v>
      </c>
      <c r="BG107" s="5">
        <f t="shared" si="5"/>
        <v>0.13600822999999998</v>
      </c>
      <c r="BH107" s="2">
        <v>182.66535000000002</v>
      </c>
    </row>
    <row r="108" spans="1:60" x14ac:dyDescent="0.2">
      <c r="A108" t="str">
        <f t="shared" si="0"/>
        <v>Scooter, gasoline, 4-11kW, EURO-4 - 2016 - None - CH</v>
      </c>
      <c r="B108" t="s">
        <v>571</v>
      </c>
      <c r="D108" s="19">
        <v>2016</v>
      </c>
      <c r="E108" t="s">
        <v>37</v>
      </c>
      <c r="F108" t="s">
        <v>142</v>
      </c>
      <c r="G108" t="s">
        <v>39</v>
      </c>
      <c r="H108" t="s">
        <v>35</v>
      </c>
      <c r="I108" t="s">
        <v>140</v>
      </c>
      <c r="J108" t="s">
        <v>140</v>
      </c>
      <c r="L108" s="26">
        <v>9.1289729407885031E-2</v>
      </c>
      <c r="M108" s="26">
        <v>0</v>
      </c>
      <c r="N108" s="26">
        <v>1.3398735786767939E-2</v>
      </c>
      <c r="O108" s="26">
        <v>9.5118975182542226E-3</v>
      </c>
      <c r="P108" s="26">
        <v>4.6375267985755298E-3</v>
      </c>
      <c r="Q108" s="26">
        <v>2.0728610533968551E-2</v>
      </c>
      <c r="R108" s="26">
        <v>0.13956650004545126</v>
      </c>
      <c r="S108" s="28">
        <v>0</v>
      </c>
      <c r="T108" s="28">
        <v>0</v>
      </c>
      <c r="U108" s="28">
        <v>3.2817316404929299E-4</v>
      </c>
      <c r="V108" s="28">
        <v>5.4149643498382851E-4</v>
      </c>
      <c r="W108" s="28">
        <v>3.1998003132437618E-4</v>
      </c>
      <c r="X108" s="28">
        <v>4.8018395538686424E-3</v>
      </c>
      <c r="Y108" s="28">
        <v>5.9914891842261404E-3</v>
      </c>
      <c r="Z108" s="30">
        <v>9.4628386436903938E-3</v>
      </c>
      <c r="AA108" s="30">
        <v>4.6261147379200417E-3</v>
      </c>
      <c r="AB108" s="30">
        <v>6.546510138441485E-4</v>
      </c>
      <c r="AC108" s="30">
        <v>1.891362620619139E-4</v>
      </c>
      <c r="AD108" s="30">
        <v>1.4277224661996891E-4</v>
      </c>
      <c r="AE108" s="30">
        <v>1.00908735912245E-3</v>
      </c>
      <c r="AF108" s="30">
        <v>1.6084600263258916E-2</v>
      </c>
      <c r="AG108" s="32">
        <v>1.0029684801160509E-6</v>
      </c>
      <c r="AH108" s="32">
        <v>2.4017681479425239E-5</v>
      </c>
      <c r="AI108" s="32">
        <v>1.2452579100865631E-4</v>
      </c>
      <c r="AJ108" s="32">
        <v>3.7496238084001741E-4</v>
      </c>
      <c r="AK108" s="32">
        <v>1.9178158109886949E-4</v>
      </c>
      <c r="AL108" s="32">
        <v>2.2155921833290938E-3</v>
      </c>
      <c r="AM108" s="32">
        <v>2.9318825862361783E-3</v>
      </c>
      <c r="AN108" s="34">
        <v>2.2667338822781958E-6</v>
      </c>
      <c r="AO108" s="34">
        <v>1.7366458046533871E-5</v>
      </c>
      <c r="AP108" s="34">
        <v>2.5769398410396732E-6</v>
      </c>
      <c r="AQ108" s="34">
        <v>5.7073161734124143E-7</v>
      </c>
      <c r="AR108" s="34">
        <v>7.7892395526192232E-7</v>
      </c>
      <c r="AS108" s="34">
        <v>4.3071110530897736E-6</v>
      </c>
      <c r="AT108" s="34">
        <v>2.7866898395544675E-5</v>
      </c>
      <c r="AU108" s="36">
        <v>0</v>
      </c>
      <c r="AV108" s="36">
        <v>0</v>
      </c>
      <c r="AW108" s="36">
        <v>1.3326262349978304</v>
      </c>
      <c r="AX108" s="36">
        <v>0.17743074935185008</v>
      </c>
      <c r="AY108" s="36">
        <v>0.16239097286901172</v>
      </c>
      <c r="AZ108" s="36">
        <v>0.30703921259762229</v>
      </c>
      <c r="BA108" s="36">
        <v>1.9794871698163146</v>
      </c>
      <c r="BB108" s="6"/>
      <c r="BC108" s="6"/>
      <c r="BD108" t="s">
        <v>942</v>
      </c>
      <c r="BF108" s="5">
        <v>0.13499356000000001</v>
      </c>
      <c r="BG108" s="5">
        <f t="shared" si="5"/>
        <v>-4.5729400454512514E-3</v>
      </c>
      <c r="BH108" s="2">
        <v>181.43334999999999</v>
      </c>
    </row>
    <row r="109" spans="1:60" x14ac:dyDescent="0.2">
      <c r="A109" t="str">
        <f t="shared" si="0"/>
        <v>Scooter, gasoline, 4-11kW, EURO-5 - 2020 - None - CH</v>
      </c>
      <c r="B109" t="s">
        <v>572</v>
      </c>
      <c r="D109" s="19">
        <v>2020</v>
      </c>
      <c r="E109" t="s">
        <v>37</v>
      </c>
      <c r="F109" t="s">
        <v>143</v>
      </c>
      <c r="G109" t="s">
        <v>39</v>
      </c>
      <c r="H109" t="s">
        <v>35</v>
      </c>
      <c r="I109" t="s">
        <v>140</v>
      </c>
      <c r="J109" t="s">
        <v>140</v>
      </c>
      <c r="L109" s="26">
        <v>9.0376832113806177E-2</v>
      </c>
      <c r="M109" s="26">
        <v>0</v>
      </c>
      <c r="N109" s="26">
        <v>1.3264748428900261E-2</v>
      </c>
      <c r="O109" s="26">
        <v>9.5118975182542226E-3</v>
      </c>
      <c r="P109" s="26">
        <v>4.6311538273831046E-3</v>
      </c>
      <c r="Q109" s="26">
        <v>2.071555397749358E-2</v>
      </c>
      <c r="R109" s="26">
        <v>0.13850018586583734</v>
      </c>
      <c r="S109" s="28">
        <v>0</v>
      </c>
      <c r="T109" s="28">
        <v>0</v>
      </c>
      <c r="U109" s="28">
        <v>3.2489143240880012E-4</v>
      </c>
      <c r="V109" s="28">
        <v>5.4149643498382851E-4</v>
      </c>
      <c r="W109" s="28">
        <v>3.1957733831151799E-4</v>
      </c>
      <c r="X109" s="28">
        <v>4.8015744055521659E-3</v>
      </c>
      <c r="Y109" s="28">
        <v>5.987539611256313E-3</v>
      </c>
      <c r="Z109" s="30">
        <v>9.3682102572534894E-3</v>
      </c>
      <c r="AA109" s="30">
        <v>4.6261147379200417E-3</v>
      </c>
      <c r="AB109" s="30">
        <v>6.4810450370570707E-4</v>
      </c>
      <c r="AC109" s="30">
        <v>1.891362620619139E-4</v>
      </c>
      <c r="AD109" s="30">
        <v>1.4258919613286579E-4</v>
      </c>
      <c r="AE109" s="30">
        <v>1.0081748558839079E-3</v>
      </c>
      <c r="AF109" s="30">
        <v>1.5982329812957927E-2</v>
      </c>
      <c r="AG109" s="32">
        <v>9.9293879531489029E-7</v>
      </c>
      <c r="AH109" s="32">
        <v>2.4017681479425239E-5</v>
      </c>
      <c r="AI109" s="32">
        <v>1.2328053309856971E-4</v>
      </c>
      <c r="AJ109" s="32">
        <v>3.7496238084001741E-4</v>
      </c>
      <c r="AK109" s="32">
        <v>1.9161074475447959E-4</v>
      </c>
      <c r="AL109" s="32">
        <v>2.215509466165385E-3</v>
      </c>
      <c r="AM109" s="32">
        <v>2.9303737451331917E-3</v>
      </c>
      <c r="AN109" s="34">
        <v>2.2440665434554142E-6</v>
      </c>
      <c r="AO109" s="34">
        <v>1.7366458046533871E-5</v>
      </c>
      <c r="AP109" s="34">
        <v>2.551170442629276E-6</v>
      </c>
      <c r="AQ109" s="34">
        <v>5.7073161734124143E-7</v>
      </c>
      <c r="AR109" s="34">
        <v>7.7824940562508531E-7</v>
      </c>
      <c r="AS109" s="34">
        <v>4.3037325307784716E-6</v>
      </c>
      <c r="AT109" s="34">
        <v>2.781440858636336E-5</v>
      </c>
      <c r="AU109" s="36">
        <v>0</v>
      </c>
      <c r="AV109" s="36">
        <v>0</v>
      </c>
      <c r="AW109" s="36">
        <v>1.3192999726478523</v>
      </c>
      <c r="AX109" s="36">
        <v>0.17743074935185008</v>
      </c>
      <c r="AY109" s="36">
        <v>0.16218219848600485</v>
      </c>
      <c r="AZ109" s="36">
        <v>0.306844691170641</v>
      </c>
      <c r="BA109" s="36">
        <v>1.9657576116563482</v>
      </c>
      <c r="BB109" s="6"/>
      <c r="BC109" s="6"/>
      <c r="BD109" t="s">
        <v>943</v>
      </c>
      <c r="BF109" s="5">
        <v>0.13399080999999999</v>
      </c>
      <c r="BG109" s="5">
        <f t="shared" si="5"/>
        <v>-4.5093758658373562E-3</v>
      </c>
      <c r="BH109" s="2">
        <v>180.24235999999999</v>
      </c>
    </row>
    <row r="110" spans="1:60" x14ac:dyDescent="0.2">
      <c r="A110" t="str">
        <f t="shared" si="0"/>
        <v>Scooter, gasoline, 4-11kW, EURO-5 - 2030 - None - CH</v>
      </c>
      <c r="B110" t="s">
        <v>572</v>
      </c>
      <c r="D110" s="19">
        <v>2030</v>
      </c>
      <c r="E110" t="s">
        <v>37</v>
      </c>
      <c r="F110" t="s">
        <v>143</v>
      </c>
      <c r="G110" t="s">
        <v>39</v>
      </c>
      <c r="H110" t="s">
        <v>35</v>
      </c>
      <c r="I110" t="s">
        <v>140</v>
      </c>
      <c r="J110" t="s">
        <v>140</v>
      </c>
      <c r="L110" s="26">
        <v>8.9473063792668117E-2</v>
      </c>
      <c r="M110" s="26">
        <v>0</v>
      </c>
      <c r="N110" s="26">
        <v>1.313210094461126E-2</v>
      </c>
      <c r="O110" s="26">
        <v>9.5118975182542226E-3</v>
      </c>
      <c r="P110" s="26">
        <v>4.6170422483141661E-3</v>
      </c>
      <c r="Q110" s="26">
        <v>2.2891989216780619E-2</v>
      </c>
      <c r="R110" s="26">
        <v>0.13962609372062837</v>
      </c>
      <c r="S110" s="28">
        <v>0</v>
      </c>
      <c r="T110" s="28">
        <v>0</v>
      </c>
      <c r="U110" s="28">
        <v>3.2164251808471198E-4</v>
      </c>
      <c r="V110" s="28">
        <v>5.4149643498382851E-4</v>
      </c>
      <c r="W110" s="28">
        <v>3.1868566092590339E-4</v>
      </c>
      <c r="X110" s="28">
        <v>5.1838802884036266E-3</v>
      </c>
      <c r="Y110" s="28">
        <v>6.365704902398071E-3</v>
      </c>
      <c r="Z110" s="30">
        <v>9.2745281546809544E-3</v>
      </c>
      <c r="AA110" s="30">
        <v>4.6261147379200417E-3</v>
      </c>
      <c r="AB110" s="30">
        <v>6.4162345866864996E-4</v>
      </c>
      <c r="AC110" s="30">
        <v>1.891362620619139E-4</v>
      </c>
      <c r="AD110" s="30">
        <v>1.421838700542804E-4</v>
      </c>
      <c r="AE110" s="30">
        <v>1.133516360923425E-3</v>
      </c>
      <c r="AF110" s="30">
        <v>1.6007102844309267E-2</v>
      </c>
      <c r="AG110" s="32">
        <v>9.8300940736174139E-7</v>
      </c>
      <c r="AH110" s="32">
        <v>2.4017681479425239E-5</v>
      </c>
      <c r="AI110" s="32">
        <v>1.22047727767584E-4</v>
      </c>
      <c r="AJ110" s="32">
        <v>3.7496238084001741E-4</v>
      </c>
      <c r="AK110" s="32">
        <v>1.9123246427761641E-4</v>
      </c>
      <c r="AL110" s="32">
        <v>2.6437289070455972E-3</v>
      </c>
      <c r="AM110" s="32">
        <v>3.356972170817602E-3</v>
      </c>
      <c r="AN110" s="34">
        <v>2.22162587802086E-6</v>
      </c>
      <c r="AO110" s="34">
        <v>1.7366458046533871E-5</v>
      </c>
      <c r="AP110" s="34">
        <v>2.5256587382029841E-6</v>
      </c>
      <c r="AQ110" s="34">
        <v>5.7073161734124143E-7</v>
      </c>
      <c r="AR110" s="34">
        <v>7.7675576000066063E-7</v>
      </c>
      <c r="AS110" s="34">
        <v>4.373882722849643E-6</v>
      </c>
      <c r="AT110" s="34">
        <v>2.7835112762949257E-5</v>
      </c>
      <c r="AU110" s="36">
        <v>0</v>
      </c>
      <c r="AV110" s="36">
        <v>0</v>
      </c>
      <c r="AW110" s="36">
        <v>1.3061069729213743</v>
      </c>
      <c r="AX110" s="36">
        <v>0.17743074935185008</v>
      </c>
      <c r="AY110" s="36">
        <v>0.16171991235220393</v>
      </c>
      <c r="AZ110" s="36">
        <v>0.32934690758470997</v>
      </c>
      <c r="BA110" s="36">
        <v>1.9746045422101384</v>
      </c>
      <c r="BB110" s="6"/>
      <c r="BC110" s="6"/>
      <c r="BD110" t="s">
        <v>1017</v>
      </c>
      <c r="BF110" s="5">
        <v>0.13387144000000001</v>
      </c>
      <c r="BG110" s="5">
        <f t="shared" si="5"/>
        <v>-5.754653720628361E-3</v>
      </c>
      <c r="BH110" s="2">
        <v>179.38314</v>
      </c>
    </row>
    <row r="111" spans="1:60" x14ac:dyDescent="0.2">
      <c r="A111" t="str">
        <f t="shared" si="0"/>
        <v>Scooter, gasoline, 4-11kW, EURO-5 - 2040 - None - CH</v>
      </c>
      <c r="B111" t="s">
        <v>572</v>
      </c>
      <c r="D111" s="19">
        <v>2040</v>
      </c>
      <c r="E111" t="s">
        <v>37</v>
      </c>
      <c r="F111" t="s">
        <v>143</v>
      </c>
      <c r="G111" t="s">
        <v>39</v>
      </c>
      <c r="H111" t="s">
        <v>35</v>
      </c>
      <c r="I111" t="s">
        <v>140</v>
      </c>
      <c r="J111" t="s">
        <v>140</v>
      </c>
      <c r="L111" s="26">
        <v>8.8578333154741465E-2</v>
      </c>
      <c r="M111" s="26">
        <v>0</v>
      </c>
      <c r="N111" s="26">
        <v>1.3000779935165151E-2</v>
      </c>
      <c r="O111" s="26">
        <v>9.5118975182542226E-3</v>
      </c>
      <c r="P111" s="26">
        <v>4.6061171548414381E-3</v>
      </c>
      <c r="Q111" s="26">
        <v>2.428681057895387E-2</v>
      </c>
      <c r="R111" s="26">
        <v>0.13998393834195613</v>
      </c>
      <c r="S111" s="28">
        <v>0</v>
      </c>
      <c r="T111" s="28">
        <v>0</v>
      </c>
      <c r="U111" s="28">
        <v>3.1842609290386501E-4</v>
      </c>
      <c r="V111" s="28">
        <v>5.4149643498382851E-4</v>
      </c>
      <c r="W111" s="28">
        <v>3.1799533004671788E-4</v>
      </c>
      <c r="X111" s="28">
        <v>5.425641639661226E-3</v>
      </c>
      <c r="Y111" s="28">
        <v>6.6035594975956376E-3</v>
      </c>
      <c r="Z111" s="30">
        <v>9.181782873134146E-3</v>
      </c>
      <c r="AA111" s="30">
        <v>4.6261147379200417E-3</v>
      </c>
      <c r="AB111" s="30">
        <v>6.3520722408196353E-4</v>
      </c>
      <c r="AC111" s="30">
        <v>1.891362620619139E-4</v>
      </c>
      <c r="AD111" s="30">
        <v>1.4187006921924649E-4</v>
      </c>
      <c r="AE111" s="30">
        <v>1.2143392468894659E-3</v>
      </c>
      <c r="AF111" s="30">
        <v>1.5988450413306779E-2</v>
      </c>
      <c r="AG111" s="32">
        <v>9.7317931328812406E-7</v>
      </c>
      <c r="AH111" s="32">
        <v>2.4017681479425239E-5</v>
      </c>
      <c r="AI111" s="32">
        <v>1.2082725048990819E-4</v>
      </c>
      <c r="AJ111" s="32">
        <v>3.7496238084001741E-4</v>
      </c>
      <c r="AK111" s="32">
        <v>1.9093960197294821E-4</v>
      </c>
      <c r="AL111" s="32">
        <v>2.9231610185102229E-3</v>
      </c>
      <c r="AM111" s="32">
        <v>3.6348811126058101E-3</v>
      </c>
      <c r="AN111" s="34">
        <v>2.1994096192406521E-6</v>
      </c>
      <c r="AO111" s="34">
        <v>1.7366458046533871E-5</v>
      </c>
      <c r="AP111" s="34">
        <v>2.5004021508209538E-6</v>
      </c>
      <c r="AQ111" s="34">
        <v>5.7073161734124143E-7</v>
      </c>
      <c r="AR111" s="34">
        <v>7.7559938919465436E-7</v>
      </c>
      <c r="AS111" s="34">
        <v>4.4089472675315029E-6</v>
      </c>
      <c r="AT111" s="34">
        <v>2.7821548090662875E-5</v>
      </c>
      <c r="AU111" s="36">
        <v>0</v>
      </c>
      <c r="AV111" s="36">
        <v>0</v>
      </c>
      <c r="AW111" s="36">
        <v>1.2930459031921604</v>
      </c>
      <c r="AX111" s="36">
        <v>0.17743074935185008</v>
      </c>
      <c r="AY111" s="36">
        <v>0.16136201340990644</v>
      </c>
      <c r="AZ111" s="36">
        <v>0.34352198655054084</v>
      </c>
      <c r="BA111" s="36">
        <v>1.9753606525044578</v>
      </c>
      <c r="BB111" s="6"/>
      <c r="BC111" s="6"/>
      <c r="BD111" t="s">
        <v>1018</v>
      </c>
      <c r="BF111" s="5">
        <v>0.13343828999999999</v>
      </c>
      <c r="BG111" s="5">
        <f t="shared" si="5"/>
        <v>-6.5456483419561451E-3</v>
      </c>
      <c r="BH111" s="2">
        <v>178.37691999999998</v>
      </c>
    </row>
    <row r="112" spans="1:60" x14ac:dyDescent="0.2">
      <c r="A112" t="str">
        <f t="shared" si="0"/>
        <v>Scooter, gasoline, 4-11kW, EURO-5 - 2050 - None - CH</v>
      </c>
      <c r="B112" t="s">
        <v>572</v>
      </c>
      <c r="D112" s="19">
        <v>2050</v>
      </c>
      <c r="E112" t="s">
        <v>37</v>
      </c>
      <c r="F112" t="s">
        <v>143</v>
      </c>
      <c r="G112" t="s">
        <v>39</v>
      </c>
      <c r="H112" t="s">
        <v>35</v>
      </c>
      <c r="I112" t="s">
        <v>140</v>
      </c>
      <c r="J112" t="s">
        <v>140</v>
      </c>
      <c r="L112" s="26">
        <v>8.7692549823194021E-2</v>
      </c>
      <c r="M112" s="26">
        <v>0</v>
      </c>
      <c r="N112" s="26">
        <v>1.287077213581349E-2</v>
      </c>
      <c r="O112" s="26">
        <v>9.5118975182542226E-3</v>
      </c>
      <c r="P112" s="26">
        <v>4.5997441836490138E-3</v>
      </c>
      <c r="Q112" s="26">
        <v>2.585004057683683E-2</v>
      </c>
      <c r="R112" s="26">
        <v>0.14052500423774758</v>
      </c>
      <c r="S112" s="28">
        <v>0</v>
      </c>
      <c r="T112" s="28">
        <v>0</v>
      </c>
      <c r="U112" s="28">
        <v>3.1524183197482628E-4</v>
      </c>
      <c r="V112" s="28">
        <v>5.4149643498382851E-4</v>
      </c>
      <c r="W112" s="28">
        <v>3.175926370338597E-4</v>
      </c>
      <c r="X112" s="28">
        <v>5.7067312185931206E-3</v>
      </c>
      <c r="Y112" s="28">
        <v>6.8810621225856346E-3</v>
      </c>
      <c r="Z112" s="30">
        <v>9.0899650444028045E-3</v>
      </c>
      <c r="AA112" s="30">
        <v>4.6261147379200417E-3</v>
      </c>
      <c r="AB112" s="30">
        <v>6.2885515184114382E-4</v>
      </c>
      <c r="AC112" s="30">
        <v>1.891362620619139E-4</v>
      </c>
      <c r="AD112" s="30">
        <v>1.4168701873214351E-4</v>
      </c>
      <c r="AE112" s="30">
        <v>1.30337659681208E-3</v>
      </c>
      <c r="AF112" s="30">
        <v>1.5979134811770126E-2</v>
      </c>
      <c r="AG112" s="32">
        <v>9.6344752015524289E-7</v>
      </c>
      <c r="AH112" s="32">
        <v>2.4017681479425239E-5</v>
      </c>
      <c r="AI112" s="32">
        <v>1.196189779850091E-4</v>
      </c>
      <c r="AJ112" s="32">
        <v>3.7496238084001741E-4</v>
      </c>
      <c r="AK112" s="32">
        <v>1.9076876562855829E-4</v>
      </c>
      <c r="AL112" s="32">
        <v>3.2207359727412059E-3</v>
      </c>
      <c r="AM112" s="32">
        <v>3.9310672261943713E-3</v>
      </c>
      <c r="AN112" s="34">
        <v>2.1774155230482451E-6</v>
      </c>
      <c r="AO112" s="34">
        <v>1.7366458046533871E-5</v>
      </c>
      <c r="AP112" s="34">
        <v>2.475398129312744E-6</v>
      </c>
      <c r="AQ112" s="34">
        <v>5.7073161734124143E-7</v>
      </c>
      <c r="AR112" s="34">
        <v>7.7492483955781734E-7</v>
      </c>
      <c r="AS112" s="34">
        <v>4.4791189381302719E-6</v>
      </c>
      <c r="AT112" s="34">
        <v>2.7844047093924189E-5</v>
      </c>
      <c r="AU112" s="36">
        <v>0</v>
      </c>
      <c r="AV112" s="36">
        <v>0</v>
      </c>
      <c r="AW112" s="36">
        <v>1.2801154441602385</v>
      </c>
      <c r="AX112" s="36">
        <v>0.17743074935185008</v>
      </c>
      <c r="AY112" s="36">
        <v>0.1611532390268996</v>
      </c>
      <c r="AZ112" s="36">
        <v>0.3601762922942775</v>
      </c>
      <c r="BA112" s="36">
        <v>1.9788757248332656</v>
      </c>
      <c r="BB112" s="6"/>
      <c r="BC112" s="6"/>
      <c r="BD112" t="s">
        <v>1019</v>
      </c>
      <c r="BF112" s="5">
        <v>0.13314013000000002</v>
      </c>
      <c r="BG112" s="5">
        <f t="shared" si="5"/>
        <v>-7.3848742377475574E-3</v>
      </c>
      <c r="BH112" s="2">
        <v>177.60272999999998</v>
      </c>
    </row>
    <row r="113" spans="1:60" x14ac:dyDescent="0.2">
      <c r="A113" t="str">
        <f t="shared" si="0"/>
        <v>Scooter, electric, &lt;4kW - 2020 - NMC - CH</v>
      </c>
      <c r="B113" t="s">
        <v>608</v>
      </c>
      <c r="D113" s="19">
        <v>2020</v>
      </c>
      <c r="E113" t="s">
        <v>37</v>
      </c>
      <c r="F113" t="s">
        <v>140</v>
      </c>
      <c r="G113" t="s">
        <v>39</v>
      </c>
      <c r="H113" t="s">
        <v>32</v>
      </c>
      <c r="I113" t="s">
        <v>43</v>
      </c>
      <c r="J113" t="s">
        <v>140</v>
      </c>
      <c r="L113" s="26">
        <v>0</v>
      </c>
      <c r="M113" s="26">
        <v>0</v>
      </c>
      <c r="N113" s="26">
        <v>4.230531998315014E-3</v>
      </c>
      <c r="O113" s="26">
        <v>1.2306591692257861E-2</v>
      </c>
      <c r="P113" s="26">
        <v>4.499995804181871E-3</v>
      </c>
      <c r="Q113" s="26">
        <v>4.6960667705063748E-2</v>
      </c>
      <c r="R113" s="26">
        <v>6.7997787199818499E-2</v>
      </c>
      <c r="S113" s="28">
        <v>0</v>
      </c>
      <c r="T113" s="28">
        <v>0</v>
      </c>
      <c r="U113" s="28">
        <v>4.4777402985367499E-4</v>
      </c>
      <c r="V113" s="28">
        <v>4.722191823356421E-4</v>
      </c>
      <c r="W113" s="28">
        <v>3.1128977228796298E-4</v>
      </c>
      <c r="X113" s="28">
        <v>5.2328807599304139E-2</v>
      </c>
      <c r="Y113" s="28">
        <v>5.3560090583781417E-2</v>
      </c>
      <c r="Z113" s="30">
        <v>0</v>
      </c>
      <c r="AA113" s="30">
        <v>2.3145477658575108E-3</v>
      </c>
      <c r="AB113" s="30">
        <v>1.3122483756222481E-4</v>
      </c>
      <c r="AC113" s="30">
        <v>1.5438989133449149E-4</v>
      </c>
      <c r="AD113" s="30">
        <v>1.3882195173311031E-4</v>
      </c>
      <c r="AE113" s="30">
        <v>4.4017669608086814E-3</v>
      </c>
      <c r="AF113" s="30">
        <v>7.1407514072960188E-3</v>
      </c>
      <c r="AG113" s="32">
        <v>0</v>
      </c>
      <c r="AH113" s="32">
        <v>1.228469691721989E-5</v>
      </c>
      <c r="AI113" s="32">
        <v>2.9983503156352759E-4</v>
      </c>
      <c r="AJ113" s="32">
        <v>3.7507357872791961E-4</v>
      </c>
      <c r="AK113" s="32">
        <v>1.880948717739569E-4</v>
      </c>
      <c r="AL113" s="32">
        <v>1.316560346465253E-2</v>
      </c>
      <c r="AM113" s="32">
        <v>1.4040891643635154E-2</v>
      </c>
      <c r="AN113" s="34">
        <v>0</v>
      </c>
      <c r="AO113" s="34">
        <v>8.7500264113198857E-6</v>
      </c>
      <c r="AP113" s="34">
        <v>3.7806259526635928E-7</v>
      </c>
      <c r="AQ113" s="34">
        <v>7.4641524221169363E-7</v>
      </c>
      <c r="AR113" s="34">
        <v>7.6436693318839574E-7</v>
      </c>
      <c r="AS113" s="34">
        <v>1.2613452133301209E-5</v>
      </c>
      <c r="AT113" s="34">
        <v>2.3252323315287544E-5</v>
      </c>
      <c r="AU113" s="36">
        <v>0</v>
      </c>
      <c r="AV113" s="36">
        <v>0</v>
      </c>
      <c r="AW113" s="36">
        <v>0.19783790250872499</v>
      </c>
      <c r="AX113" s="36">
        <v>0.17647448414364728</v>
      </c>
      <c r="AY113" s="36">
        <v>0.15788554712144401</v>
      </c>
      <c r="AZ113" s="36">
        <v>0.67740696189012273</v>
      </c>
      <c r="BA113" s="36">
        <v>1.2096048956639391</v>
      </c>
      <c r="BB113" s="6"/>
      <c r="BC113" s="6"/>
      <c r="BD113" t="s">
        <v>931</v>
      </c>
      <c r="BF113" s="5">
        <v>6.2149102999999997E-2</v>
      </c>
      <c r="BG113" s="5">
        <f t="shared" si="5"/>
        <v>-5.8486841998185018E-3</v>
      </c>
      <c r="BH113" s="2">
        <v>152.50899000000001</v>
      </c>
    </row>
    <row r="114" spans="1:60" x14ac:dyDescent="0.2">
      <c r="A114" t="str">
        <f t="shared" si="0"/>
        <v>Scooter, electric, &lt;4kW - 2030 - NMC - CH</v>
      </c>
      <c r="B114" t="s">
        <v>608</v>
      </c>
      <c r="D114" s="19">
        <v>2030</v>
      </c>
      <c r="E114" t="s">
        <v>37</v>
      </c>
      <c r="F114" t="s">
        <v>140</v>
      </c>
      <c r="G114" t="s">
        <v>39</v>
      </c>
      <c r="H114" t="s">
        <v>32</v>
      </c>
      <c r="I114" t="s">
        <v>43</v>
      </c>
      <c r="J114" t="s">
        <v>140</v>
      </c>
      <c r="L114" s="26">
        <v>0</v>
      </c>
      <c r="M114" s="26">
        <v>0</v>
      </c>
      <c r="N114" s="26">
        <v>4.230531998315014E-3</v>
      </c>
      <c r="O114" s="26">
        <v>1.2306591692257861E-2</v>
      </c>
      <c r="P114" s="26">
        <v>4.5008758811560627E-3</v>
      </c>
      <c r="Q114" s="26">
        <v>4.7520048473623171E-2</v>
      </c>
      <c r="R114" s="26">
        <v>6.8558048045352107E-2</v>
      </c>
      <c r="S114" s="28">
        <v>0</v>
      </c>
      <c r="T114" s="28">
        <v>0</v>
      </c>
      <c r="U114" s="28">
        <v>4.4777402985367499E-4</v>
      </c>
      <c r="V114" s="28">
        <v>4.722191823356421E-4</v>
      </c>
      <c r="W114" s="28">
        <v>3.1134538227545303E-4</v>
      </c>
      <c r="X114" s="28">
        <v>4.8128281001920403E-2</v>
      </c>
      <c r="Y114" s="28">
        <v>4.9359619596385171E-2</v>
      </c>
      <c r="Z114" s="30">
        <v>0</v>
      </c>
      <c r="AA114" s="30">
        <v>2.3145477658575108E-3</v>
      </c>
      <c r="AB114" s="30">
        <v>1.3122483756222481E-4</v>
      </c>
      <c r="AC114" s="30">
        <v>1.5438989133449149E-4</v>
      </c>
      <c r="AD114" s="30">
        <v>1.3884723013371031E-4</v>
      </c>
      <c r="AE114" s="30">
        <v>4.1911350985987536E-3</v>
      </c>
      <c r="AF114" s="30">
        <v>6.9301448234866912E-3</v>
      </c>
      <c r="AG114" s="32">
        <v>0</v>
      </c>
      <c r="AH114" s="32">
        <v>1.228469691721989E-5</v>
      </c>
      <c r="AI114" s="32">
        <v>2.9983503156352759E-4</v>
      </c>
      <c r="AJ114" s="32">
        <v>3.7507357872791961E-4</v>
      </c>
      <c r="AK114" s="32">
        <v>1.881184634596107E-4</v>
      </c>
      <c r="AL114" s="32">
        <v>1.27596213245302E-2</v>
      </c>
      <c r="AM114" s="32">
        <v>1.3634933095198478E-2</v>
      </c>
      <c r="AN114" s="34">
        <v>0</v>
      </c>
      <c r="AO114" s="34">
        <v>8.7500264113198857E-6</v>
      </c>
      <c r="AP114" s="34">
        <v>3.7806259526635928E-7</v>
      </c>
      <c r="AQ114" s="34">
        <v>7.4641524221169363E-7</v>
      </c>
      <c r="AR114" s="34">
        <v>7.6446008528110175E-7</v>
      </c>
      <c r="AS114" s="34">
        <v>1.189596265994029E-5</v>
      </c>
      <c r="AT114" s="34">
        <v>2.2534926994019331E-5</v>
      </c>
      <c r="AU114" s="36">
        <v>0</v>
      </c>
      <c r="AV114" s="36">
        <v>0</v>
      </c>
      <c r="AW114" s="36">
        <v>0.19783790250872499</v>
      </c>
      <c r="AX114" s="36">
        <v>0.17647448414364728</v>
      </c>
      <c r="AY114" s="36">
        <v>0.15791437786957357</v>
      </c>
      <c r="AZ114" s="36">
        <v>0.67170674510399264</v>
      </c>
      <c r="BA114" s="36">
        <v>1.2039335096259385</v>
      </c>
      <c r="BB114" s="6"/>
      <c r="BC114" s="6"/>
      <c r="BD114" t="s">
        <v>1020</v>
      </c>
      <c r="BF114" s="5">
        <v>6.1961607999999994E-2</v>
      </c>
      <c r="BG114" s="5">
        <f t="shared" si="5"/>
        <v>-6.596440045352113E-3</v>
      </c>
      <c r="BH114" s="2">
        <v>144.58496000000002</v>
      </c>
    </row>
    <row r="115" spans="1:60" x14ac:dyDescent="0.2">
      <c r="A115" t="str">
        <f t="shared" si="0"/>
        <v>Scooter, electric, &lt;4kW - 2040 - NMC - CH</v>
      </c>
      <c r="B115" t="s">
        <v>608</v>
      </c>
      <c r="D115" s="19">
        <v>2040</v>
      </c>
      <c r="E115" t="s">
        <v>37</v>
      </c>
      <c r="F115" t="s">
        <v>140</v>
      </c>
      <c r="G115" t="s">
        <v>39</v>
      </c>
      <c r="H115" t="s">
        <v>32</v>
      </c>
      <c r="I115" t="s">
        <v>43</v>
      </c>
      <c r="J115" t="s">
        <v>140</v>
      </c>
      <c r="L115" s="26">
        <v>0</v>
      </c>
      <c r="M115" s="26">
        <v>0</v>
      </c>
      <c r="N115" s="26">
        <v>4.230531998315014E-3</v>
      </c>
      <c r="O115" s="26">
        <v>1.2306591692257861E-2</v>
      </c>
      <c r="P115" s="26">
        <v>4.5011338347519464E-3</v>
      </c>
      <c r="Q115" s="26">
        <v>4.7992199093471993E-2</v>
      </c>
      <c r="R115" s="26">
        <v>6.9030456618796809E-2</v>
      </c>
      <c r="S115" s="28">
        <v>0</v>
      </c>
      <c r="T115" s="28">
        <v>0</v>
      </c>
      <c r="U115" s="28">
        <v>4.4777402985367499E-4</v>
      </c>
      <c r="V115" s="28">
        <v>4.722191823356421E-4</v>
      </c>
      <c r="W115" s="28">
        <v>3.1136168175454492E-4</v>
      </c>
      <c r="X115" s="28">
        <v>4.5524939581790262E-2</v>
      </c>
      <c r="Y115" s="28">
        <v>4.6756294475734123E-2</v>
      </c>
      <c r="Z115" s="30">
        <v>0</v>
      </c>
      <c r="AA115" s="30">
        <v>2.3145477658575108E-3</v>
      </c>
      <c r="AB115" s="30">
        <v>1.3122483756222481E-4</v>
      </c>
      <c r="AC115" s="30">
        <v>1.5438989133449149E-4</v>
      </c>
      <c r="AD115" s="30">
        <v>1.3885463932009301E-4</v>
      </c>
      <c r="AE115" s="30">
        <v>4.0664740355196034E-3</v>
      </c>
      <c r="AF115" s="30">
        <v>6.8054911695939234E-3</v>
      </c>
      <c r="AG115" s="32">
        <v>0</v>
      </c>
      <c r="AH115" s="32">
        <v>1.228469691721989E-5</v>
      </c>
      <c r="AI115" s="32">
        <v>2.9983503156352759E-4</v>
      </c>
      <c r="AJ115" s="32">
        <v>3.7507357872791961E-4</v>
      </c>
      <c r="AK115" s="32">
        <v>1.881253782640265E-4</v>
      </c>
      <c r="AL115" s="32">
        <v>1.252915806510028E-2</v>
      </c>
      <c r="AM115" s="32">
        <v>1.3404476750572974E-2</v>
      </c>
      <c r="AN115" s="34">
        <v>0</v>
      </c>
      <c r="AO115" s="34">
        <v>8.7500264113198857E-6</v>
      </c>
      <c r="AP115" s="34">
        <v>3.7806259526635928E-7</v>
      </c>
      <c r="AQ115" s="34">
        <v>7.4641524221169363E-7</v>
      </c>
      <c r="AR115" s="34">
        <v>7.6448738848068806E-7</v>
      </c>
      <c r="AS115" s="34">
        <v>1.145309309929765E-5</v>
      </c>
      <c r="AT115" s="34">
        <v>2.2092084736576274E-5</v>
      </c>
      <c r="AU115" s="36">
        <v>0</v>
      </c>
      <c r="AV115" s="36">
        <v>0</v>
      </c>
      <c r="AW115" s="36">
        <v>0.19783790250872499</v>
      </c>
      <c r="AX115" s="36">
        <v>0.17647448414364728</v>
      </c>
      <c r="AY115" s="36">
        <v>0.15792282826126669</v>
      </c>
      <c r="AZ115" s="36">
        <v>0.66945087186209751</v>
      </c>
      <c r="BA115" s="36">
        <v>1.2016860867757364</v>
      </c>
      <c r="BB115" s="6"/>
      <c r="BC115" s="6"/>
      <c r="BD115" t="s">
        <v>1021</v>
      </c>
      <c r="BF115" s="5">
        <v>6.1894770000000002E-2</v>
      </c>
      <c r="BG115" s="5">
        <f t="shared" si="5"/>
        <v>-7.1356866187968077E-3</v>
      </c>
      <c r="BH115" s="2">
        <v>139.64867999999998</v>
      </c>
    </row>
    <row r="116" spans="1:60" x14ac:dyDescent="0.2">
      <c r="A116" t="str">
        <f t="shared" si="0"/>
        <v>Scooter, electric, &lt;4kW - 2050 - NMC - CH</v>
      </c>
      <c r="B116" t="s">
        <v>608</v>
      </c>
      <c r="D116" s="19">
        <v>2050</v>
      </c>
      <c r="E116" t="s">
        <v>37</v>
      </c>
      <c r="F116" t="s">
        <v>140</v>
      </c>
      <c r="G116" t="s">
        <v>39</v>
      </c>
      <c r="H116" t="s">
        <v>32</v>
      </c>
      <c r="I116" t="s">
        <v>43</v>
      </c>
      <c r="J116" t="s">
        <v>140</v>
      </c>
      <c r="L116" s="26">
        <v>0</v>
      </c>
      <c r="M116" s="26">
        <v>0</v>
      </c>
      <c r="N116" s="26">
        <v>4.230531998315014E-3</v>
      </c>
      <c r="O116" s="26">
        <v>1.2306591692257861E-2</v>
      </c>
      <c r="P116" s="26">
        <v>4.5033643746692949E-3</v>
      </c>
      <c r="Q116" s="26">
        <v>4.8269122650915271E-2</v>
      </c>
      <c r="R116" s="26">
        <v>6.9309610716157433E-2</v>
      </c>
      <c r="S116" s="28">
        <v>0</v>
      </c>
      <c r="T116" s="28">
        <v>0</v>
      </c>
      <c r="U116" s="28">
        <v>4.4777402985367499E-4</v>
      </c>
      <c r="V116" s="28">
        <v>4.722191823356421E-4</v>
      </c>
      <c r="W116" s="28">
        <v>3.1150262430904518E-4</v>
      </c>
      <c r="X116" s="28">
        <v>4.2527644610276888E-2</v>
      </c>
      <c r="Y116" s="28">
        <v>4.3759140446775251E-2</v>
      </c>
      <c r="Z116" s="30">
        <v>0</v>
      </c>
      <c r="AA116" s="30">
        <v>2.3145477658575108E-3</v>
      </c>
      <c r="AB116" s="30">
        <v>1.3122483756222481E-4</v>
      </c>
      <c r="AC116" s="30">
        <v>1.5438989133449149E-4</v>
      </c>
      <c r="AD116" s="30">
        <v>1.3891870699057909E-4</v>
      </c>
      <c r="AE116" s="30">
        <v>3.9105185703264813E-3</v>
      </c>
      <c r="AF116" s="30">
        <v>6.6495997720712879E-3</v>
      </c>
      <c r="AG116" s="32">
        <v>0</v>
      </c>
      <c r="AH116" s="32">
        <v>1.228469691721989E-5</v>
      </c>
      <c r="AI116" s="32">
        <v>2.9983503156352759E-4</v>
      </c>
      <c r="AJ116" s="32">
        <v>3.7507357872791961E-4</v>
      </c>
      <c r="AK116" s="32">
        <v>1.8818517098456291E-4</v>
      </c>
      <c r="AL116" s="32">
        <v>1.221833230624189E-2</v>
      </c>
      <c r="AM116" s="32">
        <v>1.3093710784435119E-2</v>
      </c>
      <c r="AN116" s="34">
        <v>0</v>
      </c>
      <c r="AO116" s="34">
        <v>8.7500264113198857E-6</v>
      </c>
      <c r="AP116" s="34">
        <v>3.7806259526635928E-7</v>
      </c>
      <c r="AQ116" s="34">
        <v>7.4641524221169363E-7</v>
      </c>
      <c r="AR116" s="34">
        <v>7.6472348085358094E-7</v>
      </c>
      <c r="AS116" s="34">
        <v>1.094014660301449E-5</v>
      </c>
      <c r="AT116" s="34">
        <v>2.1579374332666011E-5</v>
      </c>
      <c r="AU116" s="36">
        <v>0</v>
      </c>
      <c r="AV116" s="36">
        <v>0</v>
      </c>
      <c r="AW116" s="36">
        <v>0.19783790250872499</v>
      </c>
      <c r="AX116" s="36">
        <v>0.17647448414364728</v>
      </c>
      <c r="AY116" s="36">
        <v>0.1579958992953191</v>
      </c>
      <c r="AZ116" s="36">
        <v>0.66415462442150097</v>
      </c>
      <c r="BA116" s="36">
        <v>1.1964629103691924</v>
      </c>
      <c r="BB116" s="6"/>
      <c r="BC116" s="6"/>
      <c r="BD116" t="s">
        <v>1022</v>
      </c>
      <c r="BF116" s="5">
        <v>6.1719412000000001E-2</v>
      </c>
      <c r="BG116" s="5">
        <f t="shared" si="5"/>
        <v>-7.5901987161574314E-3</v>
      </c>
      <c r="BH116" s="2">
        <v>134.03406000000001</v>
      </c>
    </row>
    <row r="117" spans="1:60" x14ac:dyDescent="0.2">
      <c r="A117" t="str">
        <f t="shared" si="0"/>
        <v>Scooter, electric, 4-11kW - 2020 - NMC - CH</v>
      </c>
      <c r="B117" t="s">
        <v>569</v>
      </c>
      <c r="D117" s="19">
        <v>2020</v>
      </c>
      <c r="E117" t="s">
        <v>37</v>
      </c>
      <c r="F117" t="s">
        <v>140</v>
      </c>
      <c r="G117" t="s">
        <v>39</v>
      </c>
      <c r="H117" t="s">
        <v>32</v>
      </c>
      <c r="I117" t="s">
        <v>43</v>
      </c>
      <c r="J117" t="s">
        <v>140</v>
      </c>
      <c r="L117" s="26">
        <v>0</v>
      </c>
      <c r="M117" s="26">
        <v>0</v>
      </c>
      <c r="N117" s="26">
        <v>6.0053165008481374E-3</v>
      </c>
      <c r="O117" s="26">
        <v>1.2306591692257861E-2</v>
      </c>
      <c r="P117" s="26">
        <v>4.6388355337311166E-3</v>
      </c>
      <c r="Q117" s="26">
        <v>6.5220914497343074E-2</v>
      </c>
      <c r="R117" s="26">
        <v>8.8171658224180188E-2</v>
      </c>
      <c r="S117" s="28">
        <v>0</v>
      </c>
      <c r="T117" s="28">
        <v>0</v>
      </c>
      <c r="U117" s="28">
        <v>6.3562331432608424E-4</v>
      </c>
      <c r="V117" s="28">
        <v>4.722191823356421E-4</v>
      </c>
      <c r="W117" s="28">
        <v>3.200627272109453E-4</v>
      </c>
      <c r="X117" s="28">
        <v>7.5855735783844858E-2</v>
      </c>
      <c r="Y117" s="28">
        <v>7.7283641007717535E-2</v>
      </c>
      <c r="Z117" s="30">
        <v>0</v>
      </c>
      <c r="AA117" s="30">
        <v>2.3145477658575108E-3</v>
      </c>
      <c r="AB117" s="30">
        <v>1.8627602453956559E-4</v>
      </c>
      <c r="AC117" s="30">
        <v>1.5438989133449149E-4</v>
      </c>
      <c r="AD117" s="30">
        <v>1.4280983734499901E-4</v>
      </c>
      <c r="AE117" s="30">
        <v>6.2599544064963521E-3</v>
      </c>
      <c r="AF117" s="30">
        <v>9.0579779255729187E-3</v>
      </c>
      <c r="AG117" s="32">
        <v>0</v>
      </c>
      <c r="AH117" s="32">
        <v>1.228469691721989E-5</v>
      </c>
      <c r="AI117" s="32">
        <v>4.2562123706851542E-4</v>
      </c>
      <c r="AJ117" s="32">
        <v>3.7507357872791961E-4</v>
      </c>
      <c r="AK117" s="32">
        <v>1.9181666356244949E-4</v>
      </c>
      <c r="AL117" s="32">
        <v>1.8896849337480471E-2</v>
      </c>
      <c r="AM117" s="32">
        <v>1.9901645513756575E-2</v>
      </c>
      <c r="AN117" s="34">
        <v>0</v>
      </c>
      <c r="AO117" s="34">
        <v>8.7500264113198857E-6</v>
      </c>
      <c r="AP117" s="34">
        <v>5.3666667516303246E-7</v>
      </c>
      <c r="AQ117" s="34">
        <v>7.4641524221169363E-7</v>
      </c>
      <c r="AR117" s="34">
        <v>7.7906247884805842E-7</v>
      </c>
      <c r="AS117" s="34">
        <v>1.7332071878643611E-5</v>
      </c>
      <c r="AT117" s="34">
        <v>2.8144242686186282E-5</v>
      </c>
      <c r="AU117" s="36">
        <v>0</v>
      </c>
      <c r="AV117" s="36">
        <v>0</v>
      </c>
      <c r="AW117" s="36">
        <v>0.2808344720952432</v>
      </c>
      <c r="AX117" s="36">
        <v>0.17647448414364728</v>
      </c>
      <c r="AY117" s="36">
        <v>0.16243384617980774</v>
      </c>
      <c r="AZ117" s="36">
        <v>0.94145771503012154</v>
      </c>
      <c r="BA117" s="36">
        <v>1.5612005174488197</v>
      </c>
      <c r="BB117" s="6"/>
      <c r="BC117" s="6"/>
      <c r="BD117" t="s">
        <v>937</v>
      </c>
      <c r="BF117" s="5">
        <v>7.7684466000000008E-2</v>
      </c>
      <c r="BG117" s="5">
        <f t="shared" si="5"/>
        <v>-1.0487192224180181E-2</v>
      </c>
      <c r="BH117" s="2">
        <v>200.99196000000001</v>
      </c>
    </row>
    <row r="118" spans="1:60" x14ac:dyDescent="0.2">
      <c r="A118" t="str">
        <f t="shared" si="0"/>
        <v>Scooter, electric, 4-11kW - 2030 - NMC - CH</v>
      </c>
      <c r="B118" t="s">
        <v>569</v>
      </c>
      <c r="D118" s="19">
        <v>2030</v>
      </c>
      <c r="E118" t="s">
        <v>37</v>
      </c>
      <c r="F118" t="s">
        <v>140</v>
      </c>
      <c r="G118" t="s">
        <v>39</v>
      </c>
      <c r="H118" t="s">
        <v>32</v>
      </c>
      <c r="I118" t="s">
        <v>43</v>
      </c>
      <c r="J118" t="s">
        <v>140</v>
      </c>
      <c r="L118" s="26">
        <v>0</v>
      </c>
      <c r="M118" s="26">
        <v>0</v>
      </c>
      <c r="N118" s="26">
        <v>6.0053165008481374E-3</v>
      </c>
      <c r="O118" s="26">
        <v>1.2306591692257861E-2</v>
      </c>
      <c r="P118" s="26">
        <v>4.642158582995738E-3</v>
      </c>
      <c r="Q118" s="26">
        <v>6.503158780121078E-2</v>
      </c>
      <c r="R118" s="26">
        <v>8.7985654577312514E-2</v>
      </c>
      <c r="S118" s="28">
        <v>0</v>
      </c>
      <c r="T118" s="28">
        <v>0</v>
      </c>
      <c r="U118" s="28">
        <v>6.3562331432608424E-4</v>
      </c>
      <c r="V118" s="28">
        <v>4.722191823356421E-4</v>
      </c>
      <c r="W118" s="28">
        <v>3.2027270285336419E-4</v>
      </c>
      <c r="X118" s="28">
        <v>6.9370588654902351E-2</v>
      </c>
      <c r="Y118" s="28">
        <v>7.0798703854417444E-2</v>
      </c>
      <c r="Z118" s="30">
        <v>0</v>
      </c>
      <c r="AA118" s="30">
        <v>2.3145477658575108E-3</v>
      </c>
      <c r="AB118" s="30">
        <v>1.8627602453956559E-4</v>
      </c>
      <c r="AC118" s="30">
        <v>1.5438989133449149E-4</v>
      </c>
      <c r="AD118" s="30">
        <v>1.429052850989885E-4</v>
      </c>
      <c r="AE118" s="30">
        <v>5.8853804346952407E-3</v>
      </c>
      <c r="AF118" s="30">
        <v>8.683499401525796E-3</v>
      </c>
      <c r="AG118" s="32">
        <v>0</v>
      </c>
      <c r="AH118" s="32">
        <v>1.228469691721989E-5</v>
      </c>
      <c r="AI118" s="32">
        <v>4.2562123706851542E-4</v>
      </c>
      <c r="AJ118" s="32">
        <v>3.7507357872791961E-4</v>
      </c>
      <c r="AK118" s="32">
        <v>1.919057425134528E-4</v>
      </c>
      <c r="AL118" s="32">
        <v>1.80927369906165E-2</v>
      </c>
      <c r="AM118" s="32">
        <v>1.9097622245843607E-2</v>
      </c>
      <c r="AN118" s="34">
        <v>0</v>
      </c>
      <c r="AO118" s="34">
        <v>8.7500264113198857E-6</v>
      </c>
      <c r="AP118" s="34">
        <v>5.3666667516303246E-7</v>
      </c>
      <c r="AQ118" s="34">
        <v>7.4641524221169363E-7</v>
      </c>
      <c r="AR118" s="34">
        <v>7.7941420830155207E-7</v>
      </c>
      <c r="AS118" s="34">
        <v>1.6208929880458181E-5</v>
      </c>
      <c r="AT118" s="34">
        <v>2.7021452417454348E-5</v>
      </c>
      <c r="AU118" s="36">
        <v>0</v>
      </c>
      <c r="AV118" s="36">
        <v>0</v>
      </c>
      <c r="AW118" s="36">
        <v>0.2808344720952432</v>
      </c>
      <c r="AX118" s="36">
        <v>0.17647448414364728</v>
      </c>
      <c r="AY118" s="36">
        <v>0.16254270710808991</v>
      </c>
      <c r="AZ118" s="36">
        <v>0.92193573824767916</v>
      </c>
      <c r="BA118" s="36">
        <v>1.5417874015946595</v>
      </c>
      <c r="BB118" s="6"/>
      <c r="BC118" s="6"/>
      <c r="BD118" t="s">
        <v>1023</v>
      </c>
      <c r="BF118" s="5">
        <v>7.6972405000000008E-2</v>
      </c>
      <c r="BG118" s="5">
        <f t="shared" si="5"/>
        <v>-1.1013249577312506E-2</v>
      </c>
      <c r="BH118" s="2">
        <v>188.86969999999999</v>
      </c>
    </row>
    <row r="119" spans="1:60" x14ac:dyDescent="0.2">
      <c r="A119" t="str">
        <f t="shared" si="0"/>
        <v>Scooter, electric, 4-11kW - 2040 - NMC - CH</v>
      </c>
      <c r="B119" t="s">
        <v>569</v>
      </c>
      <c r="D119" s="19">
        <v>2040</v>
      </c>
      <c r="E119" t="s">
        <v>37</v>
      </c>
      <c r="F119" t="s">
        <v>140</v>
      </c>
      <c r="G119" t="s">
        <v>39</v>
      </c>
      <c r="H119" t="s">
        <v>32</v>
      </c>
      <c r="I119" t="s">
        <v>43</v>
      </c>
      <c r="J119" t="s">
        <v>140</v>
      </c>
      <c r="L119" s="26">
        <v>0</v>
      </c>
      <c r="M119" s="26">
        <v>0</v>
      </c>
      <c r="N119" s="26">
        <v>6.0053165008481374E-3</v>
      </c>
      <c r="O119" s="26">
        <v>1.2306591692257861E-2</v>
      </c>
      <c r="P119" s="26">
        <v>4.6433876560114202E-3</v>
      </c>
      <c r="Q119" s="26">
        <v>6.5002983175688159E-2</v>
      </c>
      <c r="R119" s="26">
        <v>8.7958279024805575E-2</v>
      </c>
      <c r="S119" s="28">
        <v>0</v>
      </c>
      <c r="T119" s="28">
        <v>0</v>
      </c>
      <c r="U119" s="28">
        <v>6.3562331432608424E-4</v>
      </c>
      <c r="V119" s="28">
        <v>4.722191823356421E-4</v>
      </c>
      <c r="W119" s="28">
        <v>3.2035036507727262E-4</v>
      </c>
      <c r="X119" s="28">
        <v>6.5244133849543445E-2</v>
      </c>
      <c r="Y119" s="28">
        <v>6.667232671128244E-2</v>
      </c>
      <c r="Z119" s="30">
        <v>0</v>
      </c>
      <c r="AA119" s="30">
        <v>2.3145477658575108E-3</v>
      </c>
      <c r="AB119" s="30">
        <v>1.8627602453956559E-4</v>
      </c>
      <c r="AC119" s="30">
        <v>1.5438989133449149E-4</v>
      </c>
      <c r="AD119" s="30">
        <v>1.4294058769292981E-4</v>
      </c>
      <c r="AE119" s="30">
        <v>5.6513116441916653E-3</v>
      </c>
      <c r="AF119" s="30">
        <v>8.4494659136161634E-3</v>
      </c>
      <c r="AG119" s="32">
        <v>0</v>
      </c>
      <c r="AH119" s="32">
        <v>1.228469691721989E-5</v>
      </c>
      <c r="AI119" s="32">
        <v>4.2562123706851542E-4</v>
      </c>
      <c r="AJ119" s="32">
        <v>3.7507357872791961E-4</v>
      </c>
      <c r="AK119" s="32">
        <v>1.9193868952272801E-4</v>
      </c>
      <c r="AL119" s="32">
        <v>1.7596843272735939E-2</v>
      </c>
      <c r="AM119" s="32">
        <v>1.8601761474972323E-2</v>
      </c>
      <c r="AN119" s="34">
        <v>0</v>
      </c>
      <c r="AO119" s="34">
        <v>8.7500264113198857E-6</v>
      </c>
      <c r="AP119" s="34">
        <v>5.3666667516303246E-7</v>
      </c>
      <c r="AQ119" s="34">
        <v>7.4641524221169363E-7</v>
      </c>
      <c r="AR119" s="34">
        <v>7.7954430001722768E-7</v>
      </c>
      <c r="AS119" s="34">
        <v>1.5495207038674772E-5</v>
      </c>
      <c r="AT119" s="34">
        <v>2.6307859667386611E-5</v>
      </c>
      <c r="AU119" s="36">
        <v>0</v>
      </c>
      <c r="AV119" s="36">
        <v>0</v>
      </c>
      <c r="AW119" s="36">
        <v>0.2808344720952432</v>
      </c>
      <c r="AX119" s="36">
        <v>0.17647448414364728</v>
      </c>
      <c r="AY119" s="36">
        <v>0.16258297073909836</v>
      </c>
      <c r="AZ119" s="36">
        <v>0.91044127029277888</v>
      </c>
      <c r="BA119" s="36">
        <v>1.5303331972707677</v>
      </c>
      <c r="BB119" s="6"/>
      <c r="BC119" s="6"/>
      <c r="BD119" t="s">
        <v>1024</v>
      </c>
      <c r="BF119" s="5">
        <v>7.6549911999999998E-2</v>
      </c>
      <c r="BG119" s="5">
        <f t="shared" si="5"/>
        <v>-1.1408367024805577E-2</v>
      </c>
      <c r="BH119" s="2">
        <v>181.12362000000002</v>
      </c>
    </row>
    <row r="120" spans="1:60" x14ac:dyDescent="0.2">
      <c r="A120" t="str">
        <f t="shared" si="0"/>
        <v>Scooter, electric, 4-11kW - 2050 - NMC - CH</v>
      </c>
      <c r="B120" t="s">
        <v>569</v>
      </c>
      <c r="D120" s="19">
        <v>2050</v>
      </c>
      <c r="E120" t="s">
        <v>37</v>
      </c>
      <c r="F120" t="s">
        <v>140</v>
      </c>
      <c r="G120" t="s">
        <v>39</v>
      </c>
      <c r="H120" t="s">
        <v>32</v>
      </c>
      <c r="I120" t="s">
        <v>43</v>
      </c>
      <c r="J120" t="s">
        <v>140</v>
      </c>
      <c r="L120" s="26">
        <v>0</v>
      </c>
      <c r="M120" s="26">
        <v>0</v>
      </c>
      <c r="N120" s="26">
        <v>6.0053165008481374E-3</v>
      </c>
      <c r="O120" s="26">
        <v>1.2306591692257861E-2</v>
      </c>
      <c r="P120" s="26">
        <v>4.6422496254413448E-3</v>
      </c>
      <c r="Q120" s="26">
        <v>6.4048206979410882E-2</v>
      </c>
      <c r="R120" s="26">
        <v>8.7002364797958226E-2</v>
      </c>
      <c r="S120" s="28">
        <v>0</v>
      </c>
      <c r="T120" s="28">
        <v>0</v>
      </c>
      <c r="U120" s="28">
        <v>6.3562331432608424E-4</v>
      </c>
      <c r="V120" s="28">
        <v>4.722191823356421E-4</v>
      </c>
      <c r="W120" s="28">
        <v>3.2027845561069079E-4</v>
      </c>
      <c r="X120" s="28">
        <v>5.9304922010804277E-2</v>
      </c>
      <c r="Y120" s="28">
        <v>6.0733042963076696E-2</v>
      </c>
      <c r="Z120" s="30">
        <v>0</v>
      </c>
      <c r="AA120" s="30">
        <v>2.3145477658575108E-3</v>
      </c>
      <c r="AB120" s="30">
        <v>1.8627602453956559E-4</v>
      </c>
      <c r="AC120" s="30">
        <v>1.5438989133449149E-4</v>
      </c>
      <c r="AD120" s="30">
        <v>1.4290790010594711E-4</v>
      </c>
      <c r="AE120" s="30">
        <v>5.2713228626062826E-3</v>
      </c>
      <c r="AF120" s="30">
        <v>8.069444444443798E-3</v>
      </c>
      <c r="AG120" s="32">
        <v>0</v>
      </c>
      <c r="AH120" s="32">
        <v>1.228469691721989E-5</v>
      </c>
      <c r="AI120" s="32">
        <v>4.2562123706851542E-4</v>
      </c>
      <c r="AJ120" s="32">
        <v>3.7507357872791961E-4</v>
      </c>
      <c r="AK120" s="32">
        <v>1.919081830326583E-4</v>
      </c>
      <c r="AL120" s="32">
        <v>1.6731104054267951E-2</v>
      </c>
      <c r="AM120" s="32">
        <v>1.7735991750014266E-2</v>
      </c>
      <c r="AN120" s="34">
        <v>0</v>
      </c>
      <c r="AO120" s="34">
        <v>8.7500264113198857E-6</v>
      </c>
      <c r="AP120" s="34">
        <v>5.3666667516303246E-7</v>
      </c>
      <c r="AQ120" s="34">
        <v>7.4641524221169363E-7</v>
      </c>
      <c r="AR120" s="34">
        <v>7.7942384472493537E-7</v>
      </c>
      <c r="AS120" s="34">
        <v>1.445185205113875E-5</v>
      </c>
      <c r="AT120" s="34">
        <v>2.5264384224558298E-5</v>
      </c>
      <c r="AU120" s="36">
        <v>0</v>
      </c>
      <c r="AV120" s="36">
        <v>0</v>
      </c>
      <c r="AW120" s="36">
        <v>0.2808344720952432</v>
      </c>
      <c r="AX120" s="36">
        <v>0.17647448414364728</v>
      </c>
      <c r="AY120" s="36">
        <v>0.16254568959927568</v>
      </c>
      <c r="AZ120" s="36">
        <v>0.88454203144414301</v>
      </c>
      <c r="BA120" s="36">
        <v>1.5043966772823092</v>
      </c>
      <c r="BB120" s="6"/>
      <c r="BC120" s="6"/>
      <c r="BD120" t="s">
        <v>1025</v>
      </c>
      <c r="BF120" s="5">
        <v>7.5562900000000002E-2</v>
      </c>
      <c r="BG120" s="5">
        <f t="shared" si="5"/>
        <v>-1.1439464797958224E-2</v>
      </c>
      <c r="BH120" s="2">
        <v>170.06222</v>
      </c>
    </row>
    <row r="121" spans="1:60" x14ac:dyDescent="0.2">
      <c r="A121" t="str">
        <f t="shared" si="0"/>
        <v>Scooter, electric, &lt;4kW - 2020 - LFP - CH</v>
      </c>
      <c r="B121" t="s">
        <v>608</v>
      </c>
      <c r="D121" s="19">
        <v>2020</v>
      </c>
      <c r="E121" t="s">
        <v>37</v>
      </c>
      <c r="F121" t="s">
        <v>140</v>
      </c>
      <c r="G121" t="s">
        <v>39</v>
      </c>
      <c r="H121" t="s">
        <v>32</v>
      </c>
      <c r="I121" t="s">
        <v>44</v>
      </c>
      <c r="J121" t="s">
        <v>140</v>
      </c>
      <c r="L121" s="26">
        <v>0</v>
      </c>
      <c r="M121" s="26">
        <v>0</v>
      </c>
      <c r="N121" s="26">
        <v>4.230531998315014E-3</v>
      </c>
      <c r="O121" s="26">
        <v>1.2306591692257861E-2</v>
      </c>
      <c r="P121" s="26">
        <v>4.5680500322724032E-3</v>
      </c>
      <c r="Q121" s="26">
        <v>5.8797909621316473E-2</v>
      </c>
      <c r="R121" s="26">
        <v>7.9903083344161754E-2</v>
      </c>
      <c r="S121" s="28">
        <v>0</v>
      </c>
      <c r="T121" s="28">
        <v>0</v>
      </c>
      <c r="U121" s="28">
        <v>4.4777402985367499E-4</v>
      </c>
      <c r="V121" s="28">
        <v>4.722191823356421E-4</v>
      </c>
      <c r="W121" s="28">
        <v>3.1558995838955599E-4</v>
      </c>
      <c r="X121" s="28">
        <v>3.6415235241779427E-2</v>
      </c>
      <c r="Y121" s="28">
        <v>3.7650818412358303E-2</v>
      </c>
      <c r="Z121" s="30">
        <v>0</v>
      </c>
      <c r="AA121" s="30">
        <v>2.3145477658575108E-3</v>
      </c>
      <c r="AB121" s="30">
        <v>1.3122483756222481E-4</v>
      </c>
      <c r="AC121" s="30">
        <v>1.5438989133449149E-4</v>
      </c>
      <c r="AD121" s="30">
        <v>1.407766694346754E-4</v>
      </c>
      <c r="AE121" s="30">
        <v>4.4453693114975641E-3</v>
      </c>
      <c r="AF121" s="30">
        <v>7.1863084756864665E-3</v>
      </c>
      <c r="AG121" s="32">
        <v>0</v>
      </c>
      <c r="AH121" s="32">
        <v>1.228469691721989E-5</v>
      </c>
      <c r="AI121" s="32">
        <v>2.9983503156352759E-4</v>
      </c>
      <c r="AJ121" s="32">
        <v>3.7507357872791961E-4</v>
      </c>
      <c r="AK121" s="32">
        <v>1.899191598801197E-4</v>
      </c>
      <c r="AL121" s="32">
        <v>1.5198204312620671E-2</v>
      </c>
      <c r="AM121" s="32">
        <v>1.6075316779709456E-2</v>
      </c>
      <c r="AN121" s="34">
        <v>0</v>
      </c>
      <c r="AO121" s="34">
        <v>8.7500264113198857E-6</v>
      </c>
      <c r="AP121" s="34">
        <v>3.7806259526635928E-7</v>
      </c>
      <c r="AQ121" s="34">
        <v>7.4641524221169363E-7</v>
      </c>
      <c r="AR121" s="34">
        <v>7.7157015966747627E-7</v>
      </c>
      <c r="AS121" s="34">
        <v>1.095171499273861E-5</v>
      </c>
      <c r="AT121" s="34">
        <v>2.1597789401204025E-5</v>
      </c>
      <c r="AU121" s="36">
        <v>0</v>
      </c>
      <c r="AV121" s="36">
        <v>0</v>
      </c>
      <c r="AW121" s="36">
        <v>0.19783790250872499</v>
      </c>
      <c r="AX121" s="36">
        <v>0.17647448414364728</v>
      </c>
      <c r="AY121" s="36">
        <v>0.1601149592828387</v>
      </c>
      <c r="AZ121" s="36">
        <v>0.79945311067587588</v>
      </c>
      <c r="BA121" s="36">
        <v>1.3338804566110869</v>
      </c>
      <c r="BB121" s="6"/>
      <c r="BC121" s="6"/>
      <c r="BD121" t="s">
        <v>927</v>
      </c>
      <c r="BF121" s="5">
        <v>7.3349193000000007E-2</v>
      </c>
      <c r="BG121" s="5">
        <f t="shared" si="5"/>
        <v>-6.5538903441617474E-3</v>
      </c>
      <c r="BH121" s="2">
        <v>184.71236999999999</v>
      </c>
    </row>
    <row r="122" spans="1:60" x14ac:dyDescent="0.2">
      <c r="A122" t="str">
        <f t="shared" si="0"/>
        <v>Scooter, electric, &lt;4kW - 2030 - LFP - CH</v>
      </c>
      <c r="B122" t="s">
        <v>608</v>
      </c>
      <c r="D122" s="19">
        <v>2030</v>
      </c>
      <c r="E122" t="s">
        <v>37</v>
      </c>
      <c r="F122" t="s">
        <v>140</v>
      </c>
      <c r="G122" t="s">
        <v>39</v>
      </c>
      <c r="H122" t="s">
        <v>32</v>
      </c>
      <c r="I122" t="s">
        <v>44</v>
      </c>
      <c r="J122" t="s">
        <v>140</v>
      </c>
      <c r="L122" s="26">
        <v>0</v>
      </c>
      <c r="M122" s="26">
        <v>0</v>
      </c>
      <c r="N122" s="26">
        <v>4.230531998315014E-3</v>
      </c>
      <c r="O122" s="26">
        <v>1.2306591692257861E-2</v>
      </c>
      <c r="P122" s="26">
        <v>4.6192310604439447E-3</v>
      </c>
      <c r="Q122" s="26">
        <v>6.4497265549715438E-2</v>
      </c>
      <c r="R122" s="26">
        <v>8.5653620300732258E-2</v>
      </c>
      <c r="S122" s="28">
        <v>0</v>
      </c>
      <c r="T122" s="28">
        <v>0</v>
      </c>
      <c r="U122" s="28">
        <v>4.4777402985367499E-4</v>
      </c>
      <c r="V122" s="28">
        <v>4.722191823356421E-4</v>
      </c>
      <c r="W122" s="28">
        <v>3.1882396679996239E-4</v>
      </c>
      <c r="X122" s="28">
        <v>3.871417729214565E-2</v>
      </c>
      <c r="Y122" s="28">
        <v>3.9952994471134928E-2</v>
      </c>
      <c r="Z122" s="30">
        <v>0</v>
      </c>
      <c r="AA122" s="30">
        <v>2.3145477658575108E-3</v>
      </c>
      <c r="AB122" s="30">
        <v>1.3122483756222481E-4</v>
      </c>
      <c r="AC122" s="30">
        <v>1.5438989133449149E-4</v>
      </c>
      <c r="AD122" s="30">
        <v>1.4224673917991051E-4</v>
      </c>
      <c r="AE122" s="30">
        <v>4.8788215979681049E-3</v>
      </c>
      <c r="AF122" s="30">
        <v>7.6212308319022429E-3</v>
      </c>
      <c r="AG122" s="32">
        <v>0</v>
      </c>
      <c r="AH122" s="32">
        <v>1.228469691721989E-5</v>
      </c>
      <c r="AI122" s="32">
        <v>2.9983503156352759E-4</v>
      </c>
      <c r="AJ122" s="32">
        <v>3.7507357872791961E-4</v>
      </c>
      <c r="AK122" s="32">
        <v>1.9129113842685031E-4</v>
      </c>
      <c r="AL122" s="32">
        <v>1.657752604065503E-2</v>
      </c>
      <c r="AM122" s="32">
        <v>1.7456010486290547E-2</v>
      </c>
      <c r="AN122" s="34">
        <v>0</v>
      </c>
      <c r="AO122" s="34">
        <v>8.7500264113198857E-6</v>
      </c>
      <c r="AP122" s="34">
        <v>3.7806259526635928E-7</v>
      </c>
      <c r="AQ122" s="34">
        <v>7.4641524221169363E-7</v>
      </c>
      <c r="AR122" s="34">
        <v>7.7698743567950284E-7</v>
      </c>
      <c r="AS122" s="34">
        <v>1.154459782110781E-5</v>
      </c>
      <c r="AT122" s="34">
        <v>2.2196089505585251E-5</v>
      </c>
      <c r="AU122" s="36">
        <v>0</v>
      </c>
      <c r="AV122" s="36">
        <v>0</v>
      </c>
      <c r="AW122" s="36">
        <v>0.19783790250872499</v>
      </c>
      <c r="AX122" s="36">
        <v>0.17647448414364728</v>
      </c>
      <c r="AY122" s="36">
        <v>0.16179161641112952</v>
      </c>
      <c r="AZ122" s="36">
        <v>0.86824376484824595</v>
      </c>
      <c r="BA122" s="36">
        <v>1.4043477679117478</v>
      </c>
      <c r="BB122" s="6"/>
      <c r="BC122" s="6"/>
      <c r="BD122" t="s">
        <v>1026</v>
      </c>
      <c r="BF122" s="5">
        <v>7.6782684000000004E-2</v>
      </c>
      <c r="BG122" s="5">
        <f t="shared" si="5"/>
        <v>-8.8709363007322545E-3</v>
      </c>
      <c r="BH122" s="2">
        <v>194.45586</v>
      </c>
    </row>
    <row r="123" spans="1:60" x14ac:dyDescent="0.2">
      <c r="A123" t="str">
        <f t="shared" si="0"/>
        <v>Scooter, electric, &lt;4kW - 2040 - LFP - CH</v>
      </c>
      <c r="B123" t="s">
        <v>608</v>
      </c>
      <c r="D123" s="19">
        <v>2040</v>
      </c>
      <c r="E123" t="s">
        <v>37</v>
      </c>
      <c r="F123" t="s">
        <v>140</v>
      </c>
      <c r="G123" t="s">
        <v>39</v>
      </c>
      <c r="H123" t="s">
        <v>32</v>
      </c>
      <c r="I123" t="s">
        <v>44</v>
      </c>
      <c r="J123" t="s">
        <v>140</v>
      </c>
      <c r="L123" s="26">
        <v>0</v>
      </c>
      <c r="M123" s="26">
        <v>0</v>
      </c>
      <c r="N123" s="26">
        <v>4.230531998315014E-3</v>
      </c>
      <c r="O123" s="26">
        <v>1.2306591692257861E-2</v>
      </c>
      <c r="P123" s="26">
        <v>4.6441463430581366E-3</v>
      </c>
      <c r="Q123" s="26">
        <v>6.5440864546142355E-2</v>
      </c>
      <c r="R123" s="26">
        <v>8.6622134579773358E-2</v>
      </c>
      <c r="S123" s="28">
        <v>0</v>
      </c>
      <c r="T123" s="28">
        <v>0</v>
      </c>
      <c r="U123" s="28">
        <v>4.4777402985367499E-4</v>
      </c>
      <c r="V123" s="28">
        <v>4.722191823356421E-4</v>
      </c>
      <c r="W123" s="28">
        <v>3.2039830472166051E-4</v>
      </c>
      <c r="X123" s="28">
        <v>3.8330651956681491E-2</v>
      </c>
      <c r="Y123" s="28">
        <v>3.9571043473592471E-2</v>
      </c>
      <c r="Z123" s="30">
        <v>0</v>
      </c>
      <c r="AA123" s="30">
        <v>2.3145477658575108E-3</v>
      </c>
      <c r="AB123" s="30">
        <v>1.3122483756222481E-4</v>
      </c>
      <c r="AC123" s="30">
        <v>1.5438989133449149E-4</v>
      </c>
      <c r="AD123" s="30">
        <v>1.4296237941758489E-4</v>
      </c>
      <c r="AE123" s="30">
        <v>4.8890465065137504E-3</v>
      </c>
      <c r="AF123" s="30">
        <v>7.632171380685563E-3</v>
      </c>
      <c r="AG123" s="32">
        <v>0</v>
      </c>
      <c r="AH123" s="32">
        <v>1.228469691721989E-5</v>
      </c>
      <c r="AI123" s="32">
        <v>2.9983503156352759E-4</v>
      </c>
      <c r="AJ123" s="32">
        <v>3.7507357872791961E-4</v>
      </c>
      <c r="AK123" s="32">
        <v>1.9195902718277441E-4</v>
      </c>
      <c r="AL123" s="32">
        <v>1.660881184858444E-2</v>
      </c>
      <c r="AM123" s="32">
        <v>1.7487964182975883E-2</v>
      </c>
      <c r="AN123" s="34">
        <v>0</v>
      </c>
      <c r="AO123" s="34">
        <v>8.7500264113198857E-6</v>
      </c>
      <c r="AP123" s="34">
        <v>3.7806259526635928E-7</v>
      </c>
      <c r="AQ123" s="34">
        <v>7.4641524221169363E-7</v>
      </c>
      <c r="AR123" s="34">
        <v>7.7962460354542263E-7</v>
      </c>
      <c r="AS123" s="34">
        <v>1.147640647557148E-5</v>
      </c>
      <c r="AT123" s="34">
        <v>2.2130535327914843E-5</v>
      </c>
      <c r="AU123" s="36">
        <v>0</v>
      </c>
      <c r="AV123" s="36">
        <v>0</v>
      </c>
      <c r="AW123" s="36">
        <v>0.19783790250872499</v>
      </c>
      <c r="AX123" s="36">
        <v>0.17647448414364728</v>
      </c>
      <c r="AY123" s="36">
        <v>0.16260782483231345</v>
      </c>
      <c r="AZ123" s="36">
        <v>0.87552864290887888</v>
      </c>
      <c r="BA123" s="36">
        <v>1.4124488543935647</v>
      </c>
      <c r="BB123" s="6"/>
      <c r="BC123" s="6"/>
      <c r="BD123" t="s">
        <v>1027</v>
      </c>
      <c r="BF123" s="5">
        <v>7.6949035999999998E-2</v>
      </c>
      <c r="BG123" s="5">
        <f t="shared" si="5"/>
        <v>-9.6730985797733593E-3</v>
      </c>
      <c r="BH123" s="2">
        <v>191.62394</v>
      </c>
    </row>
    <row r="124" spans="1:60" x14ac:dyDescent="0.2">
      <c r="A124" t="str">
        <f t="shared" si="0"/>
        <v>Scooter, electric, &lt;4kW - 2050 - LFP - CH</v>
      </c>
      <c r="B124" t="s">
        <v>608</v>
      </c>
      <c r="D124" s="19">
        <v>2050</v>
      </c>
      <c r="E124" t="s">
        <v>37</v>
      </c>
      <c r="F124" t="s">
        <v>140</v>
      </c>
      <c r="G124" t="s">
        <v>39</v>
      </c>
      <c r="H124" t="s">
        <v>32</v>
      </c>
      <c r="I124" t="s">
        <v>44</v>
      </c>
      <c r="J124" t="s">
        <v>140</v>
      </c>
      <c r="L124" s="26">
        <v>0</v>
      </c>
      <c r="M124" s="26">
        <v>0</v>
      </c>
      <c r="N124" s="26">
        <v>4.230531998315014E-3</v>
      </c>
      <c r="O124" s="26">
        <v>1.2306591692257861E-2</v>
      </c>
      <c r="P124" s="26">
        <v>4.6453905898147536E-3</v>
      </c>
      <c r="Q124" s="26">
        <v>6.1967285703291297E-2</v>
      </c>
      <c r="R124" s="26">
        <v>8.3149799983678926E-2</v>
      </c>
      <c r="S124" s="28">
        <v>0</v>
      </c>
      <c r="T124" s="28">
        <v>0</v>
      </c>
      <c r="U124" s="28">
        <v>4.4777402985367499E-4</v>
      </c>
      <c r="V124" s="28">
        <v>4.722191823356421E-4</v>
      </c>
      <c r="W124" s="28">
        <v>3.2047692573845658E-4</v>
      </c>
      <c r="X124" s="28">
        <v>3.4998725192855157E-2</v>
      </c>
      <c r="Y124" s="28">
        <v>3.6239195330782931E-2</v>
      </c>
      <c r="Z124" s="30">
        <v>0</v>
      </c>
      <c r="AA124" s="30">
        <v>2.3145477658575108E-3</v>
      </c>
      <c r="AB124" s="30">
        <v>1.3122483756222481E-4</v>
      </c>
      <c r="AC124" s="30">
        <v>1.5438989133449149E-4</v>
      </c>
      <c r="AD124" s="30">
        <v>1.4299811784601929E-4</v>
      </c>
      <c r="AE124" s="30">
        <v>4.4688020293989616E-3</v>
      </c>
      <c r="AF124" s="30">
        <v>7.2119626419992078E-3</v>
      </c>
      <c r="AG124" s="32">
        <v>0</v>
      </c>
      <c r="AH124" s="32">
        <v>1.228469691721989E-5</v>
      </c>
      <c r="AI124" s="32">
        <v>2.9983503156352759E-4</v>
      </c>
      <c r="AJ124" s="32">
        <v>3.7507357872791961E-4</v>
      </c>
      <c r="AK124" s="32">
        <v>1.9199238094525051E-4</v>
      </c>
      <c r="AL124" s="32">
        <v>1.5273393428673751E-2</v>
      </c>
      <c r="AM124" s="32">
        <v>1.6152579116827669E-2</v>
      </c>
      <c r="AN124" s="34">
        <v>0</v>
      </c>
      <c r="AO124" s="34">
        <v>8.7500264113198857E-6</v>
      </c>
      <c r="AP124" s="34">
        <v>3.7806259526635928E-7</v>
      </c>
      <c r="AQ124" s="34">
        <v>7.4641524221169363E-7</v>
      </c>
      <c r="AR124" s="34">
        <v>7.7975630133166223E-7</v>
      </c>
      <c r="AS124" s="34">
        <v>1.068917165979742E-5</v>
      </c>
      <c r="AT124" s="34">
        <v>2.1343432209927023E-5</v>
      </c>
      <c r="AU124" s="36">
        <v>0</v>
      </c>
      <c r="AV124" s="36">
        <v>0</v>
      </c>
      <c r="AW124" s="36">
        <v>0.19783790250872499</v>
      </c>
      <c r="AX124" s="36">
        <v>0.17647448414364728</v>
      </c>
      <c r="AY124" s="36">
        <v>0.16264858554518624</v>
      </c>
      <c r="AZ124" s="36">
        <v>0.82311825228728053</v>
      </c>
      <c r="BA124" s="36">
        <v>1.360079224484839</v>
      </c>
      <c r="BB124" s="6"/>
      <c r="BC124" s="6"/>
      <c r="BD124" t="s">
        <v>1028</v>
      </c>
      <c r="BF124" s="5">
        <v>7.3808280000000004E-2</v>
      </c>
      <c r="BG124" s="5">
        <f t="shared" si="5"/>
        <v>-9.3415199836789226E-3</v>
      </c>
      <c r="BH124" s="2">
        <v>174.37620000000001</v>
      </c>
    </row>
    <row r="125" spans="1:60" x14ac:dyDescent="0.2">
      <c r="A125" t="str">
        <f t="shared" si="0"/>
        <v>Scooter, electric, 4-11kW - 2020 - LFP - CH</v>
      </c>
      <c r="B125" t="s">
        <v>569</v>
      </c>
      <c r="D125" s="19">
        <v>2020</v>
      </c>
      <c r="E125" t="s">
        <v>37</v>
      </c>
      <c r="F125" t="s">
        <v>140</v>
      </c>
      <c r="G125" t="s">
        <v>39</v>
      </c>
      <c r="H125" t="s">
        <v>32</v>
      </c>
      <c r="I125" t="s">
        <v>44</v>
      </c>
      <c r="J125" t="s">
        <v>140</v>
      </c>
      <c r="L125" s="26">
        <v>0</v>
      </c>
      <c r="M125" s="26">
        <v>0</v>
      </c>
      <c r="N125" s="26">
        <v>6.0053165008481374E-3</v>
      </c>
      <c r="O125" s="26">
        <v>1.476791003070943E-2</v>
      </c>
      <c r="P125" s="26">
        <v>4.7364785566436198E-3</v>
      </c>
      <c r="Q125" s="26">
        <v>6.8503985953146843E-2</v>
      </c>
      <c r="R125" s="26">
        <v>9.4013691041348033E-2</v>
      </c>
      <c r="S125" s="28">
        <v>0</v>
      </c>
      <c r="T125" s="28">
        <v>0</v>
      </c>
      <c r="U125" s="28">
        <v>6.3562331432608424E-4</v>
      </c>
      <c r="V125" s="28">
        <v>5.6666301880277056E-4</v>
      </c>
      <c r="W125" s="28">
        <v>3.2623255944366558E-4</v>
      </c>
      <c r="X125" s="28">
        <v>4.4186015657153251E-2</v>
      </c>
      <c r="Y125" s="28">
        <v>4.5714534549725773E-2</v>
      </c>
      <c r="Z125" s="30">
        <v>0</v>
      </c>
      <c r="AA125" s="30">
        <v>2.3145477658575108E-3</v>
      </c>
      <c r="AB125" s="30">
        <v>1.8627602453956559E-4</v>
      </c>
      <c r="AC125" s="30">
        <v>1.8526786960138981E-4</v>
      </c>
      <c r="AD125" s="30">
        <v>1.4561443230811421E-4</v>
      </c>
      <c r="AE125" s="30">
        <v>5.2687619062689673E-3</v>
      </c>
      <c r="AF125" s="30">
        <v>8.1004679985755487E-3</v>
      </c>
      <c r="AG125" s="32">
        <v>0</v>
      </c>
      <c r="AH125" s="32">
        <v>1.228469691721989E-5</v>
      </c>
      <c r="AI125" s="32">
        <v>4.2562123706851542E-4</v>
      </c>
      <c r="AJ125" s="32">
        <v>4.5008829447350349E-4</v>
      </c>
      <c r="AK125" s="32">
        <v>1.944341204104222E-4</v>
      </c>
      <c r="AL125" s="32">
        <v>1.8177658043692691E-2</v>
      </c>
      <c r="AM125" s="32">
        <v>1.9260086392562353E-2</v>
      </c>
      <c r="AN125" s="34">
        <v>0</v>
      </c>
      <c r="AO125" s="34">
        <v>8.7500264113198857E-6</v>
      </c>
      <c r="AP125" s="34">
        <v>5.3666667516303246E-7</v>
      </c>
      <c r="AQ125" s="34">
        <v>8.9569829065403236E-7</v>
      </c>
      <c r="AR125" s="34">
        <v>7.8939754292673927E-7</v>
      </c>
      <c r="AS125" s="34">
        <v>1.245653359270986E-5</v>
      </c>
      <c r="AT125" s="34">
        <v>2.3428322512773554E-5</v>
      </c>
      <c r="AU125" s="36">
        <v>0</v>
      </c>
      <c r="AV125" s="36">
        <v>0</v>
      </c>
      <c r="AW125" s="36">
        <v>0.2808344720952432</v>
      </c>
      <c r="AX125" s="36">
        <v>0.21176938097237663</v>
      </c>
      <c r="AY125" s="36">
        <v>0.1656325679765914</v>
      </c>
      <c r="AZ125" s="36">
        <v>0.93047283691177507</v>
      </c>
      <c r="BA125" s="36">
        <v>1.5887092579559863</v>
      </c>
      <c r="BB125" s="6"/>
      <c r="BC125" s="6"/>
      <c r="BD125" t="s">
        <v>933</v>
      </c>
      <c r="BF125" s="5">
        <v>8.5098207000000009E-2</v>
      </c>
      <c r="BG125" s="5">
        <f t="shared" si="5"/>
        <v>-8.9154840413480235E-3</v>
      </c>
      <c r="BH125" s="2">
        <v>216.7672</v>
      </c>
    </row>
    <row r="126" spans="1:60" x14ac:dyDescent="0.2">
      <c r="A126" t="str">
        <f t="shared" si="0"/>
        <v>Scooter, electric, 4-11kW - 2030 - LFP - CH</v>
      </c>
      <c r="B126" t="s">
        <v>569</v>
      </c>
      <c r="D126" s="19">
        <v>2030</v>
      </c>
      <c r="E126" t="s">
        <v>37</v>
      </c>
      <c r="F126" t="s">
        <v>140</v>
      </c>
      <c r="G126" t="s">
        <v>39</v>
      </c>
      <c r="H126" t="s">
        <v>32</v>
      </c>
      <c r="I126" t="s">
        <v>44</v>
      </c>
      <c r="J126" t="s">
        <v>140</v>
      </c>
      <c r="L126" s="26">
        <v>0</v>
      </c>
      <c r="M126" s="26">
        <v>0</v>
      </c>
      <c r="N126" s="26">
        <v>6.0053165008481374E-3</v>
      </c>
      <c r="O126" s="26">
        <v>1.476791003070943E-2</v>
      </c>
      <c r="P126" s="26">
        <v>4.8108147134809714E-3</v>
      </c>
      <c r="Q126" s="26">
        <v>7.3981881923108436E-2</v>
      </c>
      <c r="R126" s="26">
        <v>9.9565923168146969E-2</v>
      </c>
      <c r="S126" s="28">
        <v>0</v>
      </c>
      <c r="T126" s="28">
        <v>0</v>
      </c>
      <c r="U126" s="28">
        <v>6.3562331432608424E-4</v>
      </c>
      <c r="V126" s="28">
        <v>5.6666301880277056E-4</v>
      </c>
      <c r="W126" s="28">
        <v>3.3092968580079022E-4</v>
      </c>
      <c r="X126" s="28">
        <v>4.6563256374028167E-2</v>
      </c>
      <c r="Y126" s="28">
        <v>4.8096472392957813E-2</v>
      </c>
      <c r="Z126" s="30">
        <v>0</v>
      </c>
      <c r="AA126" s="30">
        <v>2.3145477658575108E-3</v>
      </c>
      <c r="AB126" s="30">
        <v>1.8627602453956559E-4</v>
      </c>
      <c r="AC126" s="30">
        <v>1.8526786960138981E-4</v>
      </c>
      <c r="AD126" s="30">
        <v>1.4774958548982369E-4</v>
      </c>
      <c r="AE126" s="30">
        <v>5.6999089564318582E-3</v>
      </c>
      <c r="AF126" s="30">
        <v>8.5337502019201487E-3</v>
      </c>
      <c r="AG126" s="32">
        <v>0</v>
      </c>
      <c r="AH126" s="32">
        <v>1.228469691721989E-5</v>
      </c>
      <c r="AI126" s="32">
        <v>4.2562123706851542E-4</v>
      </c>
      <c r="AJ126" s="32">
        <v>4.5008829447350349E-4</v>
      </c>
      <c r="AK126" s="32">
        <v>1.9642680434176919E-4</v>
      </c>
      <c r="AL126" s="32">
        <v>1.9540880521870019E-2</v>
      </c>
      <c r="AM126" s="32">
        <v>2.0625301554671027E-2</v>
      </c>
      <c r="AN126" s="34">
        <v>0</v>
      </c>
      <c r="AO126" s="34">
        <v>8.7500264113198857E-6</v>
      </c>
      <c r="AP126" s="34">
        <v>5.3666667516303246E-7</v>
      </c>
      <c r="AQ126" s="34">
        <v>8.9569829065403236E-7</v>
      </c>
      <c r="AR126" s="34">
        <v>7.9726568261927352E-7</v>
      </c>
      <c r="AS126" s="34">
        <v>1.307285901022128E-5</v>
      </c>
      <c r="AT126" s="34">
        <v>2.4052516069977506E-5</v>
      </c>
      <c r="AU126" s="36">
        <v>0</v>
      </c>
      <c r="AV126" s="36">
        <v>0</v>
      </c>
      <c r="AW126" s="36">
        <v>0.2808344720952432</v>
      </c>
      <c r="AX126" s="36">
        <v>0.21176938097237663</v>
      </c>
      <c r="AY126" s="36">
        <v>0.16806777202980711</v>
      </c>
      <c r="AZ126" s="36">
        <v>0.99769598434383955</v>
      </c>
      <c r="BA126" s="36">
        <v>1.6583676094412665</v>
      </c>
      <c r="BB126" s="6"/>
      <c r="BC126" s="6"/>
      <c r="BD126" t="s">
        <v>1029</v>
      </c>
      <c r="BF126" s="5">
        <v>8.8570040000000003E-2</v>
      </c>
      <c r="BG126" s="5">
        <f t="shared" si="5"/>
        <v>-1.0995883168146967E-2</v>
      </c>
      <c r="BH126" s="2">
        <v>227.32026999999999</v>
      </c>
    </row>
    <row r="127" spans="1:60" x14ac:dyDescent="0.2">
      <c r="A127" t="str">
        <f t="shared" si="0"/>
        <v>Scooter, electric, 4-11kW - 2040 - LFP - CH</v>
      </c>
      <c r="B127" t="s">
        <v>569</v>
      </c>
      <c r="D127" s="19">
        <v>2040</v>
      </c>
      <c r="E127" t="s">
        <v>37</v>
      </c>
      <c r="F127" t="s">
        <v>140</v>
      </c>
      <c r="G127" t="s">
        <v>39</v>
      </c>
      <c r="H127" t="s">
        <v>32</v>
      </c>
      <c r="I127" t="s">
        <v>44</v>
      </c>
      <c r="J127" t="s">
        <v>140</v>
      </c>
      <c r="L127" s="26">
        <v>0</v>
      </c>
      <c r="M127" s="26">
        <v>0</v>
      </c>
      <c r="N127" s="26">
        <v>6.0053165008481374E-3</v>
      </c>
      <c r="O127" s="26">
        <v>1.476791003070943E-2</v>
      </c>
      <c r="P127" s="26">
        <v>4.8455777539615523E-3</v>
      </c>
      <c r="Q127" s="26">
        <v>7.4107235038086375E-2</v>
      </c>
      <c r="R127" s="26">
        <v>9.9726039323605492E-2</v>
      </c>
      <c r="S127" s="28">
        <v>0</v>
      </c>
      <c r="T127" s="28">
        <v>0</v>
      </c>
      <c r="U127" s="28">
        <v>6.3562331432608424E-4</v>
      </c>
      <c r="V127" s="28">
        <v>5.6666301880277056E-4</v>
      </c>
      <c r="W127" s="28">
        <v>3.3312628030664302E-4</v>
      </c>
      <c r="X127" s="28">
        <v>4.5783552173533693E-2</v>
      </c>
      <c r="Y127" s="28">
        <v>4.7318964786969189E-2</v>
      </c>
      <c r="Z127" s="30">
        <v>0</v>
      </c>
      <c r="AA127" s="30">
        <v>2.3145477658575108E-3</v>
      </c>
      <c r="AB127" s="30">
        <v>1.8627602453956559E-4</v>
      </c>
      <c r="AC127" s="30">
        <v>1.8526786960138981E-4</v>
      </c>
      <c r="AD127" s="30">
        <v>1.4874808231352181E-4</v>
      </c>
      <c r="AE127" s="30">
        <v>5.6432118889882411E-3</v>
      </c>
      <c r="AF127" s="30">
        <v>8.4780516313002294E-3</v>
      </c>
      <c r="AG127" s="32">
        <v>0</v>
      </c>
      <c r="AH127" s="32">
        <v>1.228469691721989E-5</v>
      </c>
      <c r="AI127" s="32">
        <v>4.2562123706851542E-4</v>
      </c>
      <c r="AJ127" s="32">
        <v>4.5008829447350349E-4</v>
      </c>
      <c r="AK127" s="32">
        <v>1.9735867592509559E-4</v>
      </c>
      <c r="AL127" s="32">
        <v>1.9353588504770501E-2</v>
      </c>
      <c r="AM127" s="32">
        <v>2.0438941409154837E-2</v>
      </c>
      <c r="AN127" s="34">
        <v>0</v>
      </c>
      <c r="AO127" s="34">
        <v>8.7500264113198857E-6</v>
      </c>
      <c r="AP127" s="34">
        <v>5.3666667516303246E-7</v>
      </c>
      <c r="AQ127" s="34">
        <v>8.9569829065403236E-7</v>
      </c>
      <c r="AR127" s="34">
        <v>8.009451902811628E-7</v>
      </c>
      <c r="AS127" s="34">
        <v>1.2911245063590589E-5</v>
      </c>
      <c r="AT127" s="34">
        <v>2.3894581631008705E-5</v>
      </c>
      <c r="AU127" s="36">
        <v>0</v>
      </c>
      <c r="AV127" s="36">
        <v>0</v>
      </c>
      <c r="AW127" s="36">
        <v>0.2808344720952432</v>
      </c>
      <c r="AX127" s="36">
        <v>0.21176938097237663</v>
      </c>
      <c r="AY127" s="36">
        <v>0.16920658658092311</v>
      </c>
      <c r="AZ127" s="36">
        <v>0.99487468077250452</v>
      </c>
      <c r="BA127" s="36">
        <v>1.6566851204210473</v>
      </c>
      <c r="BB127" s="6"/>
      <c r="BC127" s="6"/>
      <c r="BD127" t="s">
        <v>1030</v>
      </c>
      <c r="BF127" s="5">
        <v>8.8256354999999995E-2</v>
      </c>
      <c r="BG127" s="5">
        <f t="shared" si="5"/>
        <v>-1.1469684323605497E-2</v>
      </c>
      <c r="BH127" s="2">
        <v>222.82937000000001</v>
      </c>
    </row>
    <row r="128" spans="1:60" x14ac:dyDescent="0.2">
      <c r="A128" t="str">
        <f t="shared" si="0"/>
        <v>Scooter, electric, 4-11kW - 2050 - LFP - CH</v>
      </c>
      <c r="B128" t="s">
        <v>569</v>
      </c>
      <c r="D128" s="19">
        <v>2050</v>
      </c>
      <c r="E128" t="s">
        <v>37</v>
      </c>
      <c r="F128" t="s">
        <v>140</v>
      </c>
      <c r="G128" t="s">
        <v>39</v>
      </c>
      <c r="H128" t="s">
        <v>32</v>
      </c>
      <c r="I128" t="s">
        <v>44</v>
      </c>
      <c r="J128" t="s">
        <v>140</v>
      </c>
      <c r="L128" s="26">
        <v>0</v>
      </c>
      <c r="M128" s="26">
        <v>0</v>
      </c>
      <c r="N128" s="26">
        <v>6.0053165008481374E-3</v>
      </c>
      <c r="O128" s="26">
        <v>1.476791003070943E-2</v>
      </c>
      <c r="P128" s="26">
        <v>4.8339850158877129E-3</v>
      </c>
      <c r="Q128" s="26">
        <v>6.7916981923175565E-2</v>
      </c>
      <c r="R128" s="26">
        <v>9.3524193470620853E-2</v>
      </c>
      <c r="S128" s="28">
        <v>0</v>
      </c>
      <c r="T128" s="28">
        <v>0</v>
      </c>
      <c r="U128" s="28">
        <v>6.3562331432608424E-4</v>
      </c>
      <c r="V128" s="28">
        <v>5.6666301880277056E-4</v>
      </c>
      <c r="W128" s="28">
        <v>3.3239376254039612E-4</v>
      </c>
      <c r="X128" s="28">
        <v>4.079598865565106E-2</v>
      </c>
      <c r="Y128" s="28">
        <v>4.2330668751320313E-2</v>
      </c>
      <c r="Z128" s="30">
        <v>0</v>
      </c>
      <c r="AA128" s="30">
        <v>2.3145477658575108E-3</v>
      </c>
      <c r="AB128" s="30">
        <v>1.8627602453956559E-4</v>
      </c>
      <c r="AC128" s="30">
        <v>1.8526786960138981E-4</v>
      </c>
      <c r="AD128" s="30">
        <v>1.484151047607914E-4</v>
      </c>
      <c r="AE128" s="30">
        <v>4.9713655173559456E-3</v>
      </c>
      <c r="AF128" s="30">
        <v>7.8058722821152029E-3</v>
      </c>
      <c r="AG128" s="32">
        <v>0</v>
      </c>
      <c r="AH128" s="32">
        <v>1.228469691721989E-5</v>
      </c>
      <c r="AI128" s="32">
        <v>4.2562123706851542E-4</v>
      </c>
      <c r="AJ128" s="32">
        <v>4.5008829447350349E-4</v>
      </c>
      <c r="AK128" s="32">
        <v>1.970479164795865E-4</v>
      </c>
      <c r="AL128" s="32">
        <v>1.7215818727816589E-2</v>
      </c>
      <c r="AM128" s="32">
        <v>1.8300860872755415E-2</v>
      </c>
      <c r="AN128" s="34">
        <v>0</v>
      </c>
      <c r="AO128" s="34">
        <v>8.7500264113198857E-6</v>
      </c>
      <c r="AP128" s="34">
        <v>5.3666667516303246E-7</v>
      </c>
      <c r="AQ128" s="34">
        <v>8.9569829065403236E-7</v>
      </c>
      <c r="AR128" s="34">
        <v>7.9971815237034508E-7</v>
      </c>
      <c r="AS128" s="34">
        <v>1.1720410589530591E-5</v>
      </c>
      <c r="AT128" s="34">
        <v>2.2702520119037887E-5</v>
      </c>
      <c r="AU128" s="36">
        <v>0</v>
      </c>
      <c r="AV128" s="36">
        <v>0</v>
      </c>
      <c r="AW128" s="36">
        <v>0.2808344720952432</v>
      </c>
      <c r="AX128" s="36">
        <v>0.21176938097237663</v>
      </c>
      <c r="AY128" s="36">
        <v>0.16882681603659636</v>
      </c>
      <c r="AZ128" s="36">
        <v>0.9066855887612052</v>
      </c>
      <c r="BA128" s="36">
        <v>1.5681162578654213</v>
      </c>
      <c r="BB128" s="6"/>
      <c r="BC128" s="6"/>
      <c r="BD128" t="s">
        <v>1031</v>
      </c>
      <c r="BF128" s="5">
        <v>8.3188095000000004E-2</v>
      </c>
      <c r="BG128" s="5">
        <f t="shared" si="5"/>
        <v>-1.033609847062085E-2</v>
      </c>
      <c r="BH128" s="2">
        <v>197.69712999999999</v>
      </c>
    </row>
    <row r="129" spans="1:60" x14ac:dyDescent="0.2">
      <c r="A129" t="str">
        <f t="shared" si="0"/>
        <v>Scooter, electric, &lt;4kW - 2020 - NCA - CH</v>
      </c>
      <c r="B129" t="s">
        <v>608</v>
      </c>
      <c r="D129" s="19">
        <v>2020</v>
      </c>
      <c r="E129" t="s">
        <v>37</v>
      </c>
      <c r="F129" t="s">
        <v>140</v>
      </c>
      <c r="G129" t="s">
        <v>39</v>
      </c>
      <c r="H129" t="s">
        <v>32</v>
      </c>
      <c r="I129" t="s">
        <v>45</v>
      </c>
      <c r="J129" t="s">
        <v>140</v>
      </c>
      <c r="L129" s="26">
        <v>0</v>
      </c>
      <c r="M129" s="26">
        <v>0</v>
      </c>
      <c r="N129" s="26">
        <v>4.230531998315014E-3</v>
      </c>
      <c r="O129" s="26">
        <v>1.2306591692257861E-2</v>
      </c>
      <c r="P129" s="26">
        <v>4.4911191657352797E-3</v>
      </c>
      <c r="Q129" s="26">
        <v>4.2067832680995308E-2</v>
      </c>
      <c r="R129" s="26">
        <v>6.3096075537303453E-2</v>
      </c>
      <c r="S129" s="28">
        <v>0</v>
      </c>
      <c r="T129" s="28">
        <v>0</v>
      </c>
      <c r="U129" s="28">
        <v>4.4777402985367499E-4</v>
      </c>
      <c r="V129" s="28">
        <v>4.722191823356421E-4</v>
      </c>
      <c r="W129" s="28">
        <v>3.1072887844862479E-4</v>
      </c>
      <c r="X129" s="28">
        <v>2.890499184582182E-2</v>
      </c>
      <c r="Y129" s="28">
        <v>3.0135713936459762E-2</v>
      </c>
      <c r="Z129" s="30">
        <v>0</v>
      </c>
      <c r="AA129" s="30">
        <v>2.3145477658575108E-3</v>
      </c>
      <c r="AB129" s="30">
        <v>1.3122483756222481E-4</v>
      </c>
      <c r="AC129" s="30">
        <v>1.5438989133449149E-4</v>
      </c>
      <c r="AD129" s="30">
        <v>1.385669885546453E-4</v>
      </c>
      <c r="AE129" s="30">
        <v>3.0756748545306672E-3</v>
      </c>
      <c r="AF129" s="30">
        <v>5.8144043378395398E-3</v>
      </c>
      <c r="AG129" s="32">
        <v>0</v>
      </c>
      <c r="AH129" s="32">
        <v>1.228469691721989E-5</v>
      </c>
      <c r="AI129" s="32">
        <v>2.9983503156352759E-4</v>
      </c>
      <c r="AJ129" s="32">
        <v>3.7507357872791961E-4</v>
      </c>
      <c r="AK129" s="32">
        <v>1.8785692115141391E-4</v>
      </c>
      <c r="AL129" s="32">
        <v>1.057436942931865E-2</v>
      </c>
      <c r="AM129" s="32">
        <v>1.1449419657678732E-2</v>
      </c>
      <c r="AN129" s="34">
        <v>0</v>
      </c>
      <c r="AO129" s="34">
        <v>8.7500264113198857E-6</v>
      </c>
      <c r="AP129" s="34">
        <v>3.7806259526635928E-7</v>
      </c>
      <c r="AQ129" s="34">
        <v>7.4641524221169363E-7</v>
      </c>
      <c r="AR129" s="34">
        <v>7.6342738190851566E-7</v>
      </c>
      <c r="AS129" s="34">
        <v>9.2605720671351224E-6</v>
      </c>
      <c r="AT129" s="34">
        <v>1.9898503697841576E-5</v>
      </c>
      <c r="AU129" s="36">
        <v>0</v>
      </c>
      <c r="AV129" s="36">
        <v>0</v>
      </c>
      <c r="AW129" s="36">
        <v>0.19783790250872499</v>
      </c>
      <c r="AX129" s="36">
        <v>0.17647448414364728</v>
      </c>
      <c r="AY129" s="36">
        <v>0.15759475423082736</v>
      </c>
      <c r="AZ129" s="36">
        <v>0.58399158915226546</v>
      </c>
      <c r="BA129" s="36">
        <v>1.115898730035465</v>
      </c>
      <c r="BB129" s="6"/>
      <c r="BC129" s="6"/>
      <c r="BD129" t="s">
        <v>929</v>
      </c>
      <c r="BF129" s="5">
        <v>6.1868040999999999E-2</v>
      </c>
      <c r="BG129" s="5">
        <f t="shared" si="5"/>
        <v>-1.2280345373034546E-3</v>
      </c>
      <c r="BH129" s="2">
        <v>143.05759</v>
      </c>
    </row>
    <row r="130" spans="1:60" x14ac:dyDescent="0.2">
      <c r="A130" t="str">
        <f t="shared" si="0"/>
        <v>Scooter, electric, &lt;4kW - 2030 - NCA - CH</v>
      </c>
      <c r="B130" t="s">
        <v>608</v>
      </c>
      <c r="D130" s="19">
        <v>2030</v>
      </c>
      <c r="E130" t="s">
        <v>37</v>
      </c>
      <c r="F130" t="s">
        <v>140</v>
      </c>
      <c r="G130" t="s">
        <v>39</v>
      </c>
      <c r="H130" t="s">
        <v>32</v>
      </c>
      <c r="I130" t="s">
        <v>45</v>
      </c>
      <c r="J130" t="s">
        <v>140</v>
      </c>
      <c r="L130" s="26">
        <v>0</v>
      </c>
      <c r="M130" s="26">
        <v>0</v>
      </c>
      <c r="N130" s="26">
        <v>4.230531998315014E-3</v>
      </c>
      <c r="O130" s="26">
        <v>1.2306591692257861E-2</v>
      </c>
      <c r="P130" s="26">
        <v>4.5008758811560627E-3</v>
      </c>
      <c r="Q130" s="26">
        <v>4.5495821079306192E-2</v>
      </c>
      <c r="R130" s="26">
        <v>6.6533820651035136E-2</v>
      </c>
      <c r="S130" s="28">
        <v>0</v>
      </c>
      <c r="T130" s="28">
        <v>0</v>
      </c>
      <c r="U130" s="28">
        <v>4.4777402985367499E-4</v>
      </c>
      <c r="V130" s="28">
        <v>4.722191823356421E-4</v>
      </c>
      <c r="W130" s="28">
        <v>3.1134538227545303E-4</v>
      </c>
      <c r="X130" s="28">
        <v>2.9513116638452842E-2</v>
      </c>
      <c r="Y130" s="28">
        <v>3.0744455232917613E-2</v>
      </c>
      <c r="Z130" s="30">
        <v>0</v>
      </c>
      <c r="AA130" s="30">
        <v>2.3145477658575108E-3</v>
      </c>
      <c r="AB130" s="30">
        <v>1.3122483756222481E-4</v>
      </c>
      <c r="AC130" s="30">
        <v>1.5438989133449149E-4</v>
      </c>
      <c r="AD130" s="30">
        <v>1.3884723013371031E-4</v>
      </c>
      <c r="AE130" s="30">
        <v>3.2716111773970899E-3</v>
      </c>
      <c r="AF130" s="30">
        <v>6.0106209022850274E-3</v>
      </c>
      <c r="AG130" s="32">
        <v>0</v>
      </c>
      <c r="AH130" s="32">
        <v>1.228469691721989E-5</v>
      </c>
      <c r="AI130" s="32">
        <v>2.9983503156352759E-4</v>
      </c>
      <c r="AJ130" s="32">
        <v>3.7507357872791961E-4</v>
      </c>
      <c r="AK130" s="32">
        <v>1.881184634596107E-4</v>
      </c>
      <c r="AL130" s="32">
        <v>1.1217438942524969E-2</v>
      </c>
      <c r="AM130" s="32">
        <v>1.2092750713193247E-2</v>
      </c>
      <c r="AN130" s="34">
        <v>0</v>
      </c>
      <c r="AO130" s="34">
        <v>8.7500264113198857E-6</v>
      </c>
      <c r="AP130" s="34">
        <v>3.7806259526635928E-7</v>
      </c>
      <c r="AQ130" s="34">
        <v>7.4641524221169363E-7</v>
      </c>
      <c r="AR130" s="34">
        <v>7.6446008528110175E-7</v>
      </c>
      <c r="AS130" s="34">
        <v>9.4255156339449068E-6</v>
      </c>
      <c r="AT130" s="34">
        <v>2.0064479968023947E-5</v>
      </c>
      <c r="AU130" s="36">
        <v>0</v>
      </c>
      <c r="AV130" s="36">
        <v>0</v>
      </c>
      <c r="AW130" s="36">
        <v>0.19783790250872499</v>
      </c>
      <c r="AX130" s="36">
        <v>0.17647448414364728</v>
      </c>
      <c r="AY130" s="36">
        <v>0.15791437786957357</v>
      </c>
      <c r="AZ130" s="36">
        <v>0.62073382495256313</v>
      </c>
      <c r="BA130" s="36">
        <v>1.152960589474509</v>
      </c>
      <c r="BB130" s="6"/>
      <c r="BC130" s="6"/>
      <c r="BD130" t="s">
        <v>1032</v>
      </c>
      <c r="BF130" s="5">
        <v>6.3372790999999998E-2</v>
      </c>
      <c r="BG130" s="5">
        <f t="shared" si="5"/>
        <v>-3.1610296510351382E-3</v>
      </c>
      <c r="BH130" s="2">
        <v>143.99825999999999</v>
      </c>
    </row>
    <row r="131" spans="1:60" x14ac:dyDescent="0.2">
      <c r="A131" t="str">
        <f t="shared" si="0"/>
        <v>Scooter, electric, &lt;4kW - 2040 - NCA - CH</v>
      </c>
      <c r="B131" t="s">
        <v>608</v>
      </c>
      <c r="D131" s="19">
        <v>2040</v>
      </c>
      <c r="E131" t="s">
        <v>37</v>
      </c>
      <c r="F131" t="s">
        <v>140</v>
      </c>
      <c r="G131" t="s">
        <v>39</v>
      </c>
      <c r="H131" t="s">
        <v>32</v>
      </c>
      <c r="I131" t="s">
        <v>45</v>
      </c>
      <c r="J131" t="s">
        <v>140</v>
      </c>
      <c r="L131" s="26">
        <v>0</v>
      </c>
      <c r="M131" s="26">
        <v>0</v>
      </c>
      <c r="N131" s="26">
        <v>4.230531998315014E-3</v>
      </c>
      <c r="O131" s="26">
        <v>1.2306591692257861E-2</v>
      </c>
      <c r="P131" s="26">
        <v>4.5011338347519464E-3</v>
      </c>
      <c r="Q131" s="26">
        <v>4.6496785035868689E-2</v>
      </c>
      <c r="R131" s="26">
        <v>6.7535042561193512E-2</v>
      </c>
      <c r="S131" s="28">
        <v>0</v>
      </c>
      <c r="T131" s="28">
        <v>0</v>
      </c>
      <c r="U131" s="28">
        <v>4.4777402985367499E-4</v>
      </c>
      <c r="V131" s="28">
        <v>4.722191823356421E-4</v>
      </c>
      <c r="W131" s="28">
        <v>3.1136168175454492E-4</v>
      </c>
      <c r="X131" s="28">
        <v>2.87154632079984E-2</v>
      </c>
      <c r="Y131" s="28">
        <v>2.994681810194226E-2</v>
      </c>
      <c r="Z131" s="30">
        <v>0</v>
      </c>
      <c r="AA131" s="30">
        <v>2.3145477658575108E-3</v>
      </c>
      <c r="AB131" s="30">
        <v>1.3122483756222481E-4</v>
      </c>
      <c r="AC131" s="30">
        <v>1.5438989133449149E-4</v>
      </c>
      <c r="AD131" s="30">
        <v>1.3885463932009301E-4</v>
      </c>
      <c r="AE131" s="30">
        <v>3.2525027115432822E-3</v>
      </c>
      <c r="AF131" s="30">
        <v>5.9915198456176027E-3</v>
      </c>
      <c r="AG131" s="32">
        <v>0</v>
      </c>
      <c r="AH131" s="32">
        <v>1.228469691721989E-5</v>
      </c>
      <c r="AI131" s="32">
        <v>2.9983503156352759E-4</v>
      </c>
      <c r="AJ131" s="32">
        <v>3.7507357872791961E-4</v>
      </c>
      <c r="AK131" s="32">
        <v>1.881253782640265E-4</v>
      </c>
      <c r="AL131" s="32">
        <v>1.1195578197507749E-2</v>
      </c>
      <c r="AM131" s="32">
        <v>1.2070896882980443E-2</v>
      </c>
      <c r="AN131" s="34">
        <v>0</v>
      </c>
      <c r="AO131" s="34">
        <v>8.7500264113198857E-6</v>
      </c>
      <c r="AP131" s="34">
        <v>3.7806259526635928E-7</v>
      </c>
      <c r="AQ131" s="34">
        <v>7.4641524221169363E-7</v>
      </c>
      <c r="AR131" s="34">
        <v>7.6448738848068806E-7</v>
      </c>
      <c r="AS131" s="34">
        <v>9.23007031857047E-6</v>
      </c>
      <c r="AT131" s="34">
        <v>1.9869061955849097E-5</v>
      </c>
      <c r="AU131" s="36">
        <v>0</v>
      </c>
      <c r="AV131" s="36">
        <v>0</v>
      </c>
      <c r="AW131" s="36">
        <v>0.19783790250872499</v>
      </c>
      <c r="AX131" s="36">
        <v>0.17647448414364728</v>
      </c>
      <c r="AY131" s="36">
        <v>0.15792282826126669</v>
      </c>
      <c r="AZ131" s="36">
        <v>0.62688066156164945</v>
      </c>
      <c r="BA131" s="36">
        <v>1.1591158764752882</v>
      </c>
      <c r="BB131" s="6"/>
      <c r="BC131" s="6"/>
      <c r="BD131" t="s">
        <v>1033</v>
      </c>
      <c r="BF131" s="5">
        <v>6.3318459999999993E-2</v>
      </c>
      <c r="BG131" s="5">
        <f t="shared" si="5"/>
        <v>-4.2165825611935187E-3</v>
      </c>
      <c r="BH131" s="2">
        <v>139.20174</v>
      </c>
    </row>
    <row r="132" spans="1:60" x14ac:dyDescent="0.2">
      <c r="A132" t="str">
        <f t="shared" si="0"/>
        <v>Scooter, electric, &lt;4kW - 2050 - NCA - CH</v>
      </c>
      <c r="B132" t="s">
        <v>608</v>
      </c>
      <c r="D132" s="19">
        <v>2050</v>
      </c>
      <c r="E132" t="s">
        <v>37</v>
      </c>
      <c r="F132" t="s">
        <v>140</v>
      </c>
      <c r="G132" t="s">
        <v>39</v>
      </c>
      <c r="H132" t="s">
        <v>32</v>
      </c>
      <c r="I132" t="s">
        <v>45</v>
      </c>
      <c r="J132" t="s">
        <v>140</v>
      </c>
      <c r="L132" s="26">
        <v>0</v>
      </c>
      <c r="M132" s="26">
        <v>0</v>
      </c>
      <c r="N132" s="26">
        <v>4.230531998315014E-3</v>
      </c>
      <c r="O132" s="26">
        <v>1.2306591692257861E-2</v>
      </c>
      <c r="P132" s="26">
        <v>4.5033643746692949E-3</v>
      </c>
      <c r="Q132" s="26">
        <v>4.7333398713695199E-2</v>
      </c>
      <c r="R132" s="26">
        <v>6.8373886778937368E-2</v>
      </c>
      <c r="S132" s="28">
        <v>0</v>
      </c>
      <c r="T132" s="28">
        <v>0</v>
      </c>
      <c r="U132" s="28">
        <v>4.4777402985367499E-4</v>
      </c>
      <c r="V132" s="28">
        <v>4.722191823356421E-4</v>
      </c>
      <c r="W132" s="28">
        <v>3.1150262430904518E-4</v>
      </c>
      <c r="X132" s="28">
        <v>2.775754068532503E-2</v>
      </c>
      <c r="Y132" s="28">
        <v>2.8989036521823393E-2</v>
      </c>
      <c r="Z132" s="30">
        <v>0</v>
      </c>
      <c r="AA132" s="30">
        <v>2.3145477658575108E-3</v>
      </c>
      <c r="AB132" s="30">
        <v>1.3122483756222481E-4</v>
      </c>
      <c r="AC132" s="30">
        <v>1.5438989133449149E-4</v>
      </c>
      <c r="AD132" s="30">
        <v>1.3891870699057909E-4</v>
      </c>
      <c r="AE132" s="30">
        <v>3.213911966207217E-3</v>
      </c>
      <c r="AF132" s="30">
        <v>5.9529931679520231E-3</v>
      </c>
      <c r="AG132" s="32">
        <v>0</v>
      </c>
      <c r="AH132" s="32">
        <v>1.228469691721989E-5</v>
      </c>
      <c r="AI132" s="32">
        <v>2.9983503156352759E-4</v>
      </c>
      <c r="AJ132" s="32">
        <v>3.7507357872791961E-4</v>
      </c>
      <c r="AK132" s="32">
        <v>1.8818517098456291E-4</v>
      </c>
      <c r="AL132" s="32">
        <v>1.11136847866592E-2</v>
      </c>
      <c r="AM132" s="32">
        <v>1.1989063264852429E-2</v>
      </c>
      <c r="AN132" s="34">
        <v>0</v>
      </c>
      <c r="AO132" s="34">
        <v>8.7500264113198857E-6</v>
      </c>
      <c r="AP132" s="34">
        <v>3.7806259526635928E-7</v>
      </c>
      <c r="AQ132" s="34">
        <v>7.4641524221169363E-7</v>
      </c>
      <c r="AR132" s="34">
        <v>7.6472348085358094E-7</v>
      </c>
      <c r="AS132" s="34">
        <v>8.9956887377129758E-6</v>
      </c>
      <c r="AT132" s="34">
        <v>1.9634916467364497E-5</v>
      </c>
      <c r="AU132" s="36">
        <v>0</v>
      </c>
      <c r="AV132" s="36">
        <v>0</v>
      </c>
      <c r="AW132" s="36">
        <v>0.19783790250872499</v>
      </c>
      <c r="AX132" s="36">
        <v>0.17647448414364728</v>
      </c>
      <c r="AY132" s="36">
        <v>0.1579958992953191</v>
      </c>
      <c r="AZ132" s="36">
        <v>0.63068386497758033</v>
      </c>
      <c r="BA132" s="36">
        <v>1.1629921509252716</v>
      </c>
      <c r="BB132" s="6"/>
      <c r="BC132" s="6"/>
      <c r="BD132" t="s">
        <v>1034</v>
      </c>
      <c r="BF132" s="5">
        <v>6.3140966999999992E-2</v>
      </c>
      <c r="BG132" s="5">
        <f t="shared" ref="BG132:BG195" si="6">BF132-R132</f>
        <v>-5.2329197789373755E-3</v>
      </c>
      <c r="BH132" s="2">
        <v>133.73525000000001</v>
      </c>
    </row>
    <row r="133" spans="1:60" x14ac:dyDescent="0.2">
      <c r="A133" t="str">
        <f t="shared" si="0"/>
        <v>Scooter, electric, 4-11kW - 2020 - NCA - CH</v>
      </c>
      <c r="B133" t="s">
        <v>569</v>
      </c>
      <c r="D133" s="19">
        <v>2020</v>
      </c>
      <c r="E133" t="s">
        <v>37</v>
      </c>
      <c r="F133" t="s">
        <v>140</v>
      </c>
      <c r="G133" t="s">
        <v>39</v>
      </c>
      <c r="H133" t="s">
        <v>32</v>
      </c>
      <c r="I133" t="s">
        <v>45</v>
      </c>
      <c r="J133" t="s">
        <v>140</v>
      </c>
      <c r="L133" s="26">
        <v>0</v>
      </c>
      <c r="M133" s="26">
        <v>0</v>
      </c>
      <c r="N133" s="26">
        <v>6.0053165008481374E-3</v>
      </c>
      <c r="O133" s="26">
        <v>1.2306591692257861E-2</v>
      </c>
      <c r="P133" s="26">
        <v>4.6260994872642687E-3</v>
      </c>
      <c r="Q133" s="26">
        <v>4.8500633497616373E-2</v>
      </c>
      <c r="R133" s="26">
        <v>7.1438641177986636E-2</v>
      </c>
      <c r="S133" s="28">
        <v>0</v>
      </c>
      <c r="T133" s="28">
        <v>0</v>
      </c>
      <c r="U133" s="28">
        <v>6.3562331432608424E-4</v>
      </c>
      <c r="V133" s="28">
        <v>4.722191823356421E-4</v>
      </c>
      <c r="W133" s="28">
        <v>3.1925796648493829E-4</v>
      </c>
      <c r="X133" s="28">
        <v>3.5206377035720091E-2</v>
      </c>
      <c r="Y133" s="28">
        <v>3.6633477498866758E-2</v>
      </c>
      <c r="Z133" s="30">
        <v>0</v>
      </c>
      <c r="AA133" s="30">
        <v>2.3145477658575108E-3</v>
      </c>
      <c r="AB133" s="30">
        <v>1.8627602453956559E-4</v>
      </c>
      <c r="AC133" s="30">
        <v>1.5438989133449149E-4</v>
      </c>
      <c r="AD133" s="30">
        <v>1.4244402061067959E-4</v>
      </c>
      <c r="AE133" s="30">
        <v>3.631083766850464E-3</v>
      </c>
      <c r="AF133" s="30">
        <v>6.4287414691927116E-3</v>
      </c>
      <c r="AG133" s="32">
        <v>0</v>
      </c>
      <c r="AH133" s="32">
        <v>1.228469691721989E-5</v>
      </c>
      <c r="AI133" s="32">
        <v>4.2562123706851542E-4</v>
      </c>
      <c r="AJ133" s="32">
        <v>3.7507357872791961E-4</v>
      </c>
      <c r="AK133" s="32">
        <v>1.9147525614749661E-4</v>
      </c>
      <c r="AL133" s="32">
        <v>1.264915985634904E-2</v>
      </c>
      <c r="AM133" s="32">
        <v>1.3653614625210192E-2</v>
      </c>
      <c r="AN133" s="34">
        <v>0</v>
      </c>
      <c r="AO133" s="34">
        <v>8.7500264113198857E-6</v>
      </c>
      <c r="AP133" s="34">
        <v>5.3666667516303246E-7</v>
      </c>
      <c r="AQ133" s="34">
        <v>7.4641524221169363E-7</v>
      </c>
      <c r="AR133" s="34">
        <v>7.7771442701170876E-7</v>
      </c>
      <c r="AS133" s="34">
        <v>1.043451488642511E-5</v>
      </c>
      <c r="AT133" s="34">
        <v>2.1245337642131431E-5</v>
      </c>
      <c r="AU133" s="36">
        <v>0</v>
      </c>
      <c r="AV133" s="36">
        <v>0</v>
      </c>
      <c r="AW133" s="36">
        <v>0.2808344720952432</v>
      </c>
      <c r="AX133" s="36">
        <v>0.17647448414364728</v>
      </c>
      <c r="AY133" s="36">
        <v>0.16201662159761857</v>
      </c>
      <c r="AZ133" s="36">
        <v>0.67285580523277222</v>
      </c>
      <c r="BA133" s="36">
        <v>1.2921813830692812</v>
      </c>
      <c r="BB133" s="6"/>
      <c r="BC133" s="6"/>
      <c r="BD133" t="s">
        <v>935</v>
      </c>
      <c r="BF133" s="5">
        <v>6.9419079000000009E-2</v>
      </c>
      <c r="BG133" s="5">
        <f t="shared" si="6"/>
        <v>-2.019562177986628E-3</v>
      </c>
      <c r="BH133" s="2">
        <v>164.95419000000001</v>
      </c>
    </row>
    <row r="134" spans="1:60" x14ac:dyDescent="0.2">
      <c r="A134" t="str">
        <f t="shared" si="0"/>
        <v>Scooter, electric, 4-11kW - 2030 - NCA - CH</v>
      </c>
      <c r="B134" t="s">
        <v>569</v>
      </c>
      <c r="D134" s="19">
        <v>2030</v>
      </c>
      <c r="E134" t="s">
        <v>37</v>
      </c>
      <c r="F134" t="s">
        <v>140</v>
      </c>
      <c r="G134" t="s">
        <v>39</v>
      </c>
      <c r="H134" t="s">
        <v>32</v>
      </c>
      <c r="I134" t="s">
        <v>45</v>
      </c>
      <c r="J134" t="s">
        <v>140</v>
      </c>
      <c r="L134" s="26">
        <v>0</v>
      </c>
      <c r="M134" s="26">
        <v>0</v>
      </c>
      <c r="N134" s="26">
        <v>6.0053165008481374E-3</v>
      </c>
      <c r="O134" s="26">
        <v>1.2306591692257861E-2</v>
      </c>
      <c r="P134" s="26">
        <v>4.642158582995738E-3</v>
      </c>
      <c r="Q134" s="26">
        <v>5.1259756590025407E-2</v>
      </c>
      <c r="R134" s="26">
        <v>7.4213823366127141E-2</v>
      </c>
      <c r="S134" s="28">
        <v>0</v>
      </c>
      <c r="T134" s="28">
        <v>0</v>
      </c>
      <c r="U134" s="28">
        <v>6.3562331432608424E-4</v>
      </c>
      <c r="V134" s="28">
        <v>4.722191823356421E-4</v>
      </c>
      <c r="W134" s="28">
        <v>3.2027270285336419E-4</v>
      </c>
      <c r="X134" s="28">
        <v>3.5608811182970761E-2</v>
      </c>
      <c r="Y134" s="28">
        <v>3.7036926382485853E-2</v>
      </c>
      <c r="Z134" s="30">
        <v>0</v>
      </c>
      <c r="AA134" s="30">
        <v>2.3145477658575108E-3</v>
      </c>
      <c r="AB134" s="30">
        <v>1.8627602453956559E-4</v>
      </c>
      <c r="AC134" s="30">
        <v>1.5438989133449149E-4</v>
      </c>
      <c r="AD134" s="30">
        <v>1.429052850989885E-4</v>
      </c>
      <c r="AE134" s="30">
        <v>3.782335538154023E-3</v>
      </c>
      <c r="AF134" s="30">
        <v>6.5804545049845797E-3</v>
      </c>
      <c r="AG134" s="32">
        <v>0</v>
      </c>
      <c r="AH134" s="32">
        <v>1.228469691721989E-5</v>
      </c>
      <c r="AI134" s="32">
        <v>4.2562123706851542E-4</v>
      </c>
      <c r="AJ134" s="32">
        <v>3.7507357872791961E-4</v>
      </c>
      <c r="AK134" s="32">
        <v>1.919057425134528E-4</v>
      </c>
      <c r="AL134" s="32">
        <v>1.314595819128847E-2</v>
      </c>
      <c r="AM134" s="32">
        <v>1.4150843446515578E-2</v>
      </c>
      <c r="AN134" s="34">
        <v>0</v>
      </c>
      <c r="AO134" s="34">
        <v>8.7500264113198857E-6</v>
      </c>
      <c r="AP134" s="34">
        <v>5.3666667516303246E-7</v>
      </c>
      <c r="AQ134" s="34">
        <v>7.4641524221169363E-7</v>
      </c>
      <c r="AR134" s="34">
        <v>7.7941420830155207E-7</v>
      </c>
      <c r="AS134" s="34">
        <v>1.0549080757754361E-5</v>
      </c>
      <c r="AT134" s="34">
        <v>2.1361603294750525E-5</v>
      </c>
      <c r="AU134" s="36">
        <v>0</v>
      </c>
      <c r="AV134" s="36">
        <v>0</v>
      </c>
      <c r="AW134" s="36">
        <v>0.2808344720952432</v>
      </c>
      <c r="AX134" s="36">
        <v>0.17647448414364728</v>
      </c>
      <c r="AY134" s="36">
        <v>0.16254270710808991</v>
      </c>
      <c r="AZ134" s="36">
        <v>0.70209004055520208</v>
      </c>
      <c r="BA134" s="36">
        <v>1.3219417039021826</v>
      </c>
      <c r="BB134" s="6"/>
      <c r="BC134" s="6"/>
      <c r="BD134" t="s">
        <v>1035</v>
      </c>
      <c r="BF134" s="5">
        <v>7.0611529000000006E-2</v>
      </c>
      <c r="BG134" s="5">
        <f t="shared" si="6"/>
        <v>-3.6022943661271345E-3</v>
      </c>
      <c r="BH134" s="2">
        <v>165.31905</v>
      </c>
    </row>
    <row r="135" spans="1:60" x14ac:dyDescent="0.2">
      <c r="A135" t="str">
        <f t="shared" si="0"/>
        <v>Scooter, electric, 4-11kW - 2040 - NCA - CH</v>
      </c>
      <c r="B135" t="s">
        <v>569</v>
      </c>
      <c r="D135" s="19">
        <v>2040</v>
      </c>
      <c r="E135" t="s">
        <v>37</v>
      </c>
      <c r="F135" t="s">
        <v>140</v>
      </c>
      <c r="G135" t="s">
        <v>39</v>
      </c>
      <c r="H135" t="s">
        <v>32</v>
      </c>
      <c r="I135" t="s">
        <v>45</v>
      </c>
      <c r="J135" t="s">
        <v>140</v>
      </c>
      <c r="L135" s="26">
        <v>0</v>
      </c>
      <c r="M135" s="26">
        <v>0</v>
      </c>
      <c r="N135" s="26">
        <v>6.0053165008481374E-3</v>
      </c>
      <c r="O135" s="26">
        <v>1.2306591692257861E-2</v>
      </c>
      <c r="P135" s="26">
        <v>4.6433876560114202E-3</v>
      </c>
      <c r="Q135" s="26">
        <v>5.153181573813944E-2</v>
      </c>
      <c r="R135" s="26">
        <v>7.4487111587256863E-2</v>
      </c>
      <c r="S135" s="28">
        <v>0</v>
      </c>
      <c r="T135" s="28">
        <v>0</v>
      </c>
      <c r="U135" s="28">
        <v>6.3562331432608424E-4</v>
      </c>
      <c r="V135" s="28">
        <v>4.722191823356421E-4</v>
      </c>
      <c r="W135" s="28">
        <v>3.2035036507727262E-4</v>
      </c>
      <c r="X135" s="28">
        <v>3.4409573810130593E-2</v>
      </c>
      <c r="Y135" s="28">
        <v>3.5837766671869595E-2</v>
      </c>
      <c r="Z135" s="30">
        <v>0</v>
      </c>
      <c r="AA135" s="30">
        <v>2.3145477658575108E-3</v>
      </c>
      <c r="AB135" s="30">
        <v>1.8627602453956559E-4</v>
      </c>
      <c r="AC135" s="30">
        <v>1.5438989133449149E-4</v>
      </c>
      <c r="AD135" s="30">
        <v>1.4294058769292981E-4</v>
      </c>
      <c r="AE135" s="30">
        <v>3.7004773689658832E-3</v>
      </c>
      <c r="AF135" s="30">
        <v>6.4986316383903809E-3</v>
      </c>
      <c r="AG135" s="32">
        <v>0</v>
      </c>
      <c r="AH135" s="32">
        <v>1.228469691721989E-5</v>
      </c>
      <c r="AI135" s="32">
        <v>4.2562123706851542E-4</v>
      </c>
      <c r="AJ135" s="32">
        <v>3.7507357872791961E-4</v>
      </c>
      <c r="AK135" s="32">
        <v>1.9193868952272801E-4</v>
      </c>
      <c r="AL135" s="32">
        <v>1.2927539832472129E-2</v>
      </c>
      <c r="AM135" s="32">
        <v>1.3932458034708512E-2</v>
      </c>
      <c r="AN135" s="34">
        <v>0</v>
      </c>
      <c r="AO135" s="34">
        <v>8.7500264113198857E-6</v>
      </c>
      <c r="AP135" s="34">
        <v>5.3666667516303246E-7</v>
      </c>
      <c r="AQ135" s="34">
        <v>7.4641524221169363E-7</v>
      </c>
      <c r="AR135" s="34">
        <v>7.7954430001722768E-7</v>
      </c>
      <c r="AS135" s="34">
        <v>1.025274285720682E-5</v>
      </c>
      <c r="AT135" s="34">
        <v>2.1065395485918661E-5</v>
      </c>
      <c r="AU135" s="36">
        <v>0</v>
      </c>
      <c r="AV135" s="36">
        <v>0</v>
      </c>
      <c r="AW135" s="36">
        <v>0.2808344720952432</v>
      </c>
      <c r="AX135" s="36">
        <v>0.17647448414364728</v>
      </c>
      <c r="AY135" s="36">
        <v>0.16258297073909836</v>
      </c>
      <c r="AZ135" s="36">
        <v>0.69918835256783307</v>
      </c>
      <c r="BA135" s="36">
        <v>1.3190802795458219</v>
      </c>
      <c r="BB135" s="6"/>
      <c r="BC135" s="6"/>
      <c r="BD135" t="s">
        <v>1036</v>
      </c>
      <c r="BF135" s="5">
        <v>7.0113233999999997E-2</v>
      </c>
      <c r="BG135" s="5">
        <f t="shared" si="6"/>
        <v>-4.3738775872568664E-3</v>
      </c>
      <c r="BH135" s="2">
        <v>158.9487</v>
      </c>
    </row>
    <row r="136" spans="1:60" x14ac:dyDescent="0.2">
      <c r="A136" t="str">
        <f t="shared" si="0"/>
        <v>Scooter, electric, 4-11kW - 2050 - NCA - CH</v>
      </c>
      <c r="B136" t="s">
        <v>569</v>
      </c>
      <c r="D136" s="19">
        <v>2050</v>
      </c>
      <c r="E136" t="s">
        <v>37</v>
      </c>
      <c r="F136" t="s">
        <v>140</v>
      </c>
      <c r="G136" t="s">
        <v>39</v>
      </c>
      <c r="H136" t="s">
        <v>32</v>
      </c>
      <c r="I136" t="s">
        <v>45</v>
      </c>
      <c r="J136" t="s">
        <v>140</v>
      </c>
      <c r="L136" s="26">
        <v>0</v>
      </c>
      <c r="M136" s="26">
        <v>0</v>
      </c>
      <c r="N136" s="26">
        <v>6.0053165008481374E-3</v>
      </c>
      <c r="O136" s="26">
        <v>1.2306591692257861E-2</v>
      </c>
      <c r="P136" s="26">
        <v>4.6422496254413448E-3</v>
      </c>
      <c r="Q136" s="26">
        <v>5.1150423739116629E-2</v>
      </c>
      <c r="R136" s="26">
        <v>7.4104581557663973E-2</v>
      </c>
      <c r="S136" s="28">
        <v>0</v>
      </c>
      <c r="T136" s="28">
        <v>0</v>
      </c>
      <c r="U136" s="28">
        <v>6.3562331432608424E-4</v>
      </c>
      <c r="V136" s="28">
        <v>4.722191823356421E-4</v>
      </c>
      <c r="W136" s="28">
        <v>3.2027845561069079E-4</v>
      </c>
      <c r="X136" s="28">
        <v>3.2595495264978777E-2</v>
      </c>
      <c r="Y136" s="28">
        <v>3.4023616217251196E-2</v>
      </c>
      <c r="Z136" s="30">
        <v>0</v>
      </c>
      <c r="AA136" s="30">
        <v>2.3145477658575108E-3</v>
      </c>
      <c r="AB136" s="30">
        <v>1.8627602453956559E-4</v>
      </c>
      <c r="AC136" s="30">
        <v>1.5438989133449149E-4</v>
      </c>
      <c r="AD136" s="30">
        <v>1.4290790010594711E-4</v>
      </c>
      <c r="AE136" s="30">
        <v>3.542298854682322E-3</v>
      </c>
      <c r="AF136" s="30">
        <v>6.340420436519837E-3</v>
      </c>
      <c r="AG136" s="32">
        <v>0</v>
      </c>
      <c r="AH136" s="32">
        <v>1.228469691721989E-5</v>
      </c>
      <c r="AI136" s="32">
        <v>4.2562123706851542E-4</v>
      </c>
      <c r="AJ136" s="32">
        <v>3.7507357872791961E-4</v>
      </c>
      <c r="AK136" s="32">
        <v>1.919081830326583E-4</v>
      </c>
      <c r="AL136" s="32">
        <v>1.247884742641603E-2</v>
      </c>
      <c r="AM136" s="32">
        <v>1.3483735122162343E-2</v>
      </c>
      <c r="AN136" s="34">
        <v>0</v>
      </c>
      <c r="AO136" s="34">
        <v>8.7500264113198857E-6</v>
      </c>
      <c r="AP136" s="34">
        <v>5.3666667516303246E-7</v>
      </c>
      <c r="AQ136" s="34">
        <v>7.4641524221169363E-7</v>
      </c>
      <c r="AR136" s="34">
        <v>7.7942384472493537E-7</v>
      </c>
      <c r="AS136" s="34">
        <v>9.8010839159747582E-6</v>
      </c>
      <c r="AT136" s="34">
        <v>2.0613616089394305E-5</v>
      </c>
      <c r="AU136" s="36">
        <v>0</v>
      </c>
      <c r="AV136" s="36">
        <v>0</v>
      </c>
      <c r="AW136" s="36">
        <v>0.2808344720952432</v>
      </c>
      <c r="AX136" s="36">
        <v>0.17647448414364728</v>
      </c>
      <c r="AY136" s="36">
        <v>0.16254568959927568</v>
      </c>
      <c r="AZ136" s="36">
        <v>0.68695350207309391</v>
      </c>
      <c r="BA136" s="36">
        <v>1.3068081479112601</v>
      </c>
      <c r="BB136" s="6"/>
      <c r="BC136" s="6"/>
      <c r="BD136" t="s">
        <v>1037</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608</v>
      </c>
      <c r="D137" s="19">
        <v>2020</v>
      </c>
      <c r="E137" t="s">
        <v>37</v>
      </c>
      <c r="F137" t="s">
        <v>140</v>
      </c>
      <c r="G137" t="s">
        <v>39</v>
      </c>
      <c r="H137" t="s">
        <v>32</v>
      </c>
      <c r="I137" t="s">
        <v>43</v>
      </c>
      <c r="J137" t="s">
        <v>861</v>
      </c>
      <c r="L137" s="26">
        <v>0</v>
      </c>
      <c r="M137" s="26">
        <v>0</v>
      </c>
      <c r="N137" s="26">
        <v>8.2069290027614555E-4</v>
      </c>
      <c r="O137" s="26">
        <v>1.2306591692257861E-2</v>
      </c>
      <c r="P137" s="26">
        <v>4.499995804181871E-3</v>
      </c>
      <c r="Q137" s="26">
        <v>4.6960667705063748E-2</v>
      </c>
      <c r="R137" s="26">
        <v>6.4587948101779619E-2</v>
      </c>
      <c r="S137" s="28">
        <v>0</v>
      </c>
      <c r="T137" s="28">
        <v>0</v>
      </c>
      <c r="U137" s="28">
        <v>4.6780531356812222E-4</v>
      </c>
      <c r="V137" s="28">
        <v>4.722191823356421E-4</v>
      </c>
      <c r="W137" s="28">
        <v>3.1128977228796298E-4</v>
      </c>
      <c r="X137" s="28">
        <v>5.2328807599304139E-2</v>
      </c>
      <c r="Y137" s="28">
        <v>5.3580121867495868E-2</v>
      </c>
      <c r="Z137" s="30">
        <v>0</v>
      </c>
      <c r="AA137" s="30">
        <v>2.3145477658575108E-3</v>
      </c>
      <c r="AB137" s="30">
        <v>8.2547439225250213E-5</v>
      </c>
      <c r="AC137" s="30">
        <v>1.5438989133449149E-4</v>
      </c>
      <c r="AD137" s="30">
        <v>1.3882195173311031E-4</v>
      </c>
      <c r="AE137" s="30">
        <v>4.4017669608086814E-3</v>
      </c>
      <c r="AF137" s="30">
        <v>7.0920740089590439E-3</v>
      </c>
      <c r="AG137" s="32">
        <v>0</v>
      </c>
      <c r="AH137" s="32">
        <v>1.228469691721989E-5</v>
      </c>
      <c r="AI137" s="32">
        <v>3.0935457184536091E-4</v>
      </c>
      <c r="AJ137" s="32">
        <v>3.7507357872791961E-4</v>
      </c>
      <c r="AK137" s="32">
        <v>1.880948717739569E-4</v>
      </c>
      <c r="AL137" s="32">
        <v>1.316560346465253E-2</v>
      </c>
      <c r="AM137" s="32">
        <v>1.4050411183916986E-2</v>
      </c>
      <c r="AN137" s="34">
        <v>0</v>
      </c>
      <c r="AO137" s="34">
        <v>8.7500264113198857E-6</v>
      </c>
      <c r="AP137" s="34">
        <v>7.308690791712847E-7</v>
      </c>
      <c r="AQ137" s="34">
        <v>7.4641524221169363E-7</v>
      </c>
      <c r="AR137" s="34">
        <v>7.6436693318839574E-7</v>
      </c>
      <c r="AS137" s="34">
        <v>1.2613452133301209E-5</v>
      </c>
      <c r="AT137" s="34">
        <v>2.360512979919247E-5</v>
      </c>
      <c r="AU137" s="36">
        <v>0</v>
      </c>
      <c r="AV137" s="36">
        <v>0</v>
      </c>
      <c r="AW137" s="36">
        <v>8.1766643948489922E-3</v>
      </c>
      <c r="AX137" s="36">
        <v>0.17647448414364728</v>
      </c>
      <c r="AY137" s="36">
        <v>0.15788554712144401</v>
      </c>
      <c r="AZ137" s="36">
        <v>0.67740696189012273</v>
      </c>
      <c r="BA137" s="36">
        <v>1.0199436575500629</v>
      </c>
      <c r="BB137" s="6"/>
      <c r="BC137" s="6"/>
      <c r="BD137" t="s">
        <v>930</v>
      </c>
      <c r="BF137" s="5">
        <v>5.7097881000000003E-2</v>
      </c>
      <c r="BG137" s="5">
        <f t="shared" si="6"/>
        <v>-7.4900671017796155E-3</v>
      </c>
      <c r="BH137" s="2">
        <v>143.10150999999999</v>
      </c>
    </row>
    <row r="138" spans="1:60" x14ac:dyDescent="0.2">
      <c r="A138" t="str">
        <f t="shared" si="7"/>
        <v>Scooter, electric, &lt;4kW - 2030 - NMC - CH</v>
      </c>
      <c r="B138" t="s">
        <v>608</v>
      </c>
      <c r="D138" s="19">
        <v>2030</v>
      </c>
      <c r="E138" t="s">
        <v>37</v>
      </c>
      <c r="F138" t="s">
        <v>140</v>
      </c>
      <c r="G138" t="s">
        <v>39</v>
      </c>
      <c r="H138" t="s">
        <v>32</v>
      </c>
      <c r="I138" t="s">
        <v>43</v>
      </c>
      <c r="J138" t="s">
        <v>861</v>
      </c>
      <c r="L138" s="26">
        <v>0</v>
      </c>
      <c r="M138" s="26">
        <v>0</v>
      </c>
      <c r="N138" s="26">
        <v>8.2069290027614555E-4</v>
      </c>
      <c r="O138" s="26">
        <v>1.2306591692257861E-2</v>
      </c>
      <c r="P138" s="26">
        <v>4.5008758811560627E-3</v>
      </c>
      <c r="Q138" s="26">
        <v>4.7520048473623171E-2</v>
      </c>
      <c r="R138" s="26">
        <v>6.5148208947313241E-2</v>
      </c>
      <c r="S138" s="28">
        <v>0</v>
      </c>
      <c r="T138" s="28">
        <v>0</v>
      </c>
      <c r="U138" s="28">
        <v>4.6780531356812222E-4</v>
      </c>
      <c r="V138" s="28">
        <v>4.722191823356421E-4</v>
      </c>
      <c r="W138" s="28">
        <v>3.1134538227545303E-4</v>
      </c>
      <c r="X138" s="28">
        <v>4.8128281001920403E-2</v>
      </c>
      <c r="Y138" s="28">
        <v>4.9379650880099622E-2</v>
      </c>
      <c r="Z138" s="30">
        <v>0</v>
      </c>
      <c r="AA138" s="30">
        <v>2.3145477658575108E-3</v>
      </c>
      <c r="AB138" s="30">
        <v>8.2547439225250213E-5</v>
      </c>
      <c r="AC138" s="30">
        <v>1.5438989133449149E-4</v>
      </c>
      <c r="AD138" s="30">
        <v>1.3884723013371031E-4</v>
      </c>
      <c r="AE138" s="30">
        <v>4.1911350985987536E-3</v>
      </c>
      <c r="AF138" s="30">
        <v>6.8814674251497163E-3</v>
      </c>
      <c r="AG138" s="32">
        <v>0</v>
      </c>
      <c r="AH138" s="32">
        <v>1.228469691721989E-5</v>
      </c>
      <c r="AI138" s="32">
        <v>3.0935457184536091E-4</v>
      </c>
      <c r="AJ138" s="32">
        <v>3.7507357872791961E-4</v>
      </c>
      <c r="AK138" s="32">
        <v>1.881184634596107E-4</v>
      </c>
      <c r="AL138" s="32">
        <v>1.27596213245302E-2</v>
      </c>
      <c r="AM138" s="32">
        <v>1.3644452635480312E-2</v>
      </c>
      <c r="AN138" s="34">
        <v>0</v>
      </c>
      <c r="AO138" s="34">
        <v>8.7500264113198857E-6</v>
      </c>
      <c r="AP138" s="34">
        <v>7.308690791712847E-7</v>
      </c>
      <c r="AQ138" s="34">
        <v>7.4641524221169363E-7</v>
      </c>
      <c r="AR138" s="34">
        <v>7.6446008528110175E-7</v>
      </c>
      <c r="AS138" s="34">
        <v>1.189596265994029E-5</v>
      </c>
      <c r="AT138" s="34">
        <v>2.2887733477924257E-5</v>
      </c>
      <c r="AU138" s="36">
        <v>0</v>
      </c>
      <c r="AV138" s="36">
        <v>0</v>
      </c>
      <c r="AW138" s="36">
        <v>8.1766643948489922E-3</v>
      </c>
      <c r="AX138" s="36">
        <v>0.17647448414364728</v>
      </c>
      <c r="AY138" s="36">
        <v>0.15791437786957357</v>
      </c>
      <c r="AZ138" s="36">
        <v>0.67170674510399264</v>
      </c>
      <c r="BA138" s="36">
        <v>1.0142722715120625</v>
      </c>
      <c r="BB138" s="6"/>
      <c r="BC138" s="6"/>
      <c r="BD138" t="s">
        <v>1038</v>
      </c>
      <c r="BF138" s="5">
        <v>5.6910385000000001E-2</v>
      </c>
      <c r="BG138" s="5">
        <f t="shared" si="6"/>
        <v>-8.23782394731324E-3</v>
      </c>
      <c r="BH138" s="2">
        <v>135.17749000000001</v>
      </c>
    </row>
    <row r="139" spans="1:60" x14ac:dyDescent="0.2">
      <c r="A139" t="str">
        <f t="shared" si="7"/>
        <v>Scooter, electric, &lt;4kW - 2040 - NMC - CH</v>
      </c>
      <c r="B139" t="s">
        <v>608</v>
      </c>
      <c r="D139" s="19">
        <v>2040</v>
      </c>
      <c r="E139" t="s">
        <v>37</v>
      </c>
      <c r="F139" t="s">
        <v>140</v>
      </c>
      <c r="G139" t="s">
        <v>39</v>
      </c>
      <c r="H139" t="s">
        <v>32</v>
      </c>
      <c r="I139" t="s">
        <v>43</v>
      </c>
      <c r="J139" t="s">
        <v>861</v>
      </c>
      <c r="L139" s="26">
        <v>0</v>
      </c>
      <c r="M139" s="26">
        <v>0</v>
      </c>
      <c r="N139" s="26">
        <v>8.2069290027614555E-4</v>
      </c>
      <c r="O139" s="26">
        <v>1.2306591692257861E-2</v>
      </c>
      <c r="P139" s="26">
        <v>4.5011338347519464E-3</v>
      </c>
      <c r="Q139" s="26">
        <v>4.7992199093471993E-2</v>
      </c>
      <c r="R139" s="26">
        <v>6.5620617520757943E-2</v>
      </c>
      <c r="S139" s="28">
        <v>0</v>
      </c>
      <c r="T139" s="28">
        <v>0</v>
      </c>
      <c r="U139" s="28">
        <v>4.6780531356812222E-4</v>
      </c>
      <c r="V139" s="28">
        <v>4.722191823356421E-4</v>
      </c>
      <c r="W139" s="28">
        <v>3.1136168175454492E-4</v>
      </c>
      <c r="X139" s="28">
        <v>4.5524939581790262E-2</v>
      </c>
      <c r="Y139" s="28">
        <v>4.6776325759448574E-2</v>
      </c>
      <c r="Z139" s="30">
        <v>0</v>
      </c>
      <c r="AA139" s="30">
        <v>2.3145477658575108E-3</v>
      </c>
      <c r="AB139" s="30">
        <v>8.2547439225250213E-5</v>
      </c>
      <c r="AC139" s="30">
        <v>1.5438989133449149E-4</v>
      </c>
      <c r="AD139" s="30">
        <v>1.3885463932009301E-4</v>
      </c>
      <c r="AE139" s="30">
        <v>4.0664740355196034E-3</v>
      </c>
      <c r="AF139" s="30">
        <v>6.7568137712569485E-3</v>
      </c>
      <c r="AG139" s="32">
        <v>0</v>
      </c>
      <c r="AH139" s="32">
        <v>1.228469691721989E-5</v>
      </c>
      <c r="AI139" s="32">
        <v>3.0935457184536091E-4</v>
      </c>
      <c r="AJ139" s="32">
        <v>3.7507357872791961E-4</v>
      </c>
      <c r="AK139" s="32">
        <v>1.881253782640265E-4</v>
      </c>
      <c r="AL139" s="32">
        <v>1.252915806510028E-2</v>
      </c>
      <c r="AM139" s="32">
        <v>1.3413996290854806E-2</v>
      </c>
      <c r="AN139" s="34">
        <v>0</v>
      </c>
      <c r="AO139" s="34">
        <v>8.7500264113198857E-6</v>
      </c>
      <c r="AP139" s="34">
        <v>7.308690791712847E-7</v>
      </c>
      <c r="AQ139" s="34">
        <v>7.4641524221169363E-7</v>
      </c>
      <c r="AR139" s="34">
        <v>7.6448738848068806E-7</v>
      </c>
      <c r="AS139" s="34">
        <v>1.145309309929765E-5</v>
      </c>
      <c r="AT139" s="34">
        <v>2.24448912204812E-5</v>
      </c>
      <c r="AU139" s="36">
        <v>0</v>
      </c>
      <c r="AV139" s="36">
        <v>0</v>
      </c>
      <c r="AW139" s="36">
        <v>8.1766643948489922E-3</v>
      </c>
      <c r="AX139" s="36">
        <v>0.17647448414364728</v>
      </c>
      <c r="AY139" s="36">
        <v>0.15792282826126669</v>
      </c>
      <c r="AZ139" s="36">
        <v>0.66945087186209751</v>
      </c>
      <c r="BA139" s="36">
        <v>1.0120248486618606</v>
      </c>
      <c r="BB139" s="6"/>
      <c r="BC139" s="6"/>
      <c r="BD139" t="s">
        <v>1039</v>
      </c>
      <c r="BF139" s="5">
        <v>5.6843547000000001E-2</v>
      </c>
      <c r="BG139" s="5">
        <f t="shared" si="6"/>
        <v>-8.7770705207579416E-3</v>
      </c>
      <c r="BH139" s="2">
        <v>130.24121</v>
      </c>
    </row>
    <row r="140" spans="1:60" x14ac:dyDescent="0.2">
      <c r="A140" t="str">
        <f t="shared" si="7"/>
        <v>Scooter, electric, &lt;4kW - 2050 - NMC - CH</v>
      </c>
      <c r="B140" t="s">
        <v>608</v>
      </c>
      <c r="D140" s="19">
        <v>2050</v>
      </c>
      <c r="E140" t="s">
        <v>37</v>
      </c>
      <c r="F140" t="s">
        <v>140</v>
      </c>
      <c r="G140" t="s">
        <v>39</v>
      </c>
      <c r="H140" t="s">
        <v>32</v>
      </c>
      <c r="I140" t="s">
        <v>43</v>
      </c>
      <c r="J140" t="s">
        <v>861</v>
      </c>
      <c r="L140" s="26">
        <v>0</v>
      </c>
      <c r="M140" s="26">
        <v>0</v>
      </c>
      <c r="N140" s="26">
        <v>8.2069290027614555E-4</v>
      </c>
      <c r="O140" s="26">
        <v>1.2306591692257861E-2</v>
      </c>
      <c r="P140" s="26">
        <v>4.5033643746692949E-3</v>
      </c>
      <c r="Q140" s="26">
        <v>4.8269122650915271E-2</v>
      </c>
      <c r="R140" s="26">
        <v>6.589977161811858E-2</v>
      </c>
      <c r="S140" s="28">
        <v>0</v>
      </c>
      <c r="T140" s="28">
        <v>0</v>
      </c>
      <c r="U140" s="28">
        <v>4.6780531356812222E-4</v>
      </c>
      <c r="V140" s="28">
        <v>4.722191823356421E-4</v>
      </c>
      <c r="W140" s="28">
        <v>3.1150262430904518E-4</v>
      </c>
      <c r="X140" s="28">
        <v>4.2527644610276888E-2</v>
      </c>
      <c r="Y140" s="28">
        <v>4.3779171730489695E-2</v>
      </c>
      <c r="Z140" s="30">
        <v>0</v>
      </c>
      <c r="AA140" s="30">
        <v>2.3145477658575108E-3</v>
      </c>
      <c r="AB140" s="30">
        <v>8.2547439225250213E-5</v>
      </c>
      <c r="AC140" s="30">
        <v>1.5438989133449149E-4</v>
      </c>
      <c r="AD140" s="30">
        <v>1.3891870699057909E-4</v>
      </c>
      <c r="AE140" s="30">
        <v>3.9105185703264813E-3</v>
      </c>
      <c r="AF140" s="30">
        <v>6.600922373734313E-3</v>
      </c>
      <c r="AG140" s="32">
        <v>0</v>
      </c>
      <c r="AH140" s="32">
        <v>1.228469691721989E-5</v>
      </c>
      <c r="AI140" s="32">
        <v>3.0935457184536091E-4</v>
      </c>
      <c r="AJ140" s="32">
        <v>3.7507357872791961E-4</v>
      </c>
      <c r="AK140" s="32">
        <v>1.8818517098456291E-4</v>
      </c>
      <c r="AL140" s="32">
        <v>1.221833230624189E-2</v>
      </c>
      <c r="AM140" s="32">
        <v>1.3103230324716953E-2</v>
      </c>
      <c r="AN140" s="34">
        <v>0</v>
      </c>
      <c r="AO140" s="34">
        <v>8.7500264113198857E-6</v>
      </c>
      <c r="AP140" s="34">
        <v>7.308690791712847E-7</v>
      </c>
      <c r="AQ140" s="34">
        <v>7.4641524221169363E-7</v>
      </c>
      <c r="AR140" s="34">
        <v>7.6472348085358094E-7</v>
      </c>
      <c r="AS140" s="34">
        <v>1.094014660301449E-5</v>
      </c>
      <c r="AT140" s="34">
        <v>2.1932180816570937E-5</v>
      </c>
      <c r="AU140" s="36">
        <v>0</v>
      </c>
      <c r="AV140" s="36">
        <v>0</v>
      </c>
      <c r="AW140" s="36">
        <v>8.1766643948489922E-3</v>
      </c>
      <c r="AX140" s="36">
        <v>0.17647448414364728</v>
      </c>
      <c r="AY140" s="36">
        <v>0.1579958992953191</v>
      </c>
      <c r="AZ140" s="36">
        <v>0.66415462442150097</v>
      </c>
      <c r="BA140" s="36">
        <v>1.0068016722553164</v>
      </c>
      <c r="BB140" s="6"/>
      <c r="BC140" s="6"/>
      <c r="BD140" t="s">
        <v>1040</v>
      </c>
      <c r="BF140" s="5">
        <v>5.666819E-2</v>
      </c>
      <c r="BG140" s="5">
        <f t="shared" si="6"/>
        <v>-9.2315816181185797E-3</v>
      </c>
      <c r="BH140" s="2">
        <v>124.62658999999999</v>
      </c>
    </row>
    <row r="141" spans="1:60" x14ac:dyDescent="0.2">
      <c r="A141" t="str">
        <f t="shared" si="7"/>
        <v>Scooter, electric, 4-11kW - 2020 - NMC - CH</v>
      </c>
      <c r="B141" t="s">
        <v>569</v>
      </c>
      <c r="D141" s="19">
        <v>2020</v>
      </c>
      <c r="E141" t="s">
        <v>37</v>
      </c>
      <c r="F141" t="s">
        <v>140</v>
      </c>
      <c r="G141" t="s">
        <v>39</v>
      </c>
      <c r="H141" t="s">
        <v>32</v>
      </c>
      <c r="I141" t="s">
        <v>43</v>
      </c>
      <c r="J141" t="s">
        <v>861</v>
      </c>
      <c r="L141" s="26">
        <v>0</v>
      </c>
      <c r="M141" s="26">
        <v>0</v>
      </c>
      <c r="N141" s="26">
        <v>1.164988379267724E-3</v>
      </c>
      <c r="O141" s="26">
        <v>1.2306591692257861E-2</v>
      </c>
      <c r="P141" s="26">
        <v>4.6388355337311166E-3</v>
      </c>
      <c r="Q141" s="26">
        <v>6.5220914497343074E-2</v>
      </c>
      <c r="R141" s="26">
        <v>8.3331330102599771E-2</v>
      </c>
      <c r="S141" s="28">
        <v>0</v>
      </c>
      <c r="T141" s="28">
        <v>0</v>
      </c>
      <c r="U141" s="28">
        <v>6.6405808297254575E-4</v>
      </c>
      <c r="V141" s="28">
        <v>4.722191823356421E-4</v>
      </c>
      <c r="W141" s="28">
        <v>3.200627272109453E-4</v>
      </c>
      <c r="X141" s="28">
        <v>7.5855735783844858E-2</v>
      </c>
      <c r="Y141" s="28">
        <v>7.7312075776363995E-2</v>
      </c>
      <c r="Z141" s="30">
        <v>0</v>
      </c>
      <c r="AA141" s="30">
        <v>2.3145477658575108E-3</v>
      </c>
      <c r="AB141" s="30">
        <v>1.17177579339808E-4</v>
      </c>
      <c r="AC141" s="30">
        <v>1.5438989133449149E-4</v>
      </c>
      <c r="AD141" s="30">
        <v>1.4280983734499901E-4</v>
      </c>
      <c r="AE141" s="30">
        <v>6.2599544064963521E-3</v>
      </c>
      <c r="AF141" s="30">
        <v>8.9888794803731614E-3</v>
      </c>
      <c r="AG141" s="32">
        <v>0</v>
      </c>
      <c r="AH141" s="32">
        <v>1.228469691721989E-5</v>
      </c>
      <c r="AI141" s="32">
        <v>4.3913439625458252E-4</v>
      </c>
      <c r="AJ141" s="32">
        <v>3.7507357872791961E-4</v>
      </c>
      <c r="AK141" s="32">
        <v>1.9181666356244949E-4</v>
      </c>
      <c r="AL141" s="32">
        <v>1.8896849337480471E-2</v>
      </c>
      <c r="AM141" s="32">
        <v>1.9915158672942641E-2</v>
      </c>
      <c r="AN141" s="34">
        <v>0</v>
      </c>
      <c r="AO141" s="34">
        <v>8.7500264113198857E-6</v>
      </c>
      <c r="AP141" s="34">
        <v>1.037481844565918E-6</v>
      </c>
      <c r="AQ141" s="34">
        <v>7.4641524221169363E-7</v>
      </c>
      <c r="AR141" s="34">
        <v>7.7906247884805842E-7</v>
      </c>
      <c r="AS141" s="34">
        <v>1.7332071878643611E-5</v>
      </c>
      <c r="AT141" s="34">
        <v>2.8645057855589166E-5</v>
      </c>
      <c r="AU141" s="36">
        <v>0</v>
      </c>
      <c r="AV141" s="36">
        <v>0</v>
      </c>
      <c r="AW141" s="36">
        <v>1.1606922635697264E-2</v>
      </c>
      <c r="AX141" s="36">
        <v>0.17647448414364728</v>
      </c>
      <c r="AY141" s="36">
        <v>0.16243384617980774</v>
      </c>
      <c r="AZ141" s="36">
        <v>0.94145771503012154</v>
      </c>
      <c r="BA141" s="36">
        <v>1.291972967989274</v>
      </c>
      <c r="BB141" s="6"/>
      <c r="BC141" s="6"/>
      <c r="BD141" t="s">
        <v>936</v>
      </c>
      <c r="BF141" s="5">
        <v>7.0513389999999995E-2</v>
      </c>
      <c r="BG141" s="5">
        <f t="shared" si="6"/>
        <v>-1.2817940102599776E-2</v>
      </c>
      <c r="BH141" s="2">
        <v>187.63643999999999</v>
      </c>
    </row>
    <row r="142" spans="1:60" x14ac:dyDescent="0.2">
      <c r="A142" t="str">
        <f t="shared" si="7"/>
        <v>Scooter, electric, 4-11kW - 2030 - NMC - CH</v>
      </c>
      <c r="B142" t="s">
        <v>569</v>
      </c>
      <c r="D142" s="19">
        <v>2030</v>
      </c>
      <c r="E142" t="s">
        <v>37</v>
      </c>
      <c r="F142" t="s">
        <v>140</v>
      </c>
      <c r="G142" t="s">
        <v>39</v>
      </c>
      <c r="H142" t="s">
        <v>32</v>
      </c>
      <c r="I142" t="s">
        <v>43</v>
      </c>
      <c r="J142" t="s">
        <v>861</v>
      </c>
      <c r="L142" s="26">
        <v>0</v>
      </c>
      <c r="M142" s="26">
        <v>0</v>
      </c>
      <c r="N142" s="26">
        <v>1.164988379267724E-3</v>
      </c>
      <c r="O142" s="26">
        <v>1.2306591692257861E-2</v>
      </c>
      <c r="P142" s="26">
        <v>4.642158582995738E-3</v>
      </c>
      <c r="Q142" s="26">
        <v>6.503158780121078E-2</v>
      </c>
      <c r="R142" s="26">
        <v>8.314532645573211E-2</v>
      </c>
      <c r="S142" s="28">
        <v>0</v>
      </c>
      <c r="T142" s="28">
        <v>0</v>
      </c>
      <c r="U142" s="28">
        <v>6.6405808297254575E-4</v>
      </c>
      <c r="V142" s="28">
        <v>4.722191823356421E-4</v>
      </c>
      <c r="W142" s="28">
        <v>3.2027270285336419E-4</v>
      </c>
      <c r="X142" s="28">
        <v>6.9370588654902351E-2</v>
      </c>
      <c r="Y142" s="28">
        <v>7.0827138623063904E-2</v>
      </c>
      <c r="Z142" s="30">
        <v>0</v>
      </c>
      <c r="AA142" s="30">
        <v>2.3145477658575108E-3</v>
      </c>
      <c r="AB142" s="30">
        <v>1.17177579339808E-4</v>
      </c>
      <c r="AC142" s="30">
        <v>1.5438989133449149E-4</v>
      </c>
      <c r="AD142" s="30">
        <v>1.429052850989885E-4</v>
      </c>
      <c r="AE142" s="30">
        <v>5.8853804346952407E-3</v>
      </c>
      <c r="AF142" s="30">
        <v>8.6144009563260404E-3</v>
      </c>
      <c r="AG142" s="32">
        <v>0</v>
      </c>
      <c r="AH142" s="32">
        <v>1.228469691721989E-5</v>
      </c>
      <c r="AI142" s="32">
        <v>4.3913439625458252E-4</v>
      </c>
      <c r="AJ142" s="32">
        <v>3.7507357872791961E-4</v>
      </c>
      <c r="AK142" s="32">
        <v>1.919057425134528E-4</v>
      </c>
      <c r="AL142" s="32">
        <v>1.80927369906165E-2</v>
      </c>
      <c r="AM142" s="32">
        <v>1.9111135405029674E-2</v>
      </c>
      <c r="AN142" s="34">
        <v>0</v>
      </c>
      <c r="AO142" s="34">
        <v>8.7500264113198857E-6</v>
      </c>
      <c r="AP142" s="34">
        <v>1.037481844565918E-6</v>
      </c>
      <c r="AQ142" s="34">
        <v>7.4641524221169363E-7</v>
      </c>
      <c r="AR142" s="34">
        <v>7.7941420830155207E-7</v>
      </c>
      <c r="AS142" s="34">
        <v>1.6208929880458181E-5</v>
      </c>
      <c r="AT142" s="34">
        <v>2.7522267586857232E-5</v>
      </c>
      <c r="AU142" s="36">
        <v>0</v>
      </c>
      <c r="AV142" s="36">
        <v>0</v>
      </c>
      <c r="AW142" s="36">
        <v>1.1606922635697264E-2</v>
      </c>
      <c r="AX142" s="36">
        <v>0.17647448414364728</v>
      </c>
      <c r="AY142" s="36">
        <v>0.16254270710808991</v>
      </c>
      <c r="AZ142" s="36">
        <v>0.92193573824767916</v>
      </c>
      <c r="BA142" s="36">
        <v>1.2725598521351136</v>
      </c>
      <c r="BB142" s="6"/>
      <c r="BC142" s="6"/>
      <c r="BD142" t="s">
        <v>1041</v>
      </c>
      <c r="BF142" s="5">
        <v>6.9801329000000009E-2</v>
      </c>
      <c r="BG142" s="5">
        <f t="shared" si="6"/>
        <v>-1.3343997455732101E-2</v>
      </c>
      <c r="BH142" s="2">
        <v>175.51417999999998</v>
      </c>
    </row>
    <row r="143" spans="1:60" x14ac:dyDescent="0.2">
      <c r="A143" t="str">
        <f t="shared" si="7"/>
        <v>Scooter, electric, 4-11kW - 2040 - NMC - CH</v>
      </c>
      <c r="B143" t="s">
        <v>569</v>
      </c>
      <c r="D143" s="19">
        <v>2040</v>
      </c>
      <c r="E143" t="s">
        <v>37</v>
      </c>
      <c r="F143" t="s">
        <v>140</v>
      </c>
      <c r="G143" t="s">
        <v>39</v>
      </c>
      <c r="H143" t="s">
        <v>32</v>
      </c>
      <c r="I143" t="s">
        <v>43</v>
      </c>
      <c r="J143" t="s">
        <v>861</v>
      </c>
      <c r="L143" s="26">
        <v>0</v>
      </c>
      <c r="M143" s="26">
        <v>0</v>
      </c>
      <c r="N143" s="26">
        <v>1.164988379267724E-3</v>
      </c>
      <c r="O143" s="26">
        <v>1.2306591692257861E-2</v>
      </c>
      <c r="P143" s="26">
        <v>4.6433876560114202E-3</v>
      </c>
      <c r="Q143" s="26">
        <v>6.5002983175688159E-2</v>
      </c>
      <c r="R143" s="26">
        <v>8.3117950903225157E-2</v>
      </c>
      <c r="S143" s="28">
        <v>0</v>
      </c>
      <c r="T143" s="28">
        <v>0</v>
      </c>
      <c r="U143" s="28">
        <v>6.6405808297254575E-4</v>
      </c>
      <c r="V143" s="28">
        <v>4.722191823356421E-4</v>
      </c>
      <c r="W143" s="28">
        <v>3.2035036507727262E-4</v>
      </c>
      <c r="X143" s="28">
        <v>6.5244133849543445E-2</v>
      </c>
      <c r="Y143" s="28">
        <v>6.6700761479928899E-2</v>
      </c>
      <c r="Z143" s="30">
        <v>0</v>
      </c>
      <c r="AA143" s="30">
        <v>2.3145477658575108E-3</v>
      </c>
      <c r="AB143" s="30">
        <v>1.17177579339808E-4</v>
      </c>
      <c r="AC143" s="30">
        <v>1.5438989133449149E-4</v>
      </c>
      <c r="AD143" s="30">
        <v>1.4294058769292981E-4</v>
      </c>
      <c r="AE143" s="30">
        <v>5.6513116441916653E-3</v>
      </c>
      <c r="AF143" s="30">
        <v>8.380367468416406E-3</v>
      </c>
      <c r="AG143" s="32">
        <v>0</v>
      </c>
      <c r="AH143" s="32">
        <v>1.228469691721989E-5</v>
      </c>
      <c r="AI143" s="32">
        <v>4.3913439625458252E-4</v>
      </c>
      <c r="AJ143" s="32">
        <v>3.7507357872791961E-4</v>
      </c>
      <c r="AK143" s="32">
        <v>1.9193868952272801E-4</v>
      </c>
      <c r="AL143" s="32">
        <v>1.7596843272735939E-2</v>
      </c>
      <c r="AM143" s="32">
        <v>1.861527463415839E-2</v>
      </c>
      <c r="AN143" s="34">
        <v>0</v>
      </c>
      <c r="AO143" s="34">
        <v>8.7500264113198857E-6</v>
      </c>
      <c r="AP143" s="34">
        <v>1.037481844565918E-6</v>
      </c>
      <c r="AQ143" s="34">
        <v>7.4641524221169363E-7</v>
      </c>
      <c r="AR143" s="34">
        <v>7.7954430001722768E-7</v>
      </c>
      <c r="AS143" s="34">
        <v>1.5495207038674772E-5</v>
      </c>
      <c r="AT143" s="34">
        <v>2.6808674836789495E-5</v>
      </c>
      <c r="AU143" s="36">
        <v>0</v>
      </c>
      <c r="AV143" s="36">
        <v>0</v>
      </c>
      <c r="AW143" s="36">
        <v>1.1606922635697264E-2</v>
      </c>
      <c r="AX143" s="36">
        <v>0.17647448414364728</v>
      </c>
      <c r="AY143" s="36">
        <v>0.16258297073909836</v>
      </c>
      <c r="AZ143" s="36">
        <v>0.91044127029277888</v>
      </c>
      <c r="BA143" s="36">
        <v>1.2611056478112217</v>
      </c>
      <c r="BB143" s="6"/>
      <c r="BC143" s="6"/>
      <c r="BD143" t="s">
        <v>1042</v>
      </c>
      <c r="BF143" s="5">
        <v>6.9378835999999999E-2</v>
      </c>
      <c r="BG143" s="5">
        <f t="shared" si="6"/>
        <v>-1.3739114903225158E-2</v>
      </c>
      <c r="BH143" s="2">
        <v>167.7681</v>
      </c>
    </row>
    <row r="144" spans="1:60" x14ac:dyDescent="0.2">
      <c r="A144" t="str">
        <f t="shared" si="7"/>
        <v>Scooter, electric, 4-11kW - 2050 - NMC - CH</v>
      </c>
      <c r="B144" t="s">
        <v>569</v>
      </c>
      <c r="D144" s="19">
        <v>2050</v>
      </c>
      <c r="E144" t="s">
        <v>37</v>
      </c>
      <c r="F144" t="s">
        <v>140</v>
      </c>
      <c r="G144" t="s">
        <v>39</v>
      </c>
      <c r="H144" t="s">
        <v>32</v>
      </c>
      <c r="I144" t="s">
        <v>43</v>
      </c>
      <c r="J144" t="s">
        <v>861</v>
      </c>
      <c r="L144" s="26">
        <v>0</v>
      </c>
      <c r="M144" s="26">
        <v>0</v>
      </c>
      <c r="N144" s="26">
        <v>1.164988379267724E-3</v>
      </c>
      <c r="O144" s="26">
        <v>1.2306591692257861E-2</v>
      </c>
      <c r="P144" s="26">
        <v>4.6422496254413448E-3</v>
      </c>
      <c r="Q144" s="26">
        <v>6.4048206979410882E-2</v>
      </c>
      <c r="R144" s="26">
        <v>8.2162036676377809E-2</v>
      </c>
      <c r="S144" s="28">
        <v>0</v>
      </c>
      <c r="T144" s="28">
        <v>0</v>
      </c>
      <c r="U144" s="28">
        <v>6.6405808297254575E-4</v>
      </c>
      <c r="V144" s="28">
        <v>4.722191823356421E-4</v>
      </c>
      <c r="W144" s="28">
        <v>3.2027845561069079E-4</v>
      </c>
      <c r="X144" s="28">
        <v>5.9304922010804277E-2</v>
      </c>
      <c r="Y144" s="28">
        <v>6.0761477731723156E-2</v>
      </c>
      <c r="Z144" s="30">
        <v>0</v>
      </c>
      <c r="AA144" s="30">
        <v>2.3145477658575108E-3</v>
      </c>
      <c r="AB144" s="30">
        <v>1.17177579339808E-4</v>
      </c>
      <c r="AC144" s="30">
        <v>1.5438989133449149E-4</v>
      </c>
      <c r="AD144" s="30">
        <v>1.4290790010594711E-4</v>
      </c>
      <c r="AE144" s="30">
        <v>5.2713228626062826E-3</v>
      </c>
      <c r="AF144" s="30">
        <v>8.0003459992440407E-3</v>
      </c>
      <c r="AG144" s="32">
        <v>0</v>
      </c>
      <c r="AH144" s="32">
        <v>1.228469691721989E-5</v>
      </c>
      <c r="AI144" s="32">
        <v>4.3913439625458252E-4</v>
      </c>
      <c r="AJ144" s="32">
        <v>3.7507357872791961E-4</v>
      </c>
      <c r="AK144" s="32">
        <v>1.919081830326583E-4</v>
      </c>
      <c r="AL144" s="32">
        <v>1.6731104054267951E-2</v>
      </c>
      <c r="AM144" s="32">
        <v>1.7749504909200332E-2</v>
      </c>
      <c r="AN144" s="34">
        <v>0</v>
      </c>
      <c r="AO144" s="34">
        <v>8.7500264113198857E-6</v>
      </c>
      <c r="AP144" s="34">
        <v>1.037481844565918E-6</v>
      </c>
      <c r="AQ144" s="34">
        <v>7.4641524221169363E-7</v>
      </c>
      <c r="AR144" s="34">
        <v>7.7942384472493537E-7</v>
      </c>
      <c r="AS144" s="34">
        <v>1.445185205113875E-5</v>
      </c>
      <c r="AT144" s="34">
        <v>2.5765199393961183E-5</v>
      </c>
      <c r="AU144" s="36">
        <v>0</v>
      </c>
      <c r="AV144" s="36">
        <v>0</v>
      </c>
      <c r="AW144" s="36">
        <v>1.1606922635697264E-2</v>
      </c>
      <c r="AX144" s="36">
        <v>0.17647448414364728</v>
      </c>
      <c r="AY144" s="36">
        <v>0.16254568959927568</v>
      </c>
      <c r="AZ144" s="36">
        <v>0.88454203144414301</v>
      </c>
      <c r="BA144" s="36">
        <v>1.2351691278227632</v>
      </c>
      <c r="BB144" s="6"/>
      <c r="BC144" s="6"/>
      <c r="BD144" t="s">
        <v>1043</v>
      </c>
      <c r="BF144" s="5">
        <v>6.8391824000000004E-2</v>
      </c>
      <c r="BG144" s="5">
        <f t="shared" si="6"/>
        <v>-1.3770212676377805E-2</v>
      </c>
      <c r="BH144" s="2">
        <v>156.70670000000001</v>
      </c>
    </row>
    <row r="145" spans="1:60" x14ac:dyDescent="0.2">
      <c r="A145" t="str">
        <f t="shared" si="7"/>
        <v>Scooter, electric, &lt;4kW - 2020 - LFP - CH</v>
      </c>
      <c r="B145" t="s">
        <v>608</v>
      </c>
      <c r="D145" s="19">
        <v>2020</v>
      </c>
      <c r="E145" t="s">
        <v>37</v>
      </c>
      <c r="F145" t="s">
        <v>140</v>
      </c>
      <c r="G145" t="s">
        <v>39</v>
      </c>
      <c r="H145" t="s">
        <v>32</v>
      </c>
      <c r="I145" t="s">
        <v>44</v>
      </c>
      <c r="J145" t="s">
        <v>861</v>
      </c>
      <c r="L145" s="26">
        <v>0</v>
      </c>
      <c r="M145" s="26">
        <v>0</v>
      </c>
      <c r="N145" s="26">
        <v>8.2069290027614555E-4</v>
      </c>
      <c r="O145" s="26">
        <v>1.2306591692257861E-2</v>
      </c>
      <c r="P145" s="26">
        <v>4.5680500322724032E-3</v>
      </c>
      <c r="Q145" s="26">
        <v>5.8797909621316473E-2</v>
      </c>
      <c r="R145" s="26">
        <v>7.6493244246122888E-2</v>
      </c>
      <c r="S145" s="28">
        <v>0</v>
      </c>
      <c r="T145" s="28">
        <v>0</v>
      </c>
      <c r="U145" s="28">
        <v>4.6780531356812222E-4</v>
      </c>
      <c r="V145" s="28">
        <v>4.722191823356421E-4</v>
      </c>
      <c r="W145" s="28">
        <v>3.1558995838955599E-4</v>
      </c>
      <c r="X145" s="28">
        <v>3.6415235241779427E-2</v>
      </c>
      <c r="Y145" s="28">
        <v>3.7670849696072747E-2</v>
      </c>
      <c r="Z145" s="30">
        <v>0</v>
      </c>
      <c r="AA145" s="30">
        <v>2.3145477658575108E-3</v>
      </c>
      <c r="AB145" s="30">
        <v>8.2547439225250213E-5</v>
      </c>
      <c r="AC145" s="30">
        <v>1.5438989133449149E-4</v>
      </c>
      <c r="AD145" s="30">
        <v>1.407766694346754E-4</v>
      </c>
      <c r="AE145" s="30">
        <v>4.4453693114975641E-3</v>
      </c>
      <c r="AF145" s="30">
        <v>7.1376310773494916E-3</v>
      </c>
      <c r="AG145" s="32">
        <v>0</v>
      </c>
      <c r="AH145" s="32">
        <v>1.228469691721989E-5</v>
      </c>
      <c r="AI145" s="32">
        <v>3.0935457184536091E-4</v>
      </c>
      <c r="AJ145" s="32">
        <v>3.7507357872791961E-4</v>
      </c>
      <c r="AK145" s="32">
        <v>1.899191598801197E-4</v>
      </c>
      <c r="AL145" s="32">
        <v>1.5198204312620671E-2</v>
      </c>
      <c r="AM145" s="32">
        <v>1.6084836319991292E-2</v>
      </c>
      <c r="AN145" s="34">
        <v>0</v>
      </c>
      <c r="AO145" s="34">
        <v>8.7500264113198857E-6</v>
      </c>
      <c r="AP145" s="34">
        <v>7.308690791712847E-7</v>
      </c>
      <c r="AQ145" s="34">
        <v>7.4641524221169363E-7</v>
      </c>
      <c r="AR145" s="34">
        <v>7.7157015966747627E-7</v>
      </c>
      <c r="AS145" s="34">
        <v>1.095171499273861E-5</v>
      </c>
      <c r="AT145" s="34">
        <v>2.1950595885108951E-5</v>
      </c>
      <c r="AU145" s="36">
        <v>0</v>
      </c>
      <c r="AV145" s="36">
        <v>0</v>
      </c>
      <c r="AW145" s="36">
        <v>8.1766643948489922E-3</v>
      </c>
      <c r="AX145" s="36">
        <v>0.17647448414364728</v>
      </c>
      <c r="AY145" s="36">
        <v>0.1601149592828387</v>
      </c>
      <c r="AZ145" s="36">
        <v>0.79945311067587588</v>
      </c>
      <c r="BA145" s="36">
        <v>1.1442192184972109</v>
      </c>
      <c r="BB145" s="6"/>
      <c r="BC145" s="6"/>
      <c r="BD145" t="s">
        <v>926</v>
      </c>
      <c r="BF145" s="5">
        <v>6.829797E-2</v>
      </c>
      <c r="BG145" s="5">
        <f t="shared" si="6"/>
        <v>-8.1952742461228884E-3</v>
      </c>
      <c r="BH145" s="2">
        <v>175.3049</v>
      </c>
    </row>
    <row r="146" spans="1:60" x14ac:dyDescent="0.2">
      <c r="A146" t="str">
        <f t="shared" si="7"/>
        <v>Scooter, electric, &lt;4kW - 2030 - LFP - CH</v>
      </c>
      <c r="B146" t="s">
        <v>608</v>
      </c>
      <c r="D146" s="19">
        <v>2030</v>
      </c>
      <c r="E146" t="s">
        <v>37</v>
      </c>
      <c r="F146" t="s">
        <v>140</v>
      </c>
      <c r="G146" t="s">
        <v>39</v>
      </c>
      <c r="H146" t="s">
        <v>32</v>
      </c>
      <c r="I146" t="s">
        <v>44</v>
      </c>
      <c r="J146" t="s">
        <v>861</v>
      </c>
      <c r="L146" s="26">
        <v>0</v>
      </c>
      <c r="M146" s="26">
        <v>0</v>
      </c>
      <c r="N146" s="26">
        <v>8.2069290027614555E-4</v>
      </c>
      <c r="O146" s="26">
        <v>1.2306591692257861E-2</v>
      </c>
      <c r="P146" s="26">
        <v>4.6192310604439447E-3</v>
      </c>
      <c r="Q146" s="26">
        <v>6.4497265549715438E-2</v>
      </c>
      <c r="R146" s="26">
        <v>8.2243781202693392E-2</v>
      </c>
      <c r="S146" s="28">
        <v>0</v>
      </c>
      <c r="T146" s="28">
        <v>0</v>
      </c>
      <c r="U146" s="28">
        <v>4.6780531356812222E-4</v>
      </c>
      <c r="V146" s="28">
        <v>4.722191823356421E-4</v>
      </c>
      <c r="W146" s="28">
        <v>3.1882396679996239E-4</v>
      </c>
      <c r="X146" s="28">
        <v>3.871417729214565E-2</v>
      </c>
      <c r="Y146" s="28">
        <v>3.997302575484938E-2</v>
      </c>
      <c r="Z146" s="30">
        <v>0</v>
      </c>
      <c r="AA146" s="30">
        <v>2.3145477658575108E-3</v>
      </c>
      <c r="AB146" s="30">
        <v>8.2547439225250213E-5</v>
      </c>
      <c r="AC146" s="30">
        <v>1.5438989133449149E-4</v>
      </c>
      <c r="AD146" s="30">
        <v>1.4224673917991051E-4</v>
      </c>
      <c r="AE146" s="30">
        <v>4.8788215979681049E-3</v>
      </c>
      <c r="AF146" s="30">
        <v>7.572553433565268E-3</v>
      </c>
      <c r="AG146" s="32">
        <v>0</v>
      </c>
      <c r="AH146" s="32">
        <v>1.228469691721989E-5</v>
      </c>
      <c r="AI146" s="32">
        <v>3.0935457184536091E-4</v>
      </c>
      <c r="AJ146" s="32">
        <v>3.7507357872791961E-4</v>
      </c>
      <c r="AK146" s="32">
        <v>1.9129113842685031E-4</v>
      </c>
      <c r="AL146" s="32">
        <v>1.657752604065503E-2</v>
      </c>
      <c r="AM146" s="32">
        <v>1.746553002657238E-2</v>
      </c>
      <c r="AN146" s="34">
        <v>0</v>
      </c>
      <c r="AO146" s="34">
        <v>8.7500264113198857E-6</v>
      </c>
      <c r="AP146" s="34">
        <v>7.308690791712847E-7</v>
      </c>
      <c r="AQ146" s="34">
        <v>7.4641524221169363E-7</v>
      </c>
      <c r="AR146" s="34">
        <v>7.7698743567950284E-7</v>
      </c>
      <c r="AS146" s="34">
        <v>1.154459782110781E-5</v>
      </c>
      <c r="AT146" s="34">
        <v>2.2548895989490177E-5</v>
      </c>
      <c r="AU146" s="36">
        <v>0</v>
      </c>
      <c r="AV146" s="36">
        <v>0</v>
      </c>
      <c r="AW146" s="36">
        <v>8.1766643948489922E-3</v>
      </c>
      <c r="AX146" s="36">
        <v>0.17647448414364728</v>
      </c>
      <c r="AY146" s="36">
        <v>0.16179161641112952</v>
      </c>
      <c r="AZ146" s="36">
        <v>0.86824376484824595</v>
      </c>
      <c r="BA146" s="36">
        <v>1.2146865297978717</v>
      </c>
      <c r="BB146" s="6"/>
      <c r="BC146" s="6"/>
      <c r="BD146" t="s">
        <v>1044</v>
      </c>
      <c r="BF146" s="5">
        <v>7.173146200000001E-2</v>
      </c>
      <c r="BG146" s="5">
        <f t="shared" si="6"/>
        <v>-1.0512319202693382E-2</v>
      </c>
      <c r="BH146" s="2">
        <v>185.04839000000001</v>
      </c>
    </row>
    <row r="147" spans="1:60" x14ac:dyDescent="0.2">
      <c r="A147" t="str">
        <f t="shared" si="7"/>
        <v>Scooter, electric, &lt;4kW - 2040 - LFP - CH</v>
      </c>
      <c r="B147" t="s">
        <v>608</v>
      </c>
      <c r="D147" s="19">
        <v>2040</v>
      </c>
      <c r="E147" t="s">
        <v>37</v>
      </c>
      <c r="F147" t="s">
        <v>140</v>
      </c>
      <c r="G147" t="s">
        <v>39</v>
      </c>
      <c r="H147" t="s">
        <v>32</v>
      </c>
      <c r="I147" t="s">
        <v>44</v>
      </c>
      <c r="J147" t="s">
        <v>861</v>
      </c>
      <c r="L147" s="26">
        <v>0</v>
      </c>
      <c r="M147" s="26">
        <v>0</v>
      </c>
      <c r="N147" s="26">
        <v>8.2069290027614555E-4</v>
      </c>
      <c r="O147" s="26">
        <v>1.2306591692257861E-2</v>
      </c>
      <c r="P147" s="26">
        <v>4.6441463430581366E-3</v>
      </c>
      <c r="Q147" s="26">
        <v>6.5440864546142355E-2</v>
      </c>
      <c r="R147" s="26">
        <v>8.3212295481734505E-2</v>
      </c>
      <c r="S147" s="28">
        <v>0</v>
      </c>
      <c r="T147" s="28">
        <v>0</v>
      </c>
      <c r="U147" s="28">
        <v>4.6780531356812222E-4</v>
      </c>
      <c r="V147" s="28">
        <v>4.722191823356421E-4</v>
      </c>
      <c r="W147" s="28">
        <v>3.2039830472166051E-4</v>
      </c>
      <c r="X147" s="28">
        <v>3.8330651956681491E-2</v>
      </c>
      <c r="Y147" s="28">
        <v>3.9591074757306915E-2</v>
      </c>
      <c r="Z147" s="30">
        <v>0</v>
      </c>
      <c r="AA147" s="30">
        <v>2.3145477658575108E-3</v>
      </c>
      <c r="AB147" s="30">
        <v>8.2547439225250213E-5</v>
      </c>
      <c r="AC147" s="30">
        <v>1.5438989133449149E-4</v>
      </c>
      <c r="AD147" s="30">
        <v>1.4296237941758489E-4</v>
      </c>
      <c r="AE147" s="30">
        <v>4.8890465065137504E-3</v>
      </c>
      <c r="AF147" s="30">
        <v>7.5834939823485881E-3</v>
      </c>
      <c r="AG147" s="32">
        <v>0</v>
      </c>
      <c r="AH147" s="32">
        <v>1.228469691721989E-5</v>
      </c>
      <c r="AI147" s="32">
        <v>3.0935457184536091E-4</v>
      </c>
      <c r="AJ147" s="32">
        <v>3.7507357872791961E-4</v>
      </c>
      <c r="AK147" s="32">
        <v>1.9195902718277441E-4</v>
      </c>
      <c r="AL147" s="32">
        <v>1.660881184858444E-2</v>
      </c>
      <c r="AM147" s="32">
        <v>1.7497483723257715E-2</v>
      </c>
      <c r="AN147" s="34">
        <v>0</v>
      </c>
      <c r="AO147" s="34">
        <v>8.7500264113198857E-6</v>
      </c>
      <c r="AP147" s="34">
        <v>7.308690791712847E-7</v>
      </c>
      <c r="AQ147" s="34">
        <v>7.4641524221169363E-7</v>
      </c>
      <c r="AR147" s="34">
        <v>7.7962460354542263E-7</v>
      </c>
      <c r="AS147" s="34">
        <v>1.147640647557148E-5</v>
      </c>
      <c r="AT147" s="34">
        <v>2.2483341811819769E-5</v>
      </c>
      <c r="AU147" s="36">
        <v>0</v>
      </c>
      <c r="AV147" s="36">
        <v>0</v>
      </c>
      <c r="AW147" s="36">
        <v>8.1766643948489922E-3</v>
      </c>
      <c r="AX147" s="36">
        <v>0.17647448414364728</v>
      </c>
      <c r="AY147" s="36">
        <v>0.16260782483231345</v>
      </c>
      <c r="AZ147" s="36">
        <v>0.87552864290887888</v>
      </c>
      <c r="BA147" s="36">
        <v>1.2227876162796885</v>
      </c>
      <c r="BB147" s="6"/>
      <c r="BC147" s="6"/>
      <c r="BD147" t="s">
        <v>1045</v>
      </c>
      <c r="BF147" s="5">
        <v>7.1897812999999991E-2</v>
      </c>
      <c r="BG147" s="5">
        <f t="shared" si="6"/>
        <v>-1.1314482481734514E-2</v>
      </c>
      <c r="BH147" s="2">
        <v>182.21646999999999</v>
      </c>
    </row>
    <row r="148" spans="1:60" x14ac:dyDescent="0.2">
      <c r="A148" t="str">
        <f t="shared" si="7"/>
        <v>Scooter, electric, &lt;4kW - 2050 - LFP - CH</v>
      </c>
      <c r="B148" t="s">
        <v>608</v>
      </c>
      <c r="D148" s="19">
        <v>2050</v>
      </c>
      <c r="E148" t="s">
        <v>37</v>
      </c>
      <c r="F148" t="s">
        <v>140</v>
      </c>
      <c r="G148" t="s">
        <v>39</v>
      </c>
      <c r="H148" t="s">
        <v>32</v>
      </c>
      <c r="I148" t="s">
        <v>44</v>
      </c>
      <c r="J148" t="s">
        <v>861</v>
      </c>
      <c r="L148" s="26">
        <v>0</v>
      </c>
      <c r="M148" s="26">
        <v>0</v>
      </c>
      <c r="N148" s="26">
        <v>8.2069290027614555E-4</v>
      </c>
      <c r="O148" s="26">
        <v>1.2306591692257861E-2</v>
      </c>
      <c r="P148" s="26">
        <v>4.6453905898147536E-3</v>
      </c>
      <c r="Q148" s="26">
        <v>6.1967285703291297E-2</v>
      </c>
      <c r="R148" s="26">
        <v>7.973996088564006E-2</v>
      </c>
      <c r="S148" s="28">
        <v>0</v>
      </c>
      <c r="T148" s="28">
        <v>0</v>
      </c>
      <c r="U148" s="28">
        <v>4.6780531356812222E-4</v>
      </c>
      <c r="V148" s="28">
        <v>4.722191823356421E-4</v>
      </c>
      <c r="W148" s="28">
        <v>3.2047692573845658E-4</v>
      </c>
      <c r="X148" s="28">
        <v>3.4998725192855157E-2</v>
      </c>
      <c r="Y148" s="28">
        <v>3.6259226614497375E-2</v>
      </c>
      <c r="Z148" s="30">
        <v>0</v>
      </c>
      <c r="AA148" s="30">
        <v>2.3145477658575108E-3</v>
      </c>
      <c r="AB148" s="30">
        <v>8.2547439225250213E-5</v>
      </c>
      <c r="AC148" s="30">
        <v>1.5438989133449149E-4</v>
      </c>
      <c r="AD148" s="30">
        <v>1.4299811784601929E-4</v>
      </c>
      <c r="AE148" s="30">
        <v>4.4688020293989616E-3</v>
      </c>
      <c r="AF148" s="30">
        <v>7.1632852436622329E-3</v>
      </c>
      <c r="AG148" s="32">
        <v>0</v>
      </c>
      <c r="AH148" s="32">
        <v>1.228469691721989E-5</v>
      </c>
      <c r="AI148" s="32">
        <v>3.0935457184536091E-4</v>
      </c>
      <c r="AJ148" s="32">
        <v>3.7507357872791961E-4</v>
      </c>
      <c r="AK148" s="32">
        <v>1.9199238094525051E-4</v>
      </c>
      <c r="AL148" s="32">
        <v>1.5273393428673751E-2</v>
      </c>
      <c r="AM148" s="32">
        <v>1.6162098657109502E-2</v>
      </c>
      <c r="AN148" s="34">
        <v>0</v>
      </c>
      <c r="AO148" s="34">
        <v>8.7500264113198857E-6</v>
      </c>
      <c r="AP148" s="34">
        <v>7.308690791712847E-7</v>
      </c>
      <c r="AQ148" s="34">
        <v>7.4641524221169363E-7</v>
      </c>
      <c r="AR148" s="34">
        <v>7.7975630133166223E-7</v>
      </c>
      <c r="AS148" s="34">
        <v>1.068917165979742E-5</v>
      </c>
      <c r="AT148" s="34">
        <v>2.1696238693831949E-5</v>
      </c>
      <c r="AU148" s="36">
        <v>0</v>
      </c>
      <c r="AV148" s="36">
        <v>0</v>
      </c>
      <c r="AW148" s="36">
        <v>8.1766643948489922E-3</v>
      </c>
      <c r="AX148" s="36">
        <v>0.17647448414364728</v>
      </c>
      <c r="AY148" s="36">
        <v>0.16264858554518624</v>
      </c>
      <c r="AZ148" s="36">
        <v>0.82311825228728053</v>
      </c>
      <c r="BA148" s="36">
        <v>1.1704179863709632</v>
      </c>
      <c r="BB148" s="6"/>
      <c r="BC148" s="6"/>
      <c r="BD148" t="s">
        <v>1046</v>
      </c>
      <c r="BF148" s="5">
        <v>6.875705800000001E-2</v>
      </c>
      <c r="BG148" s="5">
        <f t="shared" si="6"/>
        <v>-1.098290288564005E-2</v>
      </c>
      <c r="BH148" s="2">
        <v>164.96872000000002</v>
      </c>
    </row>
    <row r="149" spans="1:60" x14ac:dyDescent="0.2">
      <c r="A149" t="str">
        <f t="shared" si="7"/>
        <v>Scooter, electric, 4-11kW - 2020 - LFP - CH</v>
      </c>
      <c r="B149" t="s">
        <v>569</v>
      </c>
      <c r="D149" s="19">
        <v>2020</v>
      </c>
      <c r="E149" t="s">
        <v>37</v>
      </c>
      <c r="F149" t="s">
        <v>140</v>
      </c>
      <c r="G149" t="s">
        <v>39</v>
      </c>
      <c r="H149" t="s">
        <v>32</v>
      </c>
      <c r="I149" t="s">
        <v>44</v>
      </c>
      <c r="J149" t="s">
        <v>861</v>
      </c>
      <c r="L149" s="26">
        <v>0</v>
      </c>
      <c r="M149" s="26">
        <v>0</v>
      </c>
      <c r="N149" s="26">
        <v>1.164988379267724E-3</v>
      </c>
      <c r="O149" s="26">
        <v>1.476791003070943E-2</v>
      </c>
      <c r="P149" s="26">
        <v>4.7364785566436198E-3</v>
      </c>
      <c r="Q149" s="26">
        <v>6.8503985953146843E-2</v>
      </c>
      <c r="R149" s="26">
        <v>8.9173362919767615E-2</v>
      </c>
      <c r="S149" s="28">
        <v>0</v>
      </c>
      <c r="T149" s="28">
        <v>0</v>
      </c>
      <c r="U149" s="28">
        <v>6.6405808297254575E-4</v>
      </c>
      <c r="V149" s="28">
        <v>5.6666301880277056E-4</v>
      </c>
      <c r="W149" s="28">
        <v>3.2623255944366558E-4</v>
      </c>
      <c r="X149" s="28">
        <v>4.4186015657153251E-2</v>
      </c>
      <c r="Y149" s="28">
        <v>4.5742969318372233E-2</v>
      </c>
      <c r="Z149" s="30">
        <v>0</v>
      </c>
      <c r="AA149" s="30">
        <v>2.3145477658575108E-3</v>
      </c>
      <c r="AB149" s="30">
        <v>1.17177579339808E-4</v>
      </c>
      <c r="AC149" s="30">
        <v>1.8526786960138981E-4</v>
      </c>
      <c r="AD149" s="30">
        <v>1.4561443230811421E-4</v>
      </c>
      <c r="AE149" s="30">
        <v>5.2687619062689673E-3</v>
      </c>
      <c r="AF149" s="30">
        <v>8.0313695533757896E-3</v>
      </c>
      <c r="AG149" s="32">
        <v>0</v>
      </c>
      <c r="AH149" s="32">
        <v>1.228469691721989E-5</v>
      </c>
      <c r="AI149" s="32">
        <v>4.3913439625458252E-4</v>
      </c>
      <c r="AJ149" s="32">
        <v>4.5008829447350349E-4</v>
      </c>
      <c r="AK149" s="32">
        <v>1.944341204104222E-4</v>
      </c>
      <c r="AL149" s="32">
        <v>1.8177658043692691E-2</v>
      </c>
      <c r="AM149" s="32">
        <v>1.927359955174842E-2</v>
      </c>
      <c r="AN149" s="34">
        <v>0</v>
      </c>
      <c r="AO149" s="34">
        <v>8.7500264113198857E-6</v>
      </c>
      <c r="AP149" s="34">
        <v>1.037481844565918E-6</v>
      </c>
      <c r="AQ149" s="34">
        <v>8.9569829065403236E-7</v>
      </c>
      <c r="AR149" s="34">
        <v>7.8939754292673927E-7</v>
      </c>
      <c r="AS149" s="34">
        <v>1.245653359270986E-5</v>
      </c>
      <c r="AT149" s="34">
        <v>2.3929137682176438E-5</v>
      </c>
      <c r="AU149" s="36">
        <v>0</v>
      </c>
      <c r="AV149" s="36">
        <v>0</v>
      </c>
      <c r="AW149" s="36">
        <v>1.1606922635697264E-2</v>
      </c>
      <c r="AX149" s="36">
        <v>0.21176938097237663</v>
      </c>
      <c r="AY149" s="36">
        <v>0.1656325679765914</v>
      </c>
      <c r="AZ149" s="36">
        <v>0.93047283691177507</v>
      </c>
      <c r="BA149" s="36">
        <v>1.3194817084964403</v>
      </c>
      <c r="BB149" s="6"/>
      <c r="BC149" s="6"/>
      <c r="BD149" t="s">
        <v>932</v>
      </c>
      <c r="BF149" s="5">
        <v>7.7927131000000011E-2</v>
      </c>
      <c r="BG149" s="5">
        <f t="shared" si="6"/>
        <v>-1.1246231919767605E-2</v>
      </c>
      <c r="BH149" s="2">
        <v>203.41168000000002</v>
      </c>
    </row>
    <row r="150" spans="1:60" x14ac:dyDescent="0.2">
      <c r="A150" t="str">
        <f t="shared" si="7"/>
        <v>Scooter, electric, 4-11kW - 2030 - LFP - CH</v>
      </c>
      <c r="B150" t="s">
        <v>569</v>
      </c>
      <c r="D150" s="19">
        <v>2030</v>
      </c>
      <c r="E150" t="s">
        <v>37</v>
      </c>
      <c r="F150" t="s">
        <v>140</v>
      </c>
      <c r="G150" t="s">
        <v>39</v>
      </c>
      <c r="H150" t="s">
        <v>32</v>
      </c>
      <c r="I150" t="s">
        <v>44</v>
      </c>
      <c r="J150" t="s">
        <v>861</v>
      </c>
      <c r="L150" s="26">
        <v>0</v>
      </c>
      <c r="M150" s="26">
        <v>0</v>
      </c>
      <c r="N150" s="26">
        <v>1.164988379267724E-3</v>
      </c>
      <c r="O150" s="26">
        <v>1.476791003070943E-2</v>
      </c>
      <c r="P150" s="26">
        <v>4.8108147134809714E-3</v>
      </c>
      <c r="Q150" s="26">
        <v>7.3981881923108436E-2</v>
      </c>
      <c r="R150" s="26">
        <v>9.4725595046566566E-2</v>
      </c>
      <c r="S150" s="28">
        <v>0</v>
      </c>
      <c r="T150" s="28">
        <v>0</v>
      </c>
      <c r="U150" s="28">
        <v>6.6405808297254575E-4</v>
      </c>
      <c r="V150" s="28">
        <v>5.6666301880277056E-4</v>
      </c>
      <c r="W150" s="28">
        <v>3.3092968580079022E-4</v>
      </c>
      <c r="X150" s="28">
        <v>4.6563256374028167E-2</v>
      </c>
      <c r="Y150" s="28">
        <v>4.8124907161604273E-2</v>
      </c>
      <c r="Z150" s="30">
        <v>0</v>
      </c>
      <c r="AA150" s="30">
        <v>2.3145477658575108E-3</v>
      </c>
      <c r="AB150" s="30">
        <v>1.17177579339808E-4</v>
      </c>
      <c r="AC150" s="30">
        <v>1.8526786960138981E-4</v>
      </c>
      <c r="AD150" s="30">
        <v>1.4774958548982369E-4</v>
      </c>
      <c r="AE150" s="30">
        <v>5.6999089564318582E-3</v>
      </c>
      <c r="AF150" s="30">
        <v>8.4646517567203913E-3</v>
      </c>
      <c r="AG150" s="32">
        <v>0</v>
      </c>
      <c r="AH150" s="32">
        <v>1.228469691721989E-5</v>
      </c>
      <c r="AI150" s="32">
        <v>4.3913439625458252E-4</v>
      </c>
      <c r="AJ150" s="32">
        <v>4.5008829447350349E-4</v>
      </c>
      <c r="AK150" s="32">
        <v>1.9642680434176919E-4</v>
      </c>
      <c r="AL150" s="32">
        <v>1.9540880521870019E-2</v>
      </c>
      <c r="AM150" s="32">
        <v>2.0638814713857093E-2</v>
      </c>
      <c r="AN150" s="34">
        <v>0</v>
      </c>
      <c r="AO150" s="34">
        <v>8.7500264113198857E-6</v>
      </c>
      <c r="AP150" s="34">
        <v>1.037481844565918E-6</v>
      </c>
      <c r="AQ150" s="34">
        <v>8.9569829065403236E-7</v>
      </c>
      <c r="AR150" s="34">
        <v>7.9726568261927352E-7</v>
      </c>
      <c r="AS150" s="34">
        <v>1.307285901022128E-5</v>
      </c>
      <c r="AT150" s="34">
        <v>2.455333123938039E-5</v>
      </c>
      <c r="AU150" s="36">
        <v>0</v>
      </c>
      <c r="AV150" s="36">
        <v>0</v>
      </c>
      <c r="AW150" s="36">
        <v>1.1606922635697264E-2</v>
      </c>
      <c r="AX150" s="36">
        <v>0.21176938097237663</v>
      </c>
      <c r="AY150" s="36">
        <v>0.16806777202980711</v>
      </c>
      <c r="AZ150" s="36">
        <v>0.99769598434383955</v>
      </c>
      <c r="BA150" s="36">
        <v>1.3891400599817205</v>
      </c>
      <c r="BB150" s="6"/>
      <c r="BC150" s="6"/>
      <c r="BD150" t="s">
        <v>1047</v>
      </c>
      <c r="BF150" s="5">
        <v>8.1398964000000004E-2</v>
      </c>
      <c r="BG150" s="5">
        <f t="shared" si="6"/>
        <v>-1.3326631046566562E-2</v>
      </c>
      <c r="BH150" s="2">
        <v>213.96475000000001</v>
      </c>
    </row>
    <row r="151" spans="1:60" x14ac:dyDescent="0.2">
      <c r="A151" t="str">
        <f t="shared" si="7"/>
        <v>Scooter, electric, 4-11kW - 2040 - LFP - CH</v>
      </c>
      <c r="B151" t="s">
        <v>569</v>
      </c>
      <c r="D151" s="19">
        <v>2040</v>
      </c>
      <c r="E151" t="s">
        <v>37</v>
      </c>
      <c r="F151" t="s">
        <v>140</v>
      </c>
      <c r="G151" t="s">
        <v>39</v>
      </c>
      <c r="H151" t="s">
        <v>32</v>
      </c>
      <c r="I151" t="s">
        <v>44</v>
      </c>
      <c r="J151" t="s">
        <v>861</v>
      </c>
      <c r="L151" s="26">
        <v>0</v>
      </c>
      <c r="M151" s="26">
        <v>0</v>
      </c>
      <c r="N151" s="26">
        <v>1.164988379267724E-3</v>
      </c>
      <c r="O151" s="26">
        <v>1.476791003070943E-2</v>
      </c>
      <c r="P151" s="26">
        <v>4.8455777539615523E-3</v>
      </c>
      <c r="Q151" s="26">
        <v>7.4107235038086375E-2</v>
      </c>
      <c r="R151" s="26">
        <v>9.4885711202025075E-2</v>
      </c>
      <c r="S151" s="28">
        <v>0</v>
      </c>
      <c r="T151" s="28">
        <v>0</v>
      </c>
      <c r="U151" s="28">
        <v>6.6405808297254575E-4</v>
      </c>
      <c r="V151" s="28">
        <v>5.6666301880277056E-4</v>
      </c>
      <c r="W151" s="28">
        <v>3.3312628030664302E-4</v>
      </c>
      <c r="X151" s="28">
        <v>4.5783552173533693E-2</v>
      </c>
      <c r="Y151" s="28">
        <v>4.7347399555615649E-2</v>
      </c>
      <c r="Z151" s="30">
        <v>0</v>
      </c>
      <c r="AA151" s="30">
        <v>2.3145477658575108E-3</v>
      </c>
      <c r="AB151" s="30">
        <v>1.17177579339808E-4</v>
      </c>
      <c r="AC151" s="30">
        <v>1.8526786960138981E-4</v>
      </c>
      <c r="AD151" s="30">
        <v>1.4874808231352181E-4</v>
      </c>
      <c r="AE151" s="30">
        <v>5.6432118889882411E-3</v>
      </c>
      <c r="AF151" s="30">
        <v>8.4089531861004721E-3</v>
      </c>
      <c r="AG151" s="32">
        <v>0</v>
      </c>
      <c r="AH151" s="32">
        <v>1.228469691721989E-5</v>
      </c>
      <c r="AI151" s="32">
        <v>4.3913439625458252E-4</v>
      </c>
      <c r="AJ151" s="32">
        <v>4.5008829447350349E-4</v>
      </c>
      <c r="AK151" s="32">
        <v>1.9735867592509559E-4</v>
      </c>
      <c r="AL151" s="32">
        <v>1.9353588504770501E-2</v>
      </c>
      <c r="AM151" s="32">
        <v>2.0452454568340904E-2</v>
      </c>
      <c r="AN151" s="34">
        <v>0</v>
      </c>
      <c r="AO151" s="34">
        <v>8.7500264113198857E-6</v>
      </c>
      <c r="AP151" s="34">
        <v>1.037481844565918E-6</v>
      </c>
      <c r="AQ151" s="34">
        <v>8.9569829065403236E-7</v>
      </c>
      <c r="AR151" s="34">
        <v>8.009451902811628E-7</v>
      </c>
      <c r="AS151" s="34">
        <v>1.2911245063590589E-5</v>
      </c>
      <c r="AT151" s="34">
        <v>2.4395396800411589E-5</v>
      </c>
      <c r="AU151" s="36">
        <v>0</v>
      </c>
      <c r="AV151" s="36">
        <v>0</v>
      </c>
      <c r="AW151" s="36">
        <v>1.1606922635697264E-2</v>
      </c>
      <c r="AX151" s="36">
        <v>0.21176938097237663</v>
      </c>
      <c r="AY151" s="36">
        <v>0.16920658658092311</v>
      </c>
      <c r="AZ151" s="36">
        <v>0.99487468077250452</v>
      </c>
      <c r="BA151" s="36">
        <v>1.3874575709615016</v>
      </c>
      <c r="BB151" s="6"/>
      <c r="BC151" s="6"/>
      <c r="BD151" t="s">
        <v>1048</v>
      </c>
      <c r="BF151" s="5">
        <v>8.108528000000001E-2</v>
      </c>
      <c r="BG151" s="5">
        <f t="shared" si="6"/>
        <v>-1.3800431202025065E-2</v>
      </c>
      <c r="BH151" s="2">
        <v>209.47385</v>
      </c>
    </row>
    <row r="152" spans="1:60" x14ac:dyDescent="0.2">
      <c r="A152" t="str">
        <f t="shared" si="7"/>
        <v>Scooter, electric, 4-11kW - 2050 - LFP - CH</v>
      </c>
      <c r="B152" t="s">
        <v>569</v>
      </c>
      <c r="D152" s="19">
        <v>2050</v>
      </c>
      <c r="E152" t="s">
        <v>37</v>
      </c>
      <c r="F152" t="s">
        <v>140</v>
      </c>
      <c r="G152" t="s">
        <v>39</v>
      </c>
      <c r="H152" t="s">
        <v>32</v>
      </c>
      <c r="I152" t="s">
        <v>44</v>
      </c>
      <c r="J152" t="s">
        <v>861</v>
      </c>
      <c r="L152" s="26">
        <v>0</v>
      </c>
      <c r="M152" s="26">
        <v>0</v>
      </c>
      <c r="N152" s="26">
        <v>1.164988379267724E-3</v>
      </c>
      <c r="O152" s="26">
        <v>1.476791003070943E-2</v>
      </c>
      <c r="P152" s="26">
        <v>4.8339850158877129E-3</v>
      </c>
      <c r="Q152" s="26">
        <v>6.7916981923175565E-2</v>
      </c>
      <c r="R152" s="26">
        <v>8.8683865349040436E-2</v>
      </c>
      <c r="S152" s="28">
        <v>0</v>
      </c>
      <c r="T152" s="28">
        <v>0</v>
      </c>
      <c r="U152" s="28">
        <v>6.6405808297254575E-4</v>
      </c>
      <c r="V152" s="28">
        <v>5.6666301880277056E-4</v>
      </c>
      <c r="W152" s="28">
        <v>3.3239376254039612E-4</v>
      </c>
      <c r="X152" s="28">
        <v>4.079598865565106E-2</v>
      </c>
      <c r="Y152" s="28">
        <v>4.2359103519966773E-2</v>
      </c>
      <c r="Z152" s="30">
        <v>0</v>
      </c>
      <c r="AA152" s="30">
        <v>2.3145477658575108E-3</v>
      </c>
      <c r="AB152" s="30">
        <v>1.17177579339808E-4</v>
      </c>
      <c r="AC152" s="30">
        <v>1.8526786960138981E-4</v>
      </c>
      <c r="AD152" s="30">
        <v>1.484151047607914E-4</v>
      </c>
      <c r="AE152" s="30">
        <v>4.9713655173559456E-3</v>
      </c>
      <c r="AF152" s="30">
        <v>7.7367738369154455E-3</v>
      </c>
      <c r="AG152" s="32">
        <v>0</v>
      </c>
      <c r="AH152" s="32">
        <v>1.228469691721989E-5</v>
      </c>
      <c r="AI152" s="32">
        <v>4.3913439625458252E-4</v>
      </c>
      <c r="AJ152" s="32">
        <v>4.5008829447350349E-4</v>
      </c>
      <c r="AK152" s="32">
        <v>1.970479164795865E-4</v>
      </c>
      <c r="AL152" s="32">
        <v>1.7215818727816589E-2</v>
      </c>
      <c r="AM152" s="32">
        <v>1.8314374031941482E-2</v>
      </c>
      <c r="AN152" s="34">
        <v>0</v>
      </c>
      <c r="AO152" s="34">
        <v>8.7500264113198857E-6</v>
      </c>
      <c r="AP152" s="34">
        <v>1.037481844565918E-6</v>
      </c>
      <c r="AQ152" s="34">
        <v>8.9569829065403236E-7</v>
      </c>
      <c r="AR152" s="34">
        <v>7.9971815237034508E-7</v>
      </c>
      <c r="AS152" s="34">
        <v>1.1720410589530591E-5</v>
      </c>
      <c r="AT152" s="34">
        <v>2.3203335288440771E-5</v>
      </c>
      <c r="AU152" s="36">
        <v>0</v>
      </c>
      <c r="AV152" s="36">
        <v>0</v>
      </c>
      <c r="AW152" s="36">
        <v>1.1606922635697264E-2</v>
      </c>
      <c r="AX152" s="36">
        <v>0.21176938097237663</v>
      </c>
      <c r="AY152" s="36">
        <v>0.16882681603659636</v>
      </c>
      <c r="AZ152" s="36">
        <v>0.9066855887612052</v>
      </c>
      <c r="BA152" s="36">
        <v>1.2988887084058756</v>
      </c>
      <c r="BB152" s="6"/>
      <c r="BC152" s="6"/>
      <c r="BD152" t="s">
        <v>1049</v>
      </c>
      <c r="BF152" s="5">
        <v>7.6017019000000005E-2</v>
      </c>
      <c r="BG152" s="5">
        <f t="shared" si="6"/>
        <v>-1.2666846349040431E-2</v>
      </c>
      <c r="BH152" s="2">
        <v>184.34161</v>
      </c>
    </row>
    <row r="153" spans="1:60" x14ac:dyDescent="0.2">
      <c r="A153" t="str">
        <f t="shared" si="7"/>
        <v>Scooter, electric, &lt;4kW - 2020 - NCA - CH</v>
      </c>
      <c r="B153" t="s">
        <v>608</v>
      </c>
      <c r="D153" s="19">
        <v>2020</v>
      </c>
      <c r="E153" t="s">
        <v>37</v>
      </c>
      <c r="F153" t="s">
        <v>140</v>
      </c>
      <c r="G153" t="s">
        <v>39</v>
      </c>
      <c r="H153" t="s">
        <v>32</v>
      </c>
      <c r="I153" t="s">
        <v>45</v>
      </c>
      <c r="J153" t="s">
        <v>861</v>
      </c>
      <c r="L153" s="26">
        <v>0</v>
      </c>
      <c r="M153" s="26">
        <v>0</v>
      </c>
      <c r="N153" s="26">
        <v>8.2069290027614555E-4</v>
      </c>
      <c r="O153" s="26">
        <v>1.2306591692257861E-2</v>
      </c>
      <c r="P153" s="26">
        <v>4.4911191657352797E-3</v>
      </c>
      <c r="Q153" s="26">
        <v>4.2067832680995308E-2</v>
      </c>
      <c r="R153" s="26">
        <v>5.9686236439264594E-2</v>
      </c>
      <c r="S153" s="28">
        <v>0</v>
      </c>
      <c r="T153" s="28">
        <v>0</v>
      </c>
      <c r="U153" s="28">
        <v>4.6780531356812222E-4</v>
      </c>
      <c r="V153" s="28">
        <v>4.722191823356421E-4</v>
      </c>
      <c r="W153" s="28">
        <v>3.1072887844862479E-4</v>
      </c>
      <c r="X153" s="28">
        <v>2.890499184582182E-2</v>
      </c>
      <c r="Y153" s="28">
        <v>3.015574522017421E-2</v>
      </c>
      <c r="Z153" s="30">
        <v>0</v>
      </c>
      <c r="AA153" s="30">
        <v>2.3145477658575108E-3</v>
      </c>
      <c r="AB153" s="30">
        <v>8.2547439225250213E-5</v>
      </c>
      <c r="AC153" s="30">
        <v>1.5438989133449149E-4</v>
      </c>
      <c r="AD153" s="30">
        <v>1.385669885546453E-4</v>
      </c>
      <c r="AE153" s="30">
        <v>3.0756748545306672E-3</v>
      </c>
      <c r="AF153" s="30">
        <v>5.7657269395025648E-3</v>
      </c>
      <c r="AG153" s="32">
        <v>0</v>
      </c>
      <c r="AH153" s="32">
        <v>1.228469691721989E-5</v>
      </c>
      <c r="AI153" s="32">
        <v>3.0935457184536091E-4</v>
      </c>
      <c r="AJ153" s="32">
        <v>3.7507357872791961E-4</v>
      </c>
      <c r="AK153" s="32">
        <v>1.8785692115141391E-4</v>
      </c>
      <c r="AL153" s="32">
        <v>1.057436942931865E-2</v>
      </c>
      <c r="AM153" s="32">
        <v>1.1458939197960564E-2</v>
      </c>
      <c r="AN153" s="34">
        <v>0</v>
      </c>
      <c r="AO153" s="34">
        <v>8.7500264113198857E-6</v>
      </c>
      <c r="AP153" s="34">
        <v>7.308690791712847E-7</v>
      </c>
      <c r="AQ153" s="34">
        <v>7.4641524221169363E-7</v>
      </c>
      <c r="AR153" s="34">
        <v>7.6342738190851566E-7</v>
      </c>
      <c r="AS153" s="34">
        <v>9.2605720671351224E-6</v>
      </c>
      <c r="AT153" s="34">
        <v>2.0251310181746502E-5</v>
      </c>
      <c r="AU153" s="36">
        <v>0</v>
      </c>
      <c r="AV153" s="36">
        <v>0</v>
      </c>
      <c r="AW153" s="36">
        <v>8.1766643948489922E-3</v>
      </c>
      <c r="AX153" s="36">
        <v>0.17647448414364728</v>
      </c>
      <c r="AY153" s="36">
        <v>0.15759475423082736</v>
      </c>
      <c r="AZ153" s="36">
        <v>0.58399158915226546</v>
      </c>
      <c r="BA153" s="36">
        <v>0.92623749192158911</v>
      </c>
      <c r="BB153" s="6"/>
      <c r="BC153" s="6"/>
      <c r="BD153" t="s">
        <v>928</v>
      </c>
      <c r="BF153" s="5">
        <v>5.6816817999999998E-2</v>
      </c>
      <c r="BG153" s="5">
        <f t="shared" si="6"/>
        <v>-2.8694184392645955E-3</v>
      </c>
      <c r="BH153" s="2">
        <v>133.65012000000002</v>
      </c>
    </row>
    <row r="154" spans="1:60" x14ac:dyDescent="0.2">
      <c r="A154" t="str">
        <f t="shared" si="7"/>
        <v>Scooter, electric, &lt;4kW - 2030 - NCA - CH</v>
      </c>
      <c r="B154" t="s">
        <v>608</v>
      </c>
      <c r="D154" s="19">
        <v>2030</v>
      </c>
      <c r="E154" t="s">
        <v>37</v>
      </c>
      <c r="F154" t="s">
        <v>140</v>
      </c>
      <c r="G154" t="s">
        <v>39</v>
      </c>
      <c r="H154" t="s">
        <v>32</v>
      </c>
      <c r="I154" t="s">
        <v>45</v>
      </c>
      <c r="J154" t="s">
        <v>861</v>
      </c>
      <c r="L154" s="26">
        <v>0</v>
      </c>
      <c r="M154" s="26">
        <v>0</v>
      </c>
      <c r="N154" s="26">
        <v>8.2069290027614555E-4</v>
      </c>
      <c r="O154" s="26">
        <v>1.2306591692257861E-2</v>
      </c>
      <c r="P154" s="26">
        <v>4.5008758811560627E-3</v>
      </c>
      <c r="Q154" s="26">
        <v>4.5495821079306192E-2</v>
      </c>
      <c r="R154" s="26">
        <v>6.3123981552996256E-2</v>
      </c>
      <c r="S154" s="28">
        <v>0</v>
      </c>
      <c r="T154" s="28">
        <v>0</v>
      </c>
      <c r="U154" s="28">
        <v>4.6780531356812222E-4</v>
      </c>
      <c r="V154" s="28">
        <v>4.722191823356421E-4</v>
      </c>
      <c r="W154" s="28">
        <v>3.1134538227545303E-4</v>
      </c>
      <c r="X154" s="28">
        <v>2.9513116638452842E-2</v>
      </c>
      <c r="Y154" s="28">
        <v>3.0764486516632057E-2</v>
      </c>
      <c r="Z154" s="30">
        <v>0</v>
      </c>
      <c r="AA154" s="30">
        <v>2.3145477658575108E-3</v>
      </c>
      <c r="AB154" s="30">
        <v>8.2547439225250213E-5</v>
      </c>
      <c r="AC154" s="30">
        <v>1.5438989133449149E-4</v>
      </c>
      <c r="AD154" s="30">
        <v>1.3884723013371031E-4</v>
      </c>
      <c r="AE154" s="30">
        <v>3.2716111773970899E-3</v>
      </c>
      <c r="AF154" s="30">
        <v>5.9619435039480525E-3</v>
      </c>
      <c r="AG154" s="32">
        <v>0</v>
      </c>
      <c r="AH154" s="32">
        <v>1.228469691721989E-5</v>
      </c>
      <c r="AI154" s="32">
        <v>3.0935457184536091E-4</v>
      </c>
      <c r="AJ154" s="32">
        <v>3.7507357872791961E-4</v>
      </c>
      <c r="AK154" s="32">
        <v>1.881184634596107E-4</v>
      </c>
      <c r="AL154" s="32">
        <v>1.1217438942524969E-2</v>
      </c>
      <c r="AM154" s="32">
        <v>1.210227025347508E-2</v>
      </c>
      <c r="AN154" s="34">
        <v>0</v>
      </c>
      <c r="AO154" s="34">
        <v>8.7500264113198857E-6</v>
      </c>
      <c r="AP154" s="34">
        <v>7.308690791712847E-7</v>
      </c>
      <c r="AQ154" s="34">
        <v>7.4641524221169363E-7</v>
      </c>
      <c r="AR154" s="34">
        <v>7.6446008528110175E-7</v>
      </c>
      <c r="AS154" s="34">
        <v>9.4255156339449068E-6</v>
      </c>
      <c r="AT154" s="34">
        <v>2.0417286451928873E-5</v>
      </c>
      <c r="AU154" s="36">
        <v>0</v>
      </c>
      <c r="AV154" s="36">
        <v>0</v>
      </c>
      <c r="AW154" s="36">
        <v>8.1766643948489922E-3</v>
      </c>
      <c r="AX154" s="36">
        <v>0.17647448414364728</v>
      </c>
      <c r="AY154" s="36">
        <v>0.15791437786957357</v>
      </c>
      <c r="AZ154" s="36">
        <v>0.62073382495256313</v>
      </c>
      <c r="BA154" s="36">
        <v>0.96329935136063294</v>
      </c>
      <c r="BB154" s="6"/>
      <c r="BC154" s="6"/>
      <c r="BD154" t="s">
        <v>1050</v>
      </c>
      <c r="BF154" s="5">
        <v>5.8321567999999997E-2</v>
      </c>
      <c r="BG154" s="5">
        <f t="shared" si="6"/>
        <v>-4.8024135529962583E-3</v>
      </c>
      <c r="BH154" s="2">
        <v>134.59079</v>
      </c>
    </row>
    <row r="155" spans="1:60" x14ac:dyDescent="0.2">
      <c r="A155" t="str">
        <f t="shared" si="7"/>
        <v>Scooter, electric, &lt;4kW - 2040 - NCA - CH</v>
      </c>
      <c r="B155" t="s">
        <v>608</v>
      </c>
      <c r="D155" s="19">
        <v>2040</v>
      </c>
      <c r="E155" t="s">
        <v>37</v>
      </c>
      <c r="F155" t="s">
        <v>140</v>
      </c>
      <c r="G155" t="s">
        <v>39</v>
      </c>
      <c r="H155" t="s">
        <v>32</v>
      </c>
      <c r="I155" t="s">
        <v>45</v>
      </c>
      <c r="J155" t="s">
        <v>861</v>
      </c>
      <c r="L155" s="26">
        <v>0</v>
      </c>
      <c r="M155" s="26">
        <v>0</v>
      </c>
      <c r="N155" s="26">
        <v>8.2069290027614555E-4</v>
      </c>
      <c r="O155" s="26">
        <v>1.2306591692257861E-2</v>
      </c>
      <c r="P155" s="26">
        <v>4.5011338347519464E-3</v>
      </c>
      <c r="Q155" s="26">
        <v>4.6496785035868689E-2</v>
      </c>
      <c r="R155" s="26">
        <v>6.4125203463154645E-2</v>
      </c>
      <c r="S155" s="28">
        <v>0</v>
      </c>
      <c r="T155" s="28">
        <v>0</v>
      </c>
      <c r="U155" s="28">
        <v>4.6780531356812222E-4</v>
      </c>
      <c r="V155" s="28">
        <v>4.722191823356421E-4</v>
      </c>
      <c r="W155" s="28">
        <v>3.1136168175454492E-4</v>
      </c>
      <c r="X155" s="28">
        <v>2.87154632079984E-2</v>
      </c>
      <c r="Y155" s="28">
        <v>2.9966849385656708E-2</v>
      </c>
      <c r="Z155" s="30">
        <v>0</v>
      </c>
      <c r="AA155" s="30">
        <v>2.3145477658575108E-3</v>
      </c>
      <c r="AB155" s="30">
        <v>8.2547439225250213E-5</v>
      </c>
      <c r="AC155" s="30">
        <v>1.5438989133449149E-4</v>
      </c>
      <c r="AD155" s="30">
        <v>1.3885463932009301E-4</v>
      </c>
      <c r="AE155" s="30">
        <v>3.2525027115432822E-3</v>
      </c>
      <c r="AF155" s="30">
        <v>5.9428424472806277E-3</v>
      </c>
      <c r="AG155" s="32">
        <v>0</v>
      </c>
      <c r="AH155" s="32">
        <v>1.228469691721989E-5</v>
      </c>
      <c r="AI155" s="32">
        <v>3.0935457184536091E-4</v>
      </c>
      <c r="AJ155" s="32">
        <v>3.7507357872791961E-4</v>
      </c>
      <c r="AK155" s="32">
        <v>1.881253782640265E-4</v>
      </c>
      <c r="AL155" s="32">
        <v>1.1195578197507749E-2</v>
      </c>
      <c r="AM155" s="32">
        <v>1.2080416423262276E-2</v>
      </c>
      <c r="AN155" s="34">
        <v>0</v>
      </c>
      <c r="AO155" s="34">
        <v>8.7500264113198857E-6</v>
      </c>
      <c r="AP155" s="34">
        <v>7.308690791712847E-7</v>
      </c>
      <c r="AQ155" s="34">
        <v>7.4641524221169363E-7</v>
      </c>
      <c r="AR155" s="34">
        <v>7.6448738848068806E-7</v>
      </c>
      <c r="AS155" s="34">
        <v>9.23007031857047E-6</v>
      </c>
      <c r="AT155" s="34">
        <v>2.0221868439754023E-5</v>
      </c>
      <c r="AU155" s="36">
        <v>0</v>
      </c>
      <c r="AV155" s="36">
        <v>0</v>
      </c>
      <c r="AW155" s="36">
        <v>8.1766643948489922E-3</v>
      </c>
      <c r="AX155" s="36">
        <v>0.17647448414364728</v>
      </c>
      <c r="AY155" s="36">
        <v>0.15792282826126669</v>
      </c>
      <c r="AZ155" s="36">
        <v>0.62688066156164945</v>
      </c>
      <c r="BA155" s="36">
        <v>0.96945463836141244</v>
      </c>
      <c r="BB155" s="6"/>
      <c r="BC155" s="6"/>
      <c r="BD155" t="s">
        <v>1051</v>
      </c>
      <c r="BF155" s="5">
        <v>5.8267237999999999E-2</v>
      </c>
      <c r="BG155" s="5">
        <f t="shared" si="6"/>
        <v>-5.8579654631546463E-3</v>
      </c>
      <c r="BH155" s="2">
        <v>129.79426000000001</v>
      </c>
    </row>
    <row r="156" spans="1:60" x14ac:dyDescent="0.2">
      <c r="A156" t="str">
        <f t="shared" si="7"/>
        <v>Scooter, electric, &lt;4kW - 2050 - NCA - CH</v>
      </c>
      <c r="B156" t="s">
        <v>608</v>
      </c>
      <c r="D156" s="19">
        <v>2050</v>
      </c>
      <c r="E156" t="s">
        <v>37</v>
      </c>
      <c r="F156" t="s">
        <v>140</v>
      </c>
      <c r="G156" t="s">
        <v>39</v>
      </c>
      <c r="H156" t="s">
        <v>32</v>
      </c>
      <c r="I156" t="s">
        <v>45</v>
      </c>
      <c r="J156" t="s">
        <v>861</v>
      </c>
      <c r="L156" s="26">
        <v>0</v>
      </c>
      <c r="M156" s="26">
        <v>0</v>
      </c>
      <c r="N156" s="26">
        <v>8.2069290027614555E-4</v>
      </c>
      <c r="O156" s="26">
        <v>1.2306591692257861E-2</v>
      </c>
      <c r="P156" s="26">
        <v>4.5033643746692949E-3</v>
      </c>
      <c r="Q156" s="26">
        <v>4.7333398713695199E-2</v>
      </c>
      <c r="R156" s="26">
        <v>6.4964047680898501E-2</v>
      </c>
      <c r="S156" s="28">
        <v>0</v>
      </c>
      <c r="T156" s="28">
        <v>0</v>
      </c>
      <c r="U156" s="28">
        <v>4.6780531356812222E-4</v>
      </c>
      <c r="V156" s="28">
        <v>4.722191823356421E-4</v>
      </c>
      <c r="W156" s="28">
        <v>3.1150262430904518E-4</v>
      </c>
      <c r="X156" s="28">
        <v>2.775754068532503E-2</v>
      </c>
      <c r="Y156" s="28">
        <v>2.9009067805537841E-2</v>
      </c>
      <c r="Z156" s="30">
        <v>0</v>
      </c>
      <c r="AA156" s="30">
        <v>2.3145477658575108E-3</v>
      </c>
      <c r="AB156" s="30">
        <v>8.2547439225250213E-5</v>
      </c>
      <c r="AC156" s="30">
        <v>1.5438989133449149E-4</v>
      </c>
      <c r="AD156" s="30">
        <v>1.3891870699057909E-4</v>
      </c>
      <c r="AE156" s="30">
        <v>3.213911966207217E-3</v>
      </c>
      <c r="AF156" s="30">
        <v>5.9043157696150482E-3</v>
      </c>
      <c r="AG156" s="32">
        <v>0</v>
      </c>
      <c r="AH156" s="32">
        <v>1.228469691721989E-5</v>
      </c>
      <c r="AI156" s="32">
        <v>3.0935457184536091E-4</v>
      </c>
      <c r="AJ156" s="32">
        <v>3.7507357872791961E-4</v>
      </c>
      <c r="AK156" s="32">
        <v>1.8818517098456291E-4</v>
      </c>
      <c r="AL156" s="32">
        <v>1.11136847866592E-2</v>
      </c>
      <c r="AM156" s="32">
        <v>1.1998582805134264E-2</v>
      </c>
      <c r="AN156" s="34">
        <v>0</v>
      </c>
      <c r="AO156" s="34">
        <v>8.7500264113198857E-6</v>
      </c>
      <c r="AP156" s="34">
        <v>7.308690791712847E-7</v>
      </c>
      <c r="AQ156" s="34">
        <v>7.4641524221169363E-7</v>
      </c>
      <c r="AR156" s="34">
        <v>7.6472348085358094E-7</v>
      </c>
      <c r="AS156" s="34">
        <v>8.9956887377129758E-6</v>
      </c>
      <c r="AT156" s="34">
        <v>1.9987722951269423E-5</v>
      </c>
      <c r="AU156" s="36">
        <v>0</v>
      </c>
      <c r="AV156" s="36">
        <v>0</v>
      </c>
      <c r="AW156" s="36">
        <v>8.1766643948489922E-3</v>
      </c>
      <c r="AX156" s="36">
        <v>0.17647448414364728</v>
      </c>
      <c r="AY156" s="36">
        <v>0.1579958992953191</v>
      </c>
      <c r="AZ156" s="36">
        <v>0.63068386497758033</v>
      </c>
      <c r="BA156" s="36">
        <v>0.97333091281139572</v>
      </c>
      <c r="BB156" s="6"/>
      <c r="BC156" s="6"/>
      <c r="BD156" t="s">
        <v>1052</v>
      </c>
      <c r="BF156" s="5">
        <v>5.8089743999999999E-2</v>
      </c>
      <c r="BG156" s="5">
        <f t="shared" si="6"/>
        <v>-6.8743036808985025E-3</v>
      </c>
      <c r="BH156" s="2">
        <v>124.32777</v>
      </c>
    </row>
    <row r="157" spans="1:60" x14ac:dyDescent="0.2">
      <c r="A157" t="str">
        <f t="shared" si="7"/>
        <v>Scooter, electric, 4-11kW - 2020 - NCA - CH</v>
      </c>
      <c r="B157" t="s">
        <v>569</v>
      </c>
      <c r="D157" s="19">
        <v>2020</v>
      </c>
      <c r="E157" t="s">
        <v>37</v>
      </c>
      <c r="F157" t="s">
        <v>140</v>
      </c>
      <c r="G157" t="s">
        <v>39</v>
      </c>
      <c r="H157" t="s">
        <v>32</v>
      </c>
      <c r="I157" t="s">
        <v>45</v>
      </c>
      <c r="J157" t="s">
        <v>861</v>
      </c>
      <c r="L157" s="26">
        <v>0</v>
      </c>
      <c r="M157" s="26">
        <v>0</v>
      </c>
      <c r="N157" s="26">
        <v>1.164988379267724E-3</v>
      </c>
      <c r="O157" s="26">
        <v>1.2306591692257861E-2</v>
      </c>
      <c r="P157" s="26">
        <v>4.6260994872642687E-3</v>
      </c>
      <c r="Q157" s="26">
        <v>4.8500633497616373E-2</v>
      </c>
      <c r="R157" s="26">
        <v>6.6598313056406233E-2</v>
      </c>
      <c r="S157" s="28">
        <v>0</v>
      </c>
      <c r="T157" s="28">
        <v>0</v>
      </c>
      <c r="U157" s="28">
        <v>6.6405808297254575E-4</v>
      </c>
      <c r="V157" s="28">
        <v>4.722191823356421E-4</v>
      </c>
      <c r="W157" s="28">
        <v>3.1925796648493829E-4</v>
      </c>
      <c r="X157" s="28">
        <v>3.5206377035720091E-2</v>
      </c>
      <c r="Y157" s="28">
        <v>3.6661912267513218E-2</v>
      </c>
      <c r="Z157" s="30">
        <v>0</v>
      </c>
      <c r="AA157" s="30">
        <v>2.3145477658575108E-3</v>
      </c>
      <c r="AB157" s="30">
        <v>1.17177579339808E-4</v>
      </c>
      <c r="AC157" s="30">
        <v>1.5438989133449149E-4</v>
      </c>
      <c r="AD157" s="30">
        <v>1.4244402061067959E-4</v>
      </c>
      <c r="AE157" s="30">
        <v>3.631083766850464E-3</v>
      </c>
      <c r="AF157" s="30">
        <v>6.3596430239929534E-3</v>
      </c>
      <c r="AG157" s="32">
        <v>0</v>
      </c>
      <c r="AH157" s="32">
        <v>1.228469691721989E-5</v>
      </c>
      <c r="AI157" s="32">
        <v>4.3913439625458252E-4</v>
      </c>
      <c r="AJ157" s="32">
        <v>3.7507357872791961E-4</v>
      </c>
      <c r="AK157" s="32">
        <v>1.9147525614749661E-4</v>
      </c>
      <c r="AL157" s="32">
        <v>1.264915985634904E-2</v>
      </c>
      <c r="AM157" s="32">
        <v>1.3667127784396259E-2</v>
      </c>
      <c r="AN157" s="34">
        <v>0</v>
      </c>
      <c r="AO157" s="34">
        <v>8.7500264113198857E-6</v>
      </c>
      <c r="AP157" s="34">
        <v>1.037481844565918E-6</v>
      </c>
      <c r="AQ157" s="34">
        <v>7.4641524221169363E-7</v>
      </c>
      <c r="AR157" s="34">
        <v>7.7771442701170876E-7</v>
      </c>
      <c r="AS157" s="34">
        <v>1.043451488642511E-5</v>
      </c>
      <c r="AT157" s="34">
        <v>2.1746152811534315E-5</v>
      </c>
      <c r="AU157" s="36">
        <v>0</v>
      </c>
      <c r="AV157" s="36">
        <v>0</v>
      </c>
      <c r="AW157" s="36">
        <v>1.1606922635697264E-2</v>
      </c>
      <c r="AX157" s="36">
        <v>0.17647448414364728</v>
      </c>
      <c r="AY157" s="36">
        <v>0.16201662159761857</v>
      </c>
      <c r="AZ157" s="36">
        <v>0.67285580523277222</v>
      </c>
      <c r="BA157" s="36">
        <v>1.0229538336097352</v>
      </c>
      <c r="BB157" s="6"/>
      <c r="BC157" s="6"/>
      <c r="BD157" t="s">
        <v>934</v>
      </c>
      <c r="BF157" s="5">
        <v>6.2248003000000003E-2</v>
      </c>
      <c r="BG157" s="5">
        <f t="shared" si="6"/>
        <v>-4.35031005640623E-3</v>
      </c>
      <c r="BH157" s="2">
        <v>151.59866</v>
      </c>
    </row>
    <row r="158" spans="1:60" x14ac:dyDescent="0.2">
      <c r="A158" t="str">
        <f t="shared" si="7"/>
        <v>Scooter, electric, 4-11kW - 2030 - NCA - CH</v>
      </c>
      <c r="B158" t="s">
        <v>569</v>
      </c>
      <c r="D158" s="19">
        <v>2030</v>
      </c>
      <c r="E158" t="s">
        <v>37</v>
      </c>
      <c r="F158" t="s">
        <v>140</v>
      </c>
      <c r="G158" t="s">
        <v>39</v>
      </c>
      <c r="H158" t="s">
        <v>32</v>
      </c>
      <c r="I158" t="s">
        <v>45</v>
      </c>
      <c r="J158" t="s">
        <v>861</v>
      </c>
      <c r="L158" s="26">
        <v>0</v>
      </c>
      <c r="M158" s="26">
        <v>0</v>
      </c>
      <c r="N158" s="26">
        <v>1.164988379267724E-3</v>
      </c>
      <c r="O158" s="26">
        <v>1.2306591692257861E-2</v>
      </c>
      <c r="P158" s="26">
        <v>4.642158582995738E-3</v>
      </c>
      <c r="Q158" s="26">
        <v>5.1259756590025407E-2</v>
      </c>
      <c r="R158" s="26">
        <v>6.9373495244546723E-2</v>
      </c>
      <c r="S158" s="28">
        <v>0</v>
      </c>
      <c r="T158" s="28">
        <v>0</v>
      </c>
      <c r="U158" s="28">
        <v>6.6405808297254575E-4</v>
      </c>
      <c r="V158" s="28">
        <v>4.722191823356421E-4</v>
      </c>
      <c r="W158" s="28">
        <v>3.2027270285336419E-4</v>
      </c>
      <c r="X158" s="28">
        <v>3.5608811182970761E-2</v>
      </c>
      <c r="Y158" s="28">
        <v>3.7065361151132313E-2</v>
      </c>
      <c r="Z158" s="30">
        <v>0</v>
      </c>
      <c r="AA158" s="30">
        <v>2.3145477658575108E-3</v>
      </c>
      <c r="AB158" s="30">
        <v>1.17177579339808E-4</v>
      </c>
      <c r="AC158" s="30">
        <v>1.5438989133449149E-4</v>
      </c>
      <c r="AD158" s="30">
        <v>1.429052850989885E-4</v>
      </c>
      <c r="AE158" s="30">
        <v>3.782335538154023E-3</v>
      </c>
      <c r="AF158" s="30">
        <v>6.5113560597848223E-3</v>
      </c>
      <c r="AG158" s="32">
        <v>0</v>
      </c>
      <c r="AH158" s="32">
        <v>1.228469691721989E-5</v>
      </c>
      <c r="AI158" s="32">
        <v>4.3913439625458252E-4</v>
      </c>
      <c r="AJ158" s="32">
        <v>3.7507357872791961E-4</v>
      </c>
      <c r="AK158" s="32">
        <v>1.919057425134528E-4</v>
      </c>
      <c r="AL158" s="32">
        <v>1.314595819128847E-2</v>
      </c>
      <c r="AM158" s="32">
        <v>1.4164356605701645E-2</v>
      </c>
      <c r="AN158" s="34">
        <v>0</v>
      </c>
      <c r="AO158" s="34">
        <v>8.7500264113198857E-6</v>
      </c>
      <c r="AP158" s="34">
        <v>1.037481844565918E-6</v>
      </c>
      <c r="AQ158" s="34">
        <v>7.4641524221169363E-7</v>
      </c>
      <c r="AR158" s="34">
        <v>7.7941420830155207E-7</v>
      </c>
      <c r="AS158" s="34">
        <v>1.0549080757754361E-5</v>
      </c>
      <c r="AT158" s="34">
        <v>2.186241846415341E-5</v>
      </c>
      <c r="AU158" s="36">
        <v>0</v>
      </c>
      <c r="AV158" s="36">
        <v>0</v>
      </c>
      <c r="AW158" s="36">
        <v>1.1606922635697264E-2</v>
      </c>
      <c r="AX158" s="36">
        <v>0.17647448414364728</v>
      </c>
      <c r="AY158" s="36">
        <v>0.16254270710808991</v>
      </c>
      <c r="AZ158" s="36">
        <v>0.70209004055520208</v>
      </c>
      <c r="BA158" s="36">
        <v>1.0527141544426364</v>
      </c>
      <c r="BB158" s="6"/>
      <c r="BC158" s="6"/>
      <c r="BD158" t="s">
        <v>1053</v>
      </c>
      <c r="BF158" s="5">
        <v>6.3440452999999994E-2</v>
      </c>
      <c r="BG158" s="5">
        <f t="shared" si="6"/>
        <v>-5.9330422445467296E-3</v>
      </c>
      <c r="BH158" s="2">
        <v>151.96353000000002</v>
      </c>
    </row>
    <row r="159" spans="1:60" x14ac:dyDescent="0.2">
      <c r="A159" t="str">
        <f t="shared" si="7"/>
        <v>Scooter, electric, 4-11kW - 2040 - NCA - CH</v>
      </c>
      <c r="B159" t="s">
        <v>569</v>
      </c>
      <c r="D159" s="19">
        <v>2040</v>
      </c>
      <c r="E159" t="s">
        <v>37</v>
      </c>
      <c r="F159" t="s">
        <v>140</v>
      </c>
      <c r="G159" t="s">
        <v>39</v>
      </c>
      <c r="H159" t="s">
        <v>32</v>
      </c>
      <c r="I159" t="s">
        <v>45</v>
      </c>
      <c r="J159" t="s">
        <v>861</v>
      </c>
      <c r="L159" s="26">
        <v>0</v>
      </c>
      <c r="M159" s="26">
        <v>0</v>
      </c>
      <c r="N159" s="26">
        <v>1.164988379267724E-3</v>
      </c>
      <c r="O159" s="26">
        <v>1.2306591692257861E-2</v>
      </c>
      <c r="P159" s="26">
        <v>4.6433876560114202E-3</v>
      </c>
      <c r="Q159" s="26">
        <v>5.153181573813944E-2</v>
      </c>
      <c r="R159" s="26">
        <v>6.9646783465676446E-2</v>
      </c>
      <c r="S159" s="28">
        <v>0</v>
      </c>
      <c r="T159" s="28">
        <v>0</v>
      </c>
      <c r="U159" s="28">
        <v>6.6405808297254575E-4</v>
      </c>
      <c r="V159" s="28">
        <v>4.722191823356421E-4</v>
      </c>
      <c r="W159" s="28">
        <v>3.2035036507727262E-4</v>
      </c>
      <c r="X159" s="28">
        <v>3.4409573810130593E-2</v>
      </c>
      <c r="Y159" s="28">
        <v>3.5866201440516055E-2</v>
      </c>
      <c r="Z159" s="30">
        <v>0</v>
      </c>
      <c r="AA159" s="30">
        <v>2.3145477658575108E-3</v>
      </c>
      <c r="AB159" s="30">
        <v>1.17177579339808E-4</v>
      </c>
      <c r="AC159" s="30">
        <v>1.5438989133449149E-4</v>
      </c>
      <c r="AD159" s="30">
        <v>1.4294058769292981E-4</v>
      </c>
      <c r="AE159" s="30">
        <v>3.7004773689658832E-3</v>
      </c>
      <c r="AF159" s="30">
        <v>6.4295331931906227E-3</v>
      </c>
      <c r="AG159" s="32">
        <v>0</v>
      </c>
      <c r="AH159" s="32">
        <v>1.228469691721989E-5</v>
      </c>
      <c r="AI159" s="32">
        <v>4.3913439625458252E-4</v>
      </c>
      <c r="AJ159" s="32">
        <v>3.7507357872791961E-4</v>
      </c>
      <c r="AK159" s="32">
        <v>1.9193868952272801E-4</v>
      </c>
      <c r="AL159" s="32">
        <v>1.2927539832472129E-2</v>
      </c>
      <c r="AM159" s="32">
        <v>1.3945971193894579E-2</v>
      </c>
      <c r="AN159" s="34">
        <v>0</v>
      </c>
      <c r="AO159" s="34">
        <v>8.7500264113198857E-6</v>
      </c>
      <c r="AP159" s="34">
        <v>1.037481844565918E-6</v>
      </c>
      <c r="AQ159" s="34">
        <v>7.4641524221169363E-7</v>
      </c>
      <c r="AR159" s="34">
        <v>7.7954430001722768E-7</v>
      </c>
      <c r="AS159" s="34">
        <v>1.025274285720682E-5</v>
      </c>
      <c r="AT159" s="34">
        <v>2.1566210655321545E-5</v>
      </c>
      <c r="AU159" s="36">
        <v>0</v>
      </c>
      <c r="AV159" s="36">
        <v>0</v>
      </c>
      <c r="AW159" s="36">
        <v>1.1606922635697264E-2</v>
      </c>
      <c r="AX159" s="36">
        <v>0.17647448414364728</v>
      </c>
      <c r="AY159" s="36">
        <v>0.16258297073909836</v>
      </c>
      <c r="AZ159" s="36">
        <v>0.69918835256783307</v>
      </c>
      <c r="BA159" s="36">
        <v>1.0498527300862759</v>
      </c>
      <c r="BB159" s="6"/>
      <c r="BC159" s="6"/>
      <c r="BD159" t="s">
        <v>1054</v>
      </c>
      <c r="BF159" s="5">
        <v>6.2942157999999998E-2</v>
      </c>
      <c r="BG159" s="5">
        <f t="shared" si="6"/>
        <v>-6.7046254656764476E-3</v>
      </c>
      <c r="BH159" s="2">
        <v>145.59317999999999</v>
      </c>
    </row>
    <row r="160" spans="1:60" x14ac:dyDescent="0.2">
      <c r="A160" t="str">
        <f t="shared" si="7"/>
        <v>Scooter, electric, 4-11kW - 2050 - NCA - CH</v>
      </c>
      <c r="B160" t="s">
        <v>569</v>
      </c>
      <c r="D160" s="19">
        <v>2050</v>
      </c>
      <c r="E160" t="s">
        <v>37</v>
      </c>
      <c r="F160" t="s">
        <v>140</v>
      </c>
      <c r="G160" t="s">
        <v>39</v>
      </c>
      <c r="H160" t="s">
        <v>32</v>
      </c>
      <c r="I160" t="s">
        <v>45</v>
      </c>
      <c r="J160" t="s">
        <v>861</v>
      </c>
      <c r="L160" s="26">
        <v>0</v>
      </c>
      <c r="M160" s="26">
        <v>0</v>
      </c>
      <c r="N160" s="26">
        <v>1.164988379267724E-3</v>
      </c>
      <c r="O160" s="26">
        <v>1.2306591692257861E-2</v>
      </c>
      <c r="P160" s="26">
        <v>4.6422496254413448E-3</v>
      </c>
      <c r="Q160" s="26">
        <v>5.1150423739116629E-2</v>
      </c>
      <c r="R160" s="26">
        <v>6.9264253436083556E-2</v>
      </c>
      <c r="S160" s="28">
        <v>0</v>
      </c>
      <c r="T160" s="28">
        <v>0</v>
      </c>
      <c r="U160" s="28">
        <v>6.6405808297254575E-4</v>
      </c>
      <c r="V160" s="28">
        <v>4.722191823356421E-4</v>
      </c>
      <c r="W160" s="28">
        <v>3.2027845561069079E-4</v>
      </c>
      <c r="X160" s="28">
        <v>3.2595495264978777E-2</v>
      </c>
      <c r="Y160" s="28">
        <v>3.4052050985897656E-2</v>
      </c>
      <c r="Z160" s="30">
        <v>0</v>
      </c>
      <c r="AA160" s="30">
        <v>2.3145477658575108E-3</v>
      </c>
      <c r="AB160" s="30">
        <v>1.17177579339808E-4</v>
      </c>
      <c r="AC160" s="30">
        <v>1.5438989133449149E-4</v>
      </c>
      <c r="AD160" s="30">
        <v>1.4290790010594711E-4</v>
      </c>
      <c r="AE160" s="30">
        <v>3.542298854682322E-3</v>
      </c>
      <c r="AF160" s="30">
        <v>6.2713219913200797E-3</v>
      </c>
      <c r="AG160" s="32">
        <v>0</v>
      </c>
      <c r="AH160" s="32">
        <v>1.228469691721989E-5</v>
      </c>
      <c r="AI160" s="32">
        <v>4.3913439625458252E-4</v>
      </c>
      <c r="AJ160" s="32">
        <v>3.7507357872791961E-4</v>
      </c>
      <c r="AK160" s="32">
        <v>1.919081830326583E-4</v>
      </c>
      <c r="AL160" s="32">
        <v>1.247884742641603E-2</v>
      </c>
      <c r="AM160" s="32">
        <v>1.3497248281348411E-2</v>
      </c>
      <c r="AN160" s="34">
        <v>0</v>
      </c>
      <c r="AO160" s="34">
        <v>8.7500264113198857E-6</v>
      </c>
      <c r="AP160" s="34">
        <v>1.037481844565918E-6</v>
      </c>
      <c r="AQ160" s="34">
        <v>7.4641524221169363E-7</v>
      </c>
      <c r="AR160" s="34">
        <v>7.7942384472493537E-7</v>
      </c>
      <c r="AS160" s="34">
        <v>9.8010839159747582E-6</v>
      </c>
      <c r="AT160" s="34">
        <v>2.1114431258797189E-5</v>
      </c>
      <c r="AU160" s="36">
        <v>0</v>
      </c>
      <c r="AV160" s="36">
        <v>0</v>
      </c>
      <c r="AW160" s="36">
        <v>1.1606922635697264E-2</v>
      </c>
      <c r="AX160" s="36">
        <v>0.17647448414364728</v>
      </c>
      <c r="AY160" s="36">
        <v>0.16254568959927568</v>
      </c>
      <c r="AZ160" s="36">
        <v>0.68695350207309391</v>
      </c>
      <c r="BA160" s="36">
        <v>1.0375805984517141</v>
      </c>
      <c r="BB160" s="6"/>
      <c r="BC160" s="6"/>
      <c r="BD160" t="s">
        <v>1055</v>
      </c>
      <c r="BF160" s="5">
        <v>6.1915167E-2</v>
      </c>
      <c r="BG160" s="5">
        <f t="shared" si="6"/>
        <v>-7.3490864360835559E-3</v>
      </c>
      <c r="BH160" s="2">
        <v>136.49283</v>
      </c>
    </row>
    <row r="161" spans="1:60" x14ac:dyDescent="0.2">
      <c r="A161" t="str">
        <f t="shared" si="0"/>
        <v>Motorbike, gasoline, 4-11kW, EURO-3 - 2006 - None - CH</v>
      </c>
      <c r="B161" t="s">
        <v>638</v>
      </c>
      <c r="D161" s="19">
        <v>2006</v>
      </c>
      <c r="E161" t="s">
        <v>37</v>
      </c>
      <c r="F161" t="s">
        <v>141</v>
      </c>
      <c r="G161" t="s">
        <v>39</v>
      </c>
      <c r="H161" t="s">
        <v>35</v>
      </c>
      <c r="I161" t="s">
        <v>140</v>
      </c>
      <c r="J161" t="s">
        <v>140</v>
      </c>
      <c r="L161" s="26">
        <v>7.9541019079154396E-2</v>
      </c>
      <c r="M161" s="26">
        <v>0</v>
      </c>
      <c r="N161" s="26">
        <v>1.312245238226133E-2</v>
      </c>
      <c r="O161" s="26">
        <v>9.5118975182542226E-3</v>
      </c>
      <c r="P161" s="26">
        <v>4.6402999386343227E-3</v>
      </c>
      <c r="Q161" s="26">
        <v>2.272027667316388E-2</v>
      </c>
      <c r="R161" s="26">
        <v>0.12953594559146814</v>
      </c>
      <c r="S161" s="28">
        <v>0</v>
      </c>
      <c r="T161" s="28">
        <v>0</v>
      </c>
      <c r="U161" s="28">
        <v>3.214061973388377E-4</v>
      </c>
      <c r="V161" s="28">
        <v>5.4149643498382851E-4</v>
      </c>
      <c r="W161" s="28">
        <v>3.2015525950156929E-4</v>
      </c>
      <c r="X161" s="28">
        <v>5.2547075017800428E-3</v>
      </c>
      <c r="Y161" s="28">
        <v>6.4377653936042783E-3</v>
      </c>
      <c r="Z161" s="30">
        <v>1.0113664301432161E-3</v>
      </c>
      <c r="AA161" s="30">
        <v>6.250912695722444E-3</v>
      </c>
      <c r="AB161" s="30">
        <v>6.411520379894874E-4</v>
      </c>
      <c r="AC161" s="30">
        <v>1.891362620619139E-4</v>
      </c>
      <c r="AD161" s="30">
        <v>1.428518993632875E-4</v>
      </c>
      <c r="AE161" s="30">
        <v>1.1062787656220441E-3</v>
      </c>
      <c r="AF161" s="30">
        <v>9.3416980909023922E-3</v>
      </c>
      <c r="AG161" s="32">
        <v>2.6452177236869519E-7</v>
      </c>
      <c r="AH161" s="32">
        <v>3.2346437669993012E-5</v>
      </c>
      <c r="AI161" s="32">
        <v>1.219580555120935E-4</v>
      </c>
      <c r="AJ161" s="32">
        <v>3.7496238084001741E-4</v>
      </c>
      <c r="AK161" s="32">
        <v>1.9185591896982799E-4</v>
      </c>
      <c r="AL161" s="32">
        <v>2.4245279184333022E-3</v>
      </c>
      <c r="AM161" s="32">
        <v>3.1459152331976027E-3</v>
      </c>
      <c r="AN161" s="34">
        <v>4.3967774216535978E-7</v>
      </c>
      <c r="AO161" s="34">
        <v>2.344157748409402E-5</v>
      </c>
      <c r="AP161" s="34">
        <v>2.5238030582997469E-6</v>
      </c>
      <c r="AQ161" s="34">
        <v>5.7073161734124143E-7</v>
      </c>
      <c r="AR161" s="34">
        <v>7.7921747935972152E-7</v>
      </c>
      <c r="AS161" s="34">
        <v>4.7205440159917096E-6</v>
      </c>
      <c r="AT161" s="34">
        <v>3.2475551397251795E-5</v>
      </c>
      <c r="AU161" s="36">
        <v>0</v>
      </c>
      <c r="AV161" s="36">
        <v>0</v>
      </c>
      <c r="AW161" s="36">
        <v>1.3051473355703471</v>
      </c>
      <c r="AX161" s="36">
        <v>0.17743074935185008</v>
      </c>
      <c r="AY161" s="36">
        <v>0.162481819130086</v>
      </c>
      <c r="AZ161" s="36">
        <v>0.3367398383770196</v>
      </c>
      <c r="BA161" s="36">
        <v>1.981799742429303</v>
      </c>
      <c r="BB161" s="6"/>
      <c r="BC161" s="6"/>
      <c r="BD161" t="s">
        <v>923</v>
      </c>
      <c r="BF161" s="5">
        <v>0.13600822999999998</v>
      </c>
      <c r="BG161" s="5">
        <f t="shared" si="6"/>
        <v>6.4722844085318421E-3</v>
      </c>
      <c r="BH161" s="2">
        <v>145.84573</v>
      </c>
    </row>
    <row r="162" spans="1:60" x14ac:dyDescent="0.2">
      <c r="A162" t="str">
        <f t="shared" si="0"/>
        <v>Motorbike, gasoline, 4-11kW, EURO-4 - 2016 - None - CH</v>
      </c>
      <c r="B162" t="s">
        <v>639</v>
      </c>
      <c r="D162" s="19">
        <v>2016</v>
      </c>
      <c r="E162" t="s">
        <v>37</v>
      </c>
      <c r="F162" t="s">
        <v>142</v>
      </c>
      <c r="G162" t="s">
        <v>39</v>
      </c>
      <c r="H162" t="s">
        <v>35</v>
      </c>
      <c r="I162" t="s">
        <v>140</v>
      </c>
      <c r="J162" t="s">
        <v>140</v>
      </c>
      <c r="L162" s="26">
        <v>7.9527056563746257E-2</v>
      </c>
      <c r="M162" s="26">
        <v>0</v>
      </c>
      <c r="N162" s="26">
        <v>1.2992527111149829E-2</v>
      </c>
      <c r="O162" s="26">
        <v>9.5118975182542226E-3</v>
      </c>
      <c r="P162" s="26">
        <v>4.6313640551865739E-3</v>
      </c>
      <c r="Q162" s="26">
        <v>2.2698308010020821E-2</v>
      </c>
      <c r="R162" s="26">
        <v>0.1293611532583577</v>
      </c>
      <c r="S162" s="28">
        <v>0</v>
      </c>
      <c r="T162" s="28">
        <v>0</v>
      </c>
      <c r="U162" s="28">
        <v>3.1822395776122538E-4</v>
      </c>
      <c r="V162" s="28">
        <v>5.4149643498382851E-4</v>
      </c>
      <c r="W162" s="28">
        <v>3.1959062211039442E-4</v>
      </c>
      <c r="X162" s="28">
        <v>5.2542613691954716E-3</v>
      </c>
      <c r="Y162" s="28">
        <v>6.4335723840509198E-3</v>
      </c>
      <c r="Z162" s="30">
        <v>1.3845648717079259E-3</v>
      </c>
      <c r="AA162" s="30">
        <v>6.250912695722444E-3</v>
      </c>
      <c r="AB162" s="30">
        <v>6.3480399800939342E-4</v>
      </c>
      <c r="AC162" s="30">
        <v>1.891362620619139E-4</v>
      </c>
      <c r="AD162" s="30">
        <v>1.4259523449404229E-4</v>
      </c>
      <c r="AE162" s="30">
        <v>1.104743413245362E-3</v>
      </c>
      <c r="AF162" s="30">
        <v>9.7067564752410813E-3</v>
      </c>
      <c r="AG162" s="32">
        <v>2.9521636400022289E-7</v>
      </c>
      <c r="AH162" s="32">
        <v>3.2346437669993012E-5</v>
      </c>
      <c r="AI162" s="32">
        <v>1.207505500119738E-4</v>
      </c>
      <c r="AJ162" s="32">
        <v>3.7496238084001741E-4</v>
      </c>
      <c r="AK162" s="32">
        <v>1.916163802027422E-4</v>
      </c>
      <c r="AL162" s="32">
        <v>2.424388740527163E-3</v>
      </c>
      <c r="AM162" s="32">
        <v>3.1443597056158897E-3</v>
      </c>
      <c r="AN162" s="34">
        <v>5.1795514492644861E-7</v>
      </c>
      <c r="AO162" s="34">
        <v>2.344157748409402E-5</v>
      </c>
      <c r="AP162" s="34">
        <v>2.4988149092076699E-6</v>
      </c>
      <c r="AQ162" s="34">
        <v>5.7073161734124143E-7</v>
      </c>
      <c r="AR162" s="34">
        <v>7.7827165726944417E-7</v>
      </c>
      <c r="AS162" s="34">
        <v>4.7148594075683898E-6</v>
      </c>
      <c r="AT162" s="34">
        <v>3.2522210220407215E-5</v>
      </c>
      <c r="AU162" s="36">
        <v>0</v>
      </c>
      <c r="AV162" s="36">
        <v>0</v>
      </c>
      <c r="AW162" s="36">
        <v>1.2922250847231156</v>
      </c>
      <c r="AX162" s="36">
        <v>0.17743074935185008</v>
      </c>
      <c r="AY162" s="36">
        <v>0.16218908541184129</v>
      </c>
      <c r="AZ162" s="36">
        <v>0.33641254117233405</v>
      </c>
      <c r="BA162" s="36">
        <v>1.968257460659141</v>
      </c>
      <c r="BB162" s="6"/>
      <c r="BC162" s="6"/>
      <c r="BD162" t="s">
        <v>924</v>
      </c>
      <c r="BF162" s="5">
        <v>0.13499356000000001</v>
      </c>
      <c r="BG162" s="5">
        <f t="shared" si="6"/>
        <v>5.6324067416423096E-3</v>
      </c>
      <c r="BH162" s="2">
        <v>144.30683999999999</v>
      </c>
    </row>
    <row r="163" spans="1:60" x14ac:dyDescent="0.2">
      <c r="A163" t="str">
        <f t="shared" si="0"/>
        <v>Motorbike, gasoline, 4-11kW, EURO-5 - 2020 - None - CH</v>
      </c>
      <c r="B163" t="s">
        <v>640</v>
      </c>
      <c r="D163" s="19">
        <v>2020</v>
      </c>
      <c r="E163" t="s">
        <v>37</v>
      </c>
      <c r="F163" t="s">
        <v>143</v>
      </c>
      <c r="G163" t="s">
        <v>39</v>
      </c>
      <c r="H163" t="s">
        <v>35</v>
      </c>
      <c r="I163" t="s">
        <v>140</v>
      </c>
      <c r="J163" t="s">
        <v>140</v>
      </c>
      <c r="L163" s="26">
        <v>7.8320935381244822E-2</v>
      </c>
      <c r="M163" s="26">
        <v>0</v>
      </c>
      <c r="N163" s="26">
        <v>1.2862601840038341E-2</v>
      </c>
      <c r="O163" s="26">
        <v>9.5118975182542226E-3</v>
      </c>
      <c r="P163" s="26">
        <v>4.6254067995547422E-3</v>
      </c>
      <c r="Q163" s="26">
        <v>2.2683662206035932E-2</v>
      </c>
      <c r="R163" s="26">
        <v>0.12800450374512806</v>
      </c>
      <c r="S163" s="28">
        <v>0</v>
      </c>
      <c r="T163" s="28">
        <v>0</v>
      </c>
      <c r="U163" s="28">
        <v>3.1504171818361317E-4</v>
      </c>
      <c r="V163" s="28">
        <v>5.4149643498382851E-4</v>
      </c>
      <c r="W163" s="28">
        <v>3.1921419718294452E-4</v>
      </c>
      <c r="X163" s="28">
        <v>5.2539639468923956E-3</v>
      </c>
      <c r="Y163" s="28">
        <v>6.4297162972427819E-3</v>
      </c>
      <c r="Z163" s="30">
        <v>8.483952187273103E-4</v>
      </c>
      <c r="AA163" s="30">
        <v>6.250912695722444E-3</v>
      </c>
      <c r="AB163" s="30">
        <v>6.2845595802929954E-4</v>
      </c>
      <c r="AC163" s="30">
        <v>1.891362620619139E-4</v>
      </c>
      <c r="AD163" s="30">
        <v>1.4242412458121231E-4</v>
      </c>
      <c r="AE163" s="30">
        <v>1.103719843004387E-3</v>
      </c>
      <c r="AF163" s="30">
        <v>9.1630441021265663E-3</v>
      </c>
      <c r="AG163" s="32">
        <v>2.4685591357268181E-7</v>
      </c>
      <c r="AH163" s="32">
        <v>3.2346437669993012E-5</v>
      </c>
      <c r="AI163" s="32">
        <v>1.19543044511854E-4</v>
      </c>
      <c r="AJ163" s="32">
        <v>3.7496238084001741E-4</v>
      </c>
      <c r="AK163" s="32">
        <v>1.914566876913516E-4</v>
      </c>
      <c r="AL163" s="32">
        <v>2.4242959550756201E-3</v>
      </c>
      <c r="AM163" s="32">
        <v>3.1428513617024088E-3</v>
      </c>
      <c r="AN163" s="34">
        <v>4.0014680188549892E-7</v>
      </c>
      <c r="AO163" s="34">
        <v>2.344157748409402E-5</v>
      </c>
      <c r="AP163" s="34">
        <v>2.4738267601155942E-6</v>
      </c>
      <c r="AQ163" s="34">
        <v>5.7073161734124143E-7</v>
      </c>
      <c r="AR163" s="34">
        <v>7.7764110920925919E-7</v>
      </c>
      <c r="AS163" s="34">
        <v>4.7110696612503004E-6</v>
      </c>
      <c r="AT163" s="34">
        <v>3.2374993433895915E-5</v>
      </c>
      <c r="AU163" s="36">
        <v>0</v>
      </c>
      <c r="AV163" s="36">
        <v>0</v>
      </c>
      <c r="AW163" s="36">
        <v>1.2793028338758852</v>
      </c>
      <c r="AX163" s="36">
        <v>0.17743074935185008</v>
      </c>
      <c r="AY163" s="36">
        <v>0.16199392959967812</v>
      </c>
      <c r="AZ163" s="36">
        <v>0.33619434261055814</v>
      </c>
      <c r="BA163" s="36">
        <v>1.9549218554379717</v>
      </c>
      <c r="BB163" s="6"/>
      <c r="BC163" s="6"/>
      <c r="BD163" t="s">
        <v>925</v>
      </c>
      <c r="BF163" s="5">
        <v>0.13399080999999999</v>
      </c>
      <c r="BG163" s="5">
        <f t="shared" si="6"/>
        <v>5.9863062548719259E-3</v>
      </c>
      <c r="BH163" s="2">
        <v>140.88632999999999</v>
      </c>
    </row>
    <row r="164" spans="1:60" x14ac:dyDescent="0.2">
      <c r="A164" t="str">
        <f t="shared" si="0"/>
        <v>Motorbike, gasoline, 4-11kW, EURO-5 - 2030 - None - CH</v>
      </c>
      <c r="B164" t="s">
        <v>640</v>
      </c>
      <c r="D164" s="19">
        <v>2030</v>
      </c>
      <c r="E164" t="s">
        <v>37</v>
      </c>
      <c r="F164" t="s">
        <v>143</v>
      </c>
      <c r="G164" t="s">
        <v>39</v>
      </c>
      <c r="H164" t="s">
        <v>35</v>
      </c>
      <c r="I164" t="s">
        <v>140</v>
      </c>
      <c r="J164" t="s">
        <v>140</v>
      </c>
      <c r="L164" s="26">
        <v>7.7537726027432377E-2</v>
      </c>
      <c r="M164" s="26">
        <v>0</v>
      </c>
      <c r="N164" s="26">
        <v>1.273397582163795E-2</v>
      </c>
      <c r="O164" s="26">
        <v>9.5118975182542226E-3</v>
      </c>
      <c r="P164" s="26">
        <v>4.6164709161069933E-3</v>
      </c>
      <c r="Q164" s="26">
        <v>2.531392798158032E-2</v>
      </c>
      <c r="R164" s="26">
        <v>0.12971399826501187</v>
      </c>
      <c r="S164" s="28">
        <v>0</v>
      </c>
      <c r="T164" s="28">
        <v>0</v>
      </c>
      <c r="U164" s="28">
        <v>3.1189130100177712E-4</v>
      </c>
      <c r="V164" s="28">
        <v>5.4149643498382851E-4</v>
      </c>
      <c r="W164" s="28">
        <v>3.1864955979176948E-4</v>
      </c>
      <c r="X164" s="28">
        <v>5.7269207836416957E-3</v>
      </c>
      <c r="Y164" s="28">
        <v>6.8989580794190705E-3</v>
      </c>
      <c r="Z164" s="30">
        <v>8.3991126654003715E-4</v>
      </c>
      <c r="AA164" s="30">
        <v>6.250912695722444E-3</v>
      </c>
      <c r="AB164" s="30">
        <v>6.2217139844900657E-4</v>
      </c>
      <c r="AC164" s="30">
        <v>1.891362620619139E-4</v>
      </c>
      <c r="AD164" s="30">
        <v>1.421674597119671E-4</v>
      </c>
      <c r="AE164" s="30">
        <v>1.253532656184164E-3</v>
      </c>
      <c r="AF164" s="30">
        <v>9.297831738669533E-3</v>
      </c>
      <c r="AG164" s="32">
        <v>2.4438735443695488E-7</v>
      </c>
      <c r="AH164" s="32">
        <v>3.2346437669993012E-5</v>
      </c>
      <c r="AI164" s="32">
        <v>1.183476140667355E-4</v>
      </c>
      <c r="AJ164" s="32">
        <v>3.7496238084001741E-4</v>
      </c>
      <c r="AK164" s="32">
        <v>1.912171489242658E-4</v>
      </c>
      <c r="AL164" s="32">
        <v>2.924990821725087E-3</v>
      </c>
      <c r="AM164" s="32">
        <v>3.6421087905805357E-3</v>
      </c>
      <c r="AN164" s="34">
        <v>3.9614533386664379E-7</v>
      </c>
      <c r="AO164" s="34">
        <v>2.344157748409402E-5</v>
      </c>
      <c r="AP164" s="34">
        <v>2.449088492514438E-6</v>
      </c>
      <c r="AQ164" s="34">
        <v>5.7073161734124143E-7</v>
      </c>
      <c r="AR164" s="34">
        <v>7.7669528711898183E-7</v>
      </c>
      <c r="AS164" s="34">
        <v>4.8291393576053401E-6</v>
      </c>
      <c r="AT164" s="34">
        <v>3.2463377572540661E-5</v>
      </c>
      <c r="AU164" s="36">
        <v>0</v>
      </c>
      <c r="AV164" s="36">
        <v>0</v>
      </c>
      <c r="AW164" s="36">
        <v>1.2665098055371258</v>
      </c>
      <c r="AX164" s="36">
        <v>0.17743074935185008</v>
      </c>
      <c r="AY164" s="36">
        <v>0.16170119588143342</v>
      </c>
      <c r="AZ164" s="36">
        <v>0.36421661052325693</v>
      </c>
      <c r="BA164" s="36">
        <v>1.9698583612936662</v>
      </c>
      <c r="BB164" s="6"/>
      <c r="BC164" s="6"/>
      <c r="BD164" t="s">
        <v>1134</v>
      </c>
      <c r="BF164" s="5">
        <v>0.13387144000000001</v>
      </c>
      <c r="BG164" s="5">
        <f t="shared" si="6"/>
        <v>4.1574417349881376E-3</v>
      </c>
      <c r="BH164" s="2">
        <v>140.75147999999999</v>
      </c>
    </row>
    <row r="165" spans="1:60" x14ac:dyDescent="0.2">
      <c r="A165" t="str">
        <f t="shared" si="0"/>
        <v>Motorbike, gasoline, 4-11kW, EURO-5 - 2040 - None - CH</v>
      </c>
      <c r="B165" t="s">
        <v>640</v>
      </c>
      <c r="D165" s="19">
        <v>2040</v>
      </c>
      <c r="E165" t="s">
        <v>37</v>
      </c>
      <c r="F165" t="s">
        <v>143</v>
      </c>
      <c r="G165" t="s">
        <v>39</v>
      </c>
      <c r="H165" t="s">
        <v>35</v>
      </c>
      <c r="I165" t="s">
        <v>140</v>
      </c>
      <c r="J165" t="s">
        <v>140</v>
      </c>
      <c r="L165" s="26">
        <v>7.6762348767158053E-2</v>
      </c>
      <c r="M165" s="26">
        <v>0</v>
      </c>
      <c r="N165" s="26">
        <v>1.2606636063421569E-2</v>
      </c>
      <c r="O165" s="26">
        <v>9.5118975182542226E-3</v>
      </c>
      <c r="P165" s="26">
        <v>4.6105136604751608E-3</v>
      </c>
      <c r="Q165" s="26">
        <v>2.7067438429300129E-2</v>
      </c>
      <c r="R165" s="26">
        <v>0.13055883443860913</v>
      </c>
      <c r="S165" s="28">
        <v>0</v>
      </c>
      <c r="T165" s="28">
        <v>0</v>
      </c>
      <c r="U165" s="28">
        <v>3.0877238799175918E-4</v>
      </c>
      <c r="V165" s="28">
        <v>5.4149643498382851E-4</v>
      </c>
      <c r="W165" s="28">
        <v>3.1827313486431958E-4</v>
      </c>
      <c r="X165" s="28">
        <v>6.0422253229871032E-3</v>
      </c>
      <c r="Y165" s="28">
        <v>7.2107672808270108E-3</v>
      </c>
      <c r="Z165" s="30">
        <v>8.3151215387463685E-4</v>
      </c>
      <c r="AA165" s="30">
        <v>6.250912695722444E-3</v>
      </c>
      <c r="AB165" s="30">
        <v>6.1594968446451639E-4</v>
      </c>
      <c r="AC165" s="30">
        <v>1.891362620619139E-4</v>
      </c>
      <c r="AD165" s="30">
        <v>1.41996349799137E-4</v>
      </c>
      <c r="AE165" s="30">
        <v>1.353407866190402E-3</v>
      </c>
      <c r="AF165" s="30">
        <v>9.3829150121130505E-3</v>
      </c>
      <c r="AG165" s="32">
        <v>2.4194348089258541E-7</v>
      </c>
      <c r="AH165" s="32">
        <v>3.2346437669993012E-5</v>
      </c>
      <c r="AI165" s="32">
        <v>1.171641379260681E-4</v>
      </c>
      <c r="AJ165" s="32">
        <v>3.7496238084001741E-4</v>
      </c>
      <c r="AK165" s="32">
        <v>1.910574564128753E-4</v>
      </c>
      <c r="AL165" s="32">
        <v>3.2587873795567939E-3</v>
      </c>
      <c r="AM165" s="32">
        <v>3.9745597358866406E-3</v>
      </c>
      <c r="AN165" s="34">
        <v>3.921838805279774E-7</v>
      </c>
      <c r="AO165" s="34">
        <v>2.344157748409402E-5</v>
      </c>
      <c r="AP165" s="34">
        <v>2.424597607589293E-6</v>
      </c>
      <c r="AQ165" s="34">
        <v>5.7073161734124143E-7</v>
      </c>
      <c r="AR165" s="34">
        <v>7.7606473905879696E-7</v>
      </c>
      <c r="AS165" s="34">
        <v>4.9078525092385597E-6</v>
      </c>
      <c r="AT165" s="34">
        <v>3.2513007837849888E-5</v>
      </c>
      <c r="AU165" s="36">
        <v>0</v>
      </c>
      <c r="AV165" s="36">
        <v>0</v>
      </c>
      <c r="AW165" s="36">
        <v>1.2538447074817545</v>
      </c>
      <c r="AX165" s="36">
        <v>0.17743074935185008</v>
      </c>
      <c r="AY165" s="36">
        <v>0.1615060400692703</v>
      </c>
      <c r="AZ165" s="36">
        <v>0.38289812198134571</v>
      </c>
      <c r="BA165" s="36">
        <v>1.9756796188842205</v>
      </c>
      <c r="BB165" s="6"/>
      <c r="BC165" s="6"/>
      <c r="BD165" t="s">
        <v>1135</v>
      </c>
      <c r="BF165" s="5">
        <v>0.13343828999999999</v>
      </c>
      <c r="BG165" s="5">
        <f t="shared" si="6"/>
        <v>2.8794555613908535E-3</v>
      </c>
      <c r="BH165" s="2">
        <v>140.44141999999999</v>
      </c>
    </row>
    <row r="166" spans="1:60" x14ac:dyDescent="0.2">
      <c r="A166" t="str">
        <f t="shared" si="0"/>
        <v>Motorbike, gasoline, 4-11kW, EURO-5 - 2050 - None - CH</v>
      </c>
      <c r="B166" t="s">
        <v>640</v>
      </c>
      <c r="D166" s="19">
        <v>2050</v>
      </c>
      <c r="E166" t="s">
        <v>37</v>
      </c>
      <c r="F166" t="s">
        <v>143</v>
      </c>
      <c r="G166" t="s">
        <v>39</v>
      </c>
      <c r="H166" t="s">
        <v>35</v>
      </c>
      <c r="I166" t="s">
        <v>140</v>
      </c>
      <c r="J166" t="s">
        <v>140</v>
      </c>
      <c r="L166" s="26">
        <v>7.5994725279486475E-2</v>
      </c>
      <c r="M166" s="26">
        <v>0</v>
      </c>
      <c r="N166" s="26">
        <v>1.248056970278736E-2</v>
      </c>
      <c r="O166" s="26">
        <v>9.5118975182542226E-3</v>
      </c>
      <c r="P166" s="26">
        <v>4.6045564048433291E-3</v>
      </c>
      <c r="Q166" s="26">
        <v>2.8820949159174509E-2</v>
      </c>
      <c r="R166" s="26">
        <v>0.13141269806454589</v>
      </c>
      <c r="S166" s="28">
        <v>0</v>
      </c>
      <c r="T166" s="28">
        <v>0</v>
      </c>
      <c r="U166" s="28">
        <v>3.0568466411184171E-4</v>
      </c>
      <c r="V166" s="28">
        <v>5.4149643498382851E-4</v>
      </c>
      <c r="W166" s="28">
        <v>3.1789670993686962E-4</v>
      </c>
      <c r="X166" s="28">
        <v>6.3575299190748056E-3</v>
      </c>
      <c r="Y166" s="28">
        <v>7.5226077281073458E-3</v>
      </c>
      <c r="Z166" s="30">
        <v>8.2319703233589049E-4</v>
      </c>
      <c r="AA166" s="30">
        <v>6.250912695722444E-3</v>
      </c>
      <c r="AB166" s="30">
        <v>6.0979018761987127E-4</v>
      </c>
      <c r="AC166" s="30">
        <v>1.891362620619139E-4</v>
      </c>
      <c r="AD166" s="30">
        <v>1.4182523988630691E-4</v>
      </c>
      <c r="AE166" s="30">
        <v>1.4532830889765259E-3</v>
      </c>
      <c r="AF166" s="30">
        <v>9.4681445066029518E-3</v>
      </c>
      <c r="AG166" s="32">
        <v>2.3952404608365962E-7</v>
      </c>
      <c r="AH166" s="32">
        <v>3.2346437669993012E-5</v>
      </c>
      <c r="AI166" s="32">
        <v>1.1599249654680751E-4</v>
      </c>
      <c r="AJ166" s="32">
        <v>3.7496238084001741E-4</v>
      </c>
      <c r="AK166" s="32">
        <v>1.908977639014847E-4</v>
      </c>
      <c r="AL166" s="32">
        <v>3.5925839979039521E-3</v>
      </c>
      <c r="AM166" s="32">
        <v>4.3070226009083385E-3</v>
      </c>
      <c r="AN166" s="34">
        <v>3.8826204172269772E-7</v>
      </c>
      <c r="AO166" s="34">
        <v>2.344157748409402E-5</v>
      </c>
      <c r="AP166" s="34">
        <v>2.400351631513401E-6</v>
      </c>
      <c r="AQ166" s="34">
        <v>5.7073161734124143E-7</v>
      </c>
      <c r="AR166" s="34">
        <v>7.754341909986121E-7</v>
      </c>
      <c r="AS166" s="34">
        <v>4.9865656560368254E-6</v>
      </c>
      <c r="AT166" s="34">
        <v>3.2562922621706801E-5</v>
      </c>
      <c r="AU166" s="36">
        <v>0</v>
      </c>
      <c r="AV166" s="36">
        <v>0</v>
      </c>
      <c r="AW166" s="36">
        <v>1.2413062604069367</v>
      </c>
      <c r="AX166" s="36">
        <v>0.17743074935185008</v>
      </c>
      <c r="AY166" s="36">
        <v>0.16131088425710713</v>
      </c>
      <c r="AZ166" s="36">
        <v>0.40157963622903398</v>
      </c>
      <c r="BA166" s="36">
        <v>1.981627530244928</v>
      </c>
      <c r="BB166" s="6"/>
      <c r="BC166" s="6"/>
      <c r="BD166" t="s">
        <v>1136</v>
      </c>
      <c r="BF166" s="5">
        <v>0.13314013000000002</v>
      </c>
      <c r="BG166" s="5">
        <f t="shared" si="6"/>
        <v>1.7274319354541323E-3</v>
      </c>
      <c r="BH166" s="2">
        <v>140.13261</v>
      </c>
    </row>
    <row r="167" spans="1:60" x14ac:dyDescent="0.2">
      <c r="A167" t="str">
        <f t="shared" si="0"/>
        <v>Motorbike, gasoline, 11-35kW, EURO-3 - 2006 - None - CH</v>
      </c>
      <c r="B167" t="s">
        <v>620</v>
      </c>
      <c r="D167" s="19">
        <v>2006</v>
      </c>
      <c r="E167" t="s">
        <v>37</v>
      </c>
      <c r="F167" t="s">
        <v>141</v>
      </c>
      <c r="G167" t="s">
        <v>39</v>
      </c>
      <c r="H167" t="s">
        <v>35</v>
      </c>
      <c r="I167" t="s">
        <v>140</v>
      </c>
      <c r="J167" t="s">
        <v>140</v>
      </c>
      <c r="L167" s="26">
        <v>0.11010952647011769</v>
      </c>
      <c r="M167" s="26">
        <v>0</v>
      </c>
      <c r="N167" s="26">
        <v>1.9033078411954611E-2</v>
      </c>
      <c r="O167" s="26">
        <v>9.5118975182542226E-3</v>
      </c>
      <c r="P167" s="26">
        <v>4.8119868849681481E-3</v>
      </c>
      <c r="Q167" s="26">
        <v>1.9015334438299419E-2</v>
      </c>
      <c r="R167" s="26">
        <v>0.16248182372359407</v>
      </c>
      <c r="S167" s="28">
        <v>0</v>
      </c>
      <c r="T167" s="28">
        <v>0</v>
      </c>
      <c r="U167" s="28">
        <v>4.6617424684333893E-4</v>
      </c>
      <c r="V167" s="28">
        <v>5.4149643498382851E-4</v>
      </c>
      <c r="W167" s="28">
        <v>3.3100375255136949E-4</v>
      </c>
      <c r="X167" s="28">
        <v>4.3874659130381981E-3</v>
      </c>
      <c r="Y167" s="28">
        <v>5.7261403474167354E-3</v>
      </c>
      <c r="Z167" s="30">
        <v>1.502397285462156E-3</v>
      </c>
      <c r="AA167" s="30">
        <v>6.250912695722444E-3</v>
      </c>
      <c r="AB167" s="30">
        <v>9.2994027774368729E-4</v>
      </c>
      <c r="AC167" s="30">
        <v>1.891362620619139E-4</v>
      </c>
      <c r="AD167" s="30">
        <v>1.4778325370441589E-4</v>
      </c>
      <c r="AE167" s="30">
        <v>9.2518763671861593E-4</v>
      </c>
      <c r="AF167" s="30">
        <v>9.9453574114132335E-3</v>
      </c>
      <c r="AG167" s="32">
        <v>3.867532849392941E-7</v>
      </c>
      <c r="AH167" s="32">
        <v>3.2346437669993012E-5</v>
      </c>
      <c r="AI167" s="32">
        <v>1.7689050536536839E-4</v>
      </c>
      <c r="AJ167" s="32">
        <v>3.7496238084001741E-4</v>
      </c>
      <c r="AK167" s="32">
        <v>1.964582260265409E-4</v>
      </c>
      <c r="AL167" s="32">
        <v>2.0245198343931681E-3</v>
      </c>
      <c r="AM167" s="32">
        <v>2.8055641375800272E-3</v>
      </c>
      <c r="AN167" s="34">
        <v>6.4537060183367351E-7</v>
      </c>
      <c r="AO167" s="34">
        <v>2.344157748409402E-5</v>
      </c>
      <c r="AP167" s="34">
        <v>3.660576552739767E-6</v>
      </c>
      <c r="AQ167" s="34">
        <v>5.7073161734124143E-7</v>
      </c>
      <c r="AR167" s="34">
        <v>7.9738975157033457E-7</v>
      </c>
      <c r="AS167" s="34">
        <v>3.9463842565876118E-6</v>
      </c>
      <c r="AT167" s="34">
        <v>3.306203026416665E-5</v>
      </c>
      <c r="AU167" s="36">
        <v>0</v>
      </c>
      <c r="AV167" s="36">
        <v>0</v>
      </c>
      <c r="AW167" s="36">
        <v>1.8930128952606131</v>
      </c>
      <c r="AX167" s="36">
        <v>0.17743074935185008</v>
      </c>
      <c r="AY167" s="36">
        <v>0.16810617160382443</v>
      </c>
      <c r="AZ167" s="36">
        <v>0.2823819203081942</v>
      </c>
      <c r="BA167" s="36">
        <v>2.5209317365244814</v>
      </c>
      <c r="BB167" s="6"/>
      <c r="BC167" s="6"/>
      <c r="BD167" t="s">
        <v>920</v>
      </c>
      <c r="BF167" s="5">
        <v>0.17401238999999999</v>
      </c>
      <c r="BG167" s="5">
        <f t="shared" si="6"/>
        <v>1.1530566276405918E-2</v>
      </c>
      <c r="BH167" s="2">
        <v>169.18772999999999</v>
      </c>
    </row>
    <row r="168" spans="1:60" x14ac:dyDescent="0.2">
      <c r="A168" t="str">
        <f t="shared" si="0"/>
        <v>Motorbike, gasoline, 11-35kW, EURO-4 - 2016 - None - CH</v>
      </c>
      <c r="B168" t="s">
        <v>621</v>
      </c>
      <c r="D168" s="19">
        <v>2016</v>
      </c>
      <c r="E168" t="s">
        <v>37</v>
      </c>
      <c r="F168" t="s">
        <v>142</v>
      </c>
      <c r="G168" t="s">
        <v>39</v>
      </c>
      <c r="H168" t="s">
        <v>35</v>
      </c>
      <c r="I168" t="s">
        <v>140</v>
      </c>
      <c r="J168" t="s">
        <v>140</v>
      </c>
      <c r="L168" s="26">
        <v>0.108920498676729</v>
      </c>
      <c r="M168" s="26">
        <v>0</v>
      </c>
      <c r="N168" s="26">
        <v>1.8844632091044169E-2</v>
      </c>
      <c r="O168" s="26">
        <v>9.5118975182542226E-3</v>
      </c>
      <c r="P168" s="26">
        <v>4.8009252278270118E-3</v>
      </c>
      <c r="Q168" s="26">
        <v>1.8997675425317492E-2</v>
      </c>
      <c r="R168" s="26">
        <v>0.16107562893917191</v>
      </c>
      <c r="S168" s="28">
        <v>0</v>
      </c>
      <c r="T168" s="28">
        <v>0</v>
      </c>
      <c r="U168" s="28">
        <v>4.6155866024092962E-4</v>
      </c>
      <c r="V168" s="28">
        <v>5.4149643498382851E-4</v>
      </c>
      <c r="W168" s="28">
        <v>3.3030479253619418E-4</v>
      </c>
      <c r="X168" s="28">
        <v>4.3871072995048804E-3</v>
      </c>
      <c r="Y168" s="28">
        <v>5.720467187265833E-3</v>
      </c>
      <c r="Z168" s="30">
        <v>6.264240714508435E-4</v>
      </c>
      <c r="AA168" s="30">
        <v>6.250912695722444E-3</v>
      </c>
      <c r="AB168" s="30">
        <v>9.207329482610766E-4</v>
      </c>
      <c r="AC168" s="30">
        <v>1.891362620619139E-4</v>
      </c>
      <c r="AD168" s="30">
        <v>1.474655303589441E-4</v>
      </c>
      <c r="AE168" s="30">
        <v>9.2395347575541589E-4</v>
      </c>
      <c r="AF168" s="30">
        <v>9.0586249836106386E-3</v>
      </c>
      <c r="AG168" s="32">
        <v>3.080629938454747E-7</v>
      </c>
      <c r="AH168" s="32">
        <v>3.2346437669993012E-5</v>
      </c>
      <c r="AI168" s="32">
        <v>1.7513911422313699E-4</v>
      </c>
      <c r="AJ168" s="32">
        <v>3.7496238084001741E-4</v>
      </c>
      <c r="AK168" s="32">
        <v>1.9616170294306431E-4</v>
      </c>
      <c r="AL168" s="32">
        <v>2.0244079593236971E-3</v>
      </c>
      <c r="AM168" s="32">
        <v>2.8033256579937543E-3</v>
      </c>
      <c r="AN168" s="34">
        <v>4.5330004081950549E-7</v>
      </c>
      <c r="AO168" s="34">
        <v>2.344157748409402E-5</v>
      </c>
      <c r="AP168" s="34">
        <v>3.624333220534424E-6</v>
      </c>
      <c r="AQ168" s="34">
        <v>5.7073161734124143E-7</v>
      </c>
      <c r="AR168" s="34">
        <v>7.9621892612925324E-7</v>
      </c>
      <c r="AS168" s="34">
        <v>3.941814803588414E-6</v>
      </c>
      <c r="AT168" s="34">
        <v>3.2827976092506859E-5</v>
      </c>
      <c r="AU168" s="36">
        <v>0</v>
      </c>
      <c r="AV168" s="36">
        <v>0</v>
      </c>
      <c r="AW168" s="36">
        <v>1.8742701933273391</v>
      </c>
      <c r="AX168" s="36">
        <v>0.17743074935185008</v>
      </c>
      <c r="AY168" s="36">
        <v>0.16774379892474825</v>
      </c>
      <c r="AZ168" s="36">
        <v>0.28211882979754649</v>
      </c>
      <c r="BA168" s="36">
        <v>2.5015635714014839</v>
      </c>
      <c r="BB168" s="6"/>
      <c r="BC168" s="6"/>
      <c r="BD168" t="s">
        <v>921</v>
      </c>
      <c r="BF168" s="5">
        <v>0.17280902000000001</v>
      </c>
      <c r="BG168" s="5">
        <f t="shared" si="6"/>
        <v>1.1733391060828102E-2</v>
      </c>
      <c r="BH168" s="2">
        <v>164.06079</v>
      </c>
    </row>
    <row r="169" spans="1:60" x14ac:dyDescent="0.2">
      <c r="A169" t="str">
        <f t="shared" si="0"/>
        <v>Motorbike, gasoline, 11-35kW, EURO-5 - 2020 - None - CH</v>
      </c>
      <c r="B169" t="s">
        <v>622</v>
      </c>
      <c r="D169" s="19">
        <v>2020</v>
      </c>
      <c r="E169" t="s">
        <v>37</v>
      </c>
      <c r="F169" t="s">
        <v>143</v>
      </c>
      <c r="G169" t="s">
        <v>39</v>
      </c>
      <c r="H169" t="s">
        <v>35</v>
      </c>
      <c r="I169" t="s">
        <v>140</v>
      </c>
      <c r="J169" t="s">
        <v>140</v>
      </c>
      <c r="L169" s="26">
        <v>0.10776198345764861</v>
      </c>
      <c r="M169" s="26">
        <v>0</v>
      </c>
      <c r="N169" s="26">
        <v>1.865618577013373E-2</v>
      </c>
      <c r="O169" s="26">
        <v>9.5118975182542226E-3</v>
      </c>
      <c r="P169" s="26">
        <v>4.7935507897329203E-3</v>
      </c>
      <c r="Q169" s="26">
        <v>1.8985902764823859E-2</v>
      </c>
      <c r="R169" s="26">
        <v>0.15970952030059338</v>
      </c>
      <c r="S169" s="28">
        <v>0</v>
      </c>
      <c r="T169" s="28">
        <v>0</v>
      </c>
      <c r="U169" s="28">
        <v>4.5694307363852032E-4</v>
      </c>
      <c r="V169" s="28">
        <v>5.4149643498382851E-4</v>
      </c>
      <c r="W169" s="28">
        <v>3.2983881919274402E-4</v>
      </c>
      <c r="X169" s="28">
        <v>4.3868682240432669E-3</v>
      </c>
      <c r="Y169" s="28">
        <v>5.7151465518583602E-3</v>
      </c>
      <c r="Z169" s="30">
        <v>4.2812561319637682E-4</v>
      </c>
      <c r="AA169" s="30">
        <v>6.250912695722444E-3</v>
      </c>
      <c r="AB169" s="30">
        <v>9.1152561877846591E-4</v>
      </c>
      <c r="AC169" s="30">
        <v>1.891362620619139E-4</v>
      </c>
      <c r="AD169" s="30">
        <v>1.472537147952963E-4</v>
      </c>
      <c r="AE169" s="30">
        <v>9.2313070647124737E-4</v>
      </c>
      <c r="AF169" s="30">
        <v>8.850084611025745E-3</v>
      </c>
      <c r="AG169" s="32">
        <v>2.8828785101483539E-7</v>
      </c>
      <c r="AH169" s="32">
        <v>3.2346437669993012E-5</v>
      </c>
      <c r="AI169" s="32">
        <v>1.7338772308090559E-4</v>
      </c>
      <c r="AJ169" s="32">
        <v>3.7496238084001741E-4</v>
      </c>
      <c r="AK169" s="32">
        <v>1.9596402088741319E-4</v>
      </c>
      <c r="AL169" s="32">
        <v>2.0243333761164111E-3</v>
      </c>
      <c r="AM169" s="32">
        <v>2.8012822264457549E-3</v>
      </c>
      <c r="AN169" s="34">
        <v>4.0735867761497301E-7</v>
      </c>
      <c r="AO169" s="34">
        <v>2.344157748409402E-5</v>
      </c>
      <c r="AP169" s="34">
        <v>3.5880898883290801E-6</v>
      </c>
      <c r="AQ169" s="34">
        <v>5.7073161734124143E-7</v>
      </c>
      <c r="AR169" s="34">
        <v>7.9543837583519907E-7</v>
      </c>
      <c r="AS169" s="34">
        <v>3.9387685178179047E-6</v>
      </c>
      <c r="AT169" s="34">
        <v>3.2741964561032422E-5</v>
      </c>
      <c r="AU169" s="36">
        <v>0</v>
      </c>
      <c r="AV169" s="36">
        <v>0</v>
      </c>
      <c r="AW169" s="36">
        <v>1.8555274913940658</v>
      </c>
      <c r="AX169" s="36">
        <v>0.17743074935185008</v>
      </c>
      <c r="AY169" s="36">
        <v>0.16750221713869745</v>
      </c>
      <c r="AZ169" s="36">
        <v>0.28194343642025882</v>
      </c>
      <c r="BA169" s="36">
        <v>2.4824038943048721</v>
      </c>
      <c r="BB169" s="6"/>
      <c r="BC169" s="6"/>
      <c r="BD169" t="s">
        <v>922</v>
      </c>
      <c r="BF169" s="5">
        <v>0.17139077</v>
      </c>
      <c r="BG169" s="5">
        <f t="shared" si="6"/>
        <v>1.1681249699406621E-2</v>
      </c>
      <c r="BH169" s="2">
        <v>162.01159999999999</v>
      </c>
    </row>
    <row r="170" spans="1:60" x14ac:dyDescent="0.2">
      <c r="A170" t="str">
        <f t="shared" si="0"/>
        <v>Motorbike, gasoline, 11-35kW, EURO-5 - 2030 - None - CH</v>
      </c>
      <c r="B170" t="s">
        <v>622</v>
      </c>
      <c r="D170" s="19">
        <v>2030</v>
      </c>
      <c r="E170" t="s">
        <v>37</v>
      </c>
      <c r="F170" t="s">
        <v>143</v>
      </c>
      <c r="G170" t="s">
        <v>39</v>
      </c>
      <c r="H170" t="s">
        <v>35</v>
      </c>
      <c r="I170" t="s">
        <v>140</v>
      </c>
      <c r="J170" t="s">
        <v>140</v>
      </c>
      <c r="L170" s="26">
        <v>0.1066843636230721</v>
      </c>
      <c r="M170" s="26">
        <v>0</v>
      </c>
      <c r="N170" s="26">
        <v>1.8469623912432391E-2</v>
      </c>
      <c r="O170" s="26">
        <v>9.5118975182542226E-3</v>
      </c>
      <c r="P170" s="26">
        <v>4.7824891325917839E-3</v>
      </c>
      <c r="Q170" s="26">
        <v>2.1100178502921861E-2</v>
      </c>
      <c r="R170" s="26">
        <v>0.16054855268927234</v>
      </c>
      <c r="S170" s="28">
        <v>0</v>
      </c>
      <c r="T170" s="28">
        <v>0</v>
      </c>
      <c r="U170" s="28">
        <v>4.5237364290213512E-4</v>
      </c>
      <c r="V170" s="28">
        <v>5.4149643498382851E-4</v>
      </c>
      <c r="W170" s="28">
        <v>3.2913985917756871E-4</v>
      </c>
      <c r="X170" s="28">
        <v>4.7670431679090646E-3</v>
      </c>
      <c r="Y170" s="28">
        <v>6.0900531049725972E-3</v>
      </c>
      <c r="Z170" s="30">
        <v>4.2384435706441307E-4</v>
      </c>
      <c r="AA170" s="30">
        <v>6.250912695722444E-3</v>
      </c>
      <c r="AB170" s="30">
        <v>9.024103625906812E-4</v>
      </c>
      <c r="AC170" s="30">
        <v>1.891362620619139E-4</v>
      </c>
      <c r="AD170" s="30">
        <v>1.469359914498245E-4</v>
      </c>
      <c r="AE170" s="30">
        <v>1.0435541288178411E-3</v>
      </c>
      <c r="AF170" s="30">
        <v>8.9567937977071185E-3</v>
      </c>
      <c r="AG170" s="32">
        <v>2.854049725046871E-7</v>
      </c>
      <c r="AH170" s="32">
        <v>3.2346437669993012E-5</v>
      </c>
      <c r="AI170" s="32">
        <v>1.7165384585009661E-4</v>
      </c>
      <c r="AJ170" s="32">
        <v>3.7496238084001741E-4</v>
      </c>
      <c r="AK170" s="32">
        <v>1.9566749780393659E-4</v>
      </c>
      <c r="AL170" s="32">
        <v>2.426804865546155E-3</v>
      </c>
      <c r="AM170" s="32">
        <v>3.2017204326827034E-3</v>
      </c>
      <c r="AN170" s="34">
        <v>4.0328509083882322E-7</v>
      </c>
      <c r="AO170" s="34">
        <v>2.344157748409402E-5</v>
      </c>
      <c r="AP170" s="34">
        <v>3.5522089894457892E-6</v>
      </c>
      <c r="AQ170" s="34">
        <v>5.7073161734124143E-7</v>
      </c>
      <c r="AR170" s="34">
        <v>7.9426755039411764E-7</v>
      </c>
      <c r="AS170" s="34">
        <v>4.0336760188471236E-6</v>
      </c>
      <c r="AT170" s="34">
        <v>3.2795746750961116E-5</v>
      </c>
      <c r="AU170" s="36">
        <v>0</v>
      </c>
      <c r="AV170" s="36">
        <v>0</v>
      </c>
      <c r="AW170" s="36">
        <v>1.8369722164801252</v>
      </c>
      <c r="AX170" s="36">
        <v>0.17743074935185008</v>
      </c>
      <c r="AY170" s="36">
        <v>0.1671398444596213</v>
      </c>
      <c r="AZ170" s="36">
        <v>0.30446846125577331</v>
      </c>
      <c r="BA170" s="36">
        <v>2.4860112715473699</v>
      </c>
      <c r="BB170" s="6"/>
      <c r="BC170" s="6"/>
      <c r="BD170" t="s">
        <v>1137</v>
      </c>
      <c r="BF170" s="5">
        <v>0.17097999</v>
      </c>
      <c r="BG170" s="5">
        <f t="shared" si="6"/>
        <v>1.0431437310727654E-2</v>
      </c>
      <c r="BH170" s="2">
        <v>161.53639000000001</v>
      </c>
    </row>
    <row r="171" spans="1:60" x14ac:dyDescent="0.2">
      <c r="A171" t="str">
        <f t="shared" si="0"/>
        <v>Motorbike, gasoline, 11-35kW, EURO-5 - 2040 - None - CH</v>
      </c>
      <c r="B171" t="s">
        <v>622</v>
      </c>
      <c r="D171" s="19">
        <v>2040</v>
      </c>
      <c r="E171" t="s">
        <v>37</v>
      </c>
      <c r="F171" t="s">
        <v>143</v>
      </c>
      <c r="G171" t="s">
        <v>39</v>
      </c>
      <c r="H171" t="s">
        <v>35</v>
      </c>
      <c r="I171" t="s">
        <v>140</v>
      </c>
      <c r="J171" t="s">
        <v>140</v>
      </c>
      <c r="L171" s="26">
        <v>0.10561751998684139</v>
      </c>
      <c r="M171" s="26">
        <v>0</v>
      </c>
      <c r="N171" s="26">
        <v>1.8284927673308062E-2</v>
      </c>
      <c r="O171" s="26">
        <v>9.5118975182542226E-3</v>
      </c>
      <c r="P171" s="26">
        <v>4.7751146944976916E-3</v>
      </c>
      <c r="Q171" s="26">
        <v>2.2509695659683599E-2</v>
      </c>
      <c r="R171" s="26">
        <v>0.16069915553258496</v>
      </c>
      <c r="S171" s="28">
        <v>0</v>
      </c>
      <c r="T171" s="28">
        <v>0</v>
      </c>
      <c r="U171" s="28">
        <v>4.4784990647311369E-4</v>
      </c>
      <c r="V171" s="28">
        <v>5.4149643498382851E-4</v>
      </c>
      <c r="W171" s="28">
        <v>3.2867388583411849E-4</v>
      </c>
      <c r="X171" s="28">
        <v>5.0204931415246314E-3</v>
      </c>
      <c r="Y171" s="28">
        <v>6.338513368815692E-3</v>
      </c>
      <c r="Z171" s="30">
        <v>4.1960591349376889E-4</v>
      </c>
      <c r="AA171" s="30">
        <v>6.250912695722444E-3</v>
      </c>
      <c r="AB171" s="30">
        <v>8.9338625896477424E-4</v>
      </c>
      <c r="AC171" s="30">
        <v>1.891362620619139E-4</v>
      </c>
      <c r="AD171" s="30">
        <v>1.4672417588617659E-4</v>
      </c>
      <c r="AE171" s="30">
        <v>1.123836406926465E-3</v>
      </c>
      <c r="AF171" s="30">
        <v>9.0236017130555426E-3</v>
      </c>
      <c r="AG171" s="32">
        <v>2.8255092277964021E-7</v>
      </c>
      <c r="AH171" s="32">
        <v>3.2346437669993012E-5</v>
      </c>
      <c r="AI171" s="32">
        <v>1.699373073915956E-4</v>
      </c>
      <c r="AJ171" s="32">
        <v>3.7496238084001741E-4</v>
      </c>
      <c r="AK171" s="32">
        <v>1.954698157482855E-4</v>
      </c>
      <c r="AL171" s="32">
        <v>2.6951192044928872E-3</v>
      </c>
      <c r="AM171" s="32">
        <v>3.4681176970655586E-3</v>
      </c>
      <c r="AN171" s="34">
        <v>3.9925223993043488E-7</v>
      </c>
      <c r="AO171" s="34">
        <v>2.344157748409402E-5</v>
      </c>
      <c r="AP171" s="34">
        <v>3.5166868995513309E-6</v>
      </c>
      <c r="AQ171" s="34">
        <v>5.7073161734124143E-7</v>
      </c>
      <c r="AR171" s="34">
        <v>7.9348700010006346E-7</v>
      </c>
      <c r="AS171" s="34">
        <v>4.0969476626832888E-6</v>
      </c>
      <c r="AT171" s="34">
        <v>3.2818682903700375E-5</v>
      </c>
      <c r="AU171" s="36">
        <v>0</v>
      </c>
      <c r="AV171" s="36">
        <v>0</v>
      </c>
      <c r="AW171" s="36">
        <v>1.8186024943153245</v>
      </c>
      <c r="AX171" s="36">
        <v>0.17743074935185008</v>
      </c>
      <c r="AY171" s="36">
        <v>0.16689826267357047</v>
      </c>
      <c r="AZ171" s="36">
        <v>0.3194851441064781</v>
      </c>
      <c r="BA171" s="36">
        <v>2.4824166504472234</v>
      </c>
      <c r="BB171" s="6"/>
      <c r="BC171" s="6"/>
      <c r="BD171" t="s">
        <v>1138</v>
      </c>
      <c r="BF171" s="5">
        <v>0.17017773999999999</v>
      </c>
      <c r="BG171" s="5">
        <f t="shared" si="6"/>
        <v>9.4785844674150355E-3</v>
      </c>
      <c r="BH171" s="2">
        <v>160.86219</v>
      </c>
    </row>
    <row r="172" spans="1:60" x14ac:dyDescent="0.2">
      <c r="A172" t="str">
        <f t="shared" si="0"/>
        <v>Motorbike, gasoline, 11-35kW, EURO-5 - 2050 - None - CH</v>
      </c>
      <c r="B172" t="s">
        <v>622</v>
      </c>
      <c r="D172" s="19">
        <v>2050</v>
      </c>
      <c r="E172" t="s">
        <v>37</v>
      </c>
      <c r="F172" t="s">
        <v>143</v>
      </c>
      <c r="G172" t="s">
        <v>39</v>
      </c>
      <c r="H172" t="s">
        <v>35</v>
      </c>
      <c r="I172" t="s">
        <v>140</v>
      </c>
      <c r="J172" t="s">
        <v>140</v>
      </c>
      <c r="L172" s="26">
        <v>0.104561344786973</v>
      </c>
      <c r="M172" s="26">
        <v>0</v>
      </c>
      <c r="N172" s="26">
        <v>1.8102078396574989E-2</v>
      </c>
      <c r="O172" s="26">
        <v>9.5118975182542226E-3</v>
      </c>
      <c r="P172" s="26">
        <v>4.7677402564036018E-3</v>
      </c>
      <c r="Q172" s="26">
        <v>2.3919212659184841E-2</v>
      </c>
      <c r="R172" s="26">
        <v>0.16086227361739067</v>
      </c>
      <c r="S172" s="28">
        <v>0</v>
      </c>
      <c r="T172" s="28">
        <v>0</v>
      </c>
      <c r="U172" s="28">
        <v>4.4337140740838271E-4</v>
      </c>
      <c r="V172" s="28">
        <v>5.4149643498382851E-4</v>
      </c>
      <c r="W172" s="28">
        <v>3.2820791249066832E-4</v>
      </c>
      <c r="X172" s="28">
        <v>5.2739430787847952E-3</v>
      </c>
      <c r="Y172" s="28">
        <v>6.5870188336676749E-3</v>
      </c>
      <c r="Z172" s="30">
        <v>4.1540985435883118E-4</v>
      </c>
      <c r="AA172" s="30">
        <v>6.250912695722444E-3</v>
      </c>
      <c r="AB172" s="30">
        <v>8.844523963751266E-4</v>
      </c>
      <c r="AC172" s="30">
        <v>1.891362620619139E-4</v>
      </c>
      <c r="AD172" s="30">
        <v>1.465123603225288E-4</v>
      </c>
      <c r="AE172" s="30">
        <v>1.20411868037422E-3</v>
      </c>
      <c r="AF172" s="30">
        <v>9.0905422492150636E-3</v>
      </c>
      <c r="AG172" s="32">
        <v>2.7972541355184378E-7</v>
      </c>
      <c r="AH172" s="32">
        <v>3.2346437669993012E-5</v>
      </c>
      <c r="AI172" s="32">
        <v>1.6823793431767971E-4</v>
      </c>
      <c r="AJ172" s="32">
        <v>3.7496238084001741E-4</v>
      </c>
      <c r="AK172" s="32">
        <v>1.9527213369263441E-4</v>
      </c>
      <c r="AL172" s="32">
        <v>2.9634335043474342E-3</v>
      </c>
      <c r="AM172" s="32">
        <v>3.7345321162813106E-3</v>
      </c>
      <c r="AN172" s="34">
        <v>3.9525971753113062E-7</v>
      </c>
      <c r="AO172" s="34">
        <v>2.344157748409402E-5</v>
      </c>
      <c r="AP172" s="34">
        <v>3.481520030555818E-6</v>
      </c>
      <c r="AQ172" s="34">
        <v>5.7073161734124143E-7</v>
      </c>
      <c r="AR172" s="34">
        <v>7.9270644980600928E-7</v>
      </c>
      <c r="AS172" s="34">
        <v>4.1602193225586513E-6</v>
      </c>
      <c r="AT172" s="34">
        <v>3.2842014621886867E-5</v>
      </c>
      <c r="AU172" s="36">
        <v>0</v>
      </c>
      <c r="AV172" s="36">
        <v>0</v>
      </c>
      <c r="AW172" s="36">
        <v>1.8004164693721709</v>
      </c>
      <c r="AX172" s="36">
        <v>0.17743074935185008</v>
      </c>
      <c r="AY172" s="36">
        <v>0.16665668088751967</v>
      </c>
      <c r="AZ172" s="36">
        <v>0.33450182557017433</v>
      </c>
      <c r="BA172" s="36">
        <v>2.479005725181715</v>
      </c>
      <c r="BB172" s="6"/>
      <c r="BC172" s="6"/>
      <c r="BD172" t="s">
        <v>1139</v>
      </c>
      <c r="BF172" s="5">
        <v>0.16948352000000003</v>
      </c>
      <c r="BG172" s="5">
        <f t="shared" si="6"/>
        <v>8.6212463826093599E-3</v>
      </c>
      <c r="BH172" s="2">
        <v>160.24704</v>
      </c>
    </row>
    <row r="173" spans="1:60" x14ac:dyDescent="0.2">
      <c r="A173" t="str">
        <f t="shared" si="0"/>
        <v>Motorbike, gasoline, &gt;35kW, EURO-3 - 2006 - None - CH</v>
      </c>
      <c r="B173" t="s">
        <v>629</v>
      </c>
      <c r="D173" s="19">
        <v>2006</v>
      </c>
      <c r="E173" t="s">
        <v>37</v>
      </c>
      <c r="F173" t="s">
        <v>141</v>
      </c>
      <c r="G173" t="s">
        <v>39</v>
      </c>
      <c r="H173" t="s">
        <v>35</v>
      </c>
      <c r="I173" t="s">
        <v>140</v>
      </c>
      <c r="J173" t="s">
        <v>140</v>
      </c>
      <c r="L173" s="26">
        <v>0.1456373689159301</v>
      </c>
      <c r="M173" s="26">
        <v>0</v>
      </c>
      <c r="N173" s="26">
        <v>2.5238134008871621E-2</v>
      </c>
      <c r="O173" s="26">
        <v>9.5118975182542226E-3</v>
      </c>
      <c r="P173" s="26">
        <v>5.2767016682585969E-3</v>
      </c>
      <c r="Q173" s="26">
        <v>3.0353807002889241E-2</v>
      </c>
      <c r="R173" s="26">
        <v>0.21601790911420382</v>
      </c>
      <c r="S173" s="28">
        <v>0</v>
      </c>
      <c r="T173" s="28">
        <v>0</v>
      </c>
      <c r="U173" s="28">
        <v>6.1815371421615104E-4</v>
      </c>
      <c r="V173" s="28">
        <v>5.4149643498382851E-4</v>
      </c>
      <c r="W173" s="28">
        <v>3.6036798323005651E-4</v>
      </c>
      <c r="X173" s="28">
        <v>7.0268256465361896E-3</v>
      </c>
      <c r="Y173" s="28">
        <v>8.546843778966225E-3</v>
      </c>
      <c r="Z173" s="30">
        <v>1.9976559609592311E-3</v>
      </c>
      <c r="AA173" s="30">
        <v>6.250912695722444E-3</v>
      </c>
      <c r="AB173" s="30">
        <v>1.23311409967192E-3</v>
      </c>
      <c r="AC173" s="30">
        <v>1.891362620619139E-4</v>
      </c>
      <c r="AD173" s="30">
        <v>1.611312298487991E-4</v>
      </c>
      <c r="AE173" s="30">
        <v>1.4780174999559071E-3</v>
      </c>
      <c r="AF173" s="30">
        <v>1.1309967748220216E-2</v>
      </c>
      <c r="AG173" s="32">
        <v>5.1331468005373219E-7</v>
      </c>
      <c r="AH173" s="32">
        <v>3.2346437669993012E-5</v>
      </c>
      <c r="AI173" s="32">
        <v>2.3455933836242311E-4</v>
      </c>
      <c r="AJ173" s="32">
        <v>3.7496238084001741E-4</v>
      </c>
      <c r="AK173" s="32">
        <v>2.089155512464669E-4</v>
      </c>
      <c r="AL173" s="32">
        <v>3.2421615020483989E-3</v>
      </c>
      <c r="AM173" s="32">
        <v>4.0934585248473526E-3</v>
      </c>
      <c r="AN173" s="34">
        <v>8.569470611639673E-7</v>
      </c>
      <c r="AO173" s="34">
        <v>2.344157748409402E-5</v>
      </c>
      <c r="AP173" s="34">
        <v>4.8539768285592813E-6</v>
      </c>
      <c r="AQ173" s="34">
        <v>5.7073161734124143E-7</v>
      </c>
      <c r="AR173" s="34">
        <v>8.465776701779024E-7</v>
      </c>
      <c r="AS173" s="34">
        <v>6.3078048868376844E-6</v>
      </c>
      <c r="AT173" s="34">
        <v>3.6877615548174097E-5</v>
      </c>
      <c r="AU173" s="36">
        <v>0</v>
      </c>
      <c r="AV173" s="36">
        <v>0</v>
      </c>
      <c r="AW173" s="36">
        <v>2.5101621554346876</v>
      </c>
      <c r="AX173" s="36">
        <v>0.17743074935185008</v>
      </c>
      <c r="AY173" s="36">
        <v>0.18332992505040491</v>
      </c>
      <c r="AZ173" s="36">
        <v>0.449646521142474</v>
      </c>
      <c r="BA173" s="36">
        <v>3.3205693509794165</v>
      </c>
      <c r="BB173" s="6"/>
      <c r="BC173" s="6"/>
      <c r="BD173" t="s">
        <v>917</v>
      </c>
      <c r="BF173" s="5">
        <v>0.22708181999999999</v>
      </c>
      <c r="BG173" s="5">
        <f t="shared" si="6"/>
        <v>1.1063910885796169E-2</v>
      </c>
      <c r="BH173" s="2">
        <v>217.98249000000001</v>
      </c>
    </row>
    <row r="174" spans="1:60" x14ac:dyDescent="0.2">
      <c r="A174" t="str">
        <f t="shared" si="0"/>
        <v>Motorbike, gasoline, &gt;35kW, EURO-4 - 2016 - None - CH</v>
      </c>
      <c r="B174" t="s">
        <v>630</v>
      </c>
      <c r="D174" s="19">
        <v>2016</v>
      </c>
      <c r="E174" t="s">
        <v>37</v>
      </c>
      <c r="F174" t="s">
        <v>142</v>
      </c>
      <c r="G174" t="s">
        <v>39</v>
      </c>
      <c r="H174" t="s">
        <v>35</v>
      </c>
      <c r="I174" t="s">
        <v>140</v>
      </c>
      <c r="J174" t="s">
        <v>140</v>
      </c>
      <c r="L174" s="26">
        <v>0.14396262715159169</v>
      </c>
      <c r="M174" s="26">
        <v>0</v>
      </c>
      <c r="N174" s="26">
        <v>2.4988251493932301E-2</v>
      </c>
      <c r="O174" s="26">
        <v>9.5118975182542226E-3</v>
      </c>
      <c r="P174" s="26">
        <v>5.2615431010651871E-3</v>
      </c>
      <c r="Q174" s="26">
        <v>3.0330802553008691E-2</v>
      </c>
      <c r="R174" s="26">
        <v>0.21405512181785208</v>
      </c>
      <c r="S174" s="28">
        <v>0</v>
      </c>
      <c r="T174" s="28">
        <v>0</v>
      </c>
      <c r="U174" s="28">
        <v>6.1203338041203076E-4</v>
      </c>
      <c r="V174" s="28">
        <v>5.4149643498382851E-4</v>
      </c>
      <c r="W174" s="28">
        <v>3.5941014913518662E-4</v>
      </c>
      <c r="X174" s="28">
        <v>7.0263584795335907E-3</v>
      </c>
      <c r="Y174" s="28">
        <v>8.5392984440646365E-3</v>
      </c>
      <c r="Z174" s="30">
        <v>8.3046382610798219E-4</v>
      </c>
      <c r="AA174" s="30">
        <v>6.250912695722444E-3</v>
      </c>
      <c r="AB174" s="30">
        <v>1.220905049180119E-3</v>
      </c>
      <c r="AC174" s="30">
        <v>1.891362620619139E-4</v>
      </c>
      <c r="AD174" s="30">
        <v>1.606958311901896E-4</v>
      </c>
      <c r="AE174" s="30">
        <v>1.4764097578285891E-3</v>
      </c>
      <c r="AF174" s="30">
        <v>1.0128523422091239E-2</v>
      </c>
      <c r="AG174" s="32">
        <v>4.0847998500919202E-7</v>
      </c>
      <c r="AH174" s="32">
        <v>3.2346437669993012E-5</v>
      </c>
      <c r="AI174" s="32">
        <v>2.322369686756664E-4</v>
      </c>
      <c r="AJ174" s="32">
        <v>3.7496238084001741E-4</v>
      </c>
      <c r="AK174" s="32">
        <v>2.0850920479873971E-4</v>
      </c>
      <c r="AL174" s="32">
        <v>3.2420157621221258E-3</v>
      </c>
      <c r="AM174" s="32">
        <v>4.0904792340915519E-3</v>
      </c>
      <c r="AN174" s="34">
        <v>6.0104277654853822E-7</v>
      </c>
      <c r="AO174" s="34">
        <v>2.344157748409402E-5</v>
      </c>
      <c r="AP174" s="34">
        <v>4.8059176520388916E-6</v>
      </c>
      <c r="AQ174" s="34">
        <v>5.7073161734124143E-7</v>
      </c>
      <c r="AR174" s="34">
        <v>8.449732056845687E-7</v>
      </c>
      <c r="AS174" s="34">
        <v>6.3018522570734984E-6</v>
      </c>
      <c r="AT174" s="34">
        <v>3.656609499278076E-5</v>
      </c>
      <c r="AU174" s="36">
        <v>0</v>
      </c>
      <c r="AV174" s="36">
        <v>0</v>
      </c>
      <c r="AW174" s="36">
        <v>2.4853090647868199</v>
      </c>
      <c r="AX174" s="36">
        <v>0.17743074935185008</v>
      </c>
      <c r="AY174" s="36">
        <v>0.18283334026796716</v>
      </c>
      <c r="AZ174" s="36">
        <v>0.44930379239897933</v>
      </c>
      <c r="BA174" s="36">
        <v>3.2948769468056165</v>
      </c>
      <c r="BB174" s="6"/>
      <c r="BC174" s="6"/>
      <c r="BD174" t="s">
        <v>918</v>
      </c>
      <c r="BF174" s="5">
        <v>0.22545672999999999</v>
      </c>
      <c r="BG174" s="5">
        <f t="shared" si="6"/>
        <v>1.1401608182147915E-2</v>
      </c>
      <c r="BH174" s="2">
        <v>211.14079000000001</v>
      </c>
    </row>
    <row r="175" spans="1:60" x14ac:dyDescent="0.2">
      <c r="A175" t="str">
        <f t="shared" si="0"/>
        <v>Motorbike, gasoline, &gt;35kW, EURO-5 - 2020 - None - CH</v>
      </c>
      <c r="B175" t="s">
        <v>631</v>
      </c>
      <c r="D175" s="19">
        <v>2020</v>
      </c>
      <c r="E175" t="s">
        <v>37</v>
      </c>
      <c r="F175" t="s">
        <v>143</v>
      </c>
      <c r="G175" t="s">
        <v>39</v>
      </c>
      <c r="H175" t="s">
        <v>35</v>
      </c>
      <c r="I175" t="s">
        <v>140</v>
      </c>
      <c r="J175" t="s">
        <v>140</v>
      </c>
      <c r="L175" s="26">
        <v>0.1424310956800646</v>
      </c>
      <c r="M175" s="26">
        <v>0</v>
      </c>
      <c r="N175" s="26">
        <v>2.473836897899297E-2</v>
      </c>
      <c r="O175" s="26">
        <v>9.5118975182542226E-3</v>
      </c>
      <c r="P175" s="26">
        <v>5.2514373896029136E-3</v>
      </c>
      <c r="Q175" s="26">
        <v>3.031546636120637E-2</v>
      </c>
      <c r="R175" s="26">
        <v>0.21224826592812107</v>
      </c>
      <c r="S175" s="28">
        <v>0</v>
      </c>
      <c r="T175" s="28">
        <v>0</v>
      </c>
      <c r="U175" s="28">
        <v>6.0591304660791037E-4</v>
      </c>
      <c r="V175" s="28">
        <v>5.4149643498382851E-4</v>
      </c>
      <c r="W175" s="28">
        <v>3.5877159307194E-4</v>
      </c>
      <c r="X175" s="28">
        <v>7.0260470371081166E-3</v>
      </c>
      <c r="Y175" s="28">
        <v>8.532228111771796E-3</v>
      </c>
      <c r="Z175" s="30">
        <v>5.6754522938633146E-4</v>
      </c>
      <c r="AA175" s="30">
        <v>6.250912695722444E-3</v>
      </c>
      <c r="AB175" s="30">
        <v>1.2086959986883181E-3</v>
      </c>
      <c r="AC175" s="30">
        <v>1.891362620619139E-4</v>
      </c>
      <c r="AD175" s="30">
        <v>1.6040556541778331E-4</v>
      </c>
      <c r="AE175" s="30">
        <v>1.475337934959318E-3</v>
      </c>
      <c r="AF175" s="30">
        <v>9.8520336862361075E-3</v>
      </c>
      <c r="AG175" s="32">
        <v>3.8226029656214638E-7</v>
      </c>
      <c r="AH175" s="32">
        <v>3.2346437669993012E-5</v>
      </c>
      <c r="AI175" s="32">
        <v>2.299145989889097E-4</v>
      </c>
      <c r="AJ175" s="32">
        <v>3.7496238084001741E-4</v>
      </c>
      <c r="AK175" s="32">
        <v>2.082383071669215E-4</v>
      </c>
      <c r="AL175" s="32">
        <v>3.241918602806012E-3</v>
      </c>
      <c r="AM175" s="32">
        <v>4.0877625877684155E-3</v>
      </c>
      <c r="AN175" s="34">
        <v>5.4012990847835475E-7</v>
      </c>
      <c r="AO175" s="34">
        <v>2.344157748409402E-5</v>
      </c>
      <c r="AP175" s="34">
        <v>4.7578584755185036E-6</v>
      </c>
      <c r="AQ175" s="34">
        <v>5.7073161734124143E-7</v>
      </c>
      <c r="AR175" s="34">
        <v>8.439035626890129E-7</v>
      </c>
      <c r="AS175" s="34">
        <v>6.2978838572717338E-6</v>
      </c>
      <c r="AT175" s="34">
        <v>3.6452084905392866E-5</v>
      </c>
      <c r="AU175" s="36">
        <v>0</v>
      </c>
      <c r="AV175" s="36">
        <v>0</v>
      </c>
      <c r="AW175" s="36">
        <v>2.4604559741389509</v>
      </c>
      <c r="AX175" s="36">
        <v>0.17743074935185008</v>
      </c>
      <c r="AY175" s="36">
        <v>0.18250228374634203</v>
      </c>
      <c r="AZ175" s="36">
        <v>0.44907530813237251</v>
      </c>
      <c r="BA175" s="36">
        <v>3.2694643153695155</v>
      </c>
      <c r="BB175" s="6"/>
      <c r="BC175" s="6"/>
      <c r="BD175" t="s">
        <v>919</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631</v>
      </c>
      <c r="D176" s="19">
        <v>2030</v>
      </c>
      <c r="E176" t="s">
        <v>37</v>
      </c>
      <c r="F176" t="s">
        <v>143</v>
      </c>
      <c r="G176" t="s">
        <v>39</v>
      </c>
      <c r="H176" t="s">
        <v>35</v>
      </c>
      <c r="I176" t="s">
        <v>140</v>
      </c>
      <c r="J176" t="s">
        <v>140</v>
      </c>
      <c r="L176" s="26">
        <v>0.141006784723264</v>
      </c>
      <c r="M176" s="26">
        <v>0</v>
      </c>
      <c r="N176" s="26">
        <v>2.449098528920304E-2</v>
      </c>
      <c r="O176" s="26">
        <v>9.5118975182542226E-3</v>
      </c>
      <c r="P176" s="26">
        <v>5.2362788224095047E-3</v>
      </c>
      <c r="Q176" s="26">
        <v>3.3069728482490179E-2</v>
      </c>
      <c r="R176" s="26">
        <v>0.21331567483562097</v>
      </c>
      <c r="S176" s="28">
        <v>0</v>
      </c>
      <c r="T176" s="28">
        <v>0</v>
      </c>
      <c r="U176" s="28">
        <v>5.9985391614183136E-4</v>
      </c>
      <c r="V176" s="28">
        <v>5.4149643498382851E-4</v>
      </c>
      <c r="W176" s="28">
        <v>3.5781375897707022E-4</v>
      </c>
      <c r="X176" s="28">
        <v>7.5213000595663847E-3</v>
      </c>
      <c r="Y176" s="28">
        <v>9.0204641696691144E-3</v>
      </c>
      <c r="Z176" s="30">
        <v>5.6186977709246817E-4</v>
      </c>
      <c r="AA176" s="30">
        <v>6.250912695722444E-3</v>
      </c>
      <c r="AB176" s="30">
        <v>1.196609038701435E-3</v>
      </c>
      <c r="AC176" s="30">
        <v>1.891362620619139E-4</v>
      </c>
      <c r="AD176" s="30">
        <v>1.599701667591738E-4</v>
      </c>
      <c r="AE176" s="30">
        <v>1.632213250857753E-3</v>
      </c>
      <c r="AF176" s="30">
        <v>9.9907111911951875E-3</v>
      </c>
      <c r="AG176" s="32">
        <v>3.784376935965249E-7</v>
      </c>
      <c r="AH176" s="32">
        <v>3.2346437669993012E-5</v>
      </c>
      <c r="AI176" s="32">
        <v>2.2761545299902059E-4</v>
      </c>
      <c r="AJ176" s="32">
        <v>3.7496238084001741E-4</v>
      </c>
      <c r="AK176" s="32">
        <v>2.0783196071919431E-4</v>
      </c>
      <c r="AL176" s="32">
        <v>3.7662172839230089E-3</v>
      </c>
      <c r="AM176" s="32">
        <v>4.6093519538448306E-3</v>
      </c>
      <c r="AN176" s="34">
        <v>5.3472860939357127E-7</v>
      </c>
      <c r="AO176" s="34">
        <v>2.344157748409402E-5</v>
      </c>
      <c r="AP176" s="34">
        <v>4.7102798907633183E-6</v>
      </c>
      <c r="AQ176" s="34">
        <v>5.7073161734124143E-7</v>
      </c>
      <c r="AR176" s="34">
        <v>8.422990981956793E-7</v>
      </c>
      <c r="AS176" s="34">
        <v>6.4215196443218267E-6</v>
      </c>
      <c r="AT176" s="34">
        <v>3.6521136344109652E-5</v>
      </c>
      <c r="AU176" s="36">
        <v>0</v>
      </c>
      <c r="AV176" s="36">
        <v>0</v>
      </c>
      <c r="AW176" s="36">
        <v>2.4358514143975611</v>
      </c>
      <c r="AX176" s="36">
        <v>0.17743074935185008</v>
      </c>
      <c r="AY176" s="36">
        <v>0.18200569896390428</v>
      </c>
      <c r="AZ176" s="36">
        <v>0.47841860597399155</v>
      </c>
      <c r="BA176" s="36">
        <v>3.273706468687307</v>
      </c>
      <c r="BB176" s="6"/>
      <c r="BC176" s="6"/>
      <c r="BD176" t="s">
        <v>1140</v>
      </c>
      <c r="BF176" s="5">
        <v>0.22299941000000001</v>
      </c>
      <c r="BG176" s="5">
        <f t="shared" si="6"/>
        <v>9.683735164379037E-3</v>
      </c>
      <c r="BH176" s="2">
        <v>207.83073999999999</v>
      </c>
    </row>
    <row r="177" spans="1:60" x14ac:dyDescent="0.2">
      <c r="A177" t="str">
        <f t="shared" si="8"/>
        <v>Motorbike, gasoline, &gt;35kW, EURO-5 - 2040 - None - CH</v>
      </c>
      <c r="B177" t="s">
        <v>631</v>
      </c>
      <c r="D177" s="19">
        <v>2040</v>
      </c>
      <c r="E177" t="s">
        <v>37</v>
      </c>
      <c r="F177" t="s">
        <v>143</v>
      </c>
      <c r="G177" t="s">
        <v>39</v>
      </c>
      <c r="H177" t="s">
        <v>35</v>
      </c>
      <c r="I177" t="s">
        <v>140</v>
      </c>
      <c r="J177" t="s">
        <v>140</v>
      </c>
      <c r="L177" s="26">
        <v>0.13959671687603131</v>
      </c>
      <c r="M177" s="26">
        <v>0</v>
      </c>
      <c r="N177" s="26">
        <v>2.4246075436311011E-2</v>
      </c>
      <c r="O177" s="26">
        <v>9.5118975182542226E-3</v>
      </c>
      <c r="P177" s="26">
        <v>5.2261731109472312E-3</v>
      </c>
      <c r="Q177" s="26">
        <v>3.4905903443434173E-2</v>
      </c>
      <c r="R177" s="26">
        <v>0.21348676638497793</v>
      </c>
      <c r="S177" s="28">
        <v>0</v>
      </c>
      <c r="T177" s="28">
        <v>0</v>
      </c>
      <c r="U177" s="28">
        <v>5.9385537698041294E-4</v>
      </c>
      <c r="V177" s="28">
        <v>5.4149643498382851E-4</v>
      </c>
      <c r="W177" s="28">
        <v>3.571752029138236E-4</v>
      </c>
      <c r="X177" s="28">
        <v>7.8514687875013318E-3</v>
      </c>
      <c r="Y177" s="28">
        <v>9.3439958023793963E-3</v>
      </c>
      <c r="Z177" s="30">
        <v>5.5625107932154349E-4</v>
      </c>
      <c r="AA177" s="30">
        <v>6.250912695722444E-3</v>
      </c>
      <c r="AB177" s="30">
        <v>1.1846429483144199E-3</v>
      </c>
      <c r="AC177" s="30">
        <v>1.891362620619139E-4</v>
      </c>
      <c r="AD177" s="30">
        <v>1.5967990098676751E-4</v>
      </c>
      <c r="AE177" s="30">
        <v>1.7367968051572771E-3</v>
      </c>
      <c r="AF177" s="30">
        <v>1.0077419691564364E-2</v>
      </c>
      <c r="AG177" s="32">
        <v>3.746533166605597E-7</v>
      </c>
      <c r="AH177" s="32">
        <v>3.2346437669993012E-5</v>
      </c>
      <c r="AI177" s="32">
        <v>2.2533929846903041E-4</v>
      </c>
      <c r="AJ177" s="32">
        <v>3.7496238084001741E-4</v>
      </c>
      <c r="AK177" s="32">
        <v>2.075610630873761E-4</v>
      </c>
      <c r="AL177" s="32">
        <v>4.1157497877137832E-3</v>
      </c>
      <c r="AM177" s="32">
        <v>4.9563336210968608E-3</v>
      </c>
      <c r="AN177" s="34">
        <v>5.2938132329963544E-7</v>
      </c>
      <c r="AO177" s="34">
        <v>2.344157748409402E-5</v>
      </c>
      <c r="AP177" s="34">
        <v>4.6631770918556842E-6</v>
      </c>
      <c r="AQ177" s="34">
        <v>5.7073161734124143E-7</v>
      </c>
      <c r="AR177" s="34">
        <v>8.412294552001235E-7</v>
      </c>
      <c r="AS177" s="34">
        <v>6.5039434974534263E-6</v>
      </c>
      <c r="AT177" s="34">
        <v>3.6550040469244134E-5</v>
      </c>
      <c r="AU177" s="36">
        <v>0</v>
      </c>
      <c r="AV177" s="36">
        <v>0</v>
      </c>
      <c r="AW177" s="36">
        <v>2.4114929002535854</v>
      </c>
      <c r="AX177" s="36">
        <v>0.17743074935185008</v>
      </c>
      <c r="AY177" s="36">
        <v>0.1816746424422791</v>
      </c>
      <c r="AZ177" s="36">
        <v>0.49798080657492666</v>
      </c>
      <c r="BA177" s="36">
        <v>3.2685790986226411</v>
      </c>
      <c r="BB177" s="6"/>
      <c r="BC177" s="6"/>
      <c r="BD177" t="s">
        <v>1141</v>
      </c>
      <c r="BF177" s="5">
        <v>0.22198580000000001</v>
      </c>
      <c r="BG177" s="5">
        <f t="shared" si="6"/>
        <v>8.499033615022078E-3</v>
      </c>
      <c r="BH177" s="2">
        <v>206.96093999999999</v>
      </c>
    </row>
    <row r="178" spans="1:60" x14ac:dyDescent="0.2">
      <c r="A178" t="str">
        <f t="shared" si="8"/>
        <v>Motorbike, gasoline, &gt;35kW, EURO-5 - 2050 - None - CH</v>
      </c>
      <c r="B178" t="s">
        <v>631</v>
      </c>
      <c r="D178" s="19">
        <v>2050</v>
      </c>
      <c r="E178" t="s">
        <v>37</v>
      </c>
      <c r="F178" t="s">
        <v>143</v>
      </c>
      <c r="G178" t="s">
        <v>39</v>
      </c>
      <c r="H178" t="s">
        <v>35</v>
      </c>
      <c r="I178" t="s">
        <v>140</v>
      </c>
      <c r="J178" t="s">
        <v>140</v>
      </c>
      <c r="L178" s="26">
        <v>0.138200749707271</v>
      </c>
      <c r="M178" s="26">
        <v>0</v>
      </c>
      <c r="N178" s="26">
        <v>2.40036146819479E-2</v>
      </c>
      <c r="O178" s="26">
        <v>9.5118975182542226E-3</v>
      </c>
      <c r="P178" s="26">
        <v>5.2160673994849586E-3</v>
      </c>
      <c r="Q178" s="26">
        <v>3.674207806310284E-2</v>
      </c>
      <c r="R178" s="26">
        <v>0.21367440737006094</v>
      </c>
      <c r="S178" s="28">
        <v>0</v>
      </c>
      <c r="T178" s="28">
        <v>0</v>
      </c>
      <c r="U178" s="28">
        <v>5.879168232106088E-4</v>
      </c>
      <c r="V178" s="28">
        <v>5.4149643498382851E-4</v>
      </c>
      <c r="W178" s="28">
        <v>3.5653664685057702E-4</v>
      </c>
      <c r="X178" s="28">
        <v>8.1816374456681034E-3</v>
      </c>
      <c r="Y178" s="28">
        <v>9.6675873507131183E-3</v>
      </c>
      <c r="Z178" s="30">
        <v>5.5068856852832795E-4</v>
      </c>
      <c r="AA178" s="30">
        <v>6.250912695722444E-3</v>
      </c>
      <c r="AB178" s="30">
        <v>1.1727965188312759E-3</v>
      </c>
      <c r="AC178" s="30">
        <v>1.891362620619139E-4</v>
      </c>
      <c r="AD178" s="30">
        <v>1.5938963521436111E-4</v>
      </c>
      <c r="AE178" s="30">
        <v>1.84138033721651E-3</v>
      </c>
      <c r="AF178" s="30">
        <v>1.0164304017574833E-2</v>
      </c>
      <c r="AG178" s="32">
        <v>3.7090678349395399E-7</v>
      </c>
      <c r="AH178" s="32">
        <v>3.2346437669993012E-5</v>
      </c>
      <c r="AI178" s="32">
        <v>2.2308590548434011E-4</v>
      </c>
      <c r="AJ178" s="32">
        <v>3.7496238084001741E-4</v>
      </c>
      <c r="AK178" s="32">
        <v>2.0729016545555789E-4</v>
      </c>
      <c r="AL178" s="32">
        <v>4.4652822166896247E-3</v>
      </c>
      <c r="AM178" s="32">
        <v>5.3033380129230267E-3</v>
      </c>
      <c r="AN178" s="34">
        <v>5.2408751006663915E-7</v>
      </c>
      <c r="AO178" s="34">
        <v>2.344157748409402E-5</v>
      </c>
      <c r="AP178" s="34">
        <v>4.6165453209371283E-6</v>
      </c>
      <c r="AQ178" s="34">
        <v>5.7073161734124143E-7</v>
      </c>
      <c r="AR178" s="34">
        <v>8.401598122045677E-7</v>
      </c>
      <c r="AS178" s="34">
        <v>6.5863673347963851E-6</v>
      </c>
      <c r="AT178" s="34">
        <v>3.6579469079439981E-5</v>
      </c>
      <c r="AU178" s="36">
        <v>0</v>
      </c>
      <c r="AV178" s="36">
        <v>0</v>
      </c>
      <c r="AW178" s="36">
        <v>2.3873779712510497</v>
      </c>
      <c r="AX178" s="36">
        <v>0.17743074935185008</v>
      </c>
      <c r="AY178" s="36">
        <v>0.18134358592065394</v>
      </c>
      <c r="AZ178" s="36">
        <v>0.5175430036933224</v>
      </c>
      <c r="BA178" s="36">
        <v>3.263695310216876</v>
      </c>
      <c r="BB178" s="6"/>
      <c r="BC178" s="6"/>
      <c r="BD178" t="s">
        <v>1142</v>
      </c>
      <c r="BF178" s="5">
        <v>0.22098013999999999</v>
      </c>
      <c r="BG178" s="5">
        <f t="shared" si="6"/>
        <v>7.3057326299390546E-3</v>
      </c>
      <c r="BH178" s="2">
        <v>206.10284999999999</v>
      </c>
    </row>
    <row r="179" spans="1:60" x14ac:dyDescent="0.2">
      <c r="A179" t="str">
        <f t="shared" si="8"/>
        <v>Motorbike, electric, &lt;4kW - 2020 - NMC - CH</v>
      </c>
      <c r="B179" t="s">
        <v>492</v>
      </c>
      <c r="D179" s="19">
        <v>2020</v>
      </c>
      <c r="E179" t="s">
        <v>37</v>
      </c>
      <c r="F179" t="s">
        <v>140</v>
      </c>
      <c r="G179" t="s">
        <v>39</v>
      </c>
      <c r="H179" t="s">
        <v>32</v>
      </c>
      <c r="I179" t="s">
        <v>43</v>
      </c>
      <c r="J179" t="s">
        <v>140</v>
      </c>
      <c r="L179" s="26">
        <v>0</v>
      </c>
      <c r="M179" s="26">
        <v>0</v>
      </c>
      <c r="N179" s="26">
        <v>3.836250793656903E-3</v>
      </c>
      <c r="O179" s="26">
        <v>1.2306591692257861E-2</v>
      </c>
      <c r="P179" s="26">
        <v>4.4328520005473991E-3</v>
      </c>
      <c r="Q179" s="26">
        <v>3.7731612714263563E-2</v>
      </c>
      <c r="R179" s="26">
        <v>5.830730720072573E-2</v>
      </c>
      <c r="S179" s="28">
        <v>0</v>
      </c>
      <c r="T179" s="28">
        <v>0</v>
      </c>
      <c r="U179" s="28">
        <v>4.0604195360992079E-4</v>
      </c>
      <c r="V179" s="28">
        <v>4.722191823356421E-4</v>
      </c>
      <c r="W179" s="28">
        <v>3.0704711375963563E-4</v>
      </c>
      <c r="X179" s="28">
        <v>4.3073131220721143E-2</v>
      </c>
      <c r="Y179" s="28">
        <v>4.425843947042634E-2</v>
      </c>
      <c r="Z179" s="30">
        <v>0</v>
      </c>
      <c r="AA179" s="30">
        <v>3.1271735442865911E-3</v>
      </c>
      <c r="AB179" s="30">
        <v>1.1899481848762461E-4</v>
      </c>
      <c r="AC179" s="30">
        <v>1.5438989133449149E-4</v>
      </c>
      <c r="AD179" s="30">
        <v>1.3689338410113129E-4</v>
      </c>
      <c r="AE179" s="30">
        <v>3.5131444674290678E-3</v>
      </c>
      <c r="AF179" s="30">
        <v>7.0505961056389066E-3</v>
      </c>
      <c r="AG179" s="32">
        <v>0</v>
      </c>
      <c r="AH179" s="32">
        <v>1.6491053126472278E-5</v>
      </c>
      <c r="AI179" s="32">
        <v>2.7189071687907281E-4</v>
      </c>
      <c r="AJ179" s="32">
        <v>3.7507357872791961E-4</v>
      </c>
      <c r="AK179" s="32">
        <v>1.8629498885984979E-4</v>
      </c>
      <c r="AL179" s="32">
        <v>1.0620833379668831E-2</v>
      </c>
      <c r="AM179" s="32">
        <v>1.1470583717262145E-2</v>
      </c>
      <c r="AN179" s="34">
        <v>0</v>
      </c>
      <c r="AO179" s="34">
        <v>1.179775095002105E-5</v>
      </c>
      <c r="AP179" s="34">
        <v>3.4282755259154613E-7</v>
      </c>
      <c r="AQ179" s="34">
        <v>7.4641524221169363E-7</v>
      </c>
      <c r="AR179" s="34">
        <v>7.5726007094314899E-7</v>
      </c>
      <c r="AS179" s="34">
        <v>9.874007547004985E-6</v>
      </c>
      <c r="AT179" s="34">
        <v>2.3518261362772422E-5</v>
      </c>
      <c r="AU179" s="36">
        <v>0</v>
      </c>
      <c r="AV179" s="36">
        <v>0</v>
      </c>
      <c r="AW179" s="36">
        <v>0.17939961470963908</v>
      </c>
      <c r="AX179" s="36">
        <v>0.17647448414364728</v>
      </c>
      <c r="AY179" s="36">
        <v>0.1556859598719075</v>
      </c>
      <c r="AZ179" s="36">
        <v>0.54370848778751379</v>
      </c>
      <c r="BA179" s="36">
        <v>1.0552685465127076</v>
      </c>
      <c r="BB179" s="6"/>
      <c r="BC179" s="6"/>
      <c r="BD179" t="s">
        <v>900</v>
      </c>
      <c r="BF179" s="5">
        <v>5.7933417000000001E-2</v>
      </c>
      <c r="BG179" s="5">
        <f t="shared" si="6"/>
        <v>-3.7389020072572943E-4</v>
      </c>
      <c r="BH179" s="2">
        <v>133.77883</v>
      </c>
    </row>
    <row r="180" spans="1:60" x14ac:dyDescent="0.2">
      <c r="A180" t="str">
        <f t="shared" si="8"/>
        <v>Motorbike, electric, &lt;4kW - 2030 - NMC - CH</v>
      </c>
      <c r="B180" t="s">
        <v>492</v>
      </c>
      <c r="D180" s="19">
        <v>2030</v>
      </c>
      <c r="E180" t="s">
        <v>37</v>
      </c>
      <c r="F180" t="s">
        <v>140</v>
      </c>
      <c r="G180" t="s">
        <v>39</v>
      </c>
      <c r="H180" t="s">
        <v>32</v>
      </c>
      <c r="I180" t="s">
        <v>43</v>
      </c>
      <c r="J180" t="s">
        <v>140</v>
      </c>
      <c r="L180" s="26">
        <v>0</v>
      </c>
      <c r="M180" s="26">
        <v>0</v>
      </c>
      <c r="N180" s="26">
        <v>3.836250793656903E-3</v>
      </c>
      <c r="O180" s="26">
        <v>1.2306591692257861E-2</v>
      </c>
      <c r="P180" s="26">
        <v>4.4354770577290396E-3</v>
      </c>
      <c r="Q180" s="26">
        <v>3.6150989630984988E-2</v>
      </c>
      <c r="R180" s="26">
        <v>5.6729309174628789E-2</v>
      </c>
      <c r="S180" s="28">
        <v>0</v>
      </c>
      <c r="T180" s="28">
        <v>0</v>
      </c>
      <c r="U180" s="28">
        <v>4.0604195360992079E-4</v>
      </c>
      <c r="V180" s="28">
        <v>4.722191823356421E-4</v>
      </c>
      <c r="W180" s="28">
        <v>3.0721298492921762E-4</v>
      </c>
      <c r="X180" s="28">
        <v>3.6101004899327008E-2</v>
      </c>
      <c r="Y180" s="28">
        <v>3.7286479020201789E-2</v>
      </c>
      <c r="Z180" s="30">
        <v>0</v>
      </c>
      <c r="AA180" s="30">
        <v>3.1271735442865911E-3</v>
      </c>
      <c r="AB180" s="30">
        <v>1.1899481848762461E-4</v>
      </c>
      <c r="AC180" s="30">
        <v>1.5438989133449149E-4</v>
      </c>
      <c r="AD180" s="30">
        <v>1.3696878346843811E-4</v>
      </c>
      <c r="AE180" s="30">
        <v>3.045672236259228E-3</v>
      </c>
      <c r="AF180" s="30">
        <v>6.5831992738363734E-3</v>
      </c>
      <c r="AG180" s="32">
        <v>0</v>
      </c>
      <c r="AH180" s="32">
        <v>1.6491053126472278E-5</v>
      </c>
      <c r="AI180" s="32">
        <v>2.7189071687907281E-4</v>
      </c>
      <c r="AJ180" s="32">
        <v>3.7507357872791961E-4</v>
      </c>
      <c r="AK180" s="32">
        <v>1.863653571636104E-4</v>
      </c>
      <c r="AL180" s="32">
        <v>9.5258486340622749E-3</v>
      </c>
      <c r="AM180" s="32">
        <v>1.0375669339959349E-2</v>
      </c>
      <c r="AN180" s="34">
        <v>0</v>
      </c>
      <c r="AO180" s="34">
        <v>1.179775095002105E-5</v>
      </c>
      <c r="AP180" s="34">
        <v>3.4282755259154613E-7</v>
      </c>
      <c r="AQ180" s="34">
        <v>7.4641524221169363E-7</v>
      </c>
      <c r="AR180" s="34">
        <v>7.5753792115070333E-7</v>
      </c>
      <c r="AS180" s="34">
        <v>8.6442927998933472E-6</v>
      </c>
      <c r="AT180" s="34">
        <v>2.2288824465868339E-5</v>
      </c>
      <c r="AU180" s="36">
        <v>0</v>
      </c>
      <c r="AV180" s="36">
        <v>0</v>
      </c>
      <c r="AW180" s="36">
        <v>0.17939961470963908</v>
      </c>
      <c r="AX180" s="36">
        <v>0.17647448414364728</v>
      </c>
      <c r="AY180" s="36">
        <v>0.15577195503443175</v>
      </c>
      <c r="AZ180" s="36">
        <v>0.50865858246692519</v>
      </c>
      <c r="BA180" s="36">
        <v>1.0203046363546433</v>
      </c>
      <c r="BB180" s="6"/>
      <c r="BC180" s="6"/>
      <c r="BD180" t="s">
        <v>1056</v>
      </c>
      <c r="BF180" s="5">
        <v>5.6520210000000001E-2</v>
      </c>
      <c r="BG180" s="5">
        <f t="shared" si="6"/>
        <v>-2.0909917462878791E-4</v>
      </c>
      <c r="BH180" s="2">
        <v>120.77919</v>
      </c>
    </row>
    <row r="181" spans="1:60" x14ac:dyDescent="0.2">
      <c r="A181" t="str">
        <f t="shared" si="8"/>
        <v>Motorbike, electric, &lt;4kW - 2040 - NMC - CH</v>
      </c>
      <c r="B181" t="s">
        <v>492</v>
      </c>
      <c r="D181" s="19">
        <v>2040</v>
      </c>
      <c r="E181" t="s">
        <v>37</v>
      </c>
      <c r="F181" t="s">
        <v>140</v>
      </c>
      <c r="G181" t="s">
        <v>39</v>
      </c>
      <c r="H181" t="s">
        <v>32</v>
      </c>
      <c r="I181" t="s">
        <v>43</v>
      </c>
      <c r="J181" t="s">
        <v>140</v>
      </c>
      <c r="L181" s="26">
        <v>0</v>
      </c>
      <c r="M181" s="26">
        <v>0</v>
      </c>
      <c r="N181" s="26">
        <v>3.836250793656903E-3</v>
      </c>
      <c r="O181" s="26">
        <v>1.2306591692257861E-2</v>
      </c>
      <c r="P181" s="26">
        <v>4.434103834174483E-3</v>
      </c>
      <c r="Q181" s="26">
        <v>3.5912100467703358E-2</v>
      </c>
      <c r="R181" s="26">
        <v>5.6489046787792603E-2</v>
      </c>
      <c r="S181" s="28">
        <v>0</v>
      </c>
      <c r="T181" s="28">
        <v>0</v>
      </c>
      <c r="U181" s="28">
        <v>4.0604195360992079E-4</v>
      </c>
      <c r="V181" s="28">
        <v>4.722191823356421E-4</v>
      </c>
      <c r="W181" s="28">
        <v>3.0712621417287557E-4</v>
      </c>
      <c r="X181" s="28">
        <v>3.3072757472973058E-2</v>
      </c>
      <c r="Y181" s="28">
        <v>3.4258144823091495E-2</v>
      </c>
      <c r="Z181" s="30">
        <v>0</v>
      </c>
      <c r="AA181" s="30">
        <v>3.1271735442865911E-3</v>
      </c>
      <c r="AB181" s="30">
        <v>1.1899481848762461E-4</v>
      </c>
      <c r="AC181" s="30">
        <v>1.5438989133449149E-4</v>
      </c>
      <c r="AD181" s="30">
        <v>1.3692934044681231E-4</v>
      </c>
      <c r="AE181" s="30">
        <v>2.8635356772810571E-3</v>
      </c>
      <c r="AF181" s="30">
        <v>6.4010232718365763E-3</v>
      </c>
      <c r="AG181" s="32">
        <v>0</v>
      </c>
      <c r="AH181" s="32">
        <v>1.6491053126472278E-5</v>
      </c>
      <c r="AI181" s="32">
        <v>2.7189071687907281E-4</v>
      </c>
      <c r="AJ181" s="32">
        <v>3.7507357872791961E-4</v>
      </c>
      <c r="AK181" s="32">
        <v>1.8632854599892639E-4</v>
      </c>
      <c r="AL181" s="32">
        <v>9.1263158500380914E-3</v>
      </c>
      <c r="AM181" s="32">
        <v>9.9760997447704818E-3</v>
      </c>
      <c r="AN181" s="34">
        <v>0</v>
      </c>
      <c r="AO181" s="34">
        <v>1.179775095002105E-5</v>
      </c>
      <c r="AP181" s="34">
        <v>3.4282755259154613E-7</v>
      </c>
      <c r="AQ181" s="34">
        <v>7.4641524221169363E-7</v>
      </c>
      <c r="AR181" s="34">
        <v>7.5739257176467052E-7</v>
      </c>
      <c r="AS181" s="34">
        <v>8.1157492810330466E-6</v>
      </c>
      <c r="AT181" s="34">
        <v>2.1760135597622006E-5</v>
      </c>
      <c r="AU181" s="36">
        <v>0</v>
      </c>
      <c r="AV181" s="36">
        <v>0</v>
      </c>
      <c r="AW181" s="36">
        <v>0.17939961470963908</v>
      </c>
      <c r="AX181" s="36">
        <v>0.17647448414364728</v>
      </c>
      <c r="AY181" s="36">
        <v>0.15572696912571241</v>
      </c>
      <c r="AZ181" s="36">
        <v>0.49797394030048725</v>
      </c>
      <c r="BA181" s="36">
        <v>1.0095750082794859</v>
      </c>
      <c r="BB181" s="6"/>
      <c r="BC181" s="6"/>
      <c r="BD181" t="s">
        <v>1057</v>
      </c>
      <c r="BF181" s="5">
        <v>5.6064011999999996E-2</v>
      </c>
      <c r="BG181" s="5">
        <f t="shared" si="6"/>
        <v>-4.2503478779260667E-4</v>
      </c>
      <c r="BH181" s="2">
        <v>115.06788</v>
      </c>
    </row>
    <row r="182" spans="1:60" x14ac:dyDescent="0.2">
      <c r="A182" t="str">
        <f t="shared" si="8"/>
        <v>Motorbike, electric, &lt;4kW - 2050 - NMC - CH</v>
      </c>
      <c r="B182" t="s">
        <v>492</v>
      </c>
      <c r="D182" s="19">
        <v>2050</v>
      </c>
      <c r="E182" t="s">
        <v>37</v>
      </c>
      <c r="F182" t="s">
        <v>140</v>
      </c>
      <c r="G182" t="s">
        <v>39</v>
      </c>
      <c r="H182" t="s">
        <v>32</v>
      </c>
      <c r="I182" t="s">
        <v>43</v>
      </c>
      <c r="J182" t="s">
        <v>140</v>
      </c>
      <c r="L182" s="26">
        <v>0</v>
      </c>
      <c r="M182" s="26">
        <v>0</v>
      </c>
      <c r="N182" s="26">
        <v>3.836250793656903E-3</v>
      </c>
      <c r="O182" s="26">
        <v>1.2306591692257861E-2</v>
      </c>
      <c r="P182" s="26">
        <v>4.433716903780657E-3</v>
      </c>
      <c r="Q182" s="26">
        <v>4.8722811857781059E-2</v>
      </c>
      <c r="R182" s="26">
        <v>6.9299371247476482E-2</v>
      </c>
      <c r="S182" s="28">
        <v>0</v>
      </c>
      <c r="T182" s="28">
        <v>0</v>
      </c>
      <c r="U182" s="28">
        <v>4.0604195360992079E-4</v>
      </c>
      <c r="V182" s="28">
        <v>4.722191823356421E-4</v>
      </c>
      <c r="W182" s="28">
        <v>3.0710176495423781E-4</v>
      </c>
      <c r="X182" s="28">
        <v>5.3634881422349651E-2</v>
      </c>
      <c r="Y182" s="28">
        <v>5.4820244323249452E-2</v>
      </c>
      <c r="Z182" s="30">
        <v>0</v>
      </c>
      <c r="AA182" s="30">
        <v>3.1271735442865911E-3</v>
      </c>
      <c r="AB182" s="30">
        <v>1.1899481848762461E-4</v>
      </c>
      <c r="AC182" s="30">
        <v>1.5438989133449149E-4</v>
      </c>
      <c r="AD182" s="30">
        <v>1.3691822666723821E-4</v>
      </c>
      <c r="AE182" s="30">
        <v>4.6255852130350772E-3</v>
      </c>
      <c r="AF182" s="30">
        <v>8.1630616938110218E-3</v>
      </c>
      <c r="AG182" s="32">
        <v>0</v>
      </c>
      <c r="AH182" s="32">
        <v>1.6491053126472278E-5</v>
      </c>
      <c r="AI182" s="32">
        <v>2.7189071687907281E-4</v>
      </c>
      <c r="AJ182" s="32">
        <v>3.7507357872791961E-4</v>
      </c>
      <c r="AK182" s="32">
        <v>1.8631817379230269E-4</v>
      </c>
      <c r="AL182" s="32">
        <v>1.371885835088588E-2</v>
      </c>
      <c r="AM182" s="32">
        <v>1.4568631873411647E-2</v>
      </c>
      <c r="AN182" s="34">
        <v>0</v>
      </c>
      <c r="AO182" s="34">
        <v>1.179775095002105E-5</v>
      </c>
      <c r="AP182" s="34">
        <v>3.4282755259154613E-7</v>
      </c>
      <c r="AQ182" s="34">
        <v>7.4641524221169363E-7</v>
      </c>
      <c r="AR182" s="34">
        <v>7.5735161696529122E-7</v>
      </c>
      <c r="AS182" s="34">
        <v>1.187505888308293E-5</v>
      </c>
      <c r="AT182" s="34">
        <v>2.5519404244872511E-5</v>
      </c>
      <c r="AU182" s="36">
        <v>0</v>
      </c>
      <c r="AV182" s="36">
        <v>0</v>
      </c>
      <c r="AW182" s="36">
        <v>0.17939961470963908</v>
      </c>
      <c r="AX182" s="36">
        <v>0.17647448414364728</v>
      </c>
      <c r="AY182" s="36">
        <v>0.15571429353817273</v>
      </c>
      <c r="AZ182" s="36">
        <v>0.68457763636854829</v>
      </c>
      <c r="BA182" s="36">
        <v>1.1961660287600073</v>
      </c>
      <c r="BB182" s="6"/>
      <c r="BC182" s="6"/>
      <c r="BD182" t="s">
        <v>1058</v>
      </c>
      <c r="BF182" s="5">
        <v>6.3322703999999994E-2</v>
      </c>
      <c r="BG182" s="5">
        <f t="shared" si="6"/>
        <v>-5.9766672474764887E-3</v>
      </c>
      <c r="BH182" s="2">
        <v>152.51778999999999</v>
      </c>
    </row>
    <row r="183" spans="1:60" x14ac:dyDescent="0.2">
      <c r="A183" t="str">
        <f t="shared" si="8"/>
        <v>Motorbike, electric, 4-11kW - 2020 - NMC - CH</v>
      </c>
      <c r="B183" t="s">
        <v>493</v>
      </c>
      <c r="D183" s="19">
        <v>2020</v>
      </c>
      <c r="E183" t="s">
        <v>37</v>
      </c>
      <c r="F183" t="s">
        <v>140</v>
      </c>
      <c r="G183" t="s">
        <v>39</v>
      </c>
      <c r="H183" t="s">
        <v>32</v>
      </c>
      <c r="I183" t="s">
        <v>43</v>
      </c>
      <c r="J183" t="s">
        <v>140</v>
      </c>
      <c r="L183" s="26">
        <v>0</v>
      </c>
      <c r="M183" s="26">
        <v>0</v>
      </c>
      <c r="N183" s="26">
        <v>5.7702284664922004E-3</v>
      </c>
      <c r="O183" s="26">
        <v>1.2306591692257861E-2</v>
      </c>
      <c r="P183" s="26">
        <v>4.5620586516537803E-3</v>
      </c>
      <c r="Q183" s="26">
        <v>4.8920262282214709E-2</v>
      </c>
      <c r="R183" s="26">
        <v>7.1559141092618544E-2</v>
      </c>
      <c r="S183" s="28">
        <v>0</v>
      </c>
      <c r="T183" s="28">
        <v>0</v>
      </c>
      <c r="U183" s="28">
        <v>6.1074078972731883E-4</v>
      </c>
      <c r="V183" s="28">
        <v>4.722191823356421E-4</v>
      </c>
      <c r="W183" s="28">
        <v>3.1521137718470738E-4</v>
      </c>
      <c r="X183" s="28">
        <v>5.4538590521143467E-2</v>
      </c>
      <c r="Y183" s="28">
        <v>5.5936761870391136E-2</v>
      </c>
      <c r="Z183" s="30">
        <v>0</v>
      </c>
      <c r="AA183" s="30">
        <v>3.1271735442865911E-3</v>
      </c>
      <c r="AB183" s="30">
        <v>1.789839418574189E-4</v>
      </c>
      <c r="AC183" s="30">
        <v>1.5438989133449149E-4</v>
      </c>
      <c r="AD183" s="30">
        <v>1.406045793518013E-4</v>
      </c>
      <c r="AE183" s="30">
        <v>4.4499296217063557E-3</v>
      </c>
      <c r="AF183" s="30">
        <v>8.0510815785366577E-3</v>
      </c>
      <c r="AG183" s="32">
        <v>0</v>
      </c>
      <c r="AH183" s="32">
        <v>1.6491053126472278E-5</v>
      </c>
      <c r="AI183" s="32">
        <v>4.0895959067761362E-4</v>
      </c>
      <c r="AJ183" s="32">
        <v>3.7507357872791961E-4</v>
      </c>
      <c r="AK183" s="32">
        <v>1.897585526010612E-4</v>
      </c>
      <c r="AL183" s="32">
        <v>1.374556755101566E-2</v>
      </c>
      <c r="AM183" s="32">
        <v>1.4735850326148728E-2</v>
      </c>
      <c r="AN183" s="34">
        <v>0</v>
      </c>
      <c r="AO183" s="34">
        <v>1.179775095002105E-5</v>
      </c>
      <c r="AP183" s="34">
        <v>5.1565797166662308E-7</v>
      </c>
      <c r="AQ183" s="34">
        <v>7.4641524221169363E-7</v>
      </c>
      <c r="AR183" s="34">
        <v>7.7093599963467272E-7</v>
      </c>
      <c r="AS183" s="34">
        <v>1.2522572062321821E-5</v>
      </c>
      <c r="AT183" s="34">
        <v>2.6353332225855858E-5</v>
      </c>
      <c r="AU183" s="36">
        <v>0</v>
      </c>
      <c r="AV183" s="36">
        <v>0</v>
      </c>
      <c r="AW183" s="36">
        <v>0.2698407427863993</v>
      </c>
      <c r="AX183" s="36">
        <v>0.17647448414364728</v>
      </c>
      <c r="AY183" s="36">
        <v>0.15991868555834748</v>
      </c>
      <c r="AZ183" s="36">
        <v>0.7018944944193094</v>
      </c>
      <c r="BA183" s="36">
        <v>1.3081284069077035</v>
      </c>
      <c r="BB183" s="6"/>
      <c r="BC183" s="6"/>
      <c r="BD183" t="s">
        <v>915</v>
      </c>
      <c r="BF183" s="5">
        <v>7.0016664000000006E-2</v>
      </c>
      <c r="BG183" s="5">
        <f t="shared" si="6"/>
        <v>-1.5424770926185383E-3</v>
      </c>
      <c r="BH183" s="2">
        <v>162.07660000000001</v>
      </c>
    </row>
    <row r="184" spans="1:60" x14ac:dyDescent="0.2">
      <c r="A184" t="str">
        <f t="shared" si="8"/>
        <v>Motorbike, electric, 4-11kW - 2030 - NMC - CH</v>
      </c>
      <c r="B184" t="s">
        <v>493</v>
      </c>
      <c r="D184" s="19">
        <v>2030</v>
      </c>
      <c r="E184" t="s">
        <v>37</v>
      </c>
      <c r="F184" t="s">
        <v>140</v>
      </c>
      <c r="G184" t="s">
        <v>39</v>
      </c>
      <c r="H184" t="s">
        <v>32</v>
      </c>
      <c r="I184" t="s">
        <v>43</v>
      </c>
      <c r="J184" t="s">
        <v>140</v>
      </c>
      <c r="L184" s="26">
        <v>0</v>
      </c>
      <c r="M184" s="26">
        <v>0</v>
      </c>
      <c r="N184" s="26">
        <v>5.7702284664922004E-3</v>
      </c>
      <c r="O184" s="26">
        <v>1.2306591692257861E-2</v>
      </c>
      <c r="P184" s="26">
        <v>4.5659445792955522E-3</v>
      </c>
      <c r="Q184" s="26">
        <v>5.0847739574879709E-2</v>
      </c>
      <c r="R184" s="26">
        <v>7.3490504312925323E-2</v>
      </c>
      <c r="S184" s="28">
        <v>0</v>
      </c>
      <c r="T184" s="28">
        <v>0</v>
      </c>
      <c r="U184" s="28">
        <v>6.1074078972731883E-4</v>
      </c>
      <c r="V184" s="28">
        <v>4.722191823356421E-4</v>
      </c>
      <c r="W184" s="28">
        <v>3.1545691978368762E-4</v>
      </c>
      <c r="X184" s="28">
        <v>5.3567251468282361E-2</v>
      </c>
      <c r="Y184" s="28">
        <v>5.4965668360129012E-2</v>
      </c>
      <c r="Z184" s="30">
        <v>0</v>
      </c>
      <c r="AA184" s="30">
        <v>3.1271735442865911E-3</v>
      </c>
      <c r="AB184" s="30">
        <v>1.789839418574189E-4</v>
      </c>
      <c r="AC184" s="30">
        <v>1.5438989133449149E-4</v>
      </c>
      <c r="AD184" s="30">
        <v>1.4071619462922781E-4</v>
      </c>
      <c r="AE184" s="30">
        <v>4.485928208278203E-3</v>
      </c>
      <c r="AF184" s="30">
        <v>8.0871917803859335E-3</v>
      </c>
      <c r="AG184" s="32">
        <v>0</v>
      </c>
      <c r="AH184" s="32">
        <v>1.6491053126472278E-5</v>
      </c>
      <c r="AI184" s="32">
        <v>4.0895959067761362E-4</v>
      </c>
      <c r="AJ184" s="32">
        <v>3.7507357872791961E-4</v>
      </c>
      <c r="AK184" s="32">
        <v>1.8986272028875961E-4</v>
      </c>
      <c r="AL184" s="32">
        <v>1.395166652116028E-2</v>
      </c>
      <c r="AM184" s="32">
        <v>1.4942053463981045E-2</v>
      </c>
      <c r="AN184" s="34">
        <v>0</v>
      </c>
      <c r="AO184" s="34">
        <v>1.179775095002105E-5</v>
      </c>
      <c r="AP184" s="34">
        <v>5.1565797166662308E-7</v>
      </c>
      <c r="AQ184" s="34">
        <v>7.4641524221169363E-7</v>
      </c>
      <c r="AR184" s="34">
        <v>7.713473071708888E-7</v>
      </c>
      <c r="AS184" s="34">
        <v>1.2387130655504919E-5</v>
      </c>
      <c r="AT184" s="34">
        <v>2.6218302126575174E-5</v>
      </c>
      <c r="AU184" s="36">
        <v>0</v>
      </c>
      <c r="AV184" s="36">
        <v>0</v>
      </c>
      <c r="AW184" s="36">
        <v>0.2698407427863993</v>
      </c>
      <c r="AX184" s="36">
        <v>0.17647448414364728</v>
      </c>
      <c r="AY184" s="36">
        <v>0.16004598601543801</v>
      </c>
      <c r="AZ184" s="36">
        <v>0.71896573632358329</v>
      </c>
      <c r="BA184" s="36">
        <v>1.3253269492690678</v>
      </c>
      <c r="BB184" s="6"/>
      <c r="BC184" s="6"/>
      <c r="BD184" t="s">
        <v>1059</v>
      </c>
      <c r="BF184" s="5">
        <v>7.0628497999999998E-2</v>
      </c>
      <c r="BG184" s="5">
        <f t="shared" si="6"/>
        <v>-2.8620063129253248E-3</v>
      </c>
      <c r="BH184" s="2">
        <v>160.03426999999999</v>
      </c>
    </row>
    <row r="185" spans="1:60" x14ac:dyDescent="0.2">
      <c r="A185" t="str">
        <f t="shared" si="8"/>
        <v>Motorbike, electric, 4-11kW - 2040 - NMC - CH</v>
      </c>
      <c r="B185" t="s">
        <v>493</v>
      </c>
      <c r="D185" s="19">
        <v>2040</v>
      </c>
      <c r="E185" t="s">
        <v>37</v>
      </c>
      <c r="F185" t="s">
        <v>140</v>
      </c>
      <c r="G185" t="s">
        <v>39</v>
      </c>
      <c r="H185" t="s">
        <v>32</v>
      </c>
      <c r="I185" t="s">
        <v>43</v>
      </c>
      <c r="J185" t="s">
        <v>140</v>
      </c>
      <c r="L185" s="26">
        <v>0</v>
      </c>
      <c r="M185" s="26">
        <v>0</v>
      </c>
      <c r="N185" s="26">
        <v>5.7702284664922004E-3</v>
      </c>
      <c r="O185" s="26">
        <v>1.2306591692257861E-2</v>
      </c>
      <c r="P185" s="26">
        <v>4.5649187894673806E-3</v>
      </c>
      <c r="Q185" s="26">
        <v>4.9945219518561797E-2</v>
      </c>
      <c r="R185" s="26">
        <v>7.2586958466779233E-2</v>
      </c>
      <c r="S185" s="28">
        <v>0</v>
      </c>
      <c r="T185" s="28">
        <v>0</v>
      </c>
      <c r="U185" s="28">
        <v>6.1074078972731883E-4</v>
      </c>
      <c r="V185" s="28">
        <v>4.722191823356421E-4</v>
      </c>
      <c r="W185" s="28">
        <v>3.1539210254475888E-4</v>
      </c>
      <c r="X185" s="28">
        <v>4.8628720590393887E-2</v>
      </c>
      <c r="Y185" s="28">
        <v>5.0027072665001608E-2</v>
      </c>
      <c r="Z185" s="30">
        <v>0</v>
      </c>
      <c r="AA185" s="30">
        <v>3.1271735442865911E-3</v>
      </c>
      <c r="AB185" s="30">
        <v>1.789839418574189E-4</v>
      </c>
      <c r="AC185" s="30">
        <v>1.5438989133449149E-4</v>
      </c>
      <c r="AD185" s="30">
        <v>1.4068673092665601E-4</v>
      </c>
      <c r="AE185" s="30">
        <v>4.164853860023532E-3</v>
      </c>
      <c r="AF185" s="30">
        <v>7.7660879684286893E-3</v>
      </c>
      <c r="AG185" s="32">
        <v>0</v>
      </c>
      <c r="AH185" s="32">
        <v>1.6491053126472278E-5</v>
      </c>
      <c r="AI185" s="32">
        <v>4.0895959067761362E-4</v>
      </c>
      <c r="AJ185" s="32">
        <v>3.7507357872791961E-4</v>
      </c>
      <c r="AK185" s="32">
        <v>1.8983522256767069E-4</v>
      </c>
      <c r="AL185" s="32">
        <v>1.321361617131683E-2</v>
      </c>
      <c r="AM185" s="32">
        <v>1.4203975616416505E-2</v>
      </c>
      <c r="AN185" s="34">
        <v>0</v>
      </c>
      <c r="AO185" s="34">
        <v>1.179775095002105E-5</v>
      </c>
      <c r="AP185" s="34">
        <v>5.1565797166662308E-7</v>
      </c>
      <c r="AQ185" s="34">
        <v>7.4641524221169363E-7</v>
      </c>
      <c r="AR185" s="34">
        <v>7.7123873204397056E-7</v>
      </c>
      <c r="AS185" s="34">
        <v>1.1517811144698971E-5</v>
      </c>
      <c r="AT185" s="34">
        <v>2.5348874040642307E-5</v>
      </c>
      <c r="AU185" s="36">
        <v>0</v>
      </c>
      <c r="AV185" s="36">
        <v>0</v>
      </c>
      <c r="AW185" s="36">
        <v>0.2698407427863993</v>
      </c>
      <c r="AX185" s="36">
        <v>0.17647448414364728</v>
      </c>
      <c r="AY185" s="36">
        <v>0.16001238180917302</v>
      </c>
      <c r="AZ185" s="36">
        <v>0.69632105167146874</v>
      </c>
      <c r="BA185" s="36">
        <v>1.3026486604106884</v>
      </c>
      <c r="BB185" s="6"/>
      <c r="BC185" s="6"/>
      <c r="BD185" t="s">
        <v>1060</v>
      </c>
      <c r="BF185" s="5">
        <v>6.9700043000000003E-2</v>
      </c>
      <c r="BG185" s="5">
        <f t="shared" si="6"/>
        <v>-2.8869154667792302E-3</v>
      </c>
      <c r="BH185" s="2">
        <v>150.78993</v>
      </c>
    </row>
    <row r="186" spans="1:60" x14ac:dyDescent="0.2">
      <c r="A186" t="str">
        <f t="shared" si="8"/>
        <v>Motorbike, electric, 4-11kW - 2050 - NMC - CH</v>
      </c>
      <c r="B186" t="s">
        <v>493</v>
      </c>
      <c r="D186" s="19">
        <v>2050</v>
      </c>
      <c r="E186" t="s">
        <v>37</v>
      </c>
      <c r="F186" t="s">
        <v>140</v>
      </c>
      <c r="G186" t="s">
        <v>39</v>
      </c>
      <c r="H186" t="s">
        <v>32</v>
      </c>
      <c r="I186" t="s">
        <v>43</v>
      </c>
      <c r="J186" t="s">
        <v>140</v>
      </c>
      <c r="L186" s="26">
        <v>0</v>
      </c>
      <c r="M186" s="26">
        <v>0</v>
      </c>
      <c r="N186" s="26">
        <v>5.7702284664922004E-3</v>
      </c>
      <c r="O186" s="26">
        <v>7.9912933066609501E-3</v>
      </c>
      <c r="P186" s="26">
        <v>4.5678381722821411E-3</v>
      </c>
      <c r="Q186" s="26">
        <v>6.9598585968083854E-2</v>
      </c>
      <c r="R186" s="26">
        <v>8.7927945913519143E-2</v>
      </c>
      <c r="S186" s="28">
        <v>0</v>
      </c>
      <c r="T186" s="28">
        <v>0</v>
      </c>
      <c r="U186" s="28">
        <v>6.1074078972731883E-4</v>
      </c>
      <c r="V186" s="28">
        <v>3.0663583268548191E-4</v>
      </c>
      <c r="W186" s="28">
        <v>3.1557657145664722E-4</v>
      </c>
      <c r="X186" s="28">
        <v>8.1519463305638695E-2</v>
      </c>
      <c r="Y186" s="28">
        <v>8.2752416499508138E-2</v>
      </c>
      <c r="Z186" s="30">
        <v>0</v>
      </c>
      <c r="AA186" s="30">
        <v>3.1271735442865911E-3</v>
      </c>
      <c r="AB186" s="30">
        <v>1.789839418574189E-4</v>
      </c>
      <c r="AC186" s="30">
        <v>1.002531761912283E-4</v>
      </c>
      <c r="AD186" s="30">
        <v>1.4077058419229089E-4</v>
      </c>
      <c r="AE186" s="30">
        <v>6.9441795490579172E-3</v>
      </c>
      <c r="AF186" s="30">
        <v>1.0491360795585446E-2</v>
      </c>
      <c r="AG186" s="32">
        <v>0</v>
      </c>
      <c r="AH186" s="32">
        <v>1.6491053126472278E-5</v>
      </c>
      <c r="AI186" s="32">
        <v>4.0895959067761362E-4</v>
      </c>
      <c r="AJ186" s="32">
        <v>2.4355427190124649E-4</v>
      </c>
      <c r="AK186" s="32">
        <v>1.899134806788231E-4</v>
      </c>
      <c r="AL186" s="32">
        <v>2.0417785969691168E-2</v>
      </c>
      <c r="AM186" s="32">
        <v>2.1276704366075323E-2</v>
      </c>
      <c r="AN186" s="34">
        <v>0</v>
      </c>
      <c r="AO186" s="34">
        <v>1.179775095002105E-5</v>
      </c>
      <c r="AP186" s="34">
        <v>5.1565797166662308E-7</v>
      </c>
      <c r="AQ186" s="34">
        <v>4.8468522221538551E-7</v>
      </c>
      <c r="AR186" s="34">
        <v>7.7154773526366578E-7</v>
      </c>
      <c r="AS186" s="34">
        <v>1.751999621691411E-5</v>
      </c>
      <c r="AT186" s="34">
        <v>3.1089638096080836E-5</v>
      </c>
      <c r="AU186" s="36">
        <v>0</v>
      </c>
      <c r="AV186" s="36">
        <v>0</v>
      </c>
      <c r="AW186" s="36">
        <v>0.2698407427863993</v>
      </c>
      <c r="AX186" s="36">
        <v>0.1145938208724982</v>
      </c>
      <c r="AY186" s="36">
        <v>0.16010801888762657</v>
      </c>
      <c r="AZ186" s="36">
        <v>0.98629421917407689</v>
      </c>
      <c r="BA186" s="36">
        <v>1.5308368017206009</v>
      </c>
      <c r="BB186" s="6"/>
      <c r="BC186" s="6"/>
      <c r="BD186" t="s">
        <v>1061</v>
      </c>
      <c r="BF186" s="5">
        <v>7.7607836999999999E-2</v>
      </c>
      <c r="BG186" s="5">
        <f t="shared" si="6"/>
        <v>-1.0320108913519144E-2</v>
      </c>
      <c r="BH186" s="2">
        <v>207.33561</v>
      </c>
    </row>
    <row r="187" spans="1:60" x14ac:dyDescent="0.2">
      <c r="A187" t="str">
        <f t="shared" si="8"/>
        <v>Motorbike, electric, 11-35kW - 2020 - NMC - CH</v>
      </c>
      <c r="B187" t="s">
        <v>494</v>
      </c>
      <c r="D187" s="19">
        <v>2020</v>
      </c>
      <c r="E187" t="s">
        <v>37</v>
      </c>
      <c r="F187" t="s">
        <v>140</v>
      </c>
      <c r="G187" t="s">
        <v>39</v>
      </c>
      <c r="H187" t="s">
        <v>32</v>
      </c>
      <c r="I187" t="s">
        <v>43</v>
      </c>
      <c r="J187" t="s">
        <v>140</v>
      </c>
      <c r="L187" s="26">
        <v>0</v>
      </c>
      <c r="M187" s="26">
        <v>0</v>
      </c>
      <c r="N187" s="26">
        <v>7.8106002476236447E-3</v>
      </c>
      <c r="O187" s="26">
        <v>1.2306591692257861E-2</v>
      </c>
      <c r="P187" s="26">
        <v>4.8377632773803636E-3</v>
      </c>
      <c r="Q187" s="26">
        <v>5.8569053018428567E-2</v>
      </c>
      <c r="R187" s="26">
        <v>8.3524008235690436E-2</v>
      </c>
      <c r="S187" s="28">
        <v>0</v>
      </c>
      <c r="T187" s="28">
        <v>0</v>
      </c>
      <c r="U187" s="28">
        <v>8.2670074351110705E-4</v>
      </c>
      <c r="V187" s="28">
        <v>4.722191823356421E-4</v>
      </c>
      <c r="W187" s="28">
        <v>3.3263250196944769E-4</v>
      </c>
      <c r="X187" s="28">
        <v>7.9376902193139781E-2</v>
      </c>
      <c r="Y187" s="28">
        <v>8.1008454620955975E-2</v>
      </c>
      <c r="Z187" s="30">
        <v>0</v>
      </c>
      <c r="AA187" s="30">
        <v>3.1271735442865911E-3</v>
      </c>
      <c r="AB187" s="30">
        <v>2.422732529067532E-4</v>
      </c>
      <c r="AC187" s="30">
        <v>1.5438989133449149E-4</v>
      </c>
      <c r="AD187" s="30">
        <v>1.4852362754957401E-4</v>
      </c>
      <c r="AE187" s="30">
        <v>6.4606502229099154E-3</v>
      </c>
      <c r="AF187" s="30">
        <v>1.0133010538987325E-2</v>
      </c>
      <c r="AG187" s="32">
        <v>0</v>
      </c>
      <c r="AH187" s="32">
        <v>1.6491053126472278E-5</v>
      </c>
      <c r="AI187" s="32">
        <v>5.5356904822114297E-4</v>
      </c>
      <c r="AJ187" s="32">
        <v>3.7507357872791961E-4</v>
      </c>
      <c r="AK187" s="32">
        <v>1.971491980266176E-4</v>
      </c>
      <c r="AL187" s="32">
        <v>1.8523386487649372E-2</v>
      </c>
      <c r="AM187" s="32">
        <v>1.9665669365751523E-2</v>
      </c>
      <c r="AN187" s="34">
        <v>0</v>
      </c>
      <c r="AO187" s="34">
        <v>1.179775095002105E-5</v>
      </c>
      <c r="AP187" s="34">
        <v>6.9799632797501057E-7</v>
      </c>
      <c r="AQ187" s="34">
        <v>7.4641524221169363E-7</v>
      </c>
      <c r="AR187" s="34">
        <v>8.0011806394075551E-7</v>
      </c>
      <c r="AS187" s="34">
        <v>1.666699152436914E-5</v>
      </c>
      <c r="AT187" s="34">
        <v>3.0709272108517651E-5</v>
      </c>
      <c r="AU187" s="36">
        <v>0</v>
      </c>
      <c r="AV187" s="36">
        <v>0</v>
      </c>
      <c r="AW187" s="36">
        <v>0.36525731774146686</v>
      </c>
      <c r="AX187" s="36">
        <v>0.17647448414364728</v>
      </c>
      <c r="AY187" s="36">
        <v>0.16895058942080754</v>
      </c>
      <c r="AZ187" s="36">
        <v>0.86034454505320113</v>
      </c>
      <c r="BA187" s="36">
        <v>1.5710269363591229</v>
      </c>
      <c r="BB187" s="6"/>
      <c r="BC187" s="6"/>
      <c r="BD187" t="s">
        <v>910</v>
      </c>
      <c r="BF187" s="5">
        <v>7.7377614999999997E-2</v>
      </c>
      <c r="BG187" s="5">
        <f t="shared" si="6"/>
        <v>-6.1463932356904394E-3</v>
      </c>
      <c r="BH187" s="2">
        <v>212.40736999999999</v>
      </c>
    </row>
    <row r="188" spans="1:60" x14ac:dyDescent="0.2">
      <c r="A188" t="str">
        <f t="shared" si="8"/>
        <v>Motorbike, electric, 11-35kW - 2030 - NMC - CH</v>
      </c>
      <c r="B188" t="s">
        <v>494</v>
      </c>
      <c r="D188" s="19">
        <v>2030</v>
      </c>
      <c r="E188" t="s">
        <v>37</v>
      </c>
      <c r="F188" t="s">
        <v>140</v>
      </c>
      <c r="G188" t="s">
        <v>39</v>
      </c>
      <c r="H188" t="s">
        <v>32</v>
      </c>
      <c r="I188" t="s">
        <v>43</v>
      </c>
      <c r="J188" t="s">
        <v>140</v>
      </c>
      <c r="L188" s="26">
        <v>0</v>
      </c>
      <c r="M188" s="26">
        <v>0</v>
      </c>
      <c r="N188" s="26">
        <v>7.8106002476236447E-3</v>
      </c>
      <c r="O188" s="26">
        <v>1.2306591692257861E-2</v>
      </c>
      <c r="P188" s="26">
        <v>4.8395234313287488E-3</v>
      </c>
      <c r="Q188" s="26">
        <v>5.6848945373648319E-2</v>
      </c>
      <c r="R188" s="26">
        <v>8.1805660744858566E-2</v>
      </c>
      <c r="S188" s="28">
        <v>0</v>
      </c>
      <c r="T188" s="28">
        <v>0</v>
      </c>
      <c r="U188" s="28">
        <v>8.2670074351110705E-4</v>
      </c>
      <c r="V188" s="28">
        <v>4.722191823356421E-4</v>
      </c>
      <c r="W188" s="28">
        <v>3.3274372194442772E-4</v>
      </c>
      <c r="X188" s="28">
        <v>7.2166381107043945E-2</v>
      </c>
      <c r="Y188" s="28">
        <v>7.3798044754835118E-2</v>
      </c>
      <c r="Z188" s="30">
        <v>0</v>
      </c>
      <c r="AA188" s="30">
        <v>3.1271735442865911E-3</v>
      </c>
      <c r="AB188" s="30">
        <v>2.422732529067532E-4</v>
      </c>
      <c r="AC188" s="30">
        <v>1.5438989133449149E-4</v>
      </c>
      <c r="AD188" s="30">
        <v>1.4857418435077391E-4</v>
      </c>
      <c r="AE188" s="30">
        <v>5.9730944153691054E-3</v>
      </c>
      <c r="AF188" s="30">
        <v>9.645505288247716E-3</v>
      </c>
      <c r="AG188" s="32">
        <v>0</v>
      </c>
      <c r="AH188" s="32">
        <v>1.6491053126472278E-5</v>
      </c>
      <c r="AI188" s="32">
        <v>5.5356904822114297E-4</v>
      </c>
      <c r="AJ188" s="32">
        <v>3.7507357872791961E-4</v>
      </c>
      <c r="AK188" s="32">
        <v>1.971963813979253E-4</v>
      </c>
      <c r="AL188" s="32">
        <v>1.7377269998704599E-2</v>
      </c>
      <c r="AM188" s="32">
        <v>1.8519600060178058E-2</v>
      </c>
      <c r="AN188" s="34">
        <v>0</v>
      </c>
      <c r="AO188" s="34">
        <v>1.179775095002105E-5</v>
      </c>
      <c r="AP188" s="34">
        <v>6.9799632797501057E-7</v>
      </c>
      <c r="AQ188" s="34">
        <v>7.4641524221169363E-7</v>
      </c>
      <c r="AR188" s="34">
        <v>8.0030436812616762E-7</v>
      </c>
      <c r="AS188" s="34">
        <v>1.5392959304160391E-5</v>
      </c>
      <c r="AT188" s="34">
        <v>2.9435426192494313E-5</v>
      </c>
      <c r="AU188" s="36">
        <v>0</v>
      </c>
      <c r="AV188" s="36">
        <v>0</v>
      </c>
      <c r="AW188" s="36">
        <v>0.36525731774146686</v>
      </c>
      <c r="AX188" s="36">
        <v>0.17647448414364728</v>
      </c>
      <c r="AY188" s="36">
        <v>0.16900825091706656</v>
      </c>
      <c r="AZ188" s="36">
        <v>0.82320647866840024</v>
      </c>
      <c r="BA188" s="36">
        <v>1.5339465314705811</v>
      </c>
      <c r="BB188" s="6"/>
      <c r="BC188" s="6"/>
      <c r="BD188" t="s">
        <v>1062</v>
      </c>
      <c r="BF188" s="5">
        <v>7.5880786000000006E-2</v>
      </c>
      <c r="BG188" s="5">
        <f t="shared" si="6"/>
        <v>-5.9248747448585604E-3</v>
      </c>
      <c r="BH188" s="2">
        <v>198.96776</v>
      </c>
    </row>
    <row r="189" spans="1:60" x14ac:dyDescent="0.2">
      <c r="A189" t="str">
        <f t="shared" si="8"/>
        <v>Motorbike, electric, 11-35kW - 2040 - NMC - CH</v>
      </c>
      <c r="B189" t="s">
        <v>494</v>
      </c>
      <c r="D189" s="19">
        <v>2040</v>
      </c>
      <c r="E189" t="s">
        <v>37</v>
      </c>
      <c r="F189" t="s">
        <v>140</v>
      </c>
      <c r="G189" t="s">
        <v>39</v>
      </c>
      <c r="H189" t="s">
        <v>32</v>
      </c>
      <c r="I189" t="s">
        <v>43</v>
      </c>
      <c r="J189" t="s">
        <v>140</v>
      </c>
      <c r="L189" s="26">
        <v>0</v>
      </c>
      <c r="M189" s="26">
        <v>0</v>
      </c>
      <c r="N189" s="26">
        <v>7.8106002476236447E-3</v>
      </c>
      <c r="O189" s="26">
        <v>1.2306591692257861E-2</v>
      </c>
      <c r="P189" s="26">
        <v>4.8429982180027134E-3</v>
      </c>
      <c r="Q189" s="26">
        <v>5.3684904657885529E-2</v>
      </c>
      <c r="R189" s="26">
        <v>7.8645094815769756E-2</v>
      </c>
      <c r="S189" s="28">
        <v>0</v>
      </c>
      <c r="T189" s="28">
        <v>0</v>
      </c>
      <c r="U189" s="28">
        <v>8.2670074351110705E-4</v>
      </c>
      <c r="V189" s="28">
        <v>4.722191823356421E-4</v>
      </c>
      <c r="W189" s="28">
        <v>3.3296328551572421E-4</v>
      </c>
      <c r="X189" s="28">
        <v>6.337911973557539E-2</v>
      </c>
      <c r="Y189" s="28">
        <v>6.501100294693786E-2</v>
      </c>
      <c r="Z189" s="30">
        <v>0</v>
      </c>
      <c r="AA189" s="30">
        <v>3.1271735442865911E-3</v>
      </c>
      <c r="AB189" s="30">
        <v>2.422732529067532E-4</v>
      </c>
      <c r="AC189" s="30">
        <v>1.5438989133449149E-4</v>
      </c>
      <c r="AD189" s="30">
        <v>1.4867399044969431E-4</v>
      </c>
      <c r="AE189" s="30">
        <v>5.3287854582830261E-3</v>
      </c>
      <c r="AF189" s="30">
        <v>9.001296137260556E-3</v>
      </c>
      <c r="AG189" s="32">
        <v>0</v>
      </c>
      <c r="AH189" s="32">
        <v>1.6491053126472278E-5</v>
      </c>
      <c r="AI189" s="32">
        <v>5.5356904822114297E-4</v>
      </c>
      <c r="AJ189" s="32">
        <v>3.7507357872791961E-4</v>
      </c>
      <c r="AK189" s="32">
        <v>1.9728952788093779E-4</v>
      </c>
      <c r="AL189" s="32">
        <v>1.5801163181385459E-2</v>
      </c>
      <c r="AM189" s="32">
        <v>1.694358638934193E-2</v>
      </c>
      <c r="AN189" s="34">
        <v>0</v>
      </c>
      <c r="AO189" s="34">
        <v>1.179775095002105E-5</v>
      </c>
      <c r="AP189" s="34">
        <v>6.9799632797501057E-7</v>
      </c>
      <c r="AQ189" s="34">
        <v>7.4641524221169363E-7</v>
      </c>
      <c r="AR189" s="34">
        <v>8.0067215828530021E-7</v>
      </c>
      <c r="AS189" s="34">
        <v>1.382403194090753E-5</v>
      </c>
      <c r="AT189" s="34">
        <v>2.7866866619400584E-5</v>
      </c>
      <c r="AU189" s="36">
        <v>0</v>
      </c>
      <c r="AV189" s="36">
        <v>0</v>
      </c>
      <c r="AW189" s="36">
        <v>0.36525731774146686</v>
      </c>
      <c r="AX189" s="36">
        <v>0.17647448414364728</v>
      </c>
      <c r="AY189" s="36">
        <v>0.16912208266399173</v>
      </c>
      <c r="AZ189" s="36">
        <v>0.76706184836719249</v>
      </c>
      <c r="BA189" s="36">
        <v>1.4779157329162984</v>
      </c>
      <c r="BB189" s="6"/>
      <c r="BC189" s="6"/>
      <c r="BD189" t="s">
        <v>1063</v>
      </c>
      <c r="BF189" s="5">
        <v>7.3665266000000007E-2</v>
      </c>
      <c r="BG189" s="5">
        <f t="shared" si="6"/>
        <v>-4.979828815769749E-3</v>
      </c>
      <c r="BH189" s="2">
        <v>182.73555999999999</v>
      </c>
    </row>
    <row r="190" spans="1:60" x14ac:dyDescent="0.2">
      <c r="A190" t="str">
        <f t="shared" si="8"/>
        <v>Motorbike, electric, 11-35kW - 2050 - NMC - CH</v>
      </c>
      <c r="B190" t="s">
        <v>494</v>
      </c>
      <c r="D190" s="19">
        <v>2050</v>
      </c>
      <c r="E190" t="s">
        <v>37</v>
      </c>
      <c r="F190" t="s">
        <v>140</v>
      </c>
      <c r="G190" t="s">
        <v>39</v>
      </c>
      <c r="H190" t="s">
        <v>32</v>
      </c>
      <c r="I190" t="s">
        <v>43</v>
      </c>
      <c r="J190" t="s">
        <v>140</v>
      </c>
      <c r="L190" s="26">
        <v>0</v>
      </c>
      <c r="M190" s="26">
        <v>0</v>
      </c>
      <c r="N190" s="26">
        <v>7.8106002476236447E-3</v>
      </c>
      <c r="O190" s="26">
        <v>1.16988587691834E-2</v>
      </c>
      <c r="P190" s="26">
        <v>4.8421333147694546E-3</v>
      </c>
      <c r="Q190" s="26">
        <v>8.1215900047141174E-2</v>
      </c>
      <c r="R190" s="26">
        <v>0.10556749237871768</v>
      </c>
      <c r="S190" s="28">
        <v>0</v>
      </c>
      <c r="T190" s="28">
        <v>0</v>
      </c>
      <c r="U190" s="28">
        <v>8.2670074351110705E-4</v>
      </c>
      <c r="V190" s="28">
        <v>4.4889971654128941E-4</v>
      </c>
      <c r="W190" s="28">
        <v>3.3290863432112197E-4</v>
      </c>
      <c r="X190" s="28">
        <v>0.1117595975810074</v>
      </c>
      <c r="Y190" s="28">
        <v>0.11336810667538091</v>
      </c>
      <c r="Z190" s="30">
        <v>0</v>
      </c>
      <c r="AA190" s="30">
        <v>3.1271735442865911E-3</v>
      </c>
      <c r="AB190" s="30">
        <v>2.422732529067532E-4</v>
      </c>
      <c r="AC190" s="30">
        <v>1.4676569916982529E-4</v>
      </c>
      <c r="AD190" s="30">
        <v>1.486491478835875E-4</v>
      </c>
      <c r="AE190" s="30">
        <v>9.3519976039321637E-3</v>
      </c>
      <c r="AF190" s="30">
        <v>1.3016859248178921E-2</v>
      </c>
      <c r="AG190" s="32">
        <v>0</v>
      </c>
      <c r="AH190" s="32">
        <v>1.6491053126472278E-5</v>
      </c>
      <c r="AI190" s="32">
        <v>5.5356904822114297E-4</v>
      </c>
      <c r="AJ190" s="32">
        <v>3.5655142669197291E-4</v>
      </c>
      <c r="AK190" s="32">
        <v>1.9726634294848491E-4</v>
      </c>
      <c r="AL190" s="32">
        <v>2.6169038215186489E-2</v>
      </c>
      <c r="AM190" s="32">
        <v>2.7292916086174561E-2</v>
      </c>
      <c r="AN190" s="34">
        <v>0</v>
      </c>
      <c r="AO190" s="34">
        <v>1.179775095002105E-5</v>
      </c>
      <c r="AP190" s="34">
        <v>6.9799632797501057E-7</v>
      </c>
      <c r="AQ190" s="34">
        <v>7.095552302506223E-7</v>
      </c>
      <c r="AR190" s="34">
        <v>8.0058061226315808E-7</v>
      </c>
      <c r="AS190" s="34">
        <v>2.2628354772369259E-5</v>
      </c>
      <c r="AT190" s="34">
        <v>3.6634237892879104E-5</v>
      </c>
      <c r="AU190" s="36">
        <v>0</v>
      </c>
      <c r="AV190" s="36">
        <v>0</v>
      </c>
      <c r="AW190" s="36">
        <v>0.36525731774146686</v>
      </c>
      <c r="AX190" s="36">
        <v>0.16775969480322017</v>
      </c>
      <c r="AY190" s="36">
        <v>0.16909374899772653</v>
      </c>
      <c r="AZ190" s="36">
        <v>1.1794801664521959</v>
      </c>
      <c r="BA190" s="36">
        <v>1.8815909279946095</v>
      </c>
      <c r="BB190" s="6"/>
      <c r="BC190" s="6"/>
      <c r="BD190" t="s">
        <v>1064</v>
      </c>
      <c r="BF190" s="5">
        <v>8.9262224000000001E-2</v>
      </c>
      <c r="BG190" s="5">
        <f t="shared" si="6"/>
        <v>-1.630526837871768E-2</v>
      </c>
      <c r="BH190" s="2">
        <v>270.63082000000003</v>
      </c>
    </row>
    <row r="191" spans="1:60" x14ac:dyDescent="0.2">
      <c r="A191" t="str">
        <f t="shared" si="8"/>
        <v>Motorbike, electric, &gt;35kW - 2020 - NMC - CH</v>
      </c>
      <c r="B191" t="s">
        <v>495</v>
      </c>
      <c r="D191" s="19">
        <v>2020</v>
      </c>
      <c r="E191" t="s">
        <v>37</v>
      </c>
      <c r="F191" t="s">
        <v>140</v>
      </c>
      <c r="G191" t="s">
        <v>39</v>
      </c>
      <c r="H191" t="s">
        <v>32</v>
      </c>
      <c r="I191" t="s">
        <v>43</v>
      </c>
      <c r="J191" t="s">
        <v>140</v>
      </c>
      <c r="L191" s="26">
        <v>0</v>
      </c>
      <c r="M191" s="26">
        <v>0</v>
      </c>
      <c r="N191" s="26">
        <v>8.710249309141712E-3</v>
      </c>
      <c r="O191" s="26">
        <v>1.2306591692257861E-2</v>
      </c>
      <c r="P191" s="26">
        <v>5.2439946696746179E-3</v>
      </c>
      <c r="Q191" s="26">
        <v>9.3549221229405455E-2</v>
      </c>
      <c r="R191" s="26">
        <v>0.11981005690047965</v>
      </c>
      <c r="S191" s="28">
        <v>0</v>
      </c>
      <c r="T191" s="28">
        <v>0</v>
      </c>
      <c r="U191" s="28">
        <v>9.2192268862119461E-4</v>
      </c>
      <c r="V191" s="28">
        <v>4.722191823356421E-4</v>
      </c>
      <c r="W191" s="28">
        <v>3.5830130516049491E-4</v>
      </c>
      <c r="X191" s="28">
        <v>0.13974324927312981</v>
      </c>
      <c r="Y191" s="28">
        <v>0.14149569244924715</v>
      </c>
      <c r="Z191" s="30">
        <v>0</v>
      </c>
      <c r="AA191" s="30">
        <v>3.1271735442865911E-3</v>
      </c>
      <c r="AB191" s="30">
        <v>2.7017903449822622E-4</v>
      </c>
      <c r="AC191" s="30">
        <v>1.5438989133449149E-4</v>
      </c>
      <c r="AD191" s="30">
        <v>1.6019178859891651E-4</v>
      </c>
      <c r="AE191" s="30">
        <v>1.1422930737701731E-2</v>
      </c>
      <c r="AF191" s="30">
        <v>1.5134864996419957E-2</v>
      </c>
      <c r="AG191" s="32">
        <v>0</v>
      </c>
      <c r="AH191" s="32">
        <v>1.6491053126472278E-5</v>
      </c>
      <c r="AI191" s="32">
        <v>6.1733084103202476E-4</v>
      </c>
      <c r="AJ191" s="32">
        <v>3.7507357872791961E-4</v>
      </c>
      <c r="AK191" s="32">
        <v>2.0803879472186621E-4</v>
      </c>
      <c r="AL191" s="32">
        <v>3.1439545680802601E-2</v>
      </c>
      <c r="AM191" s="32">
        <v>3.2656479948410887E-2</v>
      </c>
      <c r="AN191" s="34">
        <v>0</v>
      </c>
      <c r="AO191" s="34">
        <v>1.179775095002105E-5</v>
      </c>
      <c r="AP191" s="34">
        <v>7.7839370096780042E-7</v>
      </c>
      <c r="AQ191" s="34">
        <v>7.4641524221169363E-7</v>
      </c>
      <c r="AR191" s="34">
        <v>8.4311578507742115E-7</v>
      </c>
      <c r="AS191" s="34">
        <v>2.8455953069981901E-5</v>
      </c>
      <c r="AT191" s="34">
        <v>4.2621628748259868E-5</v>
      </c>
      <c r="AU191" s="36">
        <v>0</v>
      </c>
      <c r="AV191" s="36">
        <v>0</v>
      </c>
      <c r="AW191" s="36">
        <v>0.40732878378771509</v>
      </c>
      <c r="AX191" s="36">
        <v>0.17647448414364728</v>
      </c>
      <c r="AY191" s="36">
        <v>0.18225846509190186</v>
      </c>
      <c r="AZ191" s="36">
        <v>1.3945357778305667</v>
      </c>
      <c r="BA191" s="36">
        <v>2.1605975108538309</v>
      </c>
      <c r="BB191" s="6"/>
      <c r="BC191" s="6"/>
      <c r="BD191" t="s">
        <v>906</v>
      </c>
      <c r="BF191" s="5">
        <v>0.10250206000000001</v>
      </c>
      <c r="BG191" s="5">
        <f t="shared" si="6"/>
        <v>-1.7307996900479641E-2</v>
      </c>
      <c r="BH191" s="2">
        <v>330.59537999999998</v>
      </c>
    </row>
    <row r="192" spans="1:60" x14ac:dyDescent="0.2">
      <c r="A192" t="str">
        <f t="shared" si="8"/>
        <v>Motorbike, electric, &gt;35kW - 2030 - NMC - CH</v>
      </c>
      <c r="B192" t="s">
        <v>495</v>
      </c>
      <c r="D192" s="19">
        <v>2030</v>
      </c>
      <c r="E192" t="s">
        <v>37</v>
      </c>
      <c r="F192" t="s">
        <v>140</v>
      </c>
      <c r="G192" t="s">
        <v>39</v>
      </c>
      <c r="H192" t="s">
        <v>32</v>
      </c>
      <c r="I192" t="s">
        <v>43</v>
      </c>
      <c r="J192" t="s">
        <v>140</v>
      </c>
      <c r="L192" s="26">
        <v>0</v>
      </c>
      <c r="M192" s="26">
        <v>0</v>
      </c>
      <c r="N192" s="26">
        <v>8.710249309141712E-3</v>
      </c>
      <c r="O192" s="26">
        <v>1.2306591692257861E-2</v>
      </c>
      <c r="P192" s="26">
        <v>5.2456030862136592E-3</v>
      </c>
      <c r="Q192" s="26">
        <v>8.7888747837589959E-2</v>
      </c>
      <c r="R192" s="26">
        <v>0.11415119192520319</v>
      </c>
      <c r="S192" s="28">
        <v>0</v>
      </c>
      <c r="T192" s="28">
        <v>0</v>
      </c>
      <c r="U192" s="28">
        <v>9.2192268862119461E-4</v>
      </c>
      <c r="V192" s="28">
        <v>4.722191823356421E-4</v>
      </c>
      <c r="W192" s="28">
        <v>3.5840293720659718E-4</v>
      </c>
      <c r="X192" s="28">
        <v>0.1236173950741264</v>
      </c>
      <c r="Y192" s="28">
        <v>0.12536993988228984</v>
      </c>
      <c r="Z192" s="30">
        <v>0</v>
      </c>
      <c r="AA192" s="30">
        <v>3.1271735442865911E-3</v>
      </c>
      <c r="AB192" s="30">
        <v>2.7017903449822622E-4</v>
      </c>
      <c r="AC192" s="30">
        <v>1.5438989133449149E-4</v>
      </c>
      <c r="AD192" s="30">
        <v>1.6023798705518531E-4</v>
      </c>
      <c r="AE192" s="30">
        <v>1.0247226366538621E-2</v>
      </c>
      <c r="AF192" s="30">
        <v>1.3959206823713113E-2</v>
      </c>
      <c r="AG192" s="32">
        <v>0</v>
      </c>
      <c r="AH192" s="32">
        <v>1.6491053126472278E-5</v>
      </c>
      <c r="AI192" s="32">
        <v>6.1733084103202476E-4</v>
      </c>
      <c r="AJ192" s="32">
        <v>3.7507357872791961E-4</v>
      </c>
      <c r="AK192" s="32">
        <v>2.080819105611646E-4</v>
      </c>
      <c r="AL192" s="32">
        <v>2.8572910874845901E-2</v>
      </c>
      <c r="AM192" s="32">
        <v>2.9789888258293481E-2</v>
      </c>
      <c r="AN192" s="34">
        <v>0</v>
      </c>
      <c r="AO192" s="34">
        <v>1.179775095002105E-5</v>
      </c>
      <c r="AP192" s="34">
        <v>7.7839370096780042E-7</v>
      </c>
      <c r="AQ192" s="34">
        <v>7.4641524221169363E-7</v>
      </c>
      <c r="AR192" s="34">
        <v>8.4328602855719433E-7</v>
      </c>
      <c r="AS192" s="34">
        <v>2.5577196355962291E-5</v>
      </c>
      <c r="AT192" s="34">
        <v>3.974304227772003E-5</v>
      </c>
      <c r="AU192" s="36">
        <v>0</v>
      </c>
      <c r="AV192" s="36">
        <v>0</v>
      </c>
      <c r="AW192" s="36">
        <v>0.40732878378771509</v>
      </c>
      <c r="AX192" s="36">
        <v>0.17647448414364728</v>
      </c>
      <c r="AY192" s="36">
        <v>0.18231115576951787</v>
      </c>
      <c r="AZ192" s="36">
        <v>1.292956185038838</v>
      </c>
      <c r="BA192" s="36">
        <v>2.0590706087397184</v>
      </c>
      <c r="BB192" s="6"/>
      <c r="BC192" s="6"/>
      <c r="BD192" t="s">
        <v>1065</v>
      </c>
      <c r="BF192" s="5">
        <v>9.8470921000000003E-2</v>
      </c>
      <c r="BG192" s="5">
        <f t="shared" si="6"/>
        <v>-1.5680270925203188E-2</v>
      </c>
      <c r="BH192" s="2">
        <v>300.71695</v>
      </c>
    </row>
    <row r="193" spans="1:60" x14ac:dyDescent="0.2">
      <c r="A193" t="str">
        <f t="shared" si="8"/>
        <v>Motorbike, electric, &gt;35kW - 2040 - NMC - CH</v>
      </c>
      <c r="B193" t="s">
        <v>495</v>
      </c>
      <c r="D193" s="19">
        <v>2040</v>
      </c>
      <c r="E193" t="s">
        <v>37</v>
      </c>
      <c r="F193" t="s">
        <v>140</v>
      </c>
      <c r="G193" t="s">
        <v>39</v>
      </c>
      <c r="H193" t="s">
        <v>32</v>
      </c>
      <c r="I193" t="s">
        <v>43</v>
      </c>
      <c r="J193" t="s">
        <v>140</v>
      </c>
      <c r="L193" s="26">
        <v>0</v>
      </c>
      <c r="M193" s="26">
        <v>0</v>
      </c>
      <c r="N193" s="26">
        <v>8.710249309141712E-3</v>
      </c>
      <c r="O193" s="26">
        <v>1.2306591692257861E-2</v>
      </c>
      <c r="P193" s="26">
        <v>5.2483191858409056E-3</v>
      </c>
      <c r="Q193" s="26">
        <v>8.0275243539084731E-2</v>
      </c>
      <c r="R193" s="26">
        <v>0.10654040372632521</v>
      </c>
      <c r="S193" s="28">
        <v>0</v>
      </c>
      <c r="T193" s="28">
        <v>0</v>
      </c>
      <c r="U193" s="28">
        <v>9.2192268862119461E-4</v>
      </c>
      <c r="V193" s="28">
        <v>4.722191823356421E-4</v>
      </c>
      <c r="W193" s="28">
        <v>3.5857456113350578E-4</v>
      </c>
      <c r="X193" s="28">
        <v>0.1052993504565712</v>
      </c>
      <c r="Y193" s="28">
        <v>0.10705206688866153</v>
      </c>
      <c r="Z193" s="30">
        <v>0</v>
      </c>
      <c r="AA193" s="30">
        <v>3.1271735442865911E-3</v>
      </c>
      <c r="AB193" s="30">
        <v>2.7017903449822622E-4</v>
      </c>
      <c r="AC193" s="30">
        <v>1.5438989133449149E-4</v>
      </c>
      <c r="AD193" s="30">
        <v>1.6031600142945069E-4</v>
      </c>
      <c r="AE193" s="30">
        <v>8.8560991363717499E-3</v>
      </c>
      <c r="AF193" s="30">
        <v>1.2568157607920509E-2</v>
      </c>
      <c r="AG193" s="32">
        <v>0</v>
      </c>
      <c r="AH193" s="32">
        <v>1.6491053126472278E-5</v>
      </c>
      <c r="AI193" s="32">
        <v>6.1733084103202476E-4</v>
      </c>
      <c r="AJ193" s="32">
        <v>3.7507357872791961E-4</v>
      </c>
      <c r="AK193" s="32">
        <v>2.081547193841308E-4</v>
      </c>
      <c r="AL193" s="32">
        <v>2.511793462766259E-2</v>
      </c>
      <c r="AM193" s="32">
        <v>2.6334984819933138E-2</v>
      </c>
      <c r="AN193" s="34">
        <v>0</v>
      </c>
      <c r="AO193" s="34">
        <v>1.179775095002105E-5</v>
      </c>
      <c r="AP193" s="34">
        <v>7.7839370096780042E-7</v>
      </c>
      <c r="AQ193" s="34">
        <v>7.4641524221169363E-7</v>
      </c>
      <c r="AR193" s="34">
        <v>8.4357351518813197E-7</v>
      </c>
      <c r="AS193" s="34">
        <v>2.228878710164987E-5</v>
      </c>
      <c r="AT193" s="34">
        <v>3.6454920510038541E-5</v>
      </c>
      <c r="AU193" s="36">
        <v>0</v>
      </c>
      <c r="AV193" s="36">
        <v>0</v>
      </c>
      <c r="AW193" s="36">
        <v>0.40732878378771509</v>
      </c>
      <c r="AX193" s="36">
        <v>0.17647448414364728</v>
      </c>
      <c r="AY193" s="36">
        <v>0.18240013342322792</v>
      </c>
      <c r="AZ193" s="36">
        <v>1.1654975603178257</v>
      </c>
      <c r="BA193" s="36">
        <v>1.9317009616724161</v>
      </c>
      <c r="BB193" s="6"/>
      <c r="BC193" s="6"/>
      <c r="BD193" t="s">
        <v>1066</v>
      </c>
      <c r="BF193" s="5">
        <v>9.3453467999999998E-2</v>
      </c>
      <c r="BG193" s="5">
        <f t="shared" si="6"/>
        <v>-1.3086935726325216E-2</v>
      </c>
      <c r="BH193" s="2">
        <v>266.90017</v>
      </c>
    </row>
    <row r="194" spans="1:60" x14ac:dyDescent="0.2">
      <c r="A194" t="str">
        <f t="shared" si="8"/>
        <v>Motorbike, electric, &gt;35kW - 2050 - NMC - CH</v>
      </c>
      <c r="B194" t="s">
        <v>495</v>
      </c>
      <c r="D194" s="19">
        <v>2050</v>
      </c>
      <c r="E194" t="s">
        <v>37</v>
      </c>
      <c r="F194" t="s">
        <v>140</v>
      </c>
      <c r="G194" t="s">
        <v>39</v>
      </c>
      <c r="H194" t="s">
        <v>32</v>
      </c>
      <c r="I194" t="s">
        <v>43</v>
      </c>
      <c r="J194" t="s">
        <v>140</v>
      </c>
      <c r="L194" s="26">
        <v>0</v>
      </c>
      <c r="M194" s="26">
        <v>0</v>
      </c>
      <c r="N194" s="26">
        <v>8.710249309141712E-3</v>
      </c>
      <c r="O194" s="26">
        <v>1.9936678541457739E-2</v>
      </c>
      <c r="P194" s="26">
        <v>5.2470901128252243E-3</v>
      </c>
      <c r="Q194" s="26">
        <v>0.1234468118432987</v>
      </c>
      <c r="R194" s="26">
        <v>0.15734082980672337</v>
      </c>
      <c r="S194" s="28">
        <v>0</v>
      </c>
      <c r="T194" s="28">
        <v>0</v>
      </c>
      <c r="U194" s="28">
        <v>9.2192268862119461E-4</v>
      </c>
      <c r="V194" s="28">
        <v>7.6499507538374024E-4</v>
      </c>
      <c r="W194" s="28">
        <v>3.5849689890959751E-4</v>
      </c>
      <c r="X194" s="28">
        <v>0.19307896003544581</v>
      </c>
      <c r="Y194" s="28">
        <v>0.19512437469836033</v>
      </c>
      <c r="Z194" s="30">
        <v>0</v>
      </c>
      <c r="AA194" s="30">
        <v>3.1271735442865911E-3</v>
      </c>
      <c r="AB194" s="30">
        <v>2.7017903449822622E-4</v>
      </c>
      <c r="AC194" s="30">
        <v>2.5011162396187633E-4</v>
      </c>
      <c r="AD194" s="30">
        <v>1.602806988355094E-4</v>
      </c>
      <c r="AE194" s="30">
        <v>1.5837063038951899E-2</v>
      </c>
      <c r="AF194" s="30">
        <v>1.9644807940534102E-2</v>
      </c>
      <c r="AG194" s="32">
        <v>0</v>
      </c>
      <c r="AH194" s="32">
        <v>1.6491053126472278E-5</v>
      </c>
      <c r="AI194" s="32">
        <v>6.1733084103202476E-4</v>
      </c>
      <c r="AJ194" s="32">
        <v>6.0761919753922976E-4</v>
      </c>
      <c r="AK194" s="32">
        <v>2.0812177237485561E-4</v>
      </c>
      <c r="AL194" s="32">
        <v>4.2792539587781897E-2</v>
      </c>
      <c r="AM194" s="32">
        <v>4.4242102451854483E-2</v>
      </c>
      <c r="AN194" s="34">
        <v>0</v>
      </c>
      <c r="AO194" s="34">
        <v>1.179775095002105E-5</v>
      </c>
      <c r="AP194" s="34">
        <v>7.7839370096780042E-7</v>
      </c>
      <c r="AQ194" s="34">
        <v>1.209192692382944E-6</v>
      </c>
      <c r="AR194" s="34">
        <v>8.4344342347245625E-7</v>
      </c>
      <c r="AS194" s="34">
        <v>3.8156199186523163E-5</v>
      </c>
      <c r="AT194" s="34">
        <v>5.278497995336741E-5</v>
      </c>
      <c r="AU194" s="36">
        <v>0</v>
      </c>
      <c r="AV194" s="36">
        <v>0</v>
      </c>
      <c r="AW194" s="36">
        <v>0.40732878378771509</v>
      </c>
      <c r="AX194" s="36">
        <v>0.28588866431270848</v>
      </c>
      <c r="AY194" s="36">
        <v>0.18235986979221949</v>
      </c>
      <c r="AZ194" s="36">
        <v>1.8445987931752665</v>
      </c>
      <c r="BA194" s="36">
        <v>2.7201761110679099</v>
      </c>
      <c r="BB194" s="6"/>
      <c r="BC194" s="6"/>
      <c r="BD194" t="s">
        <v>1067</v>
      </c>
      <c r="BF194" s="5">
        <v>0.1258591</v>
      </c>
      <c r="BG194" s="5">
        <f t="shared" si="6"/>
        <v>-3.1481729806723369E-2</v>
      </c>
      <c r="BH194" s="2">
        <v>434.02947</v>
      </c>
    </row>
    <row r="195" spans="1:60" x14ac:dyDescent="0.2">
      <c r="A195" t="str">
        <f t="shared" si="8"/>
        <v>Motorbike, electric, &lt;4kW - 2020 - LFP - CH</v>
      </c>
      <c r="B195" t="s">
        <v>492</v>
      </c>
      <c r="D195" s="19">
        <v>2020</v>
      </c>
      <c r="E195" t="s">
        <v>37</v>
      </c>
      <c r="F195" t="s">
        <v>140</v>
      </c>
      <c r="G195" t="s">
        <v>39</v>
      </c>
      <c r="H195" t="s">
        <v>32</v>
      </c>
      <c r="I195" t="s">
        <v>44</v>
      </c>
      <c r="J195" t="s">
        <v>140</v>
      </c>
      <c r="L195" s="26">
        <v>0</v>
      </c>
      <c r="M195" s="26">
        <v>0</v>
      </c>
      <c r="N195" s="26">
        <v>3.836250793656903E-3</v>
      </c>
      <c r="O195" s="26">
        <v>1.2306591692257861E-2</v>
      </c>
      <c r="P195" s="26">
        <v>4.4861118312269459E-3</v>
      </c>
      <c r="Q195" s="26">
        <v>4.1110912438960361E-2</v>
      </c>
      <c r="R195" s="26">
        <v>6.1739866756102074E-2</v>
      </c>
      <c r="S195" s="28">
        <v>0</v>
      </c>
      <c r="T195" s="28">
        <v>0</v>
      </c>
      <c r="U195" s="28">
        <v>4.0604195360992079E-4</v>
      </c>
      <c r="V195" s="28">
        <v>4.722191823356421E-4</v>
      </c>
      <c r="W195" s="28">
        <v>3.1041247679566478E-4</v>
      </c>
      <c r="X195" s="28">
        <v>2.664028343289539E-2</v>
      </c>
      <c r="Y195" s="28">
        <v>2.7828957045636617E-2</v>
      </c>
      <c r="Z195" s="30">
        <v>0</v>
      </c>
      <c r="AA195" s="30">
        <v>3.1271735442865911E-3</v>
      </c>
      <c r="AB195" s="30">
        <v>1.1899481848762461E-4</v>
      </c>
      <c r="AC195" s="30">
        <v>1.5438989133449149E-4</v>
      </c>
      <c r="AD195" s="30">
        <v>1.3842316317192141E-4</v>
      </c>
      <c r="AE195" s="30">
        <v>2.9716248226964118E-3</v>
      </c>
      <c r="AF195" s="30">
        <v>6.5106062399770404E-3</v>
      </c>
      <c r="AG195" s="32">
        <v>0</v>
      </c>
      <c r="AH195" s="32">
        <v>1.6491053126472278E-5</v>
      </c>
      <c r="AI195" s="32">
        <v>2.7189071687907281E-4</v>
      </c>
      <c r="AJ195" s="32">
        <v>3.7507357872791961E-4</v>
      </c>
      <c r="AK195" s="32">
        <v>1.877226925951076E-4</v>
      </c>
      <c r="AL195" s="32">
        <v>1.036701087183492E-2</v>
      </c>
      <c r="AM195" s="32">
        <v>1.1218188913163491E-2</v>
      </c>
      <c r="AN195" s="34">
        <v>0</v>
      </c>
      <c r="AO195" s="34">
        <v>1.179775095002105E-5</v>
      </c>
      <c r="AP195" s="34">
        <v>3.4282755259154613E-7</v>
      </c>
      <c r="AQ195" s="34">
        <v>7.4641524221169363E-7</v>
      </c>
      <c r="AR195" s="34">
        <v>7.628973786224294E-7</v>
      </c>
      <c r="AS195" s="34">
        <v>7.6231375717449163E-6</v>
      </c>
      <c r="AT195" s="34">
        <v>2.1273028695191633E-5</v>
      </c>
      <c r="AU195" s="36">
        <v>0</v>
      </c>
      <c r="AV195" s="36">
        <v>0</v>
      </c>
      <c r="AW195" s="36">
        <v>0.17939961470963908</v>
      </c>
      <c r="AX195" s="36">
        <v>0.17647448414364728</v>
      </c>
      <c r="AY195" s="36">
        <v>0.15743071721560767</v>
      </c>
      <c r="AZ195" s="36">
        <v>0.55980468962999508</v>
      </c>
      <c r="BA195" s="36">
        <v>1.0731095056988891</v>
      </c>
      <c r="BB195" s="6"/>
      <c r="BC195" s="6"/>
      <c r="BD195" t="s">
        <v>896</v>
      </c>
      <c r="BF195" s="5">
        <v>6.2386150000000008E-2</v>
      </c>
      <c r="BG195" s="5">
        <f t="shared" si="6"/>
        <v>6.4628324389793407E-4</v>
      </c>
      <c r="BH195" s="2">
        <v>139.80157</v>
      </c>
    </row>
    <row r="196" spans="1:60" x14ac:dyDescent="0.2">
      <c r="A196" t="str">
        <f t="shared" si="8"/>
        <v>Motorbike, electric, &lt;4kW - 2030 - LFP - CH</v>
      </c>
      <c r="B196" t="s">
        <v>492</v>
      </c>
      <c r="D196" s="19">
        <v>2030</v>
      </c>
      <c r="E196" t="s">
        <v>37</v>
      </c>
      <c r="F196" t="s">
        <v>140</v>
      </c>
      <c r="G196" t="s">
        <v>39</v>
      </c>
      <c r="H196" t="s">
        <v>32</v>
      </c>
      <c r="I196" t="s">
        <v>44</v>
      </c>
      <c r="J196" t="s">
        <v>140</v>
      </c>
      <c r="L196" s="26">
        <v>0</v>
      </c>
      <c r="M196" s="26">
        <v>0</v>
      </c>
      <c r="N196" s="26">
        <v>3.836250793656903E-3</v>
      </c>
      <c r="O196" s="26">
        <v>1.2306591692257861E-2</v>
      </c>
      <c r="P196" s="26">
        <v>4.5301612011593474E-3</v>
      </c>
      <c r="Q196" s="26">
        <v>4.75079303803492E-2</v>
      </c>
      <c r="R196" s="26">
        <v>6.8180934067423316E-2</v>
      </c>
      <c r="S196" s="28">
        <v>0</v>
      </c>
      <c r="T196" s="28">
        <v>0</v>
      </c>
      <c r="U196" s="28">
        <v>4.0604195360992079E-4</v>
      </c>
      <c r="V196" s="28">
        <v>4.722191823356421E-4</v>
      </c>
      <c r="W196" s="28">
        <v>3.1319585254882521E-4</v>
      </c>
      <c r="X196" s="28">
        <v>2.9825723640247982E-2</v>
      </c>
      <c r="Y196" s="28">
        <v>3.1017180628742369E-2</v>
      </c>
      <c r="Z196" s="30">
        <v>0</v>
      </c>
      <c r="AA196" s="30">
        <v>3.1271735442865911E-3</v>
      </c>
      <c r="AB196" s="30">
        <v>1.1899481848762461E-4</v>
      </c>
      <c r="AC196" s="30">
        <v>1.5438989133449149E-4</v>
      </c>
      <c r="AD196" s="30">
        <v>1.3968839070539819E-4</v>
      </c>
      <c r="AE196" s="30">
        <v>3.506841290186575E-3</v>
      </c>
      <c r="AF196" s="30">
        <v>7.0470879350006807E-3</v>
      </c>
      <c r="AG196" s="32">
        <v>0</v>
      </c>
      <c r="AH196" s="32">
        <v>1.6491053126472278E-5</v>
      </c>
      <c r="AI196" s="32">
        <v>2.7189071687907281E-4</v>
      </c>
      <c r="AJ196" s="32">
        <v>3.7507357872791961E-4</v>
      </c>
      <c r="AK196" s="32">
        <v>1.88903497137402E-4</v>
      </c>
      <c r="AL196" s="32">
        <v>1.2071364092082201E-2</v>
      </c>
      <c r="AM196" s="32">
        <v>1.2923722937953068E-2</v>
      </c>
      <c r="AN196" s="34">
        <v>0</v>
      </c>
      <c r="AO196" s="34">
        <v>1.179775095002105E-5</v>
      </c>
      <c r="AP196" s="34">
        <v>3.4282755259154613E-7</v>
      </c>
      <c r="AQ196" s="34">
        <v>7.4641524221169363E-7</v>
      </c>
      <c r="AR196" s="34">
        <v>7.6755980146942412E-7</v>
      </c>
      <c r="AS196" s="34">
        <v>8.4200885191706454E-6</v>
      </c>
      <c r="AT196" s="34">
        <v>2.207464206546436E-5</v>
      </c>
      <c r="AU196" s="36">
        <v>0</v>
      </c>
      <c r="AV196" s="36">
        <v>0</v>
      </c>
      <c r="AW196" s="36">
        <v>0.17939961470963908</v>
      </c>
      <c r="AX196" s="36">
        <v>0.17647448414364728</v>
      </c>
      <c r="AY196" s="36">
        <v>0.1588737458676765</v>
      </c>
      <c r="AZ196" s="36">
        <v>0.64026126088712587</v>
      </c>
      <c r="BA196" s="36">
        <v>1.1550091056080887</v>
      </c>
      <c r="BB196" s="6"/>
      <c r="BC196" s="6"/>
      <c r="BD196" t="s">
        <v>1068</v>
      </c>
      <c r="BF196" s="5">
        <v>6.647777299999999E-2</v>
      </c>
      <c r="BG196" s="5">
        <f t="shared" ref="BG196:BG259" si="9">BF196-R196</f>
        <v>-1.7031610674233255E-3</v>
      </c>
      <c r="BH196" s="2">
        <v>154.17625000000001</v>
      </c>
    </row>
    <row r="197" spans="1:60" x14ac:dyDescent="0.2">
      <c r="A197" t="str">
        <f t="shared" si="8"/>
        <v>Motorbike, electric, &lt;4kW - 2040 - LFP - CH</v>
      </c>
      <c r="B197" t="s">
        <v>492</v>
      </c>
      <c r="D197" s="19">
        <v>2040</v>
      </c>
      <c r="E197" t="s">
        <v>37</v>
      </c>
      <c r="F197" t="s">
        <v>140</v>
      </c>
      <c r="G197" t="s">
        <v>39</v>
      </c>
      <c r="H197" t="s">
        <v>32</v>
      </c>
      <c r="I197" t="s">
        <v>44</v>
      </c>
      <c r="J197" t="s">
        <v>140</v>
      </c>
      <c r="L197" s="26">
        <v>0</v>
      </c>
      <c r="M197" s="26">
        <v>0</v>
      </c>
      <c r="N197" s="26">
        <v>3.836250793656903E-3</v>
      </c>
      <c r="O197" s="26">
        <v>1.2306591692257861E-2</v>
      </c>
      <c r="P197" s="26">
        <v>4.5450618147568718E-3</v>
      </c>
      <c r="Q197" s="26">
        <v>4.6796864547578199E-2</v>
      </c>
      <c r="R197" s="26">
        <v>6.7484768848249832E-2</v>
      </c>
      <c r="S197" s="28">
        <v>0</v>
      </c>
      <c r="T197" s="28">
        <v>0</v>
      </c>
      <c r="U197" s="28">
        <v>4.0604195360992079E-4</v>
      </c>
      <c r="V197" s="28">
        <v>4.722191823356421E-4</v>
      </c>
      <c r="W197" s="28">
        <v>3.141373871646032E-4</v>
      </c>
      <c r="X197" s="28">
        <v>2.8608445790044072E-2</v>
      </c>
      <c r="Y197" s="28">
        <v>2.9800844313154239E-2</v>
      </c>
      <c r="Z197" s="30">
        <v>0</v>
      </c>
      <c r="AA197" s="30">
        <v>3.1271735442865911E-3</v>
      </c>
      <c r="AB197" s="30">
        <v>1.1899481848762461E-4</v>
      </c>
      <c r="AC197" s="30">
        <v>1.5438989133449149E-4</v>
      </c>
      <c r="AD197" s="30">
        <v>1.40116380177625E-4</v>
      </c>
      <c r="AE197" s="30">
        <v>3.377910878294295E-3</v>
      </c>
      <c r="AF197" s="30">
        <v>6.9185855125806269E-3</v>
      </c>
      <c r="AG197" s="32">
        <v>0</v>
      </c>
      <c r="AH197" s="32">
        <v>1.6491053126472278E-5</v>
      </c>
      <c r="AI197" s="32">
        <v>2.7189071687907281E-4</v>
      </c>
      <c r="AJ197" s="32">
        <v>3.7507357872791961E-4</v>
      </c>
      <c r="AK197" s="32">
        <v>1.893029287807135E-4</v>
      </c>
      <c r="AL197" s="32">
        <v>1.165886053324375E-2</v>
      </c>
      <c r="AM197" s="32">
        <v>1.2511618810757928E-2</v>
      </c>
      <c r="AN197" s="34">
        <v>0</v>
      </c>
      <c r="AO197" s="34">
        <v>1.179775095002105E-5</v>
      </c>
      <c r="AP197" s="34">
        <v>3.4282755259154613E-7</v>
      </c>
      <c r="AQ197" s="34">
        <v>7.4641524221169363E-7</v>
      </c>
      <c r="AR197" s="34">
        <v>7.6913696276317151E-7</v>
      </c>
      <c r="AS197" s="34">
        <v>8.1443370266732239E-6</v>
      </c>
      <c r="AT197" s="34">
        <v>2.1800467734260687E-5</v>
      </c>
      <c r="AU197" s="36">
        <v>0</v>
      </c>
      <c r="AV197" s="36">
        <v>0</v>
      </c>
      <c r="AW197" s="36">
        <v>0.17939961470963908</v>
      </c>
      <c r="AX197" s="36">
        <v>0.17647448414364728</v>
      </c>
      <c r="AY197" s="36">
        <v>0.1593618802584211</v>
      </c>
      <c r="AZ197" s="36">
        <v>0.62669710475579521</v>
      </c>
      <c r="BA197" s="36">
        <v>1.1419330838675026</v>
      </c>
      <c r="BB197" s="6"/>
      <c r="BC197" s="6"/>
      <c r="BD197" t="s">
        <v>1069</v>
      </c>
      <c r="BF197" s="5">
        <v>6.5515749999999998E-2</v>
      </c>
      <c r="BG197" s="5">
        <f t="shared" si="9"/>
        <v>-1.9690188482498344E-3</v>
      </c>
      <c r="BH197" s="2">
        <v>147.53152</v>
      </c>
    </row>
    <row r="198" spans="1:60" x14ac:dyDescent="0.2">
      <c r="A198" t="str">
        <f t="shared" si="8"/>
        <v>Motorbike, electric, &lt;4kW - 2050 - LFP - CH</v>
      </c>
      <c r="B198" t="s">
        <v>492</v>
      </c>
      <c r="D198" s="19">
        <v>2050</v>
      </c>
      <c r="E198" t="s">
        <v>37</v>
      </c>
      <c r="F198" t="s">
        <v>140</v>
      </c>
      <c r="G198" t="s">
        <v>39</v>
      </c>
      <c r="H198" t="s">
        <v>32</v>
      </c>
      <c r="I198" t="s">
        <v>44</v>
      </c>
      <c r="J198" t="s">
        <v>140</v>
      </c>
      <c r="L198" s="26">
        <v>0</v>
      </c>
      <c r="M198" s="26">
        <v>0</v>
      </c>
      <c r="N198" s="26">
        <v>3.836250793656903E-3</v>
      </c>
      <c r="O198" s="26">
        <v>1.2306591692257861E-2</v>
      </c>
      <c r="P198" s="26">
        <v>4.5402365651397514E-3</v>
      </c>
      <c r="Q198" s="26">
        <v>6.9008180263948865E-2</v>
      </c>
      <c r="R198" s="26">
        <v>8.969125931500338E-2</v>
      </c>
      <c r="S198" s="28">
        <v>0</v>
      </c>
      <c r="T198" s="28">
        <v>0</v>
      </c>
      <c r="U198" s="28">
        <v>4.0604195360992079E-4</v>
      </c>
      <c r="V198" s="28">
        <v>4.722191823356421E-4</v>
      </c>
      <c r="W198" s="28">
        <v>3.1383249102629628E-4</v>
      </c>
      <c r="X198" s="28">
        <v>4.2336184318943468E-2</v>
      </c>
      <c r="Y198" s="28">
        <v>4.3528277945915329E-2</v>
      </c>
      <c r="Z198" s="30">
        <v>0</v>
      </c>
      <c r="AA198" s="30">
        <v>3.1271735442865911E-3</v>
      </c>
      <c r="AB198" s="30">
        <v>1.1899481848762461E-4</v>
      </c>
      <c r="AC198" s="30">
        <v>1.5438989133449149E-4</v>
      </c>
      <c r="AD198" s="30">
        <v>1.3997778480881839E-4</v>
      </c>
      <c r="AE198" s="30">
        <v>5.4447083172171054E-3</v>
      </c>
      <c r="AF198" s="30">
        <v>8.9852443561346321E-3</v>
      </c>
      <c r="AG198" s="32">
        <v>0</v>
      </c>
      <c r="AH198" s="32">
        <v>1.6491053126472278E-5</v>
      </c>
      <c r="AI198" s="32">
        <v>2.7189071687907281E-4</v>
      </c>
      <c r="AJ198" s="32">
        <v>3.7507357872791961E-4</v>
      </c>
      <c r="AK198" s="32">
        <v>1.8917358126281831E-4</v>
      </c>
      <c r="AL198" s="32">
        <v>1.8299791000723119E-2</v>
      </c>
      <c r="AM198" s="32">
        <v>1.9152419930719401E-2</v>
      </c>
      <c r="AN198" s="34">
        <v>0</v>
      </c>
      <c r="AO198" s="34">
        <v>1.179775095002105E-5</v>
      </c>
      <c r="AP198" s="34">
        <v>3.4282755259154613E-7</v>
      </c>
      <c r="AQ198" s="34">
        <v>7.4641524221169363E-7</v>
      </c>
      <c r="AR198" s="34">
        <v>7.6862623232385205E-7</v>
      </c>
      <c r="AS198" s="34">
        <v>1.1430833375483671E-5</v>
      </c>
      <c r="AT198" s="34">
        <v>2.5086453352631813E-5</v>
      </c>
      <c r="AU198" s="36">
        <v>0</v>
      </c>
      <c r="AV198" s="36">
        <v>0</v>
      </c>
      <c r="AW198" s="36">
        <v>0.17939961470963908</v>
      </c>
      <c r="AX198" s="36">
        <v>0.17647448414364728</v>
      </c>
      <c r="AY198" s="36">
        <v>0.15920380822557306</v>
      </c>
      <c r="AZ198" s="36">
        <v>0.91912155040929444</v>
      </c>
      <c r="BA198" s="36">
        <v>1.4341994574881538</v>
      </c>
      <c r="BB198" s="6"/>
      <c r="BC198" s="6"/>
      <c r="BD198" t="s">
        <v>1070</v>
      </c>
      <c r="BF198" s="5">
        <v>8.0933736000000006E-2</v>
      </c>
      <c r="BG198" s="5">
        <f t="shared" si="9"/>
        <v>-8.7575233150033738E-3</v>
      </c>
      <c r="BH198" s="2">
        <v>212.02798000000001</v>
      </c>
    </row>
    <row r="199" spans="1:60" x14ac:dyDescent="0.2">
      <c r="A199" t="str">
        <f t="shared" si="8"/>
        <v>Motorbike, electric, 4-11kW - 2020 - LFP - CH</v>
      </c>
      <c r="B199" t="s">
        <v>493</v>
      </c>
      <c r="D199" s="19">
        <v>2020</v>
      </c>
      <c r="E199" t="s">
        <v>37</v>
      </c>
      <c r="F199" t="s">
        <v>140</v>
      </c>
      <c r="G199" t="s">
        <v>39</v>
      </c>
      <c r="H199" t="s">
        <v>32</v>
      </c>
      <c r="I199" t="s">
        <v>44</v>
      </c>
      <c r="J199" t="s">
        <v>140</v>
      </c>
      <c r="L199" s="26">
        <v>0</v>
      </c>
      <c r="M199" s="26">
        <v>0</v>
      </c>
      <c r="N199" s="26">
        <v>5.7702284664922004E-3</v>
      </c>
      <c r="O199" s="26">
        <v>1.2306591692257861E-2</v>
      </c>
      <c r="P199" s="26">
        <v>4.6478661566374943E-3</v>
      </c>
      <c r="Q199" s="26">
        <v>6.0166914792213623E-2</v>
      </c>
      <c r="R199" s="26">
        <v>8.2891601107601187E-2</v>
      </c>
      <c r="S199" s="28">
        <v>0</v>
      </c>
      <c r="T199" s="28">
        <v>0</v>
      </c>
      <c r="U199" s="28">
        <v>6.1074078972731883E-4</v>
      </c>
      <c r="V199" s="28">
        <v>4.722191823356421E-4</v>
      </c>
      <c r="W199" s="28">
        <v>3.2063335096497683E-4</v>
      </c>
      <c r="X199" s="28">
        <v>3.9490957233663602E-2</v>
      </c>
      <c r="Y199" s="28">
        <v>4.0894550556691542E-2</v>
      </c>
      <c r="Z199" s="30">
        <v>0</v>
      </c>
      <c r="AA199" s="30">
        <v>3.1271735442865911E-3</v>
      </c>
      <c r="AB199" s="30">
        <v>1.789839418574189E-4</v>
      </c>
      <c r="AC199" s="30">
        <v>1.5438989133449149E-4</v>
      </c>
      <c r="AD199" s="30">
        <v>1.430692234102964E-4</v>
      </c>
      <c r="AE199" s="30">
        <v>4.4948481190346338E-3</v>
      </c>
      <c r="AF199" s="30">
        <v>8.0984647199234313E-3</v>
      </c>
      <c r="AG199" s="32">
        <v>0</v>
      </c>
      <c r="AH199" s="32">
        <v>1.6491053126472278E-5</v>
      </c>
      <c r="AI199" s="32">
        <v>4.0895959067761362E-4</v>
      </c>
      <c r="AJ199" s="32">
        <v>3.7507357872791961E-4</v>
      </c>
      <c r="AK199" s="32">
        <v>1.9205874195230989E-4</v>
      </c>
      <c r="AL199" s="32">
        <v>1.5668035078712901E-2</v>
      </c>
      <c r="AM199" s="32">
        <v>1.6660618043197215E-2</v>
      </c>
      <c r="AN199" s="34">
        <v>0</v>
      </c>
      <c r="AO199" s="34">
        <v>1.179775095002105E-5</v>
      </c>
      <c r="AP199" s="34">
        <v>5.1565797166662308E-7</v>
      </c>
      <c r="AQ199" s="34">
        <v>7.4641524221169363E-7</v>
      </c>
      <c r="AR199" s="34">
        <v>7.8001832867351342E-7</v>
      </c>
      <c r="AS199" s="34">
        <v>1.0964793461513329E-5</v>
      </c>
      <c r="AT199" s="34">
        <v>2.4804635954086208E-5</v>
      </c>
      <c r="AU199" s="36">
        <v>0</v>
      </c>
      <c r="AV199" s="36">
        <v>0</v>
      </c>
      <c r="AW199" s="36">
        <v>0.2698407427863993</v>
      </c>
      <c r="AX199" s="36">
        <v>0.17647448414364728</v>
      </c>
      <c r="AY199" s="36">
        <v>0.16272968350097558</v>
      </c>
      <c r="AZ199" s="36">
        <v>0.81809342477055513</v>
      </c>
      <c r="BA199" s="36">
        <v>1.4271383352015774</v>
      </c>
      <c r="BB199" s="6"/>
      <c r="BC199" s="6"/>
      <c r="BD199" t="s">
        <v>912</v>
      </c>
      <c r="BF199" s="5">
        <v>8.0712766999999991E-2</v>
      </c>
      <c r="BG199" s="5">
        <f t="shared" si="9"/>
        <v>-2.1788341076011963E-3</v>
      </c>
      <c r="BH199" s="2">
        <v>192.73079000000001</v>
      </c>
    </row>
    <row r="200" spans="1:60" x14ac:dyDescent="0.2">
      <c r="A200" t="str">
        <f t="shared" si="8"/>
        <v>Motorbike, electric, 4-11kW - 2030 - LFP - CH</v>
      </c>
      <c r="B200" t="s">
        <v>493</v>
      </c>
      <c r="D200" s="19">
        <v>2030</v>
      </c>
      <c r="E200" t="s">
        <v>37</v>
      </c>
      <c r="F200" t="s">
        <v>140</v>
      </c>
      <c r="G200" t="s">
        <v>39</v>
      </c>
      <c r="H200" t="s">
        <v>32</v>
      </c>
      <c r="I200" t="s">
        <v>44</v>
      </c>
      <c r="J200" t="s">
        <v>140</v>
      </c>
      <c r="L200" s="26">
        <v>0</v>
      </c>
      <c r="M200" s="26">
        <v>0</v>
      </c>
      <c r="N200" s="26">
        <v>5.7702284664922004E-3</v>
      </c>
      <c r="O200" s="26">
        <v>1.2306591692257861E-2</v>
      </c>
      <c r="P200" s="26">
        <v>4.7138885534054042E-3</v>
      </c>
      <c r="Q200" s="26">
        <v>6.8592959457134478E-2</v>
      </c>
      <c r="R200" s="26">
        <v>9.1383668169289944E-2</v>
      </c>
      <c r="S200" s="28">
        <v>0</v>
      </c>
      <c r="T200" s="28">
        <v>0</v>
      </c>
      <c r="U200" s="28">
        <v>6.1074078972731883E-4</v>
      </c>
      <c r="V200" s="28">
        <v>4.722191823356421E-4</v>
      </c>
      <c r="W200" s="28">
        <v>3.2480515043932452E-4</v>
      </c>
      <c r="X200" s="28">
        <v>4.3762123079620782E-2</v>
      </c>
      <c r="Y200" s="28">
        <v>4.5169888202123067E-2</v>
      </c>
      <c r="Z200" s="30">
        <v>0</v>
      </c>
      <c r="AA200" s="30">
        <v>3.1271735442865911E-3</v>
      </c>
      <c r="AB200" s="30">
        <v>1.789839418574189E-4</v>
      </c>
      <c r="AC200" s="30">
        <v>1.5438989133449149E-4</v>
      </c>
      <c r="AD200" s="30">
        <v>1.4496558093697801E-4</v>
      </c>
      <c r="AE200" s="30">
        <v>5.206504781361798E-3</v>
      </c>
      <c r="AF200" s="30">
        <v>8.8120177397772777E-3</v>
      </c>
      <c r="AG200" s="32">
        <v>0</v>
      </c>
      <c r="AH200" s="32">
        <v>1.6491053126472278E-5</v>
      </c>
      <c r="AI200" s="32">
        <v>4.0895959067761362E-4</v>
      </c>
      <c r="AJ200" s="32">
        <v>3.7507357872791961E-4</v>
      </c>
      <c r="AK200" s="32">
        <v>1.938285639978091E-4</v>
      </c>
      <c r="AL200" s="32">
        <v>1.7929034225557239E-2</v>
      </c>
      <c r="AM200" s="32">
        <v>1.8923387012087053E-2</v>
      </c>
      <c r="AN200" s="34">
        <v>0</v>
      </c>
      <c r="AO200" s="34">
        <v>1.179775095002105E-5</v>
      </c>
      <c r="AP200" s="34">
        <v>5.1565797166662308E-7</v>
      </c>
      <c r="AQ200" s="34">
        <v>7.4641524221169363E-7</v>
      </c>
      <c r="AR200" s="34">
        <v>7.8700649516889011E-7</v>
      </c>
      <c r="AS200" s="34">
        <v>1.2036811311451539E-5</v>
      </c>
      <c r="AT200" s="34">
        <v>2.5883641970519796E-5</v>
      </c>
      <c r="AU200" s="36">
        <v>0</v>
      </c>
      <c r="AV200" s="36">
        <v>0</v>
      </c>
      <c r="AW200" s="36">
        <v>0.2698407427863993</v>
      </c>
      <c r="AX200" s="36">
        <v>0.17647448414364728</v>
      </c>
      <c r="AY200" s="36">
        <v>0.16489253419238295</v>
      </c>
      <c r="AZ200" s="36">
        <v>0.92459491856329112</v>
      </c>
      <c r="BA200" s="36">
        <v>1.5358026796857205</v>
      </c>
      <c r="BB200" s="6"/>
      <c r="BC200" s="6"/>
      <c r="BD200" t="s">
        <v>1071</v>
      </c>
      <c r="BF200" s="5">
        <v>8.6189918000000004E-2</v>
      </c>
      <c r="BG200" s="5">
        <f t="shared" si="9"/>
        <v>-5.1937501692899402E-3</v>
      </c>
      <c r="BH200" s="2">
        <v>212.22203999999999</v>
      </c>
    </row>
    <row r="201" spans="1:60" x14ac:dyDescent="0.2">
      <c r="A201" t="str">
        <f t="shared" si="8"/>
        <v>Motorbike, electric, 4-11kW - 2040 - LFP - CH</v>
      </c>
      <c r="B201" t="s">
        <v>493</v>
      </c>
      <c r="D201" s="19">
        <v>2040</v>
      </c>
      <c r="E201" t="s">
        <v>37</v>
      </c>
      <c r="F201" t="s">
        <v>140</v>
      </c>
      <c r="G201" t="s">
        <v>39</v>
      </c>
      <c r="H201" t="s">
        <v>32</v>
      </c>
      <c r="I201" t="s">
        <v>44</v>
      </c>
      <c r="J201" t="s">
        <v>140</v>
      </c>
      <c r="L201" s="26">
        <v>0</v>
      </c>
      <c r="M201" s="26">
        <v>0</v>
      </c>
      <c r="N201" s="26">
        <v>5.7702284664922004E-3</v>
      </c>
      <c r="O201" s="26">
        <v>1.2306591692257861E-2</v>
      </c>
      <c r="P201" s="26">
        <v>4.7375200925955426E-3</v>
      </c>
      <c r="Q201" s="26">
        <v>6.687707536082832E-2</v>
      </c>
      <c r="R201" s="26">
        <v>8.9691415612173919E-2</v>
      </c>
      <c r="S201" s="28">
        <v>0</v>
      </c>
      <c r="T201" s="28">
        <v>0</v>
      </c>
      <c r="U201" s="28">
        <v>6.1074078972731883E-4</v>
      </c>
      <c r="V201" s="28">
        <v>4.722191823356421E-4</v>
      </c>
      <c r="W201" s="28">
        <v>3.2629837164300189E-4</v>
      </c>
      <c r="X201" s="28">
        <v>4.1684236209189512E-2</v>
      </c>
      <c r="Y201" s="28">
        <v>4.3093494552895475E-2</v>
      </c>
      <c r="Z201" s="30">
        <v>0</v>
      </c>
      <c r="AA201" s="30">
        <v>3.1271735442865911E-3</v>
      </c>
      <c r="AB201" s="30">
        <v>1.789839418574189E-4</v>
      </c>
      <c r="AC201" s="30">
        <v>1.5438989133449149E-4</v>
      </c>
      <c r="AD201" s="30">
        <v>1.45644348285698E-4</v>
      </c>
      <c r="AE201" s="30">
        <v>4.9649931298987376E-3</v>
      </c>
      <c r="AF201" s="30">
        <v>8.5711848556629371E-3</v>
      </c>
      <c r="AG201" s="32">
        <v>0</v>
      </c>
      <c r="AH201" s="32">
        <v>1.6491053126472278E-5</v>
      </c>
      <c r="AI201" s="32">
        <v>4.0895959067761362E-4</v>
      </c>
      <c r="AJ201" s="32">
        <v>3.7507357872791961E-4</v>
      </c>
      <c r="AK201" s="32">
        <v>1.944620402282285E-4</v>
      </c>
      <c r="AL201" s="32">
        <v>1.7153130356584612E-2</v>
      </c>
      <c r="AM201" s="32">
        <v>1.8148116619344845E-2</v>
      </c>
      <c r="AN201" s="34">
        <v>0</v>
      </c>
      <c r="AO201" s="34">
        <v>1.179775095002105E-5</v>
      </c>
      <c r="AP201" s="34">
        <v>5.1565797166662308E-7</v>
      </c>
      <c r="AQ201" s="34">
        <v>7.4641524221169363E-7</v>
      </c>
      <c r="AR201" s="34">
        <v>7.8950778470830546E-7</v>
      </c>
      <c r="AS201" s="34">
        <v>1.156228107659039E-5</v>
      </c>
      <c r="AT201" s="34">
        <v>2.5411613025198063E-5</v>
      </c>
      <c r="AU201" s="36">
        <v>0</v>
      </c>
      <c r="AV201" s="36">
        <v>0</v>
      </c>
      <c r="AW201" s="36">
        <v>0.2698407427863993</v>
      </c>
      <c r="AX201" s="36">
        <v>0.17647448414364728</v>
      </c>
      <c r="AY201" s="36">
        <v>0.1656666880156088</v>
      </c>
      <c r="AZ201" s="36">
        <v>0.89655709371977155</v>
      </c>
      <c r="BA201" s="36">
        <v>1.5085390086654269</v>
      </c>
      <c r="BB201" s="6"/>
      <c r="BC201" s="6"/>
      <c r="BD201" t="s">
        <v>1072</v>
      </c>
      <c r="BF201" s="5">
        <v>8.4405950999999993E-2</v>
      </c>
      <c r="BG201" s="5">
        <f t="shared" si="9"/>
        <v>-5.2854646121739263E-3</v>
      </c>
      <c r="BH201" s="2">
        <v>201.29917</v>
      </c>
    </row>
    <row r="202" spans="1:60" x14ac:dyDescent="0.2">
      <c r="A202" t="str">
        <f t="shared" si="8"/>
        <v>Motorbike, electric, 4-11kW - 2050 - LFP - CH</v>
      </c>
      <c r="B202" t="s">
        <v>493</v>
      </c>
      <c r="D202" s="19">
        <v>2050</v>
      </c>
      <c r="E202" t="s">
        <v>37</v>
      </c>
      <c r="F202" t="s">
        <v>140</v>
      </c>
      <c r="G202" t="s">
        <v>39</v>
      </c>
      <c r="H202" t="s">
        <v>32</v>
      </c>
      <c r="I202" t="s">
        <v>44</v>
      </c>
      <c r="J202" t="s">
        <v>140</v>
      </c>
      <c r="L202" s="26">
        <v>0</v>
      </c>
      <c r="M202" s="26">
        <v>0</v>
      </c>
      <c r="N202" s="26">
        <v>5.7702284664922004E-3</v>
      </c>
      <c r="O202" s="26">
        <v>7.9912933066609501E-3</v>
      </c>
      <c r="P202" s="26">
        <v>4.7364943027673728E-3</v>
      </c>
      <c r="Q202" s="26">
        <v>0.1017170859595791</v>
      </c>
      <c r="R202" s="26">
        <v>0.12021510203549962</v>
      </c>
      <c r="S202" s="28">
        <v>0</v>
      </c>
      <c r="T202" s="28">
        <v>0</v>
      </c>
      <c r="U202" s="28">
        <v>6.1074078972731883E-4</v>
      </c>
      <c r="V202" s="28">
        <v>3.0663583268548191E-4</v>
      </c>
      <c r="W202" s="28">
        <v>3.2623355440407321E-4</v>
      </c>
      <c r="X202" s="28">
        <v>6.3629859579012252E-2</v>
      </c>
      <c r="Y202" s="28">
        <v>6.4873469755829125E-2</v>
      </c>
      <c r="Z202" s="30">
        <v>0</v>
      </c>
      <c r="AA202" s="30">
        <v>3.1271735442865911E-3</v>
      </c>
      <c r="AB202" s="30">
        <v>1.789839418574189E-4</v>
      </c>
      <c r="AC202" s="30">
        <v>1.002531761912283E-4</v>
      </c>
      <c r="AD202" s="30">
        <v>1.456148845831262E-4</v>
      </c>
      <c r="AE202" s="30">
        <v>8.2411244600989631E-3</v>
      </c>
      <c r="AF202" s="30">
        <v>1.1793150007017328E-2</v>
      </c>
      <c r="AG202" s="32">
        <v>0</v>
      </c>
      <c r="AH202" s="32">
        <v>1.6491053126472278E-5</v>
      </c>
      <c r="AI202" s="32">
        <v>4.0895959067761362E-4</v>
      </c>
      <c r="AJ202" s="32">
        <v>2.4355427190124649E-4</v>
      </c>
      <c r="AK202" s="32">
        <v>1.9443454250713961E-4</v>
      </c>
      <c r="AL202" s="32">
        <v>2.767092933666445E-2</v>
      </c>
      <c r="AM202" s="32">
        <v>2.8534368794876922E-2</v>
      </c>
      <c r="AN202" s="34">
        <v>0</v>
      </c>
      <c r="AO202" s="34">
        <v>1.179775095002105E-5</v>
      </c>
      <c r="AP202" s="34">
        <v>5.1565797166662308E-7</v>
      </c>
      <c r="AQ202" s="34">
        <v>4.8468522221538551E-7</v>
      </c>
      <c r="AR202" s="34">
        <v>7.8939920958138722E-7</v>
      </c>
      <c r="AS202" s="34">
        <v>1.6816639145392912E-5</v>
      </c>
      <c r="AT202" s="34">
        <v>3.0404132498877358E-5</v>
      </c>
      <c r="AU202" s="36">
        <v>0</v>
      </c>
      <c r="AV202" s="36">
        <v>0</v>
      </c>
      <c r="AW202" s="36">
        <v>0.2698407427863993</v>
      </c>
      <c r="AX202" s="36">
        <v>0.1145938208724982</v>
      </c>
      <c r="AY202" s="36">
        <v>0.16563308380934377</v>
      </c>
      <c r="AZ202" s="36">
        <v>1.3576554164716295</v>
      </c>
      <c r="BA202" s="36">
        <v>1.9077230639398708</v>
      </c>
      <c r="BB202" s="6"/>
      <c r="BC202" s="6"/>
      <c r="BD202" t="s">
        <v>1073</v>
      </c>
      <c r="BF202" s="5">
        <v>0.10549116</v>
      </c>
      <c r="BG202" s="5">
        <f t="shared" si="9"/>
        <v>-1.4723942035499621E-2</v>
      </c>
      <c r="BH202" s="2">
        <v>301.55876000000001</v>
      </c>
    </row>
    <row r="203" spans="1:60" x14ac:dyDescent="0.2">
      <c r="A203" t="str">
        <f t="shared" si="8"/>
        <v>Motorbike, electric, 11-35kW - 2020 - LFP - CH</v>
      </c>
      <c r="B203" t="s">
        <v>494</v>
      </c>
      <c r="D203" s="19">
        <v>2020</v>
      </c>
      <c r="E203" t="s">
        <v>37</v>
      </c>
      <c r="F203" t="s">
        <v>140</v>
      </c>
      <c r="G203" t="s">
        <v>39</v>
      </c>
      <c r="H203" t="s">
        <v>32</v>
      </c>
      <c r="I203" t="s">
        <v>44</v>
      </c>
      <c r="J203" t="s">
        <v>140</v>
      </c>
      <c r="L203" s="26">
        <v>0</v>
      </c>
      <c r="M203" s="26">
        <v>0</v>
      </c>
      <c r="N203" s="26">
        <v>7.8106002476236447E-3</v>
      </c>
      <c r="O203" s="26">
        <v>1.2306591692257861E-2</v>
      </c>
      <c r="P203" s="26">
        <v>5.0774325154383246E-3</v>
      </c>
      <c r="Q203" s="26">
        <v>7.8967146486972686E-2</v>
      </c>
      <c r="R203" s="26">
        <v>0.10416177094229251</v>
      </c>
      <c r="S203" s="28">
        <v>0</v>
      </c>
      <c r="T203" s="28">
        <v>0</v>
      </c>
      <c r="U203" s="28">
        <v>8.2670074351110705E-4</v>
      </c>
      <c r="V203" s="28">
        <v>4.722191823356421E-4</v>
      </c>
      <c r="W203" s="28">
        <v>3.4777663563157938E-4</v>
      </c>
      <c r="X203" s="28">
        <v>5.2084956482867491E-2</v>
      </c>
      <c r="Y203" s="28">
        <v>5.3731653044345816E-2</v>
      </c>
      <c r="Z203" s="30">
        <v>0</v>
      </c>
      <c r="AA203" s="30">
        <v>3.1271735442865911E-3</v>
      </c>
      <c r="AB203" s="30">
        <v>2.422732529067532E-4</v>
      </c>
      <c r="AC203" s="30">
        <v>1.5438989133449149E-4</v>
      </c>
      <c r="AD203" s="30">
        <v>1.554076333681293E-4</v>
      </c>
      <c r="AE203" s="30">
        <v>6.542119057818362E-3</v>
      </c>
      <c r="AF203" s="30">
        <v>1.0221363379714327E-2</v>
      </c>
      <c r="AG203" s="32">
        <v>0</v>
      </c>
      <c r="AH203" s="32">
        <v>1.6491053126472278E-5</v>
      </c>
      <c r="AI203" s="32">
        <v>5.5356904822114297E-4</v>
      </c>
      <c r="AJ203" s="32">
        <v>3.7507357872791961E-4</v>
      </c>
      <c r="AK203" s="32">
        <v>2.0357386483527791E-4</v>
      </c>
      <c r="AL203" s="32">
        <v>2.2010172648530679E-2</v>
      </c>
      <c r="AM203" s="32">
        <v>2.3158880193441492E-2</v>
      </c>
      <c r="AN203" s="34">
        <v>0</v>
      </c>
      <c r="AO203" s="34">
        <v>1.179775095002105E-5</v>
      </c>
      <c r="AP203" s="34">
        <v>6.9799632797501057E-7</v>
      </c>
      <c r="AQ203" s="34">
        <v>7.4641524221169363E-7</v>
      </c>
      <c r="AR203" s="34">
        <v>8.2548594849751754E-7</v>
      </c>
      <c r="AS203" s="34">
        <v>1.384164295195637E-5</v>
      </c>
      <c r="AT203" s="34">
        <v>2.7909291420661643E-5</v>
      </c>
      <c r="AU203" s="36">
        <v>0</v>
      </c>
      <c r="AV203" s="36">
        <v>0</v>
      </c>
      <c r="AW203" s="36">
        <v>0.36525731774146686</v>
      </c>
      <c r="AX203" s="36">
        <v>0.17647448414364728</v>
      </c>
      <c r="AY203" s="36">
        <v>0.17680199746745828</v>
      </c>
      <c r="AZ203" s="36">
        <v>1.0710949563184369</v>
      </c>
      <c r="BA203" s="36">
        <v>1.7896287556710093</v>
      </c>
      <c r="BB203" s="6"/>
      <c r="BC203" s="6"/>
      <c r="BD203" t="s">
        <v>908</v>
      </c>
      <c r="BF203" s="5">
        <v>9.6879242000000004E-2</v>
      </c>
      <c r="BG203" s="5">
        <f t="shared" si="9"/>
        <v>-7.2825289422925044E-3</v>
      </c>
      <c r="BH203" s="2">
        <v>268.19369999999998</v>
      </c>
    </row>
    <row r="204" spans="1:60" x14ac:dyDescent="0.2">
      <c r="A204" t="str">
        <f t="shared" si="8"/>
        <v>Motorbike, electric, 11-35kW - 2030 - LFP - CH</v>
      </c>
      <c r="B204" t="s">
        <v>494</v>
      </c>
      <c r="D204" s="19">
        <v>2030</v>
      </c>
      <c r="E204" t="s">
        <v>37</v>
      </c>
      <c r="F204" t="s">
        <v>140</v>
      </c>
      <c r="G204" t="s">
        <v>39</v>
      </c>
      <c r="H204" t="s">
        <v>32</v>
      </c>
      <c r="I204" t="s">
        <v>44</v>
      </c>
      <c r="J204" t="s">
        <v>140</v>
      </c>
      <c r="L204" s="26">
        <v>0</v>
      </c>
      <c r="M204" s="26">
        <v>0</v>
      </c>
      <c r="N204" s="26">
        <v>7.8106002476236447E-3</v>
      </c>
      <c r="O204" s="26">
        <v>1.2306591692257861E-2</v>
      </c>
      <c r="P204" s="26">
        <v>5.2182600050499706E-3</v>
      </c>
      <c r="Q204" s="26">
        <v>8.6347492782024776E-2</v>
      </c>
      <c r="R204" s="26">
        <v>0.11168294472695625</v>
      </c>
      <c r="S204" s="28">
        <v>0</v>
      </c>
      <c r="T204" s="28">
        <v>0</v>
      </c>
      <c r="U204" s="28">
        <v>8.2670074351110705E-4</v>
      </c>
      <c r="V204" s="28">
        <v>4.722191823356421E-4</v>
      </c>
      <c r="W204" s="28">
        <v>3.5667519242285801E-4</v>
      </c>
      <c r="X204" s="28">
        <v>5.5866949265579051E-2</v>
      </c>
      <c r="Y204" s="28">
        <v>5.7522544383848656E-2</v>
      </c>
      <c r="Z204" s="30">
        <v>0</v>
      </c>
      <c r="AA204" s="30">
        <v>3.1271735442865911E-3</v>
      </c>
      <c r="AB204" s="30">
        <v>2.422732529067532E-4</v>
      </c>
      <c r="AC204" s="30">
        <v>1.5438989133449149E-4</v>
      </c>
      <c r="AD204" s="30">
        <v>1.5945261329861451E-4</v>
      </c>
      <c r="AE204" s="30">
        <v>7.1709361070833276E-3</v>
      </c>
      <c r="AF204" s="30">
        <v>1.0854225408909778E-2</v>
      </c>
      <c r="AG204" s="32">
        <v>0</v>
      </c>
      <c r="AH204" s="32">
        <v>1.6491053126472278E-5</v>
      </c>
      <c r="AI204" s="32">
        <v>5.5356904822114297E-4</v>
      </c>
      <c r="AJ204" s="32">
        <v>3.7507357872791961E-4</v>
      </c>
      <c r="AK204" s="32">
        <v>2.073489412930921E-4</v>
      </c>
      <c r="AL204" s="32">
        <v>2.398899846098413E-2</v>
      </c>
      <c r="AM204" s="32">
        <v>2.5141481082352757E-2</v>
      </c>
      <c r="AN204" s="34">
        <v>0</v>
      </c>
      <c r="AO204" s="34">
        <v>1.179775095002105E-5</v>
      </c>
      <c r="AP204" s="34">
        <v>6.9799632797501057E-7</v>
      </c>
      <c r="AQ204" s="34">
        <v>7.4641524221169363E-7</v>
      </c>
      <c r="AR204" s="34">
        <v>8.4039188940105098E-7</v>
      </c>
      <c r="AS204" s="34">
        <v>1.481061050017246E-5</v>
      </c>
      <c r="AT204" s="34">
        <v>2.8893164909781265E-5</v>
      </c>
      <c r="AU204" s="36">
        <v>0</v>
      </c>
      <c r="AV204" s="36">
        <v>0</v>
      </c>
      <c r="AW204" s="36">
        <v>0.36525731774146686</v>
      </c>
      <c r="AX204" s="36">
        <v>0.17647448414364728</v>
      </c>
      <c r="AY204" s="36">
        <v>0.18141541425004556</v>
      </c>
      <c r="AZ204" s="36">
        <v>1.1650316173815727</v>
      </c>
      <c r="BA204" s="36">
        <v>1.8881788335167324</v>
      </c>
      <c r="BB204" s="6"/>
      <c r="BC204" s="6"/>
      <c r="BD204" t="s">
        <v>1074</v>
      </c>
      <c r="BF204" s="5">
        <v>0.10189909</v>
      </c>
      <c r="BG204" s="5">
        <f t="shared" si="9"/>
        <v>-9.7838547269562537E-3</v>
      </c>
      <c r="BH204" s="2">
        <v>285.96847000000002</v>
      </c>
    </row>
    <row r="205" spans="1:60" x14ac:dyDescent="0.2">
      <c r="A205" t="str">
        <f t="shared" si="8"/>
        <v>Motorbike, electric, 11-35kW - 2040 - LFP - CH</v>
      </c>
      <c r="B205" t="s">
        <v>494</v>
      </c>
      <c r="D205" s="19">
        <v>2040</v>
      </c>
      <c r="E205" t="s">
        <v>37</v>
      </c>
      <c r="F205" t="s">
        <v>140</v>
      </c>
      <c r="G205" t="s">
        <v>39</v>
      </c>
      <c r="H205" t="s">
        <v>32</v>
      </c>
      <c r="I205" t="s">
        <v>44</v>
      </c>
      <c r="J205" t="s">
        <v>140</v>
      </c>
      <c r="L205" s="26">
        <v>0</v>
      </c>
      <c r="M205" s="26">
        <v>0</v>
      </c>
      <c r="N205" s="26">
        <v>7.8106002476236447E-3</v>
      </c>
      <c r="O205" s="26">
        <v>1.2306591692257861E-2</v>
      </c>
      <c r="P205" s="26">
        <v>5.2818986745286093E-3</v>
      </c>
      <c r="Q205" s="26">
        <v>8.1642883107063025E-2</v>
      </c>
      <c r="R205" s="26">
        <v>0.10704197372147314</v>
      </c>
      <c r="S205" s="28">
        <v>0</v>
      </c>
      <c r="T205" s="28">
        <v>0</v>
      </c>
      <c r="U205" s="28">
        <v>8.2670074351110705E-4</v>
      </c>
      <c r="V205" s="28">
        <v>4.722191823356421E-4</v>
      </c>
      <c r="W205" s="28">
        <v>3.6069636979411338E-4</v>
      </c>
      <c r="X205" s="28">
        <v>5.1912344210703731E-2</v>
      </c>
      <c r="Y205" s="28">
        <v>5.3571960506344593E-2</v>
      </c>
      <c r="Z205" s="30">
        <v>0</v>
      </c>
      <c r="AA205" s="30">
        <v>3.1271735442865911E-3</v>
      </c>
      <c r="AB205" s="30">
        <v>2.422732529067532E-4</v>
      </c>
      <c r="AC205" s="30">
        <v>1.5438989133449149E-4</v>
      </c>
      <c r="AD205" s="30">
        <v>1.612805031626867E-4</v>
      </c>
      <c r="AE205" s="30">
        <v>6.6499799372623288E-3</v>
      </c>
      <c r="AF205" s="30">
        <v>1.0335097128952852E-2</v>
      </c>
      <c r="AG205" s="32">
        <v>0</v>
      </c>
      <c r="AH205" s="32">
        <v>1.6491053126472278E-5</v>
      </c>
      <c r="AI205" s="32">
        <v>5.5356904822114297E-4</v>
      </c>
      <c r="AJ205" s="32">
        <v>3.7507357872791961E-4</v>
      </c>
      <c r="AK205" s="32">
        <v>2.0905486421778481E-4</v>
      </c>
      <c r="AL205" s="32">
        <v>2.2306111618354049E-2</v>
      </c>
      <c r="AM205" s="32">
        <v>2.3460300162647368E-2</v>
      </c>
      <c r="AN205" s="34">
        <v>0</v>
      </c>
      <c r="AO205" s="34">
        <v>1.179775095002105E-5</v>
      </c>
      <c r="AP205" s="34">
        <v>6.9799632797501057E-7</v>
      </c>
      <c r="AQ205" s="34">
        <v>7.4641524221169363E-7</v>
      </c>
      <c r="AR205" s="34">
        <v>8.4712774934603729E-7</v>
      </c>
      <c r="AS205" s="34">
        <v>1.3897460589459601E-5</v>
      </c>
      <c r="AT205" s="34">
        <v>2.7986750859013392E-5</v>
      </c>
      <c r="AU205" s="36">
        <v>0</v>
      </c>
      <c r="AV205" s="36">
        <v>0</v>
      </c>
      <c r="AW205" s="36">
        <v>0.36525731774146686</v>
      </c>
      <c r="AX205" s="36">
        <v>0.17647448414364728</v>
      </c>
      <c r="AY205" s="36">
        <v>0.18350017558892837</v>
      </c>
      <c r="AZ205" s="36">
        <v>1.0976927569590764</v>
      </c>
      <c r="BA205" s="36">
        <v>1.822924734433119</v>
      </c>
      <c r="BB205" s="6"/>
      <c r="BC205" s="6"/>
      <c r="BD205" t="s">
        <v>1075</v>
      </c>
      <c r="BF205" s="5">
        <v>9.8140874000000003E-2</v>
      </c>
      <c r="BG205" s="5">
        <f t="shared" si="9"/>
        <v>-8.9010997214731408E-3</v>
      </c>
      <c r="BH205" s="2">
        <v>266.51056999999997</v>
      </c>
    </row>
    <row r="206" spans="1:60" x14ac:dyDescent="0.2">
      <c r="A206" t="str">
        <f t="shared" si="8"/>
        <v>Motorbike, electric, 11-35kW - 2050 - LFP - CH</v>
      </c>
      <c r="B206" t="s">
        <v>494</v>
      </c>
      <c r="D206" s="19">
        <v>2050</v>
      </c>
      <c r="E206" t="s">
        <v>37</v>
      </c>
      <c r="F206" t="s">
        <v>140</v>
      </c>
      <c r="G206" t="s">
        <v>39</v>
      </c>
      <c r="H206" t="s">
        <v>32</v>
      </c>
      <c r="I206" t="s">
        <v>44</v>
      </c>
      <c r="J206" t="s">
        <v>140</v>
      </c>
      <c r="L206" s="26">
        <v>0</v>
      </c>
      <c r="M206" s="26">
        <v>0</v>
      </c>
      <c r="N206" s="26">
        <v>7.8106002476236447E-3</v>
      </c>
      <c r="O206" s="26">
        <v>1.16988587691834E-2</v>
      </c>
      <c r="P206" s="26">
        <v>5.2469080279340134E-3</v>
      </c>
      <c r="Q206" s="26">
        <v>0.1312707064103128</v>
      </c>
      <c r="R206" s="26">
        <v>0.15602707345505384</v>
      </c>
      <c r="S206" s="28">
        <v>0</v>
      </c>
      <c r="T206" s="28">
        <v>0</v>
      </c>
      <c r="U206" s="28">
        <v>8.2670074351110705E-4</v>
      </c>
      <c r="V206" s="28">
        <v>4.4889971654128941E-4</v>
      </c>
      <c r="W206" s="28">
        <v>3.5848539339494441E-4</v>
      </c>
      <c r="X206" s="28">
        <v>8.3879698628234439E-2</v>
      </c>
      <c r="Y206" s="28">
        <v>8.5513784481681773E-2</v>
      </c>
      <c r="Z206" s="30">
        <v>0</v>
      </c>
      <c r="AA206" s="30">
        <v>3.1271735442865911E-3</v>
      </c>
      <c r="AB206" s="30">
        <v>2.422732529067532E-4</v>
      </c>
      <c r="AC206" s="30">
        <v>1.4676569916982529E-4</v>
      </c>
      <c r="AD206" s="30">
        <v>1.602754688215921E-4</v>
      </c>
      <c r="AE206" s="30">
        <v>1.137321068335082E-2</v>
      </c>
      <c r="AF206" s="30">
        <v>1.5049698648535583E-2</v>
      </c>
      <c r="AG206" s="32">
        <v>0</v>
      </c>
      <c r="AH206" s="32">
        <v>1.6491053126472278E-5</v>
      </c>
      <c r="AI206" s="32">
        <v>5.5356904822114297E-4</v>
      </c>
      <c r="AJ206" s="32">
        <v>3.5655142669197291E-4</v>
      </c>
      <c r="AK206" s="32">
        <v>2.081168913364444E-4</v>
      </c>
      <c r="AL206" s="32">
        <v>3.7472638859565532E-2</v>
      </c>
      <c r="AM206" s="32">
        <v>3.8607367278941568E-2</v>
      </c>
      <c r="AN206" s="34">
        <v>0</v>
      </c>
      <c r="AO206" s="34">
        <v>1.179775095002105E-5</v>
      </c>
      <c r="AP206" s="34">
        <v>6.9799632797501057E-7</v>
      </c>
      <c r="AQ206" s="34">
        <v>7.095552302506223E-7</v>
      </c>
      <c r="AR206" s="34">
        <v>8.4342415062568946E-7</v>
      </c>
      <c r="AS206" s="34">
        <v>2.153221439947024E-5</v>
      </c>
      <c r="AT206" s="34">
        <v>3.5580941058342615E-5</v>
      </c>
      <c r="AU206" s="36">
        <v>0</v>
      </c>
      <c r="AV206" s="36">
        <v>0</v>
      </c>
      <c r="AW206" s="36">
        <v>0.36525731774146686</v>
      </c>
      <c r="AX206" s="36">
        <v>0.16775969480322017</v>
      </c>
      <c r="AY206" s="36">
        <v>0.18235390480984784</v>
      </c>
      <c r="AZ206" s="36">
        <v>1.7582249094146232</v>
      </c>
      <c r="BA206" s="36">
        <v>2.473595826769158</v>
      </c>
      <c r="BB206" s="6"/>
      <c r="BC206" s="6"/>
      <c r="BD206" t="s">
        <v>1076</v>
      </c>
      <c r="BF206" s="5">
        <v>0.13288534999999999</v>
      </c>
      <c r="BG206" s="5">
        <f t="shared" si="9"/>
        <v>-2.3141723455053859E-2</v>
      </c>
      <c r="BH206" s="2">
        <v>417.77733999999998</v>
      </c>
    </row>
    <row r="207" spans="1:60" x14ac:dyDescent="0.2">
      <c r="A207" t="str">
        <f t="shared" si="8"/>
        <v>Motorbike, electric, &gt;35kW - 2020 - LFP - CH</v>
      </c>
      <c r="B207" t="s">
        <v>495</v>
      </c>
      <c r="D207" s="19">
        <v>2020</v>
      </c>
      <c r="E207" t="s">
        <v>37</v>
      </c>
      <c r="F207" t="s">
        <v>140</v>
      </c>
      <c r="G207" t="s">
        <v>39</v>
      </c>
      <c r="H207" t="s">
        <v>32</v>
      </c>
      <c r="I207" t="s">
        <v>44</v>
      </c>
      <c r="J207" t="s">
        <v>140</v>
      </c>
      <c r="L207" s="26">
        <v>0</v>
      </c>
      <c r="M207" s="26">
        <v>0</v>
      </c>
      <c r="N207" s="26">
        <v>8.710249309141712E-3</v>
      </c>
      <c r="O207" s="26">
        <v>1.2306591692257861E-2</v>
      </c>
      <c r="P207" s="26">
        <v>5.7322097842371321E-3</v>
      </c>
      <c r="Q207" s="26">
        <v>0.1330489585066062</v>
      </c>
      <c r="R207" s="26">
        <v>0.15979800929224292</v>
      </c>
      <c r="S207" s="28">
        <v>0</v>
      </c>
      <c r="T207" s="28">
        <v>0</v>
      </c>
      <c r="U207" s="28">
        <v>9.2192268862119461E-4</v>
      </c>
      <c r="V207" s="28">
        <v>4.722191823356421E-4</v>
      </c>
      <c r="W207" s="28">
        <v>3.8915046632409652E-4</v>
      </c>
      <c r="X207" s="28">
        <v>8.6893962416245196E-2</v>
      </c>
      <c r="Y207" s="28">
        <v>8.8677254753526127E-2</v>
      </c>
      <c r="Z207" s="30">
        <v>0</v>
      </c>
      <c r="AA207" s="30">
        <v>3.1271735442865911E-3</v>
      </c>
      <c r="AB207" s="30">
        <v>2.7017903449822622E-4</v>
      </c>
      <c r="AC207" s="30">
        <v>1.5438989133449149E-4</v>
      </c>
      <c r="AD207" s="30">
        <v>1.742147634144923E-4</v>
      </c>
      <c r="AE207" s="30">
        <v>1.1580690453615769E-2</v>
      </c>
      <c r="AF207" s="30">
        <v>1.5306647687149569E-2</v>
      </c>
      <c r="AG207" s="32">
        <v>0</v>
      </c>
      <c r="AH207" s="32">
        <v>1.6491053126472278E-5</v>
      </c>
      <c r="AI207" s="32">
        <v>6.1733084103202476E-4</v>
      </c>
      <c r="AJ207" s="32">
        <v>3.7507357872791961E-4</v>
      </c>
      <c r="AK207" s="32">
        <v>2.2112607896172969E-4</v>
      </c>
      <c r="AL207" s="32">
        <v>3.8191506964006042E-2</v>
      </c>
      <c r="AM207" s="32">
        <v>3.942152851585419E-2</v>
      </c>
      <c r="AN207" s="34">
        <v>0</v>
      </c>
      <c r="AO207" s="34">
        <v>1.179775095002105E-5</v>
      </c>
      <c r="AP207" s="34">
        <v>7.7839370096780042E-7</v>
      </c>
      <c r="AQ207" s="34">
        <v>7.4641524221169363E-7</v>
      </c>
      <c r="AR207" s="34">
        <v>8.947911054708254E-7</v>
      </c>
      <c r="AS207" s="34">
        <v>2.298482768960763E-5</v>
      </c>
      <c r="AT207" s="34">
        <v>3.7202178688278997E-5</v>
      </c>
      <c r="AU207" s="36">
        <v>0</v>
      </c>
      <c r="AV207" s="36">
        <v>0</v>
      </c>
      <c r="AW207" s="36">
        <v>0.40732878378771509</v>
      </c>
      <c r="AX207" s="36">
        <v>0.17647448414364728</v>
      </c>
      <c r="AY207" s="36">
        <v>0.1982520740758201</v>
      </c>
      <c r="AZ207" s="36">
        <v>1.8026418530543371</v>
      </c>
      <c r="BA207" s="36">
        <v>2.5846971950615196</v>
      </c>
      <c r="BB207" s="6"/>
      <c r="BC207" s="6"/>
      <c r="BD207" t="s">
        <v>902</v>
      </c>
      <c r="BF207" s="5">
        <v>0.14028905999999999</v>
      </c>
      <c r="BG207" s="5">
        <f t="shared" si="9"/>
        <v>-1.9508949292242922E-2</v>
      </c>
      <c r="BH207" s="2">
        <v>438.60674999999998</v>
      </c>
    </row>
    <row r="208" spans="1:60" x14ac:dyDescent="0.2">
      <c r="A208" t="str">
        <f t="shared" si="8"/>
        <v>Motorbike, electric, &gt;35kW - 2030 - LFP - CH</v>
      </c>
      <c r="B208" t="s">
        <v>495</v>
      </c>
      <c r="D208" s="19">
        <v>2030</v>
      </c>
      <c r="E208" t="s">
        <v>37</v>
      </c>
      <c r="F208" t="s">
        <v>140</v>
      </c>
      <c r="G208" t="s">
        <v>39</v>
      </c>
      <c r="H208" t="s">
        <v>32</v>
      </c>
      <c r="I208" t="s">
        <v>44</v>
      </c>
      <c r="J208" t="s">
        <v>140</v>
      </c>
      <c r="L208" s="26">
        <v>0</v>
      </c>
      <c r="M208" s="26">
        <v>0</v>
      </c>
      <c r="N208" s="26">
        <v>8.710249309141712E-3</v>
      </c>
      <c r="O208" s="26">
        <v>1.2306591692257861E-2</v>
      </c>
      <c r="P208" s="26">
        <v>6.0030762336561044E-3</v>
      </c>
      <c r="Q208" s="26">
        <v>0.14397240586620499</v>
      </c>
      <c r="R208" s="26">
        <v>0.17099232310126067</v>
      </c>
      <c r="S208" s="28">
        <v>0</v>
      </c>
      <c r="T208" s="28">
        <v>0</v>
      </c>
      <c r="U208" s="28">
        <v>9.2192268862119461E-4</v>
      </c>
      <c r="V208" s="28">
        <v>4.722191823356421E-4</v>
      </c>
      <c r="W208" s="28">
        <v>4.0626587816345781E-4</v>
      </c>
      <c r="X208" s="28">
        <v>9.2628351819699223E-2</v>
      </c>
      <c r="Y208" s="28">
        <v>9.442875956881952E-2</v>
      </c>
      <c r="Z208" s="30">
        <v>0</v>
      </c>
      <c r="AA208" s="30">
        <v>3.1271735442865911E-3</v>
      </c>
      <c r="AB208" s="30">
        <v>2.7017903449822622E-4</v>
      </c>
      <c r="AC208" s="30">
        <v>1.5438989133449149E-4</v>
      </c>
      <c r="AD208" s="30">
        <v>1.8199484495086659E-4</v>
      </c>
      <c r="AE208" s="30">
        <v>1.2524604404161629E-2</v>
      </c>
      <c r="AF208" s="30">
        <v>1.6258341719231805E-2</v>
      </c>
      <c r="AG208" s="32">
        <v>0</v>
      </c>
      <c r="AH208" s="32">
        <v>1.6491053126472278E-5</v>
      </c>
      <c r="AI208" s="32">
        <v>6.1733084103202476E-4</v>
      </c>
      <c r="AJ208" s="32">
        <v>3.7507357872791961E-4</v>
      </c>
      <c r="AK208" s="32">
        <v>2.283870303514982E-4</v>
      </c>
      <c r="AL208" s="32">
        <v>4.1143357581012688E-2</v>
      </c>
      <c r="AM208" s="32">
        <v>4.2380640084250604E-2</v>
      </c>
      <c r="AN208" s="34">
        <v>0</v>
      </c>
      <c r="AO208" s="34">
        <v>1.179775095002105E-5</v>
      </c>
      <c r="AP208" s="34">
        <v>7.7839370096780042E-7</v>
      </c>
      <c r="AQ208" s="34">
        <v>7.4641524221169363E-7</v>
      </c>
      <c r="AR208" s="34">
        <v>9.2346107110696084E-7</v>
      </c>
      <c r="AS208" s="34">
        <v>2.4470014700998951E-5</v>
      </c>
      <c r="AT208" s="34">
        <v>3.8716035665306456E-5</v>
      </c>
      <c r="AU208" s="36">
        <v>0</v>
      </c>
      <c r="AV208" s="36">
        <v>0</v>
      </c>
      <c r="AW208" s="36">
        <v>0.40732878378771509</v>
      </c>
      <c r="AX208" s="36">
        <v>0.17647448414364728</v>
      </c>
      <c r="AY208" s="36">
        <v>0.20712548243547596</v>
      </c>
      <c r="AZ208" s="36">
        <v>1.9428459549765458</v>
      </c>
      <c r="BA208" s="36">
        <v>2.7337747053433841</v>
      </c>
      <c r="BB208" s="6"/>
      <c r="BC208" s="6"/>
      <c r="BD208" t="s">
        <v>1077</v>
      </c>
      <c r="BF208" s="5">
        <v>0.14800218000000001</v>
      </c>
      <c r="BG208" s="5">
        <f t="shared" si="9"/>
        <v>-2.2990143101260657E-2</v>
      </c>
      <c r="BH208" s="2">
        <v>466.27882</v>
      </c>
    </row>
    <row r="209" spans="1:60" x14ac:dyDescent="0.2">
      <c r="A209" t="str">
        <f t="shared" si="8"/>
        <v>Motorbike, electric, &gt;35kW - 2040 - LFP - CH</v>
      </c>
      <c r="B209" t="s">
        <v>495</v>
      </c>
      <c r="D209" s="19">
        <v>2040</v>
      </c>
      <c r="E209" t="s">
        <v>37</v>
      </c>
      <c r="F209" t="s">
        <v>140</v>
      </c>
      <c r="G209" t="s">
        <v>39</v>
      </c>
      <c r="H209" t="s">
        <v>32</v>
      </c>
      <c r="I209" t="s">
        <v>44</v>
      </c>
      <c r="J209" t="s">
        <v>140</v>
      </c>
      <c r="L209" s="26">
        <v>0</v>
      </c>
      <c r="M209" s="26">
        <v>0</v>
      </c>
      <c r="N209" s="26">
        <v>8.710249309141712E-3</v>
      </c>
      <c r="O209" s="26">
        <v>1.2306591692257861E-2</v>
      </c>
      <c r="P209" s="26">
        <v>6.1113257014817129E-3</v>
      </c>
      <c r="Q209" s="26">
        <v>0.13253405494445991</v>
      </c>
      <c r="R209" s="26">
        <v>0.1596622216473412</v>
      </c>
      <c r="S209" s="28">
        <v>0</v>
      </c>
      <c r="T209" s="28">
        <v>0</v>
      </c>
      <c r="U209" s="28">
        <v>9.2192268862119461E-4</v>
      </c>
      <c r="V209" s="28">
        <v>4.722191823356421E-4</v>
      </c>
      <c r="W209" s="28">
        <v>4.131059066247207E-4</v>
      </c>
      <c r="X209" s="28">
        <v>8.3865754159344025E-2</v>
      </c>
      <c r="Y209" s="28">
        <v>8.5673001936925577E-2</v>
      </c>
      <c r="Z209" s="30">
        <v>0</v>
      </c>
      <c r="AA209" s="30">
        <v>3.1271735442865911E-3</v>
      </c>
      <c r="AB209" s="30">
        <v>2.7017903449822622E-4</v>
      </c>
      <c r="AC209" s="30">
        <v>1.5438989133449149E-4</v>
      </c>
      <c r="AD209" s="30">
        <v>1.851040882246605E-4</v>
      </c>
      <c r="AE209" s="30">
        <v>1.1325664435950089E-2</v>
      </c>
      <c r="AF209" s="30">
        <v>1.5062510994294058E-2</v>
      </c>
      <c r="AG209" s="32">
        <v>0</v>
      </c>
      <c r="AH209" s="32">
        <v>1.6491053126472278E-5</v>
      </c>
      <c r="AI209" s="32">
        <v>6.1733084103202476E-4</v>
      </c>
      <c r="AJ209" s="32">
        <v>3.7507357872791961E-4</v>
      </c>
      <c r="AK209" s="32">
        <v>2.3128880768691969E-4</v>
      </c>
      <c r="AL209" s="32">
        <v>3.7276927745773153E-2</v>
      </c>
      <c r="AM209" s="32">
        <v>3.8517112026346487E-2</v>
      </c>
      <c r="AN209" s="34">
        <v>0</v>
      </c>
      <c r="AO209" s="34">
        <v>1.179775095002105E-5</v>
      </c>
      <c r="AP209" s="34">
        <v>7.7839370096780042E-7</v>
      </c>
      <c r="AQ209" s="34">
        <v>7.4641524221169363E-7</v>
      </c>
      <c r="AR209" s="34">
        <v>9.3491877850980613E-7</v>
      </c>
      <c r="AS209" s="34">
        <v>2.2426039524605921E-5</v>
      </c>
      <c r="AT209" s="34">
        <v>3.6683518196316268E-5</v>
      </c>
      <c r="AU209" s="36">
        <v>0</v>
      </c>
      <c r="AV209" s="36">
        <v>0</v>
      </c>
      <c r="AW209" s="36">
        <v>0.40732878378771509</v>
      </c>
      <c r="AX209" s="36">
        <v>0.17647448414364728</v>
      </c>
      <c r="AY209" s="36">
        <v>0.21067166445540664</v>
      </c>
      <c r="AZ209" s="36">
        <v>1.7835099942552901</v>
      </c>
      <c r="BA209" s="36">
        <v>2.5779849266420589</v>
      </c>
      <c r="BB209" s="6"/>
      <c r="BC209" s="6"/>
      <c r="BD209" t="s">
        <v>1078</v>
      </c>
      <c r="BF209" s="5">
        <v>0.13923536</v>
      </c>
      <c r="BG209" s="5">
        <f t="shared" si="9"/>
        <v>-2.0426861647341199E-2</v>
      </c>
      <c r="BH209" s="2">
        <v>423.48725999999999</v>
      </c>
    </row>
    <row r="210" spans="1:60" x14ac:dyDescent="0.2">
      <c r="A210" t="str">
        <f t="shared" si="8"/>
        <v>Motorbike, electric, &gt;35kW - 2050 - LFP - CH</v>
      </c>
      <c r="B210" t="s">
        <v>495</v>
      </c>
      <c r="D210" s="19">
        <v>2050</v>
      </c>
      <c r="E210" t="s">
        <v>37</v>
      </c>
      <c r="F210" t="s">
        <v>140</v>
      </c>
      <c r="G210" t="s">
        <v>39</v>
      </c>
      <c r="H210" t="s">
        <v>32</v>
      </c>
      <c r="I210" t="s">
        <v>44</v>
      </c>
      <c r="J210" t="s">
        <v>140</v>
      </c>
      <c r="L210" s="26">
        <v>0</v>
      </c>
      <c r="M210" s="26">
        <v>0</v>
      </c>
      <c r="N210" s="26">
        <v>8.710249309141712E-3</v>
      </c>
      <c r="O210" s="26">
        <v>1.9936678541457739E-2</v>
      </c>
      <c r="P210" s="26">
        <v>6.0371109345718366E-3</v>
      </c>
      <c r="Q210" s="26">
        <v>0.21631706785528021</v>
      </c>
      <c r="R210" s="26">
        <v>0.2510011066404515</v>
      </c>
      <c r="S210" s="28">
        <v>0</v>
      </c>
      <c r="T210" s="28">
        <v>0</v>
      </c>
      <c r="U210" s="28">
        <v>9.2192268862119461E-4</v>
      </c>
      <c r="V210" s="28">
        <v>7.6499507538374024E-4</v>
      </c>
      <c r="W210" s="28">
        <v>4.0841645061069821E-4</v>
      </c>
      <c r="X210" s="28">
        <v>0.14135138537870459</v>
      </c>
      <c r="Y210" s="28">
        <v>0.14344671959332023</v>
      </c>
      <c r="Z210" s="30">
        <v>0</v>
      </c>
      <c r="AA210" s="30">
        <v>3.1271735442865911E-3</v>
      </c>
      <c r="AB210" s="30">
        <v>2.7017903449822622E-4</v>
      </c>
      <c r="AC210" s="30">
        <v>2.5011162396187633E-4</v>
      </c>
      <c r="AD210" s="30">
        <v>1.8297242171889569E-4</v>
      </c>
      <c r="AE210" s="30">
        <v>1.9587163637120739E-2</v>
      </c>
      <c r="AF210" s="30">
        <v>2.3417600261586329E-2</v>
      </c>
      <c r="AG210" s="32">
        <v>0</v>
      </c>
      <c r="AH210" s="32">
        <v>1.6491053126472278E-5</v>
      </c>
      <c r="AI210" s="32">
        <v>6.1733084103202476E-4</v>
      </c>
      <c r="AJ210" s="32">
        <v>6.0761919753922976E-4</v>
      </c>
      <c r="AK210" s="32">
        <v>2.2929937778118001E-4</v>
      </c>
      <c r="AL210" s="32">
        <v>6.3764916319348358E-2</v>
      </c>
      <c r="AM210" s="32">
        <v>6.523565678882727E-2</v>
      </c>
      <c r="AN210" s="34">
        <v>0</v>
      </c>
      <c r="AO210" s="34">
        <v>1.179775095002105E-5</v>
      </c>
      <c r="AP210" s="34">
        <v>7.7839370096780042E-7</v>
      </c>
      <c r="AQ210" s="34">
        <v>1.209192692382944E-6</v>
      </c>
      <c r="AR210" s="34">
        <v>9.2706348738178315E-7</v>
      </c>
      <c r="AS210" s="34">
        <v>3.6122450707167833E-5</v>
      </c>
      <c r="AT210" s="34">
        <v>5.0834851537921408E-5</v>
      </c>
      <c r="AU210" s="36">
        <v>0</v>
      </c>
      <c r="AV210" s="36">
        <v>0</v>
      </c>
      <c r="AW210" s="36">
        <v>0.40732878378771509</v>
      </c>
      <c r="AX210" s="36">
        <v>0.28588866431270848</v>
      </c>
      <c r="AY210" s="36">
        <v>0.20824043705710535</v>
      </c>
      <c r="AZ210" s="36">
        <v>2.9183852236892727</v>
      </c>
      <c r="BA210" s="36">
        <v>3.8198431088468014</v>
      </c>
      <c r="BB210" s="6"/>
      <c r="BC210" s="6"/>
      <c r="BD210" t="s">
        <v>1079</v>
      </c>
      <c r="BF210" s="5">
        <v>0.20685503</v>
      </c>
      <c r="BG210" s="5">
        <f t="shared" si="9"/>
        <v>-4.4146076640451504E-2</v>
      </c>
      <c r="BH210" s="2">
        <v>707.16159000000005</v>
      </c>
    </row>
    <row r="211" spans="1:60" x14ac:dyDescent="0.2">
      <c r="A211" t="str">
        <f t="shared" si="8"/>
        <v>Motorbike, electric, &lt;4kW - 2020 - NCA - CH</v>
      </c>
      <c r="B211" t="s">
        <v>492</v>
      </c>
      <c r="D211" s="19">
        <v>2020</v>
      </c>
      <c r="E211" t="s">
        <v>37</v>
      </c>
      <c r="F211" t="s">
        <v>140</v>
      </c>
      <c r="G211" t="s">
        <v>39</v>
      </c>
      <c r="H211" t="s">
        <v>32</v>
      </c>
      <c r="I211" t="s">
        <v>45</v>
      </c>
      <c r="J211" t="s">
        <v>140</v>
      </c>
      <c r="L211" s="26">
        <v>0</v>
      </c>
      <c r="M211" s="26">
        <v>0</v>
      </c>
      <c r="N211" s="26">
        <v>3.836250793656903E-3</v>
      </c>
      <c r="O211" s="26">
        <v>1.2306591692257861E-2</v>
      </c>
      <c r="P211" s="26">
        <v>4.425905066110937E-3</v>
      </c>
      <c r="Q211" s="26">
        <v>3.3902437426259507E-2</v>
      </c>
      <c r="R211" s="26">
        <v>5.4471184978285209E-2</v>
      </c>
      <c r="S211" s="28">
        <v>0</v>
      </c>
      <c r="T211" s="28">
        <v>0</v>
      </c>
      <c r="U211" s="28">
        <v>4.0604195360992079E-4</v>
      </c>
      <c r="V211" s="28">
        <v>4.722191823356421E-4</v>
      </c>
      <c r="W211" s="28">
        <v>3.0660815336363168E-4</v>
      </c>
      <c r="X211" s="28">
        <v>2.47414493231328E-2</v>
      </c>
      <c r="Y211" s="28">
        <v>2.5926318612441997E-2</v>
      </c>
      <c r="Z211" s="30">
        <v>0</v>
      </c>
      <c r="AA211" s="30">
        <v>3.1271735442865911E-3</v>
      </c>
      <c r="AB211" s="30">
        <v>1.1899481848762461E-4</v>
      </c>
      <c r="AC211" s="30">
        <v>1.5438989133449149E-4</v>
      </c>
      <c r="AD211" s="30">
        <v>1.3669384770059349E-4</v>
      </c>
      <c r="AE211" s="30">
        <v>2.475333254355087E-3</v>
      </c>
      <c r="AF211" s="30">
        <v>6.0125853561643879E-3</v>
      </c>
      <c r="AG211" s="32">
        <v>0</v>
      </c>
      <c r="AH211" s="32">
        <v>1.6491053126472278E-5</v>
      </c>
      <c r="AI211" s="32">
        <v>2.7189071687907281E-4</v>
      </c>
      <c r="AJ211" s="32">
        <v>3.7507357872791961E-4</v>
      </c>
      <c r="AK211" s="32">
        <v>1.8610876663351179E-4</v>
      </c>
      <c r="AL211" s="32">
        <v>8.5929110963679396E-3</v>
      </c>
      <c r="AM211" s="32">
        <v>9.4424752117349166E-3</v>
      </c>
      <c r="AN211" s="34">
        <v>0</v>
      </c>
      <c r="AO211" s="34">
        <v>1.179775095002105E-5</v>
      </c>
      <c r="AP211" s="34">
        <v>3.4282755259154613E-7</v>
      </c>
      <c r="AQ211" s="34">
        <v>7.4641524221169363E-7</v>
      </c>
      <c r="AR211" s="34">
        <v>7.5652476994150374E-7</v>
      </c>
      <c r="AS211" s="34">
        <v>7.2500144535867421E-6</v>
      </c>
      <c r="AT211" s="34">
        <v>2.0893532968352534E-5</v>
      </c>
      <c r="AU211" s="36">
        <v>0</v>
      </c>
      <c r="AV211" s="36">
        <v>0</v>
      </c>
      <c r="AW211" s="36">
        <v>0.17939961470963908</v>
      </c>
      <c r="AX211" s="36">
        <v>0.17647448414364728</v>
      </c>
      <c r="AY211" s="36">
        <v>0.15545838282707702</v>
      </c>
      <c r="AZ211" s="36">
        <v>0.47060080427472312</v>
      </c>
      <c r="BA211" s="36">
        <v>0.98193328595508644</v>
      </c>
      <c r="BB211" s="6"/>
      <c r="BC211" s="6"/>
      <c r="BD211" t="s">
        <v>898</v>
      </c>
      <c r="BF211" s="5">
        <v>5.7712445000000001E-2</v>
      </c>
      <c r="BG211" s="5">
        <f t="shared" si="9"/>
        <v>3.2412600217147924E-3</v>
      </c>
      <c r="BH211" s="2">
        <v>126.37596000000001</v>
      </c>
    </row>
    <row r="212" spans="1:60" x14ac:dyDescent="0.2">
      <c r="A212" t="str">
        <f t="shared" si="8"/>
        <v>Motorbike, electric, &lt;4kW - 2030 - NCA - CH</v>
      </c>
      <c r="B212" t="s">
        <v>492</v>
      </c>
      <c r="D212" s="19">
        <v>2030</v>
      </c>
      <c r="E212" t="s">
        <v>37</v>
      </c>
      <c r="F212" t="s">
        <v>140</v>
      </c>
      <c r="G212" t="s">
        <v>39</v>
      </c>
      <c r="H212" t="s">
        <v>32</v>
      </c>
      <c r="I212" t="s">
        <v>45</v>
      </c>
      <c r="J212" t="s">
        <v>140</v>
      </c>
      <c r="L212" s="26">
        <v>0</v>
      </c>
      <c r="M212" s="26">
        <v>0</v>
      </c>
      <c r="N212" s="26">
        <v>3.836250793656903E-3</v>
      </c>
      <c r="O212" s="26">
        <v>1.2306591692257861E-2</v>
      </c>
      <c r="P212" s="26">
        <v>4.4354770577290396E-3</v>
      </c>
      <c r="Q212" s="26">
        <v>3.6309068769588608E-2</v>
      </c>
      <c r="R212" s="26">
        <v>5.6887388313232409E-2</v>
      </c>
      <c r="S212" s="28">
        <v>0</v>
      </c>
      <c r="T212" s="28">
        <v>0</v>
      </c>
      <c r="U212" s="28">
        <v>4.0604195360992079E-4</v>
      </c>
      <c r="V212" s="28">
        <v>4.722191823356421E-4</v>
      </c>
      <c r="W212" s="28">
        <v>3.0721298492921762E-4</v>
      </c>
      <c r="X212" s="28">
        <v>2.5348429635311379E-2</v>
      </c>
      <c r="Y212" s="28">
        <v>2.653390375618616E-2</v>
      </c>
      <c r="Z212" s="30">
        <v>0</v>
      </c>
      <c r="AA212" s="30">
        <v>3.1271735442865911E-3</v>
      </c>
      <c r="AB212" s="30">
        <v>1.1899481848762461E-4</v>
      </c>
      <c r="AC212" s="30">
        <v>1.5438989133449149E-4</v>
      </c>
      <c r="AD212" s="30">
        <v>1.3696878346843811E-4</v>
      </c>
      <c r="AE212" s="30">
        <v>2.6271210559094798E-3</v>
      </c>
      <c r="AF212" s="30">
        <v>6.1646480934866247E-3</v>
      </c>
      <c r="AG212" s="32">
        <v>0</v>
      </c>
      <c r="AH212" s="32">
        <v>1.6491053126472278E-5</v>
      </c>
      <c r="AI212" s="32">
        <v>2.7189071687907281E-4</v>
      </c>
      <c r="AJ212" s="32">
        <v>3.7507357872791961E-4</v>
      </c>
      <c r="AK212" s="32">
        <v>1.863653571636104E-4</v>
      </c>
      <c r="AL212" s="32">
        <v>9.0822750147208746E-3</v>
      </c>
      <c r="AM212" s="32">
        <v>9.9320957206179492E-3</v>
      </c>
      <c r="AN212" s="34">
        <v>0</v>
      </c>
      <c r="AO212" s="34">
        <v>1.179775095002105E-5</v>
      </c>
      <c r="AP212" s="34">
        <v>3.4282755259154613E-7</v>
      </c>
      <c r="AQ212" s="34">
        <v>7.4641524221169363E-7</v>
      </c>
      <c r="AR212" s="34">
        <v>7.5753792115070333E-7</v>
      </c>
      <c r="AS212" s="34">
        <v>7.4121647405551788E-6</v>
      </c>
      <c r="AT212" s="34">
        <v>2.1056696406530173E-5</v>
      </c>
      <c r="AU212" s="36">
        <v>0</v>
      </c>
      <c r="AV212" s="36">
        <v>0</v>
      </c>
      <c r="AW212" s="36">
        <v>0.17939961470963908</v>
      </c>
      <c r="AX212" s="36">
        <v>0.17647448414364728</v>
      </c>
      <c r="AY212" s="36">
        <v>0.15577195503443175</v>
      </c>
      <c r="AZ212" s="36">
        <v>0.49726894951311434</v>
      </c>
      <c r="BA212" s="36">
        <v>1.0089150034008325</v>
      </c>
      <c r="BB212" s="6"/>
      <c r="BC212" s="6"/>
      <c r="BD212" t="s">
        <v>1080</v>
      </c>
      <c r="BF212" s="5">
        <v>5.8793456000000001E-2</v>
      </c>
      <c r="BG212" s="5">
        <f t="shared" si="9"/>
        <v>1.9060676867675916E-3</v>
      </c>
      <c r="BH212" s="2">
        <v>127.93600000000001</v>
      </c>
    </row>
    <row r="213" spans="1:60" x14ac:dyDescent="0.2">
      <c r="A213" t="str">
        <f t="shared" si="8"/>
        <v>Motorbike, electric, &lt;4kW - 2040 - NCA - CH</v>
      </c>
      <c r="B213" t="s">
        <v>492</v>
      </c>
      <c r="D213" s="19">
        <v>2040</v>
      </c>
      <c r="E213" t="s">
        <v>37</v>
      </c>
      <c r="F213" t="s">
        <v>140</v>
      </c>
      <c r="G213" t="s">
        <v>39</v>
      </c>
      <c r="H213" t="s">
        <v>32</v>
      </c>
      <c r="I213" t="s">
        <v>45</v>
      </c>
      <c r="J213" t="s">
        <v>140</v>
      </c>
      <c r="L213" s="26">
        <v>0</v>
      </c>
      <c r="M213" s="26">
        <v>0</v>
      </c>
      <c r="N213" s="26">
        <v>3.836250793656903E-3</v>
      </c>
      <c r="O213" s="26">
        <v>1.2306591692257861E-2</v>
      </c>
      <c r="P213" s="26">
        <v>4.434103834174483E-3</v>
      </c>
      <c r="Q213" s="26">
        <v>3.6426180899513397E-2</v>
      </c>
      <c r="R213" s="26">
        <v>5.7003127219602642E-2</v>
      </c>
      <c r="S213" s="28">
        <v>0</v>
      </c>
      <c r="T213" s="28">
        <v>0</v>
      </c>
      <c r="U213" s="28">
        <v>4.0604195360992079E-4</v>
      </c>
      <c r="V213" s="28">
        <v>4.722191823356421E-4</v>
      </c>
      <c r="W213" s="28">
        <v>3.0712621417287557E-4</v>
      </c>
      <c r="X213" s="28">
        <v>2.436109907006942E-2</v>
      </c>
      <c r="Y213" s="28">
        <v>2.5546486420187857E-2</v>
      </c>
      <c r="Z213" s="30">
        <v>0</v>
      </c>
      <c r="AA213" s="30">
        <v>3.1271735442865911E-3</v>
      </c>
      <c r="AB213" s="30">
        <v>1.1899481848762461E-4</v>
      </c>
      <c r="AC213" s="30">
        <v>1.5438989133449149E-4</v>
      </c>
      <c r="AD213" s="30">
        <v>1.3692934044681231E-4</v>
      </c>
      <c r="AE213" s="30">
        <v>2.5549809065749198E-3</v>
      </c>
      <c r="AF213" s="30">
        <v>6.0924685011304394E-3</v>
      </c>
      <c r="AG213" s="32">
        <v>0</v>
      </c>
      <c r="AH213" s="32">
        <v>1.6491053126472278E-5</v>
      </c>
      <c r="AI213" s="32">
        <v>2.7189071687907281E-4</v>
      </c>
      <c r="AJ213" s="32">
        <v>3.7507357872791961E-4</v>
      </c>
      <c r="AK213" s="32">
        <v>1.8632854599892639E-4</v>
      </c>
      <c r="AL213" s="32">
        <v>8.8871934464291071E-3</v>
      </c>
      <c r="AM213" s="32">
        <v>9.7369773411614974E-3</v>
      </c>
      <c r="AN213" s="34">
        <v>0</v>
      </c>
      <c r="AO213" s="34">
        <v>1.179775095002105E-5</v>
      </c>
      <c r="AP213" s="34">
        <v>3.4282755259154613E-7</v>
      </c>
      <c r="AQ213" s="34">
        <v>7.4641524221169363E-7</v>
      </c>
      <c r="AR213" s="34">
        <v>7.5739257176467052E-7</v>
      </c>
      <c r="AS213" s="34">
        <v>7.1665713461865727E-6</v>
      </c>
      <c r="AT213" s="34">
        <v>2.0810957662775533E-5</v>
      </c>
      <c r="AU213" s="36">
        <v>0</v>
      </c>
      <c r="AV213" s="36">
        <v>0</v>
      </c>
      <c r="AW213" s="36">
        <v>0.17939961470963908</v>
      </c>
      <c r="AX213" s="36">
        <v>0.17647448414364728</v>
      </c>
      <c r="AY213" s="36">
        <v>0.15572696912571241</v>
      </c>
      <c r="AZ213" s="36">
        <v>0.4937996919474914</v>
      </c>
      <c r="BA213" s="36">
        <v>1.00540075992649</v>
      </c>
      <c r="BB213" s="6"/>
      <c r="BC213" s="6"/>
      <c r="BD213" t="s">
        <v>1081</v>
      </c>
      <c r="BF213" s="5">
        <v>5.8287747000000001E-2</v>
      </c>
      <c r="BG213" s="5">
        <f t="shared" si="9"/>
        <v>1.2846197803973586E-3</v>
      </c>
      <c r="BH213" s="2">
        <v>122.69869</v>
      </c>
    </row>
    <row r="214" spans="1:60" x14ac:dyDescent="0.2">
      <c r="A214" t="str">
        <f t="shared" si="8"/>
        <v>Motorbike, electric, &lt;4kW - 2050 - NCA - CH</v>
      </c>
      <c r="B214" t="s">
        <v>492</v>
      </c>
      <c r="D214" s="19">
        <v>2050</v>
      </c>
      <c r="E214" t="s">
        <v>37</v>
      </c>
      <c r="F214" t="s">
        <v>140</v>
      </c>
      <c r="G214" t="s">
        <v>39</v>
      </c>
      <c r="H214" t="s">
        <v>32</v>
      </c>
      <c r="I214" t="s">
        <v>45</v>
      </c>
      <c r="J214" t="s">
        <v>140</v>
      </c>
      <c r="L214" s="26">
        <v>0</v>
      </c>
      <c r="M214" s="26">
        <v>0</v>
      </c>
      <c r="N214" s="26">
        <v>3.836250793656903E-3</v>
      </c>
      <c r="O214" s="26">
        <v>1.2306591692257861E-2</v>
      </c>
      <c r="P214" s="26">
        <v>4.433716903780657E-3</v>
      </c>
      <c r="Q214" s="26">
        <v>3.6461117411092113E-2</v>
      </c>
      <c r="R214" s="26">
        <v>5.7037676800787536E-2</v>
      </c>
      <c r="S214" s="28">
        <v>0</v>
      </c>
      <c r="T214" s="28">
        <v>0</v>
      </c>
      <c r="U214" s="28">
        <v>4.0604195360992079E-4</v>
      </c>
      <c r="V214" s="28">
        <v>4.722191823356421E-4</v>
      </c>
      <c r="W214" s="28">
        <v>3.0710176495423781E-4</v>
      </c>
      <c r="X214" s="28">
        <v>2.3293633872741179E-2</v>
      </c>
      <c r="Y214" s="28">
        <v>2.4478996773640981E-2</v>
      </c>
      <c r="Z214" s="30">
        <v>0</v>
      </c>
      <c r="AA214" s="30">
        <v>3.1271735442865911E-3</v>
      </c>
      <c r="AB214" s="30">
        <v>1.1899481848762461E-4</v>
      </c>
      <c r="AC214" s="30">
        <v>1.5438989133449149E-4</v>
      </c>
      <c r="AD214" s="30">
        <v>1.3691822666723821E-4</v>
      </c>
      <c r="AE214" s="30">
        <v>2.473099587364041E-3</v>
      </c>
      <c r="AF214" s="30">
        <v>6.0105760681399868E-3</v>
      </c>
      <c r="AG214" s="32">
        <v>0</v>
      </c>
      <c r="AH214" s="32">
        <v>1.6491053126472278E-5</v>
      </c>
      <c r="AI214" s="32">
        <v>2.7189071687907281E-4</v>
      </c>
      <c r="AJ214" s="32">
        <v>3.7507357872791961E-4</v>
      </c>
      <c r="AK214" s="32">
        <v>1.8631817379230269E-4</v>
      </c>
      <c r="AL214" s="32">
        <v>8.6620954539759192E-3</v>
      </c>
      <c r="AM214" s="32">
        <v>9.5118689765016865E-3</v>
      </c>
      <c r="AN214" s="34">
        <v>0</v>
      </c>
      <c r="AO214" s="34">
        <v>1.179775095002105E-5</v>
      </c>
      <c r="AP214" s="34">
        <v>3.4282755259154613E-7</v>
      </c>
      <c r="AQ214" s="34">
        <v>7.4641524221169363E-7</v>
      </c>
      <c r="AR214" s="34">
        <v>7.5735161696529122E-7</v>
      </c>
      <c r="AS214" s="34">
        <v>6.9015097879473733E-6</v>
      </c>
      <c r="AT214" s="34">
        <v>2.0545855149736956E-5</v>
      </c>
      <c r="AU214" s="36">
        <v>0</v>
      </c>
      <c r="AV214" s="36">
        <v>0</v>
      </c>
      <c r="AW214" s="36">
        <v>0.17939961470963908</v>
      </c>
      <c r="AX214" s="36">
        <v>0.17647448414364728</v>
      </c>
      <c r="AY214" s="36">
        <v>0.15571429353817273</v>
      </c>
      <c r="AZ214" s="36">
        <v>0.48915861261981258</v>
      </c>
      <c r="BA214" s="36">
        <v>1.0007470050112717</v>
      </c>
      <c r="BB214" s="6"/>
      <c r="BC214" s="6"/>
      <c r="BD214" t="s">
        <v>1082</v>
      </c>
      <c r="BF214" s="5">
        <v>5.7721350999999997E-2</v>
      </c>
      <c r="BG214" s="5">
        <f t="shared" si="9"/>
        <v>6.836741992124612E-4</v>
      </c>
      <c r="BH214" s="2">
        <v>117.12768</v>
      </c>
    </row>
    <row r="215" spans="1:60" x14ac:dyDescent="0.2">
      <c r="A215" t="str">
        <f t="shared" si="8"/>
        <v>Motorbike, electric, 4-11kW - 2020 - NCA - CH</v>
      </c>
      <c r="B215" t="s">
        <v>493</v>
      </c>
      <c r="D215" s="19">
        <v>2020</v>
      </c>
      <c r="E215" t="s">
        <v>37</v>
      </c>
      <c r="F215" t="s">
        <v>140</v>
      </c>
      <c r="G215" t="s">
        <v>39</v>
      </c>
      <c r="H215" t="s">
        <v>32</v>
      </c>
      <c r="I215" t="s">
        <v>45</v>
      </c>
      <c r="J215" t="s">
        <v>140</v>
      </c>
      <c r="L215" s="26">
        <v>0</v>
      </c>
      <c r="M215" s="26">
        <v>0</v>
      </c>
      <c r="N215" s="26">
        <v>5.7702284664922004E-3</v>
      </c>
      <c r="O215" s="26">
        <v>1.2306591692257861E-2</v>
      </c>
      <c r="P215" s="26">
        <v>4.5508663683950347E-3</v>
      </c>
      <c r="Q215" s="26">
        <v>4.8553261164789127E-2</v>
      </c>
      <c r="R215" s="26">
        <v>7.1180947691934227E-2</v>
      </c>
      <c r="S215" s="28">
        <v>0</v>
      </c>
      <c r="T215" s="28">
        <v>0</v>
      </c>
      <c r="U215" s="28">
        <v>6.1074078972731883E-4</v>
      </c>
      <c r="V215" s="28">
        <v>4.722191823356421E-4</v>
      </c>
      <c r="W215" s="28">
        <v>3.1450416321336791E-4</v>
      </c>
      <c r="X215" s="28">
        <v>3.6431725005103548E-2</v>
      </c>
      <c r="Y215" s="28">
        <v>3.7829189140379874E-2</v>
      </c>
      <c r="Z215" s="30">
        <v>0</v>
      </c>
      <c r="AA215" s="30">
        <v>3.1271735442865911E-3</v>
      </c>
      <c r="AB215" s="30">
        <v>1.789839418574189E-4</v>
      </c>
      <c r="AC215" s="30">
        <v>1.5438989133449149E-4</v>
      </c>
      <c r="AD215" s="30">
        <v>1.402831040398236E-4</v>
      </c>
      <c r="AE215" s="30">
        <v>3.6952673073236482E-3</v>
      </c>
      <c r="AF215" s="30">
        <v>7.296097788841974E-3</v>
      </c>
      <c r="AG215" s="32">
        <v>0</v>
      </c>
      <c r="AH215" s="32">
        <v>1.6491053126472278E-5</v>
      </c>
      <c r="AI215" s="32">
        <v>4.0895959067761362E-4</v>
      </c>
      <c r="AJ215" s="32">
        <v>3.7507357872791961E-4</v>
      </c>
      <c r="AK215" s="32">
        <v>1.8945852790307221E-4</v>
      </c>
      <c r="AL215" s="32">
        <v>1.2809763384019179E-2</v>
      </c>
      <c r="AM215" s="32">
        <v>1.3799746134454257E-2</v>
      </c>
      <c r="AN215" s="34">
        <v>0</v>
      </c>
      <c r="AO215" s="34">
        <v>1.179775095002105E-5</v>
      </c>
      <c r="AP215" s="34">
        <v>5.1565797166662308E-7</v>
      </c>
      <c r="AQ215" s="34">
        <v>7.4641524221169363E-7</v>
      </c>
      <c r="AR215" s="34">
        <v>7.6975134802091085E-7</v>
      </c>
      <c r="AS215" s="34">
        <v>1.0363650731582819E-5</v>
      </c>
      <c r="AT215" s="34">
        <v>2.4193226243503096E-5</v>
      </c>
      <c r="AU215" s="36">
        <v>0</v>
      </c>
      <c r="AV215" s="36">
        <v>0</v>
      </c>
      <c r="AW215" s="36">
        <v>0.2698407427863993</v>
      </c>
      <c r="AX215" s="36">
        <v>0.17647448414364728</v>
      </c>
      <c r="AY215" s="36">
        <v>0.15955203365278733</v>
      </c>
      <c r="AZ215" s="36">
        <v>0.67437606148485696</v>
      </c>
      <c r="BA215" s="36">
        <v>1.2802433220676908</v>
      </c>
      <c r="BB215" s="6"/>
      <c r="BC215" s="6"/>
      <c r="BD215" t="s">
        <v>914</v>
      </c>
      <c r="BF215" s="5">
        <v>7.3185236000000001E-2</v>
      </c>
      <c r="BG215" s="5">
        <f t="shared" si="9"/>
        <v>2.0042883080657742E-3</v>
      </c>
      <c r="BH215" s="2">
        <v>171.11628999999999</v>
      </c>
    </row>
    <row r="216" spans="1:60" x14ac:dyDescent="0.2">
      <c r="A216" t="str">
        <f t="shared" si="8"/>
        <v>Motorbike, electric, 4-11kW - 2030 - NCA - CH</v>
      </c>
      <c r="B216" t="s">
        <v>493</v>
      </c>
      <c r="D216" s="19">
        <v>2030</v>
      </c>
      <c r="E216" t="s">
        <v>37</v>
      </c>
      <c r="F216" t="s">
        <v>140</v>
      </c>
      <c r="G216" t="s">
        <v>39</v>
      </c>
      <c r="H216" t="s">
        <v>32</v>
      </c>
      <c r="I216" t="s">
        <v>45</v>
      </c>
      <c r="J216" t="s">
        <v>140</v>
      </c>
      <c r="L216" s="26">
        <v>0</v>
      </c>
      <c r="M216" s="26">
        <v>0</v>
      </c>
      <c r="N216" s="26">
        <v>5.7702284664922004E-3</v>
      </c>
      <c r="O216" s="26">
        <v>1.2306591692257861E-2</v>
      </c>
      <c r="P216" s="26">
        <v>4.5659445792955522E-3</v>
      </c>
      <c r="Q216" s="26">
        <v>5.1094737487802327E-2</v>
      </c>
      <c r="R216" s="26">
        <v>7.3737502225847934E-2</v>
      </c>
      <c r="S216" s="28">
        <v>0</v>
      </c>
      <c r="T216" s="28">
        <v>0</v>
      </c>
      <c r="U216" s="28">
        <v>6.1074078972731883E-4</v>
      </c>
      <c r="V216" s="28">
        <v>4.722191823356421E-4</v>
      </c>
      <c r="W216" s="28">
        <v>3.1545691978368762E-4</v>
      </c>
      <c r="X216" s="28">
        <v>3.6766350851257339E-2</v>
      </c>
      <c r="Y216" s="28">
        <v>3.816476774310399E-2</v>
      </c>
      <c r="Z216" s="30">
        <v>0</v>
      </c>
      <c r="AA216" s="30">
        <v>3.1271735442865911E-3</v>
      </c>
      <c r="AB216" s="30">
        <v>1.789839418574189E-4</v>
      </c>
      <c r="AC216" s="30">
        <v>1.5438989133449149E-4</v>
      </c>
      <c r="AD216" s="30">
        <v>1.4071619462922781E-4</v>
      </c>
      <c r="AE216" s="30">
        <v>3.831941856794318E-3</v>
      </c>
      <c r="AF216" s="30">
        <v>7.4332054289020476E-3</v>
      </c>
      <c r="AG216" s="32">
        <v>0</v>
      </c>
      <c r="AH216" s="32">
        <v>1.6491053126472278E-5</v>
      </c>
      <c r="AI216" s="32">
        <v>4.0895959067761362E-4</v>
      </c>
      <c r="AJ216" s="32">
        <v>3.7507357872791961E-4</v>
      </c>
      <c r="AK216" s="32">
        <v>1.8986272028875961E-4</v>
      </c>
      <c r="AL216" s="32">
        <v>1.325858238507989E-2</v>
      </c>
      <c r="AM216" s="32">
        <v>1.4248969327900655E-2</v>
      </c>
      <c r="AN216" s="34">
        <v>0</v>
      </c>
      <c r="AO216" s="34">
        <v>1.179775095002105E-5</v>
      </c>
      <c r="AP216" s="34">
        <v>5.1565797166662308E-7</v>
      </c>
      <c r="AQ216" s="34">
        <v>7.4641524221169363E-7</v>
      </c>
      <c r="AR216" s="34">
        <v>7.713473071708888E-7</v>
      </c>
      <c r="AS216" s="34">
        <v>1.04619302838531E-5</v>
      </c>
      <c r="AT216" s="34">
        <v>2.4293101754923355E-5</v>
      </c>
      <c r="AU216" s="36">
        <v>0</v>
      </c>
      <c r="AV216" s="36">
        <v>0</v>
      </c>
      <c r="AW216" s="36">
        <v>0.2698407427863993</v>
      </c>
      <c r="AX216" s="36">
        <v>0.17647448414364728</v>
      </c>
      <c r="AY216" s="36">
        <v>0.16004598601543801</v>
      </c>
      <c r="AZ216" s="36">
        <v>0.70116942273056115</v>
      </c>
      <c r="BA216" s="36">
        <v>1.3075306356760457</v>
      </c>
      <c r="BB216" s="6"/>
      <c r="BC216" s="6"/>
      <c r="BD216" t="s">
        <v>1083</v>
      </c>
      <c r="BF216" s="5">
        <v>7.417971000000001E-2</v>
      </c>
      <c r="BG216" s="5">
        <f t="shared" si="9"/>
        <v>4.4220777415207579E-4</v>
      </c>
      <c r="BH216" s="2">
        <v>171.21178</v>
      </c>
    </row>
    <row r="217" spans="1:60" x14ac:dyDescent="0.2">
      <c r="A217" t="str">
        <f t="shared" si="8"/>
        <v>Motorbike, electric, 4-11kW - 2040 - NCA - CH</v>
      </c>
      <c r="B217" t="s">
        <v>493</v>
      </c>
      <c r="D217" s="19">
        <v>2040</v>
      </c>
      <c r="E217" t="s">
        <v>37</v>
      </c>
      <c r="F217" t="s">
        <v>140</v>
      </c>
      <c r="G217" t="s">
        <v>39</v>
      </c>
      <c r="H217" t="s">
        <v>32</v>
      </c>
      <c r="I217" t="s">
        <v>45</v>
      </c>
      <c r="J217" t="s">
        <v>140</v>
      </c>
      <c r="L217" s="26">
        <v>0</v>
      </c>
      <c r="M217" s="26">
        <v>0</v>
      </c>
      <c r="N217" s="26">
        <v>5.7702284664922004E-3</v>
      </c>
      <c r="O217" s="26">
        <v>1.2306591692257861E-2</v>
      </c>
      <c r="P217" s="26">
        <v>4.5649187894673806E-3</v>
      </c>
      <c r="Q217" s="26">
        <v>5.074490019026609E-2</v>
      </c>
      <c r="R217" s="26">
        <v>7.3386639138483534E-2</v>
      </c>
      <c r="S217" s="28">
        <v>0</v>
      </c>
      <c r="T217" s="28">
        <v>0</v>
      </c>
      <c r="U217" s="28">
        <v>6.1074078972731883E-4</v>
      </c>
      <c r="V217" s="28">
        <v>4.722191823356421E-4</v>
      </c>
      <c r="W217" s="28">
        <v>3.1539210254475888E-4</v>
      </c>
      <c r="X217" s="28">
        <v>3.5077251963654868E-2</v>
      </c>
      <c r="Y217" s="28">
        <v>3.6475604038262589E-2</v>
      </c>
      <c r="Z217" s="30">
        <v>0</v>
      </c>
      <c r="AA217" s="30">
        <v>3.1271735442865911E-3</v>
      </c>
      <c r="AB217" s="30">
        <v>1.789839418574189E-4</v>
      </c>
      <c r="AC217" s="30">
        <v>1.5438989133449149E-4</v>
      </c>
      <c r="AD217" s="30">
        <v>1.4068673092665601E-4</v>
      </c>
      <c r="AE217" s="30">
        <v>3.684879772258432E-3</v>
      </c>
      <c r="AF217" s="30">
        <v>7.2861138806635892E-3</v>
      </c>
      <c r="AG217" s="32">
        <v>0</v>
      </c>
      <c r="AH217" s="32">
        <v>1.6491053126472278E-5</v>
      </c>
      <c r="AI217" s="32">
        <v>4.0895959067761362E-4</v>
      </c>
      <c r="AJ217" s="32">
        <v>3.7507357872791961E-4</v>
      </c>
      <c r="AK217" s="32">
        <v>1.8983522256767069E-4</v>
      </c>
      <c r="AL217" s="32">
        <v>1.284164798792508E-2</v>
      </c>
      <c r="AM217" s="32">
        <v>1.3832007433024755E-2</v>
      </c>
      <c r="AN217" s="34">
        <v>0</v>
      </c>
      <c r="AO217" s="34">
        <v>1.179775095002105E-5</v>
      </c>
      <c r="AP217" s="34">
        <v>5.1565797166662308E-7</v>
      </c>
      <c r="AQ217" s="34">
        <v>7.4641524221169363E-7</v>
      </c>
      <c r="AR217" s="34">
        <v>7.7123873204397056E-7</v>
      </c>
      <c r="AS217" s="34">
        <v>1.0041312134937471E-5</v>
      </c>
      <c r="AT217" s="34">
        <v>2.3872375030880806E-5</v>
      </c>
      <c r="AU217" s="36">
        <v>0</v>
      </c>
      <c r="AV217" s="36">
        <v>0</v>
      </c>
      <c r="AW217" s="36">
        <v>0.2698407427863993</v>
      </c>
      <c r="AX217" s="36">
        <v>0.17647448414364728</v>
      </c>
      <c r="AY217" s="36">
        <v>0.16001238180917302</v>
      </c>
      <c r="AZ217" s="36">
        <v>0.68982777645569626</v>
      </c>
      <c r="BA217" s="36">
        <v>1.2961553851949157</v>
      </c>
      <c r="BB217" s="6"/>
      <c r="BC217" s="6"/>
      <c r="BD217" t="s">
        <v>1084</v>
      </c>
      <c r="BF217" s="5">
        <v>7.3162528000000004E-2</v>
      </c>
      <c r="BG217" s="5">
        <f t="shared" si="9"/>
        <v>-2.2411113848352926E-4</v>
      </c>
      <c r="BH217" s="2">
        <v>162.68235000000001</v>
      </c>
    </row>
    <row r="218" spans="1:60" x14ac:dyDescent="0.2">
      <c r="A218" t="str">
        <f t="shared" si="8"/>
        <v>Motorbike, electric, 4-11kW - 2050 - NCA - CH</v>
      </c>
      <c r="B218" t="s">
        <v>493</v>
      </c>
      <c r="D218" s="19">
        <v>2050</v>
      </c>
      <c r="E218" t="s">
        <v>37</v>
      </c>
      <c r="F218" t="s">
        <v>140</v>
      </c>
      <c r="G218" t="s">
        <v>39</v>
      </c>
      <c r="H218" t="s">
        <v>32</v>
      </c>
      <c r="I218" t="s">
        <v>45</v>
      </c>
      <c r="J218" t="s">
        <v>140</v>
      </c>
      <c r="L218" s="26">
        <v>0</v>
      </c>
      <c r="M218" s="26">
        <v>0</v>
      </c>
      <c r="N218" s="26">
        <v>5.7702284664922004E-3</v>
      </c>
      <c r="O218" s="26">
        <v>1.2306591692257861E-2</v>
      </c>
      <c r="P218" s="26">
        <v>4.5678381722821411E-3</v>
      </c>
      <c r="Q218" s="26">
        <v>5.0573962850989043E-2</v>
      </c>
      <c r="R218" s="26">
        <v>7.3218621182021243E-2</v>
      </c>
      <c r="S218" s="28">
        <v>0</v>
      </c>
      <c r="T218" s="28">
        <v>0</v>
      </c>
      <c r="U218" s="28">
        <v>6.1074078972731883E-4</v>
      </c>
      <c r="V218" s="28">
        <v>4.722191823356421E-4</v>
      </c>
      <c r="W218" s="28">
        <v>3.1557657145664722E-4</v>
      </c>
      <c r="X218" s="28">
        <v>3.3548717791256621E-2</v>
      </c>
      <c r="Y218" s="28">
        <v>3.4947254334776232E-2</v>
      </c>
      <c r="Z218" s="30">
        <v>0</v>
      </c>
      <c r="AA218" s="30">
        <v>3.1271735442865911E-3</v>
      </c>
      <c r="AB218" s="30">
        <v>1.789839418574189E-4</v>
      </c>
      <c r="AC218" s="30">
        <v>1.5438989133449149E-4</v>
      </c>
      <c r="AD218" s="30">
        <v>1.4077058419229089E-4</v>
      </c>
      <c r="AE218" s="30">
        <v>3.5583168130120541E-3</v>
      </c>
      <c r="AF218" s="30">
        <v>7.1596347746828472E-3</v>
      </c>
      <c r="AG218" s="32">
        <v>0</v>
      </c>
      <c r="AH218" s="32">
        <v>1.6491053126472278E-5</v>
      </c>
      <c r="AI218" s="32">
        <v>4.0895959067761362E-4</v>
      </c>
      <c r="AJ218" s="32">
        <v>3.7507357872791961E-4</v>
      </c>
      <c r="AK218" s="32">
        <v>1.899134806788231E-4</v>
      </c>
      <c r="AL218" s="32">
        <v>1.248483860956842E-2</v>
      </c>
      <c r="AM218" s="32">
        <v>1.3475276312779248E-2</v>
      </c>
      <c r="AN218" s="34">
        <v>0</v>
      </c>
      <c r="AO218" s="34">
        <v>1.179775095002105E-5</v>
      </c>
      <c r="AP218" s="34">
        <v>5.1565797166662308E-7</v>
      </c>
      <c r="AQ218" s="34">
        <v>7.4641524221169363E-7</v>
      </c>
      <c r="AR218" s="34">
        <v>7.7154773526366578E-7</v>
      </c>
      <c r="AS218" s="34">
        <v>9.6633949398180357E-6</v>
      </c>
      <c r="AT218" s="34">
        <v>2.349476683898107E-5</v>
      </c>
      <c r="AU218" s="36">
        <v>0</v>
      </c>
      <c r="AV218" s="36">
        <v>0</v>
      </c>
      <c r="AW218" s="36">
        <v>0.2698407427863993</v>
      </c>
      <c r="AX218" s="36">
        <v>0.17647448414364728</v>
      </c>
      <c r="AY218" s="36">
        <v>0.16010801888762657</v>
      </c>
      <c r="AZ218" s="36">
        <v>0.68104652589301906</v>
      </c>
      <c r="BA218" s="36">
        <v>1.2874697717106922</v>
      </c>
      <c r="BB218" s="6"/>
      <c r="BC218" s="6"/>
      <c r="BD218" t="s">
        <v>1085</v>
      </c>
      <c r="BF218" s="5">
        <v>7.2295390000000001E-2</v>
      </c>
      <c r="BG218" s="5">
        <f t="shared" si="9"/>
        <v>-9.2323118202124188E-4</v>
      </c>
      <c r="BH218" s="2">
        <v>154.87563</v>
      </c>
    </row>
    <row r="219" spans="1:60" x14ac:dyDescent="0.2">
      <c r="A219" t="str">
        <f t="shared" si="8"/>
        <v>Motorbike, electric, 11-35kW - 2020 - NCA - CH</v>
      </c>
      <c r="B219" t="s">
        <v>494</v>
      </c>
      <c r="D219" s="19">
        <v>2020</v>
      </c>
      <c r="E219" t="s">
        <v>37</v>
      </c>
      <c r="F219" t="s">
        <v>140</v>
      </c>
      <c r="G219" t="s">
        <v>39</v>
      </c>
      <c r="H219" t="s">
        <v>32</v>
      </c>
      <c r="I219" t="s">
        <v>45</v>
      </c>
      <c r="J219" t="s">
        <v>140</v>
      </c>
      <c r="L219" s="26">
        <v>0</v>
      </c>
      <c r="M219" s="26">
        <v>0</v>
      </c>
      <c r="N219" s="26">
        <v>7.8106002476236447E-3</v>
      </c>
      <c r="O219" s="26">
        <v>1.2306591692257861E-2</v>
      </c>
      <c r="P219" s="26">
        <v>4.8065020724162829E-3</v>
      </c>
      <c r="Q219" s="26">
        <v>5.790342132339036E-2</v>
      </c>
      <c r="R219" s="26">
        <v>8.2827115335688151E-2</v>
      </c>
      <c r="S219" s="28">
        <v>0</v>
      </c>
      <c r="T219" s="28">
        <v>0</v>
      </c>
      <c r="U219" s="28">
        <v>8.2670074351110705E-4</v>
      </c>
      <c r="V219" s="28">
        <v>4.722191823356421E-4</v>
      </c>
      <c r="W219" s="28">
        <v>3.3065718018743061E-4</v>
      </c>
      <c r="X219" s="28">
        <v>4.6536415758903452E-2</v>
      </c>
      <c r="Y219" s="28">
        <v>4.8165992864937633E-2</v>
      </c>
      <c r="Z219" s="30">
        <v>0</v>
      </c>
      <c r="AA219" s="30">
        <v>3.1271735442865911E-3</v>
      </c>
      <c r="AB219" s="30">
        <v>2.422732529067532E-4</v>
      </c>
      <c r="AC219" s="30">
        <v>1.5438989133449149E-4</v>
      </c>
      <c r="AD219" s="30">
        <v>1.4762571374715369E-4</v>
      </c>
      <c r="AE219" s="30">
        <v>5.0919164744505554E-3</v>
      </c>
      <c r="AF219" s="30">
        <v>8.7633788767255451E-3</v>
      </c>
      <c r="AG219" s="32">
        <v>0</v>
      </c>
      <c r="AH219" s="32">
        <v>1.6491053126472278E-5</v>
      </c>
      <c r="AI219" s="32">
        <v>5.5356904822114297E-4</v>
      </c>
      <c r="AJ219" s="32">
        <v>3.7507357872791961E-4</v>
      </c>
      <c r="AK219" s="32">
        <v>1.9631119800809669E-4</v>
      </c>
      <c r="AL219" s="32">
        <v>1.6826115035017911E-2</v>
      </c>
      <c r="AM219" s="32">
        <v>1.7967559913101543E-2</v>
      </c>
      <c r="AN219" s="34">
        <v>0</v>
      </c>
      <c r="AO219" s="34">
        <v>1.179775095002105E-5</v>
      </c>
      <c r="AP219" s="34">
        <v>6.9799632797501057E-7</v>
      </c>
      <c r="AQ219" s="34">
        <v>7.4641524221169363E-7</v>
      </c>
      <c r="AR219" s="34">
        <v>7.9680920943335179E-7</v>
      </c>
      <c r="AS219" s="34">
        <v>1.2751348205433231E-5</v>
      </c>
      <c r="AT219" s="34">
        <v>2.6790319935074336E-5</v>
      </c>
      <c r="AU219" s="36">
        <v>0</v>
      </c>
      <c r="AV219" s="36">
        <v>0</v>
      </c>
      <c r="AW219" s="36">
        <v>0.36525731774146686</v>
      </c>
      <c r="AX219" s="36">
        <v>0.17647448414364728</v>
      </c>
      <c r="AY219" s="36">
        <v>0.16792649271907048</v>
      </c>
      <c r="AZ219" s="36">
        <v>0.8104342597733819</v>
      </c>
      <c r="BA219" s="36">
        <v>1.5200925543775665</v>
      </c>
      <c r="BB219" s="6"/>
      <c r="BC219" s="6"/>
      <c r="BD219" t="s">
        <v>1086</v>
      </c>
      <c r="BF219" s="5">
        <v>8.3109875E-2</v>
      </c>
      <c r="BG219" s="5">
        <f t="shared" si="9"/>
        <v>2.8275966431184907E-4</v>
      </c>
      <c r="BH219" s="2">
        <v>228.76056</v>
      </c>
    </row>
    <row r="220" spans="1:60" x14ac:dyDescent="0.2">
      <c r="A220" t="str">
        <f t="shared" si="8"/>
        <v>Motorbike, electric, 11-35kW - 2030 - NCA - CH</v>
      </c>
      <c r="B220" t="s">
        <v>494</v>
      </c>
      <c r="D220" s="19">
        <v>2030</v>
      </c>
      <c r="E220" t="s">
        <v>37</v>
      </c>
      <c r="F220" t="s">
        <v>140</v>
      </c>
      <c r="G220" t="s">
        <v>39</v>
      </c>
      <c r="H220" t="s">
        <v>32</v>
      </c>
      <c r="I220" t="s">
        <v>45</v>
      </c>
      <c r="J220" t="s">
        <v>140</v>
      </c>
      <c r="L220" s="26">
        <v>0</v>
      </c>
      <c r="M220" s="26">
        <v>0</v>
      </c>
      <c r="N220" s="26">
        <v>7.8106002476236447E-3</v>
      </c>
      <c r="O220" s="26">
        <v>1.2306591692257861E-2</v>
      </c>
      <c r="P220" s="26">
        <v>4.8395234313287488E-3</v>
      </c>
      <c r="Q220" s="26">
        <v>5.7259540538852488E-2</v>
      </c>
      <c r="R220" s="26">
        <v>8.2216255910062735E-2</v>
      </c>
      <c r="S220" s="28">
        <v>0</v>
      </c>
      <c r="T220" s="28">
        <v>0</v>
      </c>
      <c r="U220" s="28">
        <v>8.2670074351110705E-4</v>
      </c>
      <c r="V220" s="28">
        <v>4.722191823356421E-4</v>
      </c>
      <c r="W220" s="28">
        <v>3.3274372194442772E-4</v>
      </c>
      <c r="X220" s="28">
        <v>4.4237614187522832E-2</v>
      </c>
      <c r="Y220" s="28">
        <v>4.5869277835314012E-2</v>
      </c>
      <c r="Z220" s="30">
        <v>0</v>
      </c>
      <c r="AA220" s="30">
        <v>3.1271735442865911E-3</v>
      </c>
      <c r="AB220" s="30">
        <v>2.422732529067532E-4</v>
      </c>
      <c r="AC220" s="30">
        <v>1.5438989133449149E-4</v>
      </c>
      <c r="AD220" s="30">
        <v>1.4857418435077391E-4</v>
      </c>
      <c r="AE220" s="30">
        <v>4.8859484923827476E-3</v>
      </c>
      <c r="AF220" s="30">
        <v>8.5583593652613574E-3</v>
      </c>
      <c r="AG220" s="32">
        <v>0</v>
      </c>
      <c r="AH220" s="32">
        <v>1.6491053126472278E-5</v>
      </c>
      <c r="AI220" s="32">
        <v>5.5356904822114297E-4</v>
      </c>
      <c r="AJ220" s="32">
        <v>3.7507357872791961E-4</v>
      </c>
      <c r="AK220" s="32">
        <v>1.971963813979253E-4</v>
      </c>
      <c r="AL220" s="32">
        <v>1.6225130727688001E-2</v>
      </c>
      <c r="AM220" s="32">
        <v>1.736746078916146E-2</v>
      </c>
      <c r="AN220" s="34">
        <v>0</v>
      </c>
      <c r="AO220" s="34">
        <v>1.179775095002105E-5</v>
      </c>
      <c r="AP220" s="34">
        <v>6.9799632797501057E-7</v>
      </c>
      <c r="AQ220" s="34">
        <v>7.4641524221169363E-7</v>
      </c>
      <c r="AR220" s="34">
        <v>8.0030436812616762E-7</v>
      </c>
      <c r="AS220" s="34">
        <v>1.21926266825028E-5</v>
      </c>
      <c r="AT220" s="34">
        <v>2.6235093570836723E-5</v>
      </c>
      <c r="AU220" s="36">
        <v>0</v>
      </c>
      <c r="AV220" s="36">
        <v>0</v>
      </c>
      <c r="AW220" s="36">
        <v>0.36525731774146686</v>
      </c>
      <c r="AX220" s="36">
        <v>0.17647448414364728</v>
      </c>
      <c r="AY220" s="36">
        <v>0.16900825091706656</v>
      </c>
      <c r="AZ220" s="36">
        <v>0.79362301645070976</v>
      </c>
      <c r="BA220" s="36">
        <v>1.5043630692528907</v>
      </c>
      <c r="BB220" s="6"/>
      <c r="BC220" s="6"/>
      <c r="BD220" t="s">
        <v>1087</v>
      </c>
      <c r="BF220" s="5">
        <v>8.1781859999999998E-2</v>
      </c>
      <c r="BG220" s="5">
        <f t="shared" si="9"/>
        <v>-4.3439591006273759E-4</v>
      </c>
      <c r="BH220" s="2">
        <v>217.53666999999999</v>
      </c>
    </row>
    <row r="221" spans="1:60" x14ac:dyDescent="0.2">
      <c r="A221" t="str">
        <f t="shared" si="8"/>
        <v>Motorbike, electric, 11-35kW - 2040 - NCA - CH</v>
      </c>
      <c r="B221" t="s">
        <v>494</v>
      </c>
      <c r="D221" s="19">
        <v>2040</v>
      </c>
      <c r="E221" t="s">
        <v>37</v>
      </c>
      <c r="F221" t="s">
        <v>140</v>
      </c>
      <c r="G221" t="s">
        <v>39</v>
      </c>
      <c r="H221" t="s">
        <v>32</v>
      </c>
      <c r="I221" t="s">
        <v>45</v>
      </c>
      <c r="J221" t="s">
        <v>140</v>
      </c>
      <c r="L221" s="26">
        <v>0</v>
      </c>
      <c r="M221" s="26">
        <v>0</v>
      </c>
      <c r="N221" s="26">
        <v>7.8106002476236447E-3</v>
      </c>
      <c r="O221" s="26">
        <v>1.2306591692257861E-2</v>
      </c>
      <c r="P221" s="26">
        <v>4.8429982180027134E-3</v>
      </c>
      <c r="Q221" s="26">
        <v>5.5005342052566707E-2</v>
      </c>
      <c r="R221" s="26">
        <v>7.9965532210450926E-2</v>
      </c>
      <c r="S221" s="28">
        <v>0</v>
      </c>
      <c r="T221" s="28">
        <v>0</v>
      </c>
      <c r="U221" s="28">
        <v>8.2670074351110705E-4</v>
      </c>
      <c r="V221" s="28">
        <v>4.722191823356421E-4</v>
      </c>
      <c r="W221" s="28">
        <v>3.3296328551572421E-4</v>
      </c>
      <c r="X221" s="28">
        <v>4.1002854221061542E-2</v>
      </c>
      <c r="Y221" s="28">
        <v>4.2634737432424019E-2</v>
      </c>
      <c r="Z221" s="30">
        <v>0</v>
      </c>
      <c r="AA221" s="30">
        <v>3.1271735442865911E-3</v>
      </c>
      <c r="AB221" s="30">
        <v>2.422732529067532E-4</v>
      </c>
      <c r="AC221" s="30">
        <v>1.5438989133449149E-4</v>
      </c>
      <c r="AD221" s="30">
        <v>1.4867399044969431E-4</v>
      </c>
      <c r="AE221" s="30">
        <v>4.5362493918582594E-3</v>
      </c>
      <c r="AF221" s="30">
        <v>8.2087600708357893E-3</v>
      </c>
      <c r="AG221" s="32">
        <v>0</v>
      </c>
      <c r="AH221" s="32">
        <v>1.6491053126472278E-5</v>
      </c>
      <c r="AI221" s="32">
        <v>5.5356904822114297E-4</v>
      </c>
      <c r="AJ221" s="32">
        <v>3.7507357872791961E-4</v>
      </c>
      <c r="AK221" s="32">
        <v>1.9728952788093779E-4</v>
      </c>
      <c r="AL221" s="32">
        <v>1.51869670933979E-2</v>
      </c>
      <c r="AM221" s="32">
        <v>1.6329390301354371E-2</v>
      </c>
      <c r="AN221" s="34">
        <v>0</v>
      </c>
      <c r="AO221" s="34">
        <v>1.179775095002105E-5</v>
      </c>
      <c r="AP221" s="34">
        <v>6.9799632797501057E-7</v>
      </c>
      <c r="AQ221" s="34">
        <v>7.4641524221169363E-7</v>
      </c>
      <c r="AR221" s="34">
        <v>8.0067215828530021E-7</v>
      </c>
      <c r="AS221" s="34">
        <v>1.1386028012994291E-5</v>
      </c>
      <c r="AT221" s="34">
        <v>2.5428862691487346E-5</v>
      </c>
      <c r="AU221" s="36">
        <v>0</v>
      </c>
      <c r="AV221" s="36">
        <v>0</v>
      </c>
      <c r="AW221" s="36">
        <v>0.36525731774146686</v>
      </c>
      <c r="AX221" s="36">
        <v>0.17647448414364728</v>
      </c>
      <c r="AY221" s="36">
        <v>0.16912208266399173</v>
      </c>
      <c r="AZ221" s="36">
        <v>0.75634011283807412</v>
      </c>
      <c r="BA221" s="36">
        <v>1.4671939973871799</v>
      </c>
      <c r="BB221" s="6"/>
      <c r="BC221" s="6"/>
      <c r="BD221" t="s">
        <v>1088</v>
      </c>
      <c r="BF221" s="5">
        <v>7.937733000000001E-2</v>
      </c>
      <c r="BG221" s="5">
        <f t="shared" si="9"/>
        <v>-5.8820221045091658E-4</v>
      </c>
      <c r="BH221" s="2">
        <v>202.34105</v>
      </c>
    </row>
    <row r="222" spans="1:60" x14ac:dyDescent="0.2">
      <c r="A222" t="str">
        <f t="shared" si="8"/>
        <v>Motorbike, electric, 11-35kW - 2050 - NCA - CH</v>
      </c>
      <c r="B222" t="s">
        <v>494</v>
      </c>
      <c r="D222" s="19">
        <v>2050</v>
      </c>
      <c r="E222" t="s">
        <v>37</v>
      </c>
      <c r="F222" t="s">
        <v>140</v>
      </c>
      <c r="G222" t="s">
        <v>39</v>
      </c>
      <c r="H222" t="s">
        <v>32</v>
      </c>
      <c r="I222" t="s">
        <v>45</v>
      </c>
      <c r="J222" t="s">
        <v>140</v>
      </c>
      <c r="L222" s="26">
        <v>0</v>
      </c>
      <c r="M222" s="26">
        <v>0</v>
      </c>
      <c r="N222" s="26">
        <v>7.8106002476236447E-3</v>
      </c>
      <c r="O222" s="26">
        <v>1.2306591692257861E-2</v>
      </c>
      <c r="P222" s="26">
        <v>4.8421333147694546E-3</v>
      </c>
      <c r="Q222" s="26">
        <v>5.2019069693802697E-2</v>
      </c>
      <c r="R222" s="26">
        <v>7.6978394948453654E-2</v>
      </c>
      <c r="S222" s="28">
        <v>0</v>
      </c>
      <c r="T222" s="28">
        <v>0</v>
      </c>
      <c r="U222" s="28">
        <v>8.2670074351110705E-4</v>
      </c>
      <c r="V222" s="28">
        <v>4.722191823356421E-4</v>
      </c>
      <c r="W222" s="28">
        <v>3.3290863432112197E-4</v>
      </c>
      <c r="X222" s="28">
        <v>3.7080662833818043E-2</v>
      </c>
      <c r="Y222" s="28">
        <v>3.8712491393985915E-2</v>
      </c>
      <c r="Z222" s="30">
        <v>0</v>
      </c>
      <c r="AA222" s="30">
        <v>3.1271735442865911E-3</v>
      </c>
      <c r="AB222" s="30">
        <v>2.422732529067532E-4</v>
      </c>
      <c r="AC222" s="30">
        <v>1.5438989133449149E-4</v>
      </c>
      <c r="AD222" s="30">
        <v>1.486491478835875E-4</v>
      </c>
      <c r="AE222" s="30">
        <v>4.1011178103285131E-3</v>
      </c>
      <c r="AF222" s="30">
        <v>7.7736036467399364E-3</v>
      </c>
      <c r="AG222" s="32">
        <v>0</v>
      </c>
      <c r="AH222" s="32">
        <v>1.6491053126472278E-5</v>
      </c>
      <c r="AI222" s="32">
        <v>5.5356904822114297E-4</v>
      </c>
      <c r="AJ222" s="32">
        <v>3.7507357872791961E-4</v>
      </c>
      <c r="AK222" s="32">
        <v>1.9726634294848491E-4</v>
      </c>
      <c r="AL222" s="32">
        <v>1.389134425749195E-2</v>
      </c>
      <c r="AM222" s="32">
        <v>1.503374428051597E-2</v>
      </c>
      <c r="AN222" s="34">
        <v>0</v>
      </c>
      <c r="AO222" s="34">
        <v>1.179775095002105E-5</v>
      </c>
      <c r="AP222" s="34">
        <v>6.9799632797501057E-7</v>
      </c>
      <c r="AQ222" s="34">
        <v>7.4641524221169363E-7</v>
      </c>
      <c r="AR222" s="34">
        <v>8.0058061226315808E-7</v>
      </c>
      <c r="AS222" s="34">
        <v>1.0405388561626171E-5</v>
      </c>
      <c r="AT222" s="34">
        <v>2.4448131694097082E-5</v>
      </c>
      <c r="AU222" s="36">
        <v>0</v>
      </c>
      <c r="AV222" s="36">
        <v>0</v>
      </c>
      <c r="AW222" s="36">
        <v>0.36525731774146686</v>
      </c>
      <c r="AX222" s="36">
        <v>0.17647448414364728</v>
      </c>
      <c r="AY222" s="36">
        <v>0.16909374899772653</v>
      </c>
      <c r="AZ222" s="36">
        <v>0.70860016296227279</v>
      </c>
      <c r="BA222" s="36">
        <v>1.4194257138451136</v>
      </c>
      <c r="BB222" s="6"/>
      <c r="BC222" s="6"/>
      <c r="BD222" t="s">
        <v>1089</v>
      </c>
      <c r="BF222" s="5">
        <v>7.6373137000000008E-2</v>
      </c>
      <c r="BG222" s="5">
        <f t="shared" si="9"/>
        <v>-6.0525794845364689E-4</v>
      </c>
      <c r="BH222" s="2">
        <v>184.07173</v>
      </c>
    </row>
    <row r="223" spans="1:60" x14ac:dyDescent="0.2">
      <c r="A223" t="str">
        <f t="shared" si="8"/>
        <v>Motorbike, electric, &gt;35kW - 2020 - NCA - CH</v>
      </c>
      <c r="B223" t="s">
        <v>495</v>
      </c>
      <c r="D223" s="19">
        <v>2020</v>
      </c>
      <c r="E223" t="s">
        <v>37</v>
      </c>
      <c r="F223" t="s">
        <v>140</v>
      </c>
      <c r="G223" t="s">
        <v>39</v>
      </c>
      <c r="H223" t="s">
        <v>32</v>
      </c>
      <c r="I223" t="s">
        <v>45</v>
      </c>
      <c r="J223" t="s">
        <v>140</v>
      </c>
      <c r="L223" s="26">
        <v>0</v>
      </c>
      <c r="M223" s="26">
        <v>0</v>
      </c>
      <c r="N223" s="26">
        <v>8.710249309141712E-3</v>
      </c>
      <c r="O223" s="26">
        <v>1.2306591692257861E-2</v>
      </c>
      <c r="P223" s="26">
        <v>5.1803144373403784E-3</v>
      </c>
      <c r="Q223" s="26">
        <v>9.226026278512707E-2</v>
      </c>
      <c r="R223" s="26">
        <v>0.11845741822386702</v>
      </c>
      <c r="S223" s="28">
        <v>0</v>
      </c>
      <c r="T223" s="28">
        <v>0</v>
      </c>
      <c r="U223" s="28">
        <v>9.2192268862119461E-4</v>
      </c>
      <c r="V223" s="28">
        <v>4.722191823356421E-4</v>
      </c>
      <c r="W223" s="28">
        <v>3.5427750153045991E-4</v>
      </c>
      <c r="X223" s="28">
        <v>7.6149529955145595E-2</v>
      </c>
      <c r="Y223" s="28">
        <v>7.7897949327632887E-2</v>
      </c>
      <c r="Z223" s="30">
        <v>0</v>
      </c>
      <c r="AA223" s="30">
        <v>3.1271735442865911E-3</v>
      </c>
      <c r="AB223" s="30">
        <v>2.7017903449822622E-4</v>
      </c>
      <c r="AC223" s="30">
        <v>1.5438989133449149E-4</v>
      </c>
      <c r="AD223" s="30">
        <v>1.5836270492731959E-4</v>
      </c>
      <c r="AE223" s="30">
        <v>8.7724561373138318E-3</v>
      </c>
      <c r="AF223" s="30">
        <v>1.248256131236046E-2</v>
      </c>
      <c r="AG223" s="32">
        <v>0</v>
      </c>
      <c r="AH223" s="32">
        <v>1.6491053126472278E-5</v>
      </c>
      <c r="AI223" s="32">
        <v>6.1733084103202476E-4</v>
      </c>
      <c r="AJ223" s="32">
        <v>3.7507357872791961E-4</v>
      </c>
      <c r="AK223" s="32">
        <v>2.0633175764710139E-4</v>
      </c>
      <c r="AL223" s="32">
        <v>2.8152876096115151E-2</v>
      </c>
      <c r="AM223" s="32">
        <v>2.9368103326648669E-2</v>
      </c>
      <c r="AN223" s="34">
        <v>0</v>
      </c>
      <c r="AO223" s="34">
        <v>1.179775095002105E-5</v>
      </c>
      <c r="AP223" s="34">
        <v>7.7839370096780042E-7</v>
      </c>
      <c r="AQ223" s="34">
        <v>7.4641524221169363E-7</v>
      </c>
      <c r="AR223" s="34">
        <v>8.3637552589567275E-7</v>
      </c>
      <c r="AS223" s="34">
        <v>2.0873534009772648E-5</v>
      </c>
      <c r="AT223" s="34">
        <v>3.5032469428868864E-5</v>
      </c>
      <c r="AU223" s="36">
        <v>0</v>
      </c>
      <c r="AV223" s="36">
        <v>0</v>
      </c>
      <c r="AW223" s="36">
        <v>0.40732878378771509</v>
      </c>
      <c r="AX223" s="36">
        <v>0.17647448414364728</v>
      </c>
      <c r="AY223" s="36">
        <v>0.18017234218095599</v>
      </c>
      <c r="AZ223" s="36">
        <v>1.2978873569553775</v>
      </c>
      <c r="BA223" s="36">
        <v>2.0618629670676958</v>
      </c>
      <c r="BB223" s="6"/>
      <c r="BC223" s="6"/>
      <c r="BD223" t="s">
        <v>904</v>
      </c>
      <c r="BF223" s="5">
        <v>0.11359316000000001</v>
      </c>
      <c r="BG223" s="5">
        <f t="shared" si="9"/>
        <v>-4.8642582238670046E-3</v>
      </c>
      <c r="BH223" s="2">
        <v>362.22152</v>
      </c>
    </row>
    <row r="224" spans="1:60" x14ac:dyDescent="0.2">
      <c r="A224" t="str">
        <f t="shared" si="8"/>
        <v>Motorbike, electric, &gt;35kW - 2030 - NCA - CH</v>
      </c>
      <c r="B224" t="s">
        <v>495</v>
      </c>
      <c r="D224" s="19">
        <v>2030</v>
      </c>
      <c r="E224" t="s">
        <v>37</v>
      </c>
      <c r="F224" t="s">
        <v>140</v>
      </c>
      <c r="G224" t="s">
        <v>39</v>
      </c>
      <c r="H224" t="s">
        <v>32</v>
      </c>
      <c r="I224" t="s">
        <v>45</v>
      </c>
      <c r="J224" t="s">
        <v>140</v>
      </c>
      <c r="L224" s="26">
        <v>0</v>
      </c>
      <c r="M224" s="26">
        <v>0</v>
      </c>
      <c r="N224" s="26">
        <v>8.710249309141712E-3</v>
      </c>
      <c r="O224" s="26">
        <v>1.2306591692257861E-2</v>
      </c>
      <c r="P224" s="26">
        <v>5.2456030862136592E-3</v>
      </c>
      <c r="Q224" s="26">
        <v>8.8669385559089264E-2</v>
      </c>
      <c r="R224" s="26">
        <v>0.1149318296467025</v>
      </c>
      <c r="S224" s="28">
        <v>0</v>
      </c>
      <c r="T224" s="28">
        <v>0</v>
      </c>
      <c r="U224" s="28">
        <v>9.2192268862119461E-4</v>
      </c>
      <c r="V224" s="28">
        <v>4.722191823356421E-4</v>
      </c>
      <c r="W224" s="28">
        <v>3.5840293720659718E-4</v>
      </c>
      <c r="X224" s="28">
        <v>7.0518257967876377E-2</v>
      </c>
      <c r="Y224" s="28">
        <v>7.2270802776039811E-2</v>
      </c>
      <c r="Z224" s="30">
        <v>0</v>
      </c>
      <c r="AA224" s="30">
        <v>3.1271735442865911E-3</v>
      </c>
      <c r="AB224" s="30">
        <v>2.7017903449822622E-4</v>
      </c>
      <c r="AC224" s="30">
        <v>1.5438989133449149E-4</v>
      </c>
      <c r="AD224" s="30">
        <v>1.6023798705518531E-4</v>
      </c>
      <c r="AE224" s="30">
        <v>8.1803069574040623E-3</v>
      </c>
      <c r="AF224" s="30">
        <v>1.1892287414578557E-2</v>
      </c>
      <c r="AG224" s="32">
        <v>0</v>
      </c>
      <c r="AH224" s="32">
        <v>1.6491053126472278E-5</v>
      </c>
      <c r="AI224" s="32">
        <v>6.1733084103202476E-4</v>
      </c>
      <c r="AJ224" s="32">
        <v>3.7507357872791961E-4</v>
      </c>
      <c r="AK224" s="32">
        <v>2.080819105611646E-4</v>
      </c>
      <c r="AL224" s="32">
        <v>2.6382423865752638E-2</v>
      </c>
      <c r="AM224" s="32">
        <v>2.7599401249200219E-2</v>
      </c>
      <c r="AN224" s="34">
        <v>0</v>
      </c>
      <c r="AO224" s="34">
        <v>1.179775095002105E-5</v>
      </c>
      <c r="AP224" s="34">
        <v>7.7839370096780042E-7</v>
      </c>
      <c r="AQ224" s="34">
        <v>7.4641524221169363E-7</v>
      </c>
      <c r="AR224" s="34">
        <v>8.4328602855719433E-7</v>
      </c>
      <c r="AS224" s="34">
        <v>1.9492613346882631E-5</v>
      </c>
      <c r="AT224" s="34">
        <v>3.3658459268640366E-5</v>
      </c>
      <c r="AU224" s="36">
        <v>0</v>
      </c>
      <c r="AV224" s="36">
        <v>0</v>
      </c>
      <c r="AW224" s="36">
        <v>0.40732878378771509</v>
      </c>
      <c r="AX224" s="36">
        <v>0.17647448414364728</v>
      </c>
      <c r="AY224" s="36">
        <v>0.18231115576951787</v>
      </c>
      <c r="AZ224" s="36">
        <v>1.2367110840323652</v>
      </c>
      <c r="BA224" s="36">
        <v>2.0028255077332453</v>
      </c>
      <c r="BB224" s="6"/>
      <c r="BC224" s="6"/>
      <c r="BD224" t="s">
        <v>1090</v>
      </c>
      <c r="BF224" s="5">
        <v>0.10968169</v>
      </c>
      <c r="BG224" s="5">
        <f t="shared" si="9"/>
        <v>-5.250139646702498E-3</v>
      </c>
      <c r="BH224" s="2">
        <v>335.95848000000001</v>
      </c>
    </row>
    <row r="225" spans="1:60" x14ac:dyDescent="0.2">
      <c r="A225" t="str">
        <f t="shared" si="8"/>
        <v>Motorbike, electric, &gt;35kW - 2040 - NCA - CH</v>
      </c>
      <c r="B225" t="s">
        <v>495</v>
      </c>
      <c r="D225" s="19">
        <v>2040</v>
      </c>
      <c r="E225" t="s">
        <v>37</v>
      </c>
      <c r="F225" t="s">
        <v>140</v>
      </c>
      <c r="G225" t="s">
        <v>39</v>
      </c>
      <c r="H225" t="s">
        <v>32</v>
      </c>
      <c r="I225" t="s">
        <v>45</v>
      </c>
      <c r="J225" t="s">
        <v>140</v>
      </c>
      <c r="L225" s="26">
        <v>0</v>
      </c>
      <c r="M225" s="26">
        <v>0</v>
      </c>
      <c r="N225" s="26">
        <v>8.710249309141712E-3</v>
      </c>
      <c r="O225" s="26">
        <v>1.2306591692257861E-2</v>
      </c>
      <c r="P225" s="26">
        <v>5.2483191858409056E-3</v>
      </c>
      <c r="Q225" s="26">
        <v>8.2743393760394676E-2</v>
      </c>
      <c r="R225" s="26">
        <v>0.10900855394763516</v>
      </c>
      <c r="S225" s="28">
        <v>0</v>
      </c>
      <c r="T225" s="28">
        <v>0</v>
      </c>
      <c r="U225" s="28">
        <v>9.2192268862119461E-4</v>
      </c>
      <c r="V225" s="28">
        <v>4.722191823356421E-4</v>
      </c>
      <c r="W225" s="28">
        <v>3.5857456113350578E-4</v>
      </c>
      <c r="X225" s="28">
        <v>6.3473830003672987E-2</v>
      </c>
      <c r="Y225" s="28">
        <v>6.5226546435763325E-2</v>
      </c>
      <c r="Z225" s="30">
        <v>0</v>
      </c>
      <c r="AA225" s="30">
        <v>3.1271735442865911E-3</v>
      </c>
      <c r="AB225" s="30">
        <v>2.7017903449822622E-4</v>
      </c>
      <c r="AC225" s="30">
        <v>1.5438989133449149E-4</v>
      </c>
      <c r="AD225" s="30">
        <v>1.6031600142945069E-4</v>
      </c>
      <c r="AE225" s="30">
        <v>7.3746976309239194E-3</v>
      </c>
      <c r="AF225" s="30">
        <v>1.1086756102472679E-2</v>
      </c>
      <c r="AG225" s="32">
        <v>0</v>
      </c>
      <c r="AH225" s="32">
        <v>1.6491053126472278E-5</v>
      </c>
      <c r="AI225" s="32">
        <v>6.1733084103202476E-4</v>
      </c>
      <c r="AJ225" s="32">
        <v>3.7507357872791961E-4</v>
      </c>
      <c r="AK225" s="32">
        <v>2.081547193841308E-4</v>
      </c>
      <c r="AL225" s="32">
        <v>2.3969884678922589E-2</v>
      </c>
      <c r="AM225" s="32">
        <v>2.5186934871193136E-2</v>
      </c>
      <c r="AN225" s="34">
        <v>0</v>
      </c>
      <c r="AO225" s="34">
        <v>1.179775095002105E-5</v>
      </c>
      <c r="AP225" s="34">
        <v>7.7839370096780042E-7</v>
      </c>
      <c r="AQ225" s="34">
        <v>7.4641524221169363E-7</v>
      </c>
      <c r="AR225" s="34">
        <v>8.4357351518813197E-7</v>
      </c>
      <c r="AS225" s="34">
        <v>1.7731691392513211E-5</v>
      </c>
      <c r="AT225" s="34">
        <v>3.189782480090189E-5</v>
      </c>
      <c r="AU225" s="36">
        <v>0</v>
      </c>
      <c r="AV225" s="36">
        <v>0</v>
      </c>
      <c r="AW225" s="36">
        <v>0.40732878378771509</v>
      </c>
      <c r="AX225" s="36">
        <v>0.17647448414364728</v>
      </c>
      <c r="AY225" s="36">
        <v>0.18240013342322792</v>
      </c>
      <c r="AZ225" s="36">
        <v>1.1454565874296407</v>
      </c>
      <c r="BA225" s="36">
        <v>1.9116599887842312</v>
      </c>
      <c r="BB225" s="6"/>
      <c r="BC225" s="6"/>
      <c r="BD225" t="s">
        <v>1091</v>
      </c>
      <c r="BF225" s="5">
        <v>0.10413846</v>
      </c>
      <c r="BG225" s="5">
        <f t="shared" si="9"/>
        <v>-4.8700939476351568E-3</v>
      </c>
      <c r="BH225" s="2">
        <v>303.60194000000001</v>
      </c>
    </row>
    <row r="226" spans="1:60" x14ac:dyDescent="0.2">
      <c r="A226" t="str">
        <f t="shared" si="8"/>
        <v>Motorbike, electric, &gt;35kW - 2050 - NCA - CH</v>
      </c>
      <c r="B226" t="s">
        <v>495</v>
      </c>
      <c r="D226" s="19">
        <v>2050</v>
      </c>
      <c r="E226" t="s">
        <v>37</v>
      </c>
      <c r="F226" t="s">
        <v>140</v>
      </c>
      <c r="G226" t="s">
        <v>39</v>
      </c>
      <c r="H226" t="s">
        <v>32</v>
      </c>
      <c r="I226" t="s">
        <v>45</v>
      </c>
      <c r="J226" t="s">
        <v>140</v>
      </c>
      <c r="L226" s="26">
        <v>0</v>
      </c>
      <c r="M226" s="26">
        <v>0</v>
      </c>
      <c r="N226" s="26">
        <v>8.710249309141712E-3</v>
      </c>
      <c r="O226" s="26">
        <v>1.2306591692257861E-2</v>
      </c>
      <c r="P226" s="26">
        <v>5.2470901128252243E-3</v>
      </c>
      <c r="Q226" s="26">
        <v>7.6080301246672824E-2</v>
      </c>
      <c r="R226" s="26">
        <v>0.10234423236089762</v>
      </c>
      <c r="S226" s="28">
        <v>0</v>
      </c>
      <c r="T226" s="28">
        <v>0</v>
      </c>
      <c r="U226" s="28">
        <v>9.2192268862119461E-4</v>
      </c>
      <c r="V226" s="28">
        <v>4.722191823356421E-4</v>
      </c>
      <c r="W226" s="28">
        <v>3.5849689890959751E-4</v>
      </c>
      <c r="X226" s="28">
        <v>5.5736333721866087E-2</v>
      </c>
      <c r="Y226" s="28">
        <v>5.7488972491732522E-2</v>
      </c>
      <c r="Z226" s="30">
        <v>0</v>
      </c>
      <c r="AA226" s="30">
        <v>3.1271735442865911E-3</v>
      </c>
      <c r="AB226" s="30">
        <v>2.7017903449822622E-4</v>
      </c>
      <c r="AC226" s="30">
        <v>1.5438989133449149E-4</v>
      </c>
      <c r="AD226" s="30">
        <v>1.602806988355094E-4</v>
      </c>
      <c r="AE226" s="30">
        <v>6.4830224880350574E-3</v>
      </c>
      <c r="AF226" s="30">
        <v>1.0195045656989875E-2</v>
      </c>
      <c r="AG226" s="32">
        <v>0</v>
      </c>
      <c r="AH226" s="32">
        <v>1.6491053126472278E-5</v>
      </c>
      <c r="AI226" s="32">
        <v>6.1733084103202476E-4</v>
      </c>
      <c r="AJ226" s="32">
        <v>3.7507357872791961E-4</v>
      </c>
      <c r="AK226" s="32">
        <v>2.0812177237485561E-4</v>
      </c>
      <c r="AL226" s="32">
        <v>2.129777383274865E-2</v>
      </c>
      <c r="AM226" s="32">
        <v>2.2514791078009924E-2</v>
      </c>
      <c r="AN226" s="34">
        <v>0</v>
      </c>
      <c r="AO226" s="34">
        <v>1.179775095002105E-5</v>
      </c>
      <c r="AP226" s="34">
        <v>7.7839370096780042E-7</v>
      </c>
      <c r="AQ226" s="34">
        <v>7.4641524221169363E-7</v>
      </c>
      <c r="AR226" s="34">
        <v>8.4344342347245625E-7</v>
      </c>
      <c r="AS226" s="34">
        <v>1.5795554570516991E-5</v>
      </c>
      <c r="AT226" s="34">
        <v>2.996155788718999E-5</v>
      </c>
      <c r="AU226" s="36">
        <v>0</v>
      </c>
      <c r="AV226" s="36">
        <v>0</v>
      </c>
      <c r="AW226" s="36">
        <v>0.40732878378771509</v>
      </c>
      <c r="AX226" s="36">
        <v>0.17647448414364728</v>
      </c>
      <c r="AY226" s="36">
        <v>0.18235986979221949</v>
      </c>
      <c r="AZ226" s="36">
        <v>1.0436738540823072</v>
      </c>
      <c r="BA226" s="36">
        <v>1.8098369918058892</v>
      </c>
      <c r="BB226" s="6"/>
      <c r="BC226" s="6"/>
      <c r="BD226" t="s">
        <v>1092</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492</v>
      </c>
      <c r="D227" s="19">
        <v>2020</v>
      </c>
      <c r="E227" t="s">
        <v>37</v>
      </c>
      <c r="F227" t="s">
        <v>140</v>
      </c>
      <c r="G227" t="s">
        <v>39</v>
      </c>
      <c r="H227" t="s">
        <v>32</v>
      </c>
      <c r="I227" t="s">
        <v>43</v>
      </c>
      <c r="J227" t="s">
        <v>861</v>
      </c>
      <c r="L227" s="26">
        <v>0</v>
      </c>
      <c r="M227" s="26">
        <v>0</v>
      </c>
      <c r="N227" s="26">
        <v>7.4420517119050845E-4</v>
      </c>
      <c r="O227" s="26">
        <v>1.2306591692257861E-2</v>
      </c>
      <c r="P227" s="26">
        <v>4.4328520005473991E-3</v>
      </c>
      <c r="Q227" s="26">
        <v>3.7731612714263563E-2</v>
      </c>
      <c r="R227" s="26">
        <v>5.5215261578259331E-2</v>
      </c>
      <c r="S227" s="28">
        <v>0</v>
      </c>
      <c r="T227" s="28">
        <v>0</v>
      </c>
      <c r="U227" s="28">
        <v>4.2420634240975051E-4</v>
      </c>
      <c r="V227" s="28">
        <v>4.722191823356421E-4</v>
      </c>
      <c r="W227" s="28">
        <v>3.0704711375963563E-4</v>
      </c>
      <c r="X227" s="28">
        <v>4.3073131220721143E-2</v>
      </c>
      <c r="Y227" s="28">
        <v>4.4276603859226174E-2</v>
      </c>
      <c r="Z227" s="30">
        <v>0</v>
      </c>
      <c r="AA227" s="30">
        <v>3.1271735442865911E-3</v>
      </c>
      <c r="AB227" s="30">
        <v>7.4854103306236475E-5</v>
      </c>
      <c r="AC227" s="30">
        <v>1.5438989133449149E-4</v>
      </c>
      <c r="AD227" s="30">
        <v>1.3689338410113129E-4</v>
      </c>
      <c r="AE227" s="30">
        <v>3.5131444674290678E-3</v>
      </c>
      <c r="AF227" s="30">
        <v>7.0064553904575187E-3</v>
      </c>
      <c r="AG227" s="32">
        <v>0</v>
      </c>
      <c r="AH227" s="32">
        <v>1.6491053126472278E-5</v>
      </c>
      <c r="AI227" s="32">
        <v>2.805230458570776E-4</v>
      </c>
      <c r="AJ227" s="32">
        <v>3.7507357872791961E-4</v>
      </c>
      <c r="AK227" s="32">
        <v>1.8629498885984979E-4</v>
      </c>
      <c r="AL227" s="32">
        <v>1.0620833379668831E-2</v>
      </c>
      <c r="AM227" s="32">
        <v>1.1479216046240149E-2</v>
      </c>
      <c r="AN227" s="34">
        <v>0</v>
      </c>
      <c r="AO227" s="34">
        <v>1.179775095002105E-5</v>
      </c>
      <c r="AP227" s="34">
        <v>6.6275283726653284E-7</v>
      </c>
      <c r="AQ227" s="34">
        <v>7.4641524221169363E-7</v>
      </c>
      <c r="AR227" s="34">
        <v>7.5726007094314899E-7</v>
      </c>
      <c r="AS227" s="34">
        <v>9.874007547004985E-6</v>
      </c>
      <c r="AT227" s="34">
        <v>2.3838186647447407E-5</v>
      </c>
      <c r="AU227" s="36">
        <v>0</v>
      </c>
      <c r="AV227" s="36">
        <v>0</v>
      </c>
      <c r="AW227" s="36">
        <v>7.4146077341334599E-3</v>
      </c>
      <c r="AX227" s="36">
        <v>0.17647448414364728</v>
      </c>
      <c r="AY227" s="36">
        <v>0.1556859598719075</v>
      </c>
      <c r="AZ227" s="36">
        <v>0.54370848778751379</v>
      </c>
      <c r="BA227" s="36">
        <v>0.88328353953720207</v>
      </c>
      <c r="BB227" s="6"/>
      <c r="BC227" s="6"/>
      <c r="BD227" t="s">
        <v>899</v>
      </c>
      <c r="BF227" s="5">
        <v>5.3352997999999999E-2</v>
      </c>
      <c r="BG227" s="5">
        <f t="shared" si="9"/>
        <v>-1.8622635782593322E-3</v>
      </c>
      <c r="BH227" s="2">
        <v>125.24818999999999</v>
      </c>
    </row>
    <row r="228" spans="1:60" x14ac:dyDescent="0.2">
      <c r="A228" t="str">
        <f t="shared" si="10"/>
        <v>Motorbike, electric, &lt;4kW - 2030 - NMC - CH</v>
      </c>
      <c r="B228" t="s">
        <v>492</v>
      </c>
      <c r="D228" s="19">
        <v>2030</v>
      </c>
      <c r="E228" t="s">
        <v>37</v>
      </c>
      <c r="F228" t="s">
        <v>140</v>
      </c>
      <c r="G228" t="s">
        <v>39</v>
      </c>
      <c r="H228" t="s">
        <v>32</v>
      </c>
      <c r="I228" t="s">
        <v>43</v>
      </c>
      <c r="J228" t="s">
        <v>861</v>
      </c>
      <c r="L228" s="26">
        <v>0</v>
      </c>
      <c r="M228" s="26">
        <v>0</v>
      </c>
      <c r="N228" s="26">
        <v>7.4420517119050845E-4</v>
      </c>
      <c r="O228" s="26">
        <v>1.2306591692257861E-2</v>
      </c>
      <c r="P228" s="26">
        <v>4.4354770577290396E-3</v>
      </c>
      <c r="Q228" s="26">
        <v>3.6150989630984988E-2</v>
      </c>
      <c r="R228" s="26">
        <v>5.3637263552162397E-2</v>
      </c>
      <c r="S228" s="28">
        <v>0</v>
      </c>
      <c r="T228" s="28">
        <v>0</v>
      </c>
      <c r="U228" s="28">
        <v>4.2420634240975051E-4</v>
      </c>
      <c r="V228" s="28">
        <v>4.722191823356421E-4</v>
      </c>
      <c r="W228" s="28">
        <v>3.0721298492921762E-4</v>
      </c>
      <c r="X228" s="28">
        <v>3.6101004899327008E-2</v>
      </c>
      <c r="Y228" s="28">
        <v>3.7304643409001616E-2</v>
      </c>
      <c r="Z228" s="30">
        <v>0</v>
      </c>
      <c r="AA228" s="30">
        <v>3.1271735442865911E-3</v>
      </c>
      <c r="AB228" s="30">
        <v>7.4854103306236475E-5</v>
      </c>
      <c r="AC228" s="30">
        <v>1.5438989133449149E-4</v>
      </c>
      <c r="AD228" s="30">
        <v>1.3696878346843811E-4</v>
      </c>
      <c r="AE228" s="30">
        <v>3.045672236259228E-3</v>
      </c>
      <c r="AF228" s="30">
        <v>6.5390585586549855E-3</v>
      </c>
      <c r="AG228" s="32">
        <v>0</v>
      </c>
      <c r="AH228" s="32">
        <v>1.6491053126472278E-5</v>
      </c>
      <c r="AI228" s="32">
        <v>2.805230458570776E-4</v>
      </c>
      <c r="AJ228" s="32">
        <v>3.7507357872791961E-4</v>
      </c>
      <c r="AK228" s="32">
        <v>1.863653571636104E-4</v>
      </c>
      <c r="AL228" s="32">
        <v>9.5258486340622749E-3</v>
      </c>
      <c r="AM228" s="32">
        <v>1.0384301668937355E-2</v>
      </c>
      <c r="AN228" s="34">
        <v>0</v>
      </c>
      <c r="AO228" s="34">
        <v>1.179775095002105E-5</v>
      </c>
      <c r="AP228" s="34">
        <v>6.6275283726653284E-7</v>
      </c>
      <c r="AQ228" s="34">
        <v>7.4641524221169363E-7</v>
      </c>
      <c r="AR228" s="34">
        <v>7.5753792115070333E-7</v>
      </c>
      <c r="AS228" s="34">
        <v>8.6442927998933472E-6</v>
      </c>
      <c r="AT228" s="34">
        <v>2.2608749750543325E-5</v>
      </c>
      <c r="AU228" s="36">
        <v>0</v>
      </c>
      <c r="AV228" s="36">
        <v>0</v>
      </c>
      <c r="AW228" s="36">
        <v>7.4146077341334599E-3</v>
      </c>
      <c r="AX228" s="36">
        <v>0.17647448414364728</v>
      </c>
      <c r="AY228" s="36">
        <v>0.15577195503443175</v>
      </c>
      <c r="AZ228" s="36">
        <v>0.50865858246692519</v>
      </c>
      <c r="BA228" s="36">
        <v>0.84831962937913774</v>
      </c>
      <c r="BB228" s="6"/>
      <c r="BC228" s="6"/>
      <c r="BD228" t="s">
        <v>1093</v>
      </c>
      <c r="BF228" s="5">
        <v>5.193979E-2</v>
      </c>
      <c r="BG228" s="5">
        <f t="shared" si="9"/>
        <v>-1.6974735521623971E-3</v>
      </c>
      <c r="BH228" s="2">
        <v>112.24854999999999</v>
      </c>
    </row>
    <row r="229" spans="1:60" x14ac:dyDescent="0.2">
      <c r="A229" t="str">
        <f t="shared" si="10"/>
        <v>Motorbike, electric, &lt;4kW - 2040 - NMC - CH</v>
      </c>
      <c r="B229" t="s">
        <v>492</v>
      </c>
      <c r="D229" s="19">
        <v>2040</v>
      </c>
      <c r="E229" t="s">
        <v>37</v>
      </c>
      <c r="F229" t="s">
        <v>140</v>
      </c>
      <c r="G229" t="s">
        <v>39</v>
      </c>
      <c r="H229" t="s">
        <v>32</v>
      </c>
      <c r="I229" t="s">
        <v>43</v>
      </c>
      <c r="J229" t="s">
        <v>861</v>
      </c>
      <c r="L229" s="26">
        <v>0</v>
      </c>
      <c r="M229" s="26">
        <v>0</v>
      </c>
      <c r="N229" s="26">
        <v>7.4420517119050845E-4</v>
      </c>
      <c r="O229" s="26">
        <v>1.2306591692257861E-2</v>
      </c>
      <c r="P229" s="26">
        <v>4.434103834174483E-3</v>
      </c>
      <c r="Q229" s="26">
        <v>3.5912100467703358E-2</v>
      </c>
      <c r="R229" s="26">
        <v>5.3397001165326211E-2</v>
      </c>
      <c r="S229" s="28">
        <v>0</v>
      </c>
      <c r="T229" s="28">
        <v>0</v>
      </c>
      <c r="U229" s="28">
        <v>4.2420634240975051E-4</v>
      </c>
      <c r="V229" s="28">
        <v>4.722191823356421E-4</v>
      </c>
      <c r="W229" s="28">
        <v>3.0712621417287557E-4</v>
      </c>
      <c r="X229" s="28">
        <v>3.3072757472973058E-2</v>
      </c>
      <c r="Y229" s="28">
        <v>3.4276309211891329E-2</v>
      </c>
      <c r="Z229" s="30">
        <v>0</v>
      </c>
      <c r="AA229" s="30">
        <v>3.1271735442865911E-3</v>
      </c>
      <c r="AB229" s="30">
        <v>7.4854103306236475E-5</v>
      </c>
      <c r="AC229" s="30">
        <v>1.5438989133449149E-4</v>
      </c>
      <c r="AD229" s="30">
        <v>1.3692934044681231E-4</v>
      </c>
      <c r="AE229" s="30">
        <v>2.8635356772810571E-3</v>
      </c>
      <c r="AF229" s="30">
        <v>6.3568825566551884E-3</v>
      </c>
      <c r="AG229" s="32">
        <v>0</v>
      </c>
      <c r="AH229" s="32">
        <v>1.6491053126472278E-5</v>
      </c>
      <c r="AI229" s="32">
        <v>2.805230458570776E-4</v>
      </c>
      <c r="AJ229" s="32">
        <v>3.7507357872791961E-4</v>
      </c>
      <c r="AK229" s="32">
        <v>1.8632854599892639E-4</v>
      </c>
      <c r="AL229" s="32">
        <v>9.1263158500380914E-3</v>
      </c>
      <c r="AM229" s="32">
        <v>9.9847320737484879E-3</v>
      </c>
      <c r="AN229" s="34">
        <v>0</v>
      </c>
      <c r="AO229" s="34">
        <v>1.179775095002105E-5</v>
      </c>
      <c r="AP229" s="34">
        <v>6.6275283726653284E-7</v>
      </c>
      <c r="AQ229" s="34">
        <v>7.4641524221169363E-7</v>
      </c>
      <c r="AR229" s="34">
        <v>7.5739257176467052E-7</v>
      </c>
      <c r="AS229" s="34">
        <v>8.1157492810330466E-6</v>
      </c>
      <c r="AT229" s="34">
        <v>2.2080060882296992E-5</v>
      </c>
      <c r="AU229" s="36">
        <v>0</v>
      </c>
      <c r="AV229" s="36">
        <v>0</v>
      </c>
      <c r="AW229" s="36">
        <v>7.4146077341334599E-3</v>
      </c>
      <c r="AX229" s="36">
        <v>0.17647448414364728</v>
      </c>
      <c r="AY229" s="36">
        <v>0.15572696912571241</v>
      </c>
      <c r="AZ229" s="36">
        <v>0.49797394030048725</v>
      </c>
      <c r="BA229" s="36">
        <v>0.83759000130398042</v>
      </c>
      <c r="BB229" s="6"/>
      <c r="BC229" s="6"/>
      <c r="BD229" t="s">
        <v>1094</v>
      </c>
      <c r="BF229" s="5">
        <v>5.1483592999999994E-2</v>
      </c>
      <c r="BG229" s="5">
        <f t="shared" si="9"/>
        <v>-1.9134081653262164E-3</v>
      </c>
      <c r="BH229" s="2">
        <v>106.53724</v>
      </c>
    </row>
    <row r="230" spans="1:60" x14ac:dyDescent="0.2">
      <c r="A230" t="str">
        <f t="shared" si="10"/>
        <v>Motorbike, electric, &lt;4kW - 2050 - NMC - CH</v>
      </c>
      <c r="B230" t="s">
        <v>492</v>
      </c>
      <c r="D230" s="19">
        <v>2050</v>
      </c>
      <c r="E230" t="s">
        <v>37</v>
      </c>
      <c r="F230" t="s">
        <v>140</v>
      </c>
      <c r="G230" t="s">
        <v>39</v>
      </c>
      <c r="H230" t="s">
        <v>32</v>
      </c>
      <c r="I230" t="s">
        <v>43</v>
      </c>
      <c r="J230" t="s">
        <v>861</v>
      </c>
      <c r="L230" s="26">
        <v>0</v>
      </c>
      <c r="M230" s="26">
        <v>0</v>
      </c>
      <c r="N230" s="26">
        <v>7.4420517119050845E-4</v>
      </c>
      <c r="O230" s="26">
        <v>1.2306591692257861E-2</v>
      </c>
      <c r="P230" s="26">
        <v>4.433716903780657E-3</v>
      </c>
      <c r="Q230" s="26">
        <v>4.8722811857781059E-2</v>
      </c>
      <c r="R230" s="26">
        <v>6.6207325625010083E-2</v>
      </c>
      <c r="S230" s="28">
        <v>0</v>
      </c>
      <c r="T230" s="28">
        <v>0</v>
      </c>
      <c r="U230" s="28">
        <v>4.2420634240975051E-4</v>
      </c>
      <c r="V230" s="28">
        <v>4.722191823356421E-4</v>
      </c>
      <c r="W230" s="28">
        <v>3.0710176495423781E-4</v>
      </c>
      <c r="X230" s="28">
        <v>5.3634881422349651E-2</v>
      </c>
      <c r="Y230" s="28">
        <v>5.4838408712049279E-2</v>
      </c>
      <c r="Z230" s="30">
        <v>0</v>
      </c>
      <c r="AA230" s="30">
        <v>3.1271735442865911E-3</v>
      </c>
      <c r="AB230" s="30">
        <v>7.4854103306236475E-5</v>
      </c>
      <c r="AC230" s="30">
        <v>1.5438989133449149E-4</v>
      </c>
      <c r="AD230" s="30">
        <v>1.3691822666723821E-4</v>
      </c>
      <c r="AE230" s="30">
        <v>4.6255852130350772E-3</v>
      </c>
      <c r="AF230" s="30">
        <v>8.1189209786296339E-3</v>
      </c>
      <c r="AG230" s="32">
        <v>0</v>
      </c>
      <c r="AH230" s="32">
        <v>1.6491053126472278E-5</v>
      </c>
      <c r="AI230" s="32">
        <v>2.805230458570776E-4</v>
      </c>
      <c r="AJ230" s="32">
        <v>3.7507357872791961E-4</v>
      </c>
      <c r="AK230" s="32">
        <v>1.8631817379230269E-4</v>
      </c>
      <c r="AL230" s="32">
        <v>1.371885835088588E-2</v>
      </c>
      <c r="AM230" s="32">
        <v>1.4577264202389651E-2</v>
      </c>
      <c r="AN230" s="34">
        <v>0</v>
      </c>
      <c r="AO230" s="34">
        <v>1.179775095002105E-5</v>
      </c>
      <c r="AP230" s="34">
        <v>6.6275283726653284E-7</v>
      </c>
      <c r="AQ230" s="34">
        <v>7.4641524221169363E-7</v>
      </c>
      <c r="AR230" s="34">
        <v>7.5735161696529122E-7</v>
      </c>
      <c r="AS230" s="34">
        <v>1.187505888308293E-5</v>
      </c>
      <c r="AT230" s="34">
        <v>2.5839329529547497E-5</v>
      </c>
      <c r="AU230" s="36">
        <v>0</v>
      </c>
      <c r="AV230" s="36">
        <v>0</v>
      </c>
      <c r="AW230" s="36">
        <v>7.4146077341334599E-3</v>
      </c>
      <c r="AX230" s="36">
        <v>0.17647448414364728</v>
      </c>
      <c r="AY230" s="36">
        <v>0.15571429353817273</v>
      </c>
      <c r="AZ230" s="36">
        <v>0.68457763636854829</v>
      </c>
      <c r="BA230" s="36">
        <v>1.0241810217845018</v>
      </c>
      <c r="BB230" s="6"/>
      <c r="BC230" s="6"/>
      <c r="BD230" t="s">
        <v>1095</v>
      </c>
      <c r="BF230" s="5">
        <v>5.8742284999999998E-2</v>
      </c>
      <c r="BG230" s="5">
        <f t="shared" si="9"/>
        <v>-7.4650406250100845E-3</v>
      </c>
      <c r="BH230" s="2">
        <v>143.98715000000001</v>
      </c>
    </row>
    <row r="231" spans="1:60" x14ac:dyDescent="0.2">
      <c r="A231" t="str">
        <f t="shared" si="10"/>
        <v>Motorbike, electric, 4-11kW - 2020 - NMC - CH</v>
      </c>
      <c r="B231" t="s">
        <v>493</v>
      </c>
      <c r="D231" s="19">
        <v>2020</v>
      </c>
      <c r="E231" t="s">
        <v>37</v>
      </c>
      <c r="F231" t="s">
        <v>140</v>
      </c>
      <c r="G231" t="s">
        <v>39</v>
      </c>
      <c r="H231" t="s">
        <v>32</v>
      </c>
      <c r="I231" t="s">
        <v>43</v>
      </c>
      <c r="J231" t="s">
        <v>861</v>
      </c>
      <c r="L231" s="26">
        <v>0</v>
      </c>
      <c r="M231" s="26">
        <v>0</v>
      </c>
      <c r="N231" s="26">
        <v>1.119382984765889E-3</v>
      </c>
      <c r="O231" s="26">
        <v>1.2306591692257861E-2</v>
      </c>
      <c r="P231" s="26">
        <v>4.5620586516537803E-3</v>
      </c>
      <c r="Q231" s="26">
        <v>4.8920262282214709E-2</v>
      </c>
      <c r="R231" s="26">
        <v>6.6908295610892232E-2</v>
      </c>
      <c r="S231" s="28">
        <v>0</v>
      </c>
      <c r="T231" s="28">
        <v>0</v>
      </c>
      <c r="U231" s="28">
        <v>6.380624323849139E-4</v>
      </c>
      <c r="V231" s="28">
        <v>4.722191823356421E-4</v>
      </c>
      <c r="W231" s="28">
        <v>3.1521137718470738E-4</v>
      </c>
      <c r="X231" s="28">
        <v>5.4538590521143467E-2</v>
      </c>
      <c r="Y231" s="28">
        <v>5.5964083513048733E-2</v>
      </c>
      <c r="Z231" s="30">
        <v>0</v>
      </c>
      <c r="AA231" s="30">
        <v>3.1271735442865911E-3</v>
      </c>
      <c r="AB231" s="30">
        <v>1.125904694358268E-4</v>
      </c>
      <c r="AC231" s="30">
        <v>1.5438989133449149E-4</v>
      </c>
      <c r="AD231" s="30">
        <v>1.406045793518013E-4</v>
      </c>
      <c r="AE231" s="30">
        <v>4.4499296217063557E-3</v>
      </c>
      <c r="AF231" s="30">
        <v>7.9846881061150666E-3</v>
      </c>
      <c r="AG231" s="32">
        <v>0</v>
      </c>
      <c r="AH231" s="32">
        <v>1.6491053126472278E-5</v>
      </c>
      <c r="AI231" s="32">
        <v>4.2194375492552171E-4</v>
      </c>
      <c r="AJ231" s="32">
        <v>3.7507357872791961E-4</v>
      </c>
      <c r="AK231" s="32">
        <v>1.897585526010612E-4</v>
      </c>
      <c r="AL231" s="32">
        <v>1.374556755101566E-2</v>
      </c>
      <c r="AM231" s="32">
        <v>1.4748834490396635E-2</v>
      </c>
      <c r="AN231" s="34">
        <v>0</v>
      </c>
      <c r="AO231" s="34">
        <v>1.179775095002105E-5</v>
      </c>
      <c r="AP231" s="34">
        <v>9.9686790398767734E-7</v>
      </c>
      <c r="AQ231" s="34">
        <v>7.4641524221169363E-7</v>
      </c>
      <c r="AR231" s="34">
        <v>7.7093599963467272E-7</v>
      </c>
      <c r="AS231" s="34">
        <v>1.2522572062321821E-5</v>
      </c>
      <c r="AT231" s="34">
        <v>2.6834542158176915E-5</v>
      </c>
      <c r="AU231" s="36">
        <v>0</v>
      </c>
      <c r="AV231" s="36">
        <v>0</v>
      </c>
      <c r="AW231" s="36">
        <v>1.1152550476134624E-2</v>
      </c>
      <c r="AX231" s="36">
        <v>0.17647448414364728</v>
      </c>
      <c r="AY231" s="36">
        <v>0.15991868555834748</v>
      </c>
      <c r="AZ231" s="36">
        <v>0.7018944944193094</v>
      </c>
      <c r="BA231" s="36">
        <v>1.0494402145974386</v>
      </c>
      <c r="BB231" s="6"/>
      <c r="BC231" s="6"/>
      <c r="BD231" t="s">
        <v>1096</v>
      </c>
      <c r="BF231" s="5">
        <v>6.3126831000000008E-2</v>
      </c>
      <c r="BG231" s="5">
        <f t="shared" si="9"/>
        <v>-3.781464610892224E-3</v>
      </c>
      <c r="BH231" s="2">
        <v>149.24486999999999</v>
      </c>
    </row>
    <row r="232" spans="1:60" x14ac:dyDescent="0.2">
      <c r="A232" t="str">
        <f t="shared" si="10"/>
        <v>Motorbike, electric, 4-11kW - 2030 - NMC - CH</v>
      </c>
      <c r="B232" t="s">
        <v>493</v>
      </c>
      <c r="D232" s="19">
        <v>2030</v>
      </c>
      <c r="E232" t="s">
        <v>37</v>
      </c>
      <c r="F232" t="s">
        <v>140</v>
      </c>
      <c r="G232" t="s">
        <v>39</v>
      </c>
      <c r="H232" t="s">
        <v>32</v>
      </c>
      <c r="I232" t="s">
        <v>43</v>
      </c>
      <c r="J232" t="s">
        <v>861</v>
      </c>
      <c r="L232" s="26">
        <v>0</v>
      </c>
      <c r="M232" s="26">
        <v>0</v>
      </c>
      <c r="N232" s="26">
        <v>1.119382984765889E-3</v>
      </c>
      <c r="O232" s="26">
        <v>1.2306591692257861E-2</v>
      </c>
      <c r="P232" s="26">
        <v>4.5659445792955522E-3</v>
      </c>
      <c r="Q232" s="26">
        <v>5.0847739574879709E-2</v>
      </c>
      <c r="R232" s="26">
        <v>6.883965883119901E-2</v>
      </c>
      <c r="S232" s="28">
        <v>0</v>
      </c>
      <c r="T232" s="28">
        <v>0</v>
      </c>
      <c r="U232" s="28">
        <v>6.380624323849139E-4</v>
      </c>
      <c r="V232" s="28">
        <v>4.722191823356421E-4</v>
      </c>
      <c r="W232" s="28">
        <v>3.1545691978368762E-4</v>
      </c>
      <c r="X232" s="28">
        <v>5.3567251468282361E-2</v>
      </c>
      <c r="Y232" s="28">
        <v>5.4992990002786603E-2</v>
      </c>
      <c r="Z232" s="30">
        <v>0</v>
      </c>
      <c r="AA232" s="30">
        <v>3.1271735442865911E-3</v>
      </c>
      <c r="AB232" s="30">
        <v>1.125904694358268E-4</v>
      </c>
      <c r="AC232" s="30">
        <v>1.5438989133449149E-4</v>
      </c>
      <c r="AD232" s="30">
        <v>1.4071619462922781E-4</v>
      </c>
      <c r="AE232" s="30">
        <v>4.485928208278203E-3</v>
      </c>
      <c r="AF232" s="30">
        <v>8.0207983079643407E-3</v>
      </c>
      <c r="AG232" s="32">
        <v>0</v>
      </c>
      <c r="AH232" s="32">
        <v>1.6491053126472278E-5</v>
      </c>
      <c r="AI232" s="32">
        <v>4.2194375492552171E-4</v>
      </c>
      <c r="AJ232" s="32">
        <v>3.7507357872791961E-4</v>
      </c>
      <c r="AK232" s="32">
        <v>1.8986272028875961E-4</v>
      </c>
      <c r="AL232" s="32">
        <v>1.395166652116028E-2</v>
      </c>
      <c r="AM232" s="32">
        <v>1.4955037628228952E-2</v>
      </c>
      <c r="AN232" s="34">
        <v>0</v>
      </c>
      <c r="AO232" s="34">
        <v>1.179775095002105E-5</v>
      </c>
      <c r="AP232" s="34">
        <v>9.9686790398767734E-7</v>
      </c>
      <c r="AQ232" s="34">
        <v>7.4641524221169363E-7</v>
      </c>
      <c r="AR232" s="34">
        <v>7.713473071708888E-7</v>
      </c>
      <c r="AS232" s="34">
        <v>1.2387130655504919E-5</v>
      </c>
      <c r="AT232" s="34">
        <v>2.6699512058896227E-5</v>
      </c>
      <c r="AU232" s="36">
        <v>0</v>
      </c>
      <c r="AV232" s="36">
        <v>0</v>
      </c>
      <c r="AW232" s="36">
        <v>1.1152550476134624E-2</v>
      </c>
      <c r="AX232" s="36">
        <v>0.17647448414364728</v>
      </c>
      <c r="AY232" s="36">
        <v>0.16004598601543801</v>
      </c>
      <c r="AZ232" s="36">
        <v>0.71896573632358329</v>
      </c>
      <c r="BA232" s="36">
        <v>1.0666387569588032</v>
      </c>
      <c r="BB232" s="6"/>
      <c r="BC232" s="6"/>
      <c r="BD232" t="s">
        <v>916</v>
      </c>
      <c r="BF232" s="5">
        <v>6.3738665E-2</v>
      </c>
      <c r="BG232" s="5">
        <f t="shared" si="9"/>
        <v>-5.1009938311990105E-3</v>
      </c>
      <c r="BH232" s="2">
        <v>147.20254</v>
      </c>
    </row>
    <row r="233" spans="1:60" x14ac:dyDescent="0.2">
      <c r="A233" t="str">
        <f t="shared" si="10"/>
        <v>Motorbike, electric, 4-11kW - 2040 - NMC - CH</v>
      </c>
      <c r="B233" t="s">
        <v>493</v>
      </c>
      <c r="D233" s="19">
        <v>2040</v>
      </c>
      <c r="E233" t="s">
        <v>37</v>
      </c>
      <c r="F233" t="s">
        <v>140</v>
      </c>
      <c r="G233" t="s">
        <v>39</v>
      </c>
      <c r="H233" t="s">
        <v>32</v>
      </c>
      <c r="I233" t="s">
        <v>43</v>
      </c>
      <c r="J233" t="s">
        <v>861</v>
      </c>
      <c r="L233" s="26">
        <v>0</v>
      </c>
      <c r="M233" s="26">
        <v>0</v>
      </c>
      <c r="N233" s="26">
        <v>1.119382984765889E-3</v>
      </c>
      <c r="O233" s="26">
        <v>1.2306591692257861E-2</v>
      </c>
      <c r="P233" s="26">
        <v>4.5649187894673806E-3</v>
      </c>
      <c r="Q233" s="26">
        <v>4.9945219518561797E-2</v>
      </c>
      <c r="R233" s="26">
        <v>6.7936112985052921E-2</v>
      </c>
      <c r="S233" s="28">
        <v>0</v>
      </c>
      <c r="T233" s="28">
        <v>0</v>
      </c>
      <c r="U233" s="28">
        <v>6.380624323849139E-4</v>
      </c>
      <c r="V233" s="28">
        <v>4.722191823356421E-4</v>
      </c>
      <c r="W233" s="28">
        <v>3.1539210254475888E-4</v>
      </c>
      <c r="X233" s="28">
        <v>4.8628720590393887E-2</v>
      </c>
      <c r="Y233" s="28">
        <v>5.0054394307659199E-2</v>
      </c>
      <c r="Z233" s="30">
        <v>0</v>
      </c>
      <c r="AA233" s="30">
        <v>3.1271735442865911E-3</v>
      </c>
      <c r="AB233" s="30">
        <v>1.125904694358268E-4</v>
      </c>
      <c r="AC233" s="30">
        <v>1.5438989133449149E-4</v>
      </c>
      <c r="AD233" s="30">
        <v>1.4068673092665601E-4</v>
      </c>
      <c r="AE233" s="30">
        <v>4.164853860023532E-3</v>
      </c>
      <c r="AF233" s="30">
        <v>7.6996944960070974E-3</v>
      </c>
      <c r="AG233" s="32">
        <v>0</v>
      </c>
      <c r="AH233" s="32">
        <v>1.6491053126472278E-5</v>
      </c>
      <c r="AI233" s="32">
        <v>4.2194375492552171E-4</v>
      </c>
      <c r="AJ233" s="32">
        <v>3.7507357872791961E-4</v>
      </c>
      <c r="AK233" s="32">
        <v>1.8983522256767069E-4</v>
      </c>
      <c r="AL233" s="32">
        <v>1.321361617131683E-2</v>
      </c>
      <c r="AM233" s="32">
        <v>1.4216959780664415E-2</v>
      </c>
      <c r="AN233" s="34">
        <v>0</v>
      </c>
      <c r="AO233" s="34">
        <v>1.179775095002105E-5</v>
      </c>
      <c r="AP233" s="34">
        <v>9.9686790398767734E-7</v>
      </c>
      <c r="AQ233" s="34">
        <v>7.4641524221169363E-7</v>
      </c>
      <c r="AR233" s="34">
        <v>7.7123873204397056E-7</v>
      </c>
      <c r="AS233" s="34">
        <v>1.1517811144698971E-5</v>
      </c>
      <c r="AT233" s="34">
        <v>2.583008397296336E-5</v>
      </c>
      <c r="AU233" s="36">
        <v>0</v>
      </c>
      <c r="AV233" s="36">
        <v>0</v>
      </c>
      <c r="AW233" s="36">
        <v>1.1152550476134624E-2</v>
      </c>
      <c r="AX233" s="36">
        <v>0.17647448414364728</v>
      </c>
      <c r="AY233" s="36">
        <v>0.16001238180917302</v>
      </c>
      <c r="AZ233" s="36">
        <v>0.69632105167146874</v>
      </c>
      <c r="BA233" s="36">
        <v>1.0439604681004235</v>
      </c>
      <c r="BB233" s="6"/>
      <c r="BC233" s="6"/>
      <c r="BD233" t="s">
        <v>1097</v>
      </c>
      <c r="BF233" s="5">
        <v>6.2810210000000005E-2</v>
      </c>
      <c r="BG233" s="5">
        <f t="shared" si="9"/>
        <v>-5.1259029850529159E-3</v>
      </c>
      <c r="BH233" s="2">
        <v>137.95820000000001</v>
      </c>
    </row>
    <row r="234" spans="1:60" x14ac:dyDescent="0.2">
      <c r="A234" t="str">
        <f t="shared" si="10"/>
        <v>Motorbike, electric, 4-11kW - 2050 - NMC - CH</v>
      </c>
      <c r="B234" t="s">
        <v>493</v>
      </c>
      <c r="D234" s="19">
        <v>2050</v>
      </c>
      <c r="E234" t="s">
        <v>37</v>
      </c>
      <c r="F234" t="s">
        <v>140</v>
      </c>
      <c r="G234" t="s">
        <v>39</v>
      </c>
      <c r="H234" t="s">
        <v>32</v>
      </c>
      <c r="I234" t="s">
        <v>43</v>
      </c>
      <c r="J234" t="s">
        <v>861</v>
      </c>
      <c r="L234" s="26">
        <v>0</v>
      </c>
      <c r="M234" s="26">
        <v>0</v>
      </c>
      <c r="N234" s="26">
        <v>1.119382984765889E-3</v>
      </c>
      <c r="O234" s="26">
        <v>7.9912933066609501E-3</v>
      </c>
      <c r="P234" s="26">
        <v>4.5678381722821411E-3</v>
      </c>
      <c r="Q234" s="26">
        <v>6.9598585968083854E-2</v>
      </c>
      <c r="R234" s="26">
        <v>8.327710043179283E-2</v>
      </c>
      <c r="S234" s="28">
        <v>0</v>
      </c>
      <c r="T234" s="28">
        <v>0</v>
      </c>
      <c r="U234" s="28">
        <v>6.380624323849139E-4</v>
      </c>
      <c r="V234" s="28">
        <v>3.0663583268548191E-4</v>
      </c>
      <c r="W234" s="28">
        <v>3.1557657145664722E-4</v>
      </c>
      <c r="X234" s="28">
        <v>8.1519463305638695E-2</v>
      </c>
      <c r="Y234" s="28">
        <v>8.2779738142165743E-2</v>
      </c>
      <c r="Z234" s="30">
        <v>0</v>
      </c>
      <c r="AA234" s="30">
        <v>3.1271735442865911E-3</v>
      </c>
      <c r="AB234" s="30">
        <v>1.125904694358268E-4</v>
      </c>
      <c r="AC234" s="30">
        <v>1.002531761912283E-4</v>
      </c>
      <c r="AD234" s="30">
        <v>1.4077058419229089E-4</v>
      </c>
      <c r="AE234" s="30">
        <v>6.9441795490579172E-3</v>
      </c>
      <c r="AF234" s="30">
        <v>1.0424967323163854E-2</v>
      </c>
      <c r="AG234" s="32">
        <v>0</v>
      </c>
      <c r="AH234" s="32">
        <v>1.6491053126472278E-5</v>
      </c>
      <c r="AI234" s="32">
        <v>4.2194375492552171E-4</v>
      </c>
      <c r="AJ234" s="32">
        <v>2.4355427190124649E-4</v>
      </c>
      <c r="AK234" s="32">
        <v>1.899134806788231E-4</v>
      </c>
      <c r="AL234" s="32">
        <v>2.0417785969691168E-2</v>
      </c>
      <c r="AM234" s="32">
        <v>2.1289688530323231E-2</v>
      </c>
      <c r="AN234" s="34">
        <v>0</v>
      </c>
      <c r="AO234" s="34">
        <v>1.179775095002105E-5</v>
      </c>
      <c r="AP234" s="34">
        <v>9.9686790398767734E-7</v>
      </c>
      <c r="AQ234" s="34">
        <v>4.8468522221538551E-7</v>
      </c>
      <c r="AR234" s="34">
        <v>7.7154773526366578E-7</v>
      </c>
      <c r="AS234" s="34">
        <v>1.751999621691411E-5</v>
      </c>
      <c r="AT234" s="34">
        <v>3.1570848028401886E-5</v>
      </c>
      <c r="AU234" s="36">
        <v>0</v>
      </c>
      <c r="AV234" s="36">
        <v>0</v>
      </c>
      <c r="AW234" s="36">
        <v>1.1152550476134624E-2</v>
      </c>
      <c r="AX234" s="36">
        <v>0.1145938208724982</v>
      </c>
      <c r="AY234" s="36">
        <v>0.16010801888762657</v>
      </c>
      <c r="AZ234" s="36">
        <v>0.98629421917407689</v>
      </c>
      <c r="BA234" s="36">
        <v>1.2721486094103363</v>
      </c>
      <c r="BB234" s="6"/>
      <c r="BC234" s="6"/>
      <c r="BD234" t="s">
        <v>1098</v>
      </c>
      <c r="BF234" s="5">
        <v>7.0718003999999987E-2</v>
      </c>
      <c r="BG234" s="5">
        <f t="shared" si="9"/>
        <v>-1.2559096431792843E-2</v>
      </c>
      <c r="BH234" s="2">
        <v>194.50388000000001</v>
      </c>
    </row>
    <row r="235" spans="1:60" x14ac:dyDescent="0.2">
      <c r="A235" t="str">
        <f t="shared" si="10"/>
        <v>Motorbike, electric, 11-35kW - 2020 - NMC - CH</v>
      </c>
      <c r="B235" t="s">
        <v>494</v>
      </c>
      <c r="D235" s="19">
        <v>2020</v>
      </c>
      <c r="E235" t="s">
        <v>37</v>
      </c>
      <c r="F235" t="s">
        <v>140</v>
      </c>
      <c r="G235" t="s">
        <v>39</v>
      </c>
      <c r="H235" t="s">
        <v>32</v>
      </c>
      <c r="I235" t="s">
        <v>43</v>
      </c>
      <c r="J235" t="s">
        <v>861</v>
      </c>
      <c r="L235" s="26">
        <v>0</v>
      </c>
      <c r="M235" s="26">
        <v>0</v>
      </c>
      <c r="N235" s="26">
        <v>1.5152004931467059E-3</v>
      </c>
      <c r="O235" s="26">
        <v>1.2306591692257861E-2</v>
      </c>
      <c r="P235" s="26">
        <v>4.8377632773803636E-3</v>
      </c>
      <c r="Q235" s="26">
        <v>5.8569053018428567E-2</v>
      </c>
      <c r="R235" s="26">
        <v>7.722860848121349E-2</v>
      </c>
      <c r="S235" s="28">
        <v>0</v>
      </c>
      <c r="T235" s="28">
        <v>0</v>
      </c>
      <c r="U235" s="28">
        <v>8.6368340895427004E-4</v>
      </c>
      <c r="V235" s="28">
        <v>4.722191823356421E-4</v>
      </c>
      <c r="W235" s="28">
        <v>3.3263250196944769E-4</v>
      </c>
      <c r="X235" s="28">
        <v>7.9376902193139781E-2</v>
      </c>
      <c r="Y235" s="28">
        <v>8.1045437286399138E-2</v>
      </c>
      <c r="Z235" s="30">
        <v>0</v>
      </c>
      <c r="AA235" s="30">
        <v>3.1271735442865911E-3</v>
      </c>
      <c r="AB235" s="30">
        <v>1.5240283007201779E-4</v>
      </c>
      <c r="AC235" s="30">
        <v>1.5438989133449149E-4</v>
      </c>
      <c r="AD235" s="30">
        <v>1.4852362754957401E-4</v>
      </c>
      <c r="AE235" s="30">
        <v>6.4606502229099154E-3</v>
      </c>
      <c r="AF235" s="30">
        <v>1.004314011615259E-2</v>
      </c>
      <c r="AG235" s="32">
        <v>0</v>
      </c>
      <c r="AH235" s="32">
        <v>1.6491053126472278E-5</v>
      </c>
      <c r="AI235" s="32">
        <v>5.7114445569050236E-4</v>
      </c>
      <c r="AJ235" s="32">
        <v>3.7507357872791961E-4</v>
      </c>
      <c r="AK235" s="32">
        <v>1.971491980266176E-4</v>
      </c>
      <c r="AL235" s="32">
        <v>1.8523386487649372E-2</v>
      </c>
      <c r="AM235" s="32">
        <v>1.9683244773220882E-2</v>
      </c>
      <c r="AN235" s="34">
        <v>0</v>
      </c>
      <c r="AO235" s="34">
        <v>1.179775095002105E-5</v>
      </c>
      <c r="AP235" s="34">
        <v>1.349363676490181E-6</v>
      </c>
      <c r="AQ235" s="34">
        <v>7.4641524221169363E-7</v>
      </c>
      <c r="AR235" s="34">
        <v>8.0011806394075551E-7</v>
      </c>
      <c r="AS235" s="34">
        <v>1.666699152436914E-5</v>
      </c>
      <c r="AT235" s="34">
        <v>3.1360639457032821E-5</v>
      </c>
      <c r="AU235" s="36">
        <v>0</v>
      </c>
      <c r="AV235" s="36">
        <v>0</v>
      </c>
      <c r="AW235" s="36">
        <v>1.5096129038281648E-2</v>
      </c>
      <c r="AX235" s="36">
        <v>0.17647448414364728</v>
      </c>
      <c r="AY235" s="36">
        <v>0.16895058942080754</v>
      </c>
      <c r="AZ235" s="36">
        <v>0.86034454505320113</v>
      </c>
      <c r="BA235" s="36">
        <v>1.2208657476559375</v>
      </c>
      <c r="BB235" s="6"/>
      <c r="BC235" s="6"/>
      <c r="BD235" t="s">
        <v>909</v>
      </c>
      <c r="BF235" s="5">
        <v>6.8050756000000004E-2</v>
      </c>
      <c r="BG235" s="5">
        <f t="shared" si="9"/>
        <v>-9.177852481213486E-3</v>
      </c>
      <c r="BH235" s="2">
        <v>195.03688</v>
      </c>
    </row>
    <row r="236" spans="1:60" x14ac:dyDescent="0.2">
      <c r="A236" t="str">
        <f t="shared" si="10"/>
        <v>Motorbike, electric, 11-35kW - 2030 - NMC - CH</v>
      </c>
      <c r="B236" t="s">
        <v>494</v>
      </c>
      <c r="D236" s="19">
        <v>2030</v>
      </c>
      <c r="E236" t="s">
        <v>37</v>
      </c>
      <c r="F236" t="s">
        <v>140</v>
      </c>
      <c r="G236" t="s">
        <v>39</v>
      </c>
      <c r="H236" t="s">
        <v>32</v>
      </c>
      <c r="I236" t="s">
        <v>43</v>
      </c>
      <c r="J236" t="s">
        <v>861</v>
      </c>
      <c r="L236" s="26">
        <v>0</v>
      </c>
      <c r="M236" s="26">
        <v>0</v>
      </c>
      <c r="N236" s="26">
        <v>1.5152004931467059E-3</v>
      </c>
      <c r="O236" s="26">
        <v>1.2306591692257861E-2</v>
      </c>
      <c r="P236" s="26">
        <v>4.8395234313287488E-3</v>
      </c>
      <c r="Q236" s="26">
        <v>5.6848945373648319E-2</v>
      </c>
      <c r="R236" s="26">
        <v>7.5510260990381634E-2</v>
      </c>
      <c r="S236" s="28">
        <v>0</v>
      </c>
      <c r="T236" s="28">
        <v>0</v>
      </c>
      <c r="U236" s="28">
        <v>8.6368340895427004E-4</v>
      </c>
      <c r="V236" s="28">
        <v>4.722191823356421E-4</v>
      </c>
      <c r="W236" s="28">
        <v>3.3274372194442772E-4</v>
      </c>
      <c r="X236" s="28">
        <v>7.2166381107043945E-2</v>
      </c>
      <c r="Y236" s="28">
        <v>7.3835027420278282E-2</v>
      </c>
      <c r="Z236" s="30">
        <v>0</v>
      </c>
      <c r="AA236" s="30">
        <v>3.1271735442865911E-3</v>
      </c>
      <c r="AB236" s="30">
        <v>1.5240283007201779E-4</v>
      </c>
      <c r="AC236" s="30">
        <v>1.5438989133449149E-4</v>
      </c>
      <c r="AD236" s="30">
        <v>1.4857418435077391E-4</v>
      </c>
      <c r="AE236" s="30">
        <v>5.9730944153691054E-3</v>
      </c>
      <c r="AF236" s="30">
        <v>9.5556348654129795E-3</v>
      </c>
      <c r="AG236" s="32">
        <v>0</v>
      </c>
      <c r="AH236" s="32">
        <v>1.6491053126472278E-5</v>
      </c>
      <c r="AI236" s="32">
        <v>5.7114445569050236E-4</v>
      </c>
      <c r="AJ236" s="32">
        <v>3.7507357872791961E-4</v>
      </c>
      <c r="AK236" s="32">
        <v>1.971963813979253E-4</v>
      </c>
      <c r="AL236" s="32">
        <v>1.7377269998704599E-2</v>
      </c>
      <c r="AM236" s="32">
        <v>1.8537175467647417E-2</v>
      </c>
      <c r="AN236" s="34">
        <v>0</v>
      </c>
      <c r="AO236" s="34">
        <v>1.179775095002105E-5</v>
      </c>
      <c r="AP236" s="34">
        <v>1.349363676490181E-6</v>
      </c>
      <c r="AQ236" s="34">
        <v>7.4641524221169363E-7</v>
      </c>
      <c r="AR236" s="34">
        <v>8.0030436812616762E-7</v>
      </c>
      <c r="AS236" s="34">
        <v>1.5392959304160391E-5</v>
      </c>
      <c r="AT236" s="34">
        <v>3.0086793541009483E-5</v>
      </c>
      <c r="AU236" s="36">
        <v>0</v>
      </c>
      <c r="AV236" s="36">
        <v>0</v>
      </c>
      <c r="AW236" s="36">
        <v>1.5096129038281648E-2</v>
      </c>
      <c r="AX236" s="36">
        <v>0.17647448414364728</v>
      </c>
      <c r="AY236" s="36">
        <v>0.16900825091706656</v>
      </c>
      <c r="AZ236" s="36">
        <v>0.82320647866840024</v>
      </c>
      <c r="BA236" s="36">
        <v>1.1837853427673957</v>
      </c>
      <c r="BB236" s="6"/>
      <c r="BC236" s="6"/>
      <c r="BD236" t="s">
        <v>1099</v>
      </c>
      <c r="BF236" s="5">
        <v>6.6553926999999999E-2</v>
      </c>
      <c r="BG236" s="5">
        <f t="shared" si="9"/>
        <v>-8.9563339903816347E-3</v>
      </c>
      <c r="BH236" s="2">
        <v>181.59727000000001</v>
      </c>
    </row>
    <row r="237" spans="1:60" x14ac:dyDescent="0.2">
      <c r="A237" t="str">
        <f t="shared" si="10"/>
        <v>Motorbike, electric, 11-35kW - 2040 - NMC - CH</v>
      </c>
      <c r="B237" t="s">
        <v>494</v>
      </c>
      <c r="D237" s="19">
        <v>2040</v>
      </c>
      <c r="E237" t="s">
        <v>37</v>
      </c>
      <c r="F237" t="s">
        <v>140</v>
      </c>
      <c r="G237" t="s">
        <v>39</v>
      </c>
      <c r="H237" t="s">
        <v>32</v>
      </c>
      <c r="I237" t="s">
        <v>43</v>
      </c>
      <c r="J237" t="s">
        <v>861</v>
      </c>
      <c r="L237" s="26">
        <v>0</v>
      </c>
      <c r="M237" s="26">
        <v>0</v>
      </c>
      <c r="N237" s="26">
        <v>1.5152004931467059E-3</v>
      </c>
      <c r="O237" s="26">
        <v>1.2306591692257861E-2</v>
      </c>
      <c r="P237" s="26">
        <v>4.8429982180027134E-3</v>
      </c>
      <c r="Q237" s="26">
        <v>5.3684904657885529E-2</v>
      </c>
      <c r="R237" s="26">
        <v>7.234969506129281E-2</v>
      </c>
      <c r="S237" s="28">
        <v>0</v>
      </c>
      <c r="T237" s="28">
        <v>0</v>
      </c>
      <c r="U237" s="28">
        <v>8.6368340895427004E-4</v>
      </c>
      <c r="V237" s="28">
        <v>4.722191823356421E-4</v>
      </c>
      <c r="W237" s="28">
        <v>3.3296328551572421E-4</v>
      </c>
      <c r="X237" s="28">
        <v>6.337911973557539E-2</v>
      </c>
      <c r="Y237" s="28">
        <v>6.5047985612381024E-2</v>
      </c>
      <c r="Z237" s="30">
        <v>0</v>
      </c>
      <c r="AA237" s="30">
        <v>3.1271735442865911E-3</v>
      </c>
      <c r="AB237" s="30">
        <v>1.5240283007201779E-4</v>
      </c>
      <c r="AC237" s="30">
        <v>1.5438989133449149E-4</v>
      </c>
      <c r="AD237" s="30">
        <v>1.4867399044969431E-4</v>
      </c>
      <c r="AE237" s="30">
        <v>5.3287854582830261E-3</v>
      </c>
      <c r="AF237" s="30">
        <v>8.9114257144258212E-3</v>
      </c>
      <c r="AG237" s="32">
        <v>0</v>
      </c>
      <c r="AH237" s="32">
        <v>1.6491053126472278E-5</v>
      </c>
      <c r="AI237" s="32">
        <v>5.7114445569050236E-4</v>
      </c>
      <c r="AJ237" s="32">
        <v>3.7507357872791961E-4</v>
      </c>
      <c r="AK237" s="32">
        <v>1.9728952788093779E-4</v>
      </c>
      <c r="AL237" s="32">
        <v>1.5801163181385459E-2</v>
      </c>
      <c r="AM237" s="32">
        <v>1.6961161796811289E-2</v>
      </c>
      <c r="AN237" s="34">
        <v>0</v>
      </c>
      <c r="AO237" s="34">
        <v>1.179775095002105E-5</v>
      </c>
      <c r="AP237" s="34">
        <v>1.349363676490181E-6</v>
      </c>
      <c r="AQ237" s="34">
        <v>7.4641524221169363E-7</v>
      </c>
      <c r="AR237" s="34">
        <v>8.0067215828530021E-7</v>
      </c>
      <c r="AS237" s="34">
        <v>1.382403194090753E-5</v>
      </c>
      <c r="AT237" s="34">
        <v>2.8518233967915754E-5</v>
      </c>
      <c r="AU237" s="36">
        <v>0</v>
      </c>
      <c r="AV237" s="36">
        <v>0</v>
      </c>
      <c r="AW237" s="36">
        <v>1.5096129038281648E-2</v>
      </c>
      <c r="AX237" s="36">
        <v>0.17647448414364728</v>
      </c>
      <c r="AY237" s="36">
        <v>0.16912208266399173</v>
      </c>
      <c r="AZ237" s="36">
        <v>0.76706184836719249</v>
      </c>
      <c r="BA237" s="36">
        <v>1.1277545442131132</v>
      </c>
      <c r="BB237" s="6"/>
      <c r="BC237" s="6"/>
      <c r="BD237" t="s">
        <v>1100</v>
      </c>
      <c r="BF237" s="5">
        <v>6.4338407E-2</v>
      </c>
      <c r="BG237" s="5">
        <f t="shared" si="9"/>
        <v>-8.0112880612928095E-3</v>
      </c>
      <c r="BH237" s="2">
        <v>165.36508000000001</v>
      </c>
    </row>
    <row r="238" spans="1:60" x14ac:dyDescent="0.2">
      <c r="A238" t="str">
        <f t="shared" si="10"/>
        <v>Motorbike, electric, 11-35kW - 2050 - NMC - CH</v>
      </c>
      <c r="B238" t="s">
        <v>494</v>
      </c>
      <c r="D238" s="19">
        <v>2050</v>
      </c>
      <c r="E238" t="s">
        <v>37</v>
      </c>
      <c r="F238" t="s">
        <v>140</v>
      </c>
      <c r="G238" t="s">
        <v>39</v>
      </c>
      <c r="H238" t="s">
        <v>32</v>
      </c>
      <c r="I238" t="s">
        <v>43</v>
      </c>
      <c r="J238" t="s">
        <v>861</v>
      </c>
      <c r="L238" s="26">
        <v>0</v>
      </c>
      <c r="M238" s="26">
        <v>0</v>
      </c>
      <c r="N238" s="26">
        <v>1.5152004931467059E-3</v>
      </c>
      <c r="O238" s="26">
        <v>1.16988587691834E-2</v>
      </c>
      <c r="P238" s="26">
        <v>4.8421333147694546E-3</v>
      </c>
      <c r="Q238" s="26">
        <v>8.1215900047141174E-2</v>
      </c>
      <c r="R238" s="26">
        <v>9.9272092624240735E-2</v>
      </c>
      <c r="S238" s="28">
        <v>0</v>
      </c>
      <c r="T238" s="28">
        <v>0</v>
      </c>
      <c r="U238" s="28">
        <v>8.6368340895427004E-4</v>
      </c>
      <c r="V238" s="28">
        <v>4.4889971654128941E-4</v>
      </c>
      <c r="W238" s="28">
        <v>3.3290863432112197E-4</v>
      </c>
      <c r="X238" s="28">
        <v>0.1117595975810074</v>
      </c>
      <c r="Y238" s="28">
        <v>0.11340508934082408</v>
      </c>
      <c r="Z238" s="30">
        <v>0</v>
      </c>
      <c r="AA238" s="30">
        <v>3.1271735442865911E-3</v>
      </c>
      <c r="AB238" s="30">
        <v>1.5240283007201779E-4</v>
      </c>
      <c r="AC238" s="30">
        <v>1.4676569916982529E-4</v>
      </c>
      <c r="AD238" s="30">
        <v>1.486491478835875E-4</v>
      </c>
      <c r="AE238" s="30">
        <v>9.3519976039321637E-3</v>
      </c>
      <c r="AF238" s="30">
        <v>1.2926988825344186E-2</v>
      </c>
      <c r="AG238" s="32">
        <v>0</v>
      </c>
      <c r="AH238" s="32">
        <v>1.6491053126472278E-5</v>
      </c>
      <c r="AI238" s="32">
        <v>5.7114445569050236E-4</v>
      </c>
      <c r="AJ238" s="32">
        <v>3.5655142669197291E-4</v>
      </c>
      <c r="AK238" s="32">
        <v>1.9726634294848491E-4</v>
      </c>
      <c r="AL238" s="32">
        <v>2.6169038215186489E-2</v>
      </c>
      <c r="AM238" s="32">
        <v>2.731049149364392E-2</v>
      </c>
      <c r="AN238" s="34">
        <v>0</v>
      </c>
      <c r="AO238" s="34">
        <v>1.179775095002105E-5</v>
      </c>
      <c r="AP238" s="34">
        <v>1.349363676490181E-6</v>
      </c>
      <c r="AQ238" s="34">
        <v>7.095552302506223E-7</v>
      </c>
      <c r="AR238" s="34">
        <v>8.0058061226315808E-7</v>
      </c>
      <c r="AS238" s="34">
        <v>2.2628354772369259E-5</v>
      </c>
      <c r="AT238" s="34">
        <v>3.7285605241394268E-5</v>
      </c>
      <c r="AU238" s="36">
        <v>0</v>
      </c>
      <c r="AV238" s="36">
        <v>0</v>
      </c>
      <c r="AW238" s="36">
        <v>1.5096129038281648E-2</v>
      </c>
      <c r="AX238" s="36">
        <v>0.16775969480322017</v>
      </c>
      <c r="AY238" s="36">
        <v>0.16909374899772653</v>
      </c>
      <c r="AZ238" s="36">
        <v>1.1794801664521959</v>
      </c>
      <c r="BA238" s="36">
        <v>1.5314297392914242</v>
      </c>
      <c r="BB238" s="6"/>
      <c r="BC238" s="6"/>
      <c r="BD238" t="s">
        <v>1101</v>
      </c>
      <c r="BF238" s="5">
        <v>7.9935365000000008E-2</v>
      </c>
      <c r="BG238" s="5">
        <f t="shared" si="9"/>
        <v>-1.9336727624240727E-2</v>
      </c>
      <c r="BH238" s="2">
        <v>253.26034000000001</v>
      </c>
    </row>
    <row r="239" spans="1:60" x14ac:dyDescent="0.2">
      <c r="A239" t="str">
        <f t="shared" si="10"/>
        <v>Motorbike, electric, &gt;35kW - 2020 - NMC - CH</v>
      </c>
      <c r="B239" t="s">
        <v>495</v>
      </c>
      <c r="D239" s="19">
        <v>2020</v>
      </c>
      <c r="E239" t="s">
        <v>37</v>
      </c>
      <c r="F239" t="s">
        <v>140</v>
      </c>
      <c r="G239" t="s">
        <v>39</v>
      </c>
      <c r="H239" t="s">
        <v>32</v>
      </c>
      <c r="I239" t="s">
        <v>43</v>
      </c>
      <c r="J239" t="s">
        <v>861</v>
      </c>
      <c r="L239" s="26">
        <v>0</v>
      </c>
      <c r="M239" s="26">
        <v>0</v>
      </c>
      <c r="N239" s="26">
        <v>1.689725966023888E-3</v>
      </c>
      <c r="O239" s="26">
        <v>1.2306591692257861E-2</v>
      </c>
      <c r="P239" s="26">
        <v>5.2439946696746179E-3</v>
      </c>
      <c r="Q239" s="26">
        <v>9.3549221229405455E-2</v>
      </c>
      <c r="R239" s="26">
        <v>0.11278953355736182</v>
      </c>
      <c r="S239" s="28">
        <v>0</v>
      </c>
      <c r="T239" s="28">
        <v>0</v>
      </c>
      <c r="U239" s="28">
        <v>9.63165131700334E-4</v>
      </c>
      <c r="V239" s="28">
        <v>4.722191823356421E-4</v>
      </c>
      <c r="W239" s="28">
        <v>3.5830130516049491E-4</v>
      </c>
      <c r="X239" s="28">
        <v>0.13974324927312981</v>
      </c>
      <c r="Y239" s="28">
        <v>0.14153693489232627</v>
      </c>
      <c r="Z239" s="30">
        <v>0</v>
      </c>
      <c r="AA239" s="30">
        <v>3.1271735442865911E-3</v>
      </c>
      <c r="AB239" s="30">
        <v>1.699570587740569E-4</v>
      </c>
      <c r="AC239" s="30">
        <v>1.5438989133449149E-4</v>
      </c>
      <c r="AD239" s="30">
        <v>1.6019178859891651E-4</v>
      </c>
      <c r="AE239" s="30">
        <v>1.1422930737701731E-2</v>
      </c>
      <c r="AF239" s="30">
        <v>1.5034643020695787E-2</v>
      </c>
      <c r="AG239" s="32">
        <v>0</v>
      </c>
      <c r="AH239" s="32">
        <v>1.6491053126472278E-5</v>
      </c>
      <c r="AI239" s="32">
        <v>6.3693063821975663E-4</v>
      </c>
      <c r="AJ239" s="32">
        <v>3.7507357872791961E-4</v>
      </c>
      <c r="AK239" s="32">
        <v>2.0803879472186621E-4</v>
      </c>
      <c r="AL239" s="32">
        <v>3.1439545680802601E-2</v>
      </c>
      <c r="AM239" s="32">
        <v>3.2676079745598614E-2</v>
      </c>
      <c r="AN239" s="34">
        <v>0</v>
      </c>
      <c r="AO239" s="34">
        <v>1.179775095002105E-5</v>
      </c>
      <c r="AP239" s="34">
        <v>1.5047875525962851E-6</v>
      </c>
      <c r="AQ239" s="34">
        <v>7.4641524221169363E-7</v>
      </c>
      <c r="AR239" s="34">
        <v>8.4311578507742115E-7</v>
      </c>
      <c r="AS239" s="34">
        <v>2.8455953069981901E-5</v>
      </c>
      <c r="AT239" s="34">
        <v>4.334802259988835E-5</v>
      </c>
      <c r="AU239" s="36">
        <v>0</v>
      </c>
      <c r="AV239" s="36">
        <v>0</v>
      </c>
      <c r="AW239" s="36">
        <v>1.6834947809089666E-2</v>
      </c>
      <c r="AX239" s="36">
        <v>0.17647448414364728</v>
      </c>
      <c r="AY239" s="36">
        <v>0.18225846509190186</v>
      </c>
      <c r="AZ239" s="36">
        <v>1.3945357778305667</v>
      </c>
      <c r="BA239" s="36">
        <v>1.7701036748752055</v>
      </c>
      <c r="BB239" s="6"/>
      <c r="BC239" s="6"/>
      <c r="BD239" t="s">
        <v>905</v>
      </c>
      <c r="BF239" s="5">
        <v>9.2101022000000005E-2</v>
      </c>
      <c r="BG239" s="5">
        <f t="shared" si="9"/>
        <v>-2.0688511557361816E-2</v>
      </c>
      <c r="BH239" s="2">
        <v>311.22433999999998</v>
      </c>
    </row>
    <row r="240" spans="1:60" x14ac:dyDescent="0.2">
      <c r="A240" t="str">
        <f t="shared" si="10"/>
        <v>Motorbike, electric, &gt;35kW - 2030 - NMC - CH</v>
      </c>
      <c r="B240" t="s">
        <v>495</v>
      </c>
      <c r="D240" s="19">
        <v>2030</v>
      </c>
      <c r="E240" t="s">
        <v>37</v>
      </c>
      <c r="F240" t="s">
        <v>140</v>
      </c>
      <c r="G240" t="s">
        <v>39</v>
      </c>
      <c r="H240" t="s">
        <v>32</v>
      </c>
      <c r="I240" t="s">
        <v>43</v>
      </c>
      <c r="J240" t="s">
        <v>861</v>
      </c>
      <c r="L240" s="26">
        <v>0</v>
      </c>
      <c r="M240" s="26">
        <v>0</v>
      </c>
      <c r="N240" s="26">
        <v>1.689725966023888E-3</v>
      </c>
      <c r="O240" s="26">
        <v>1.2306591692257861E-2</v>
      </c>
      <c r="P240" s="26">
        <v>5.2456030862136592E-3</v>
      </c>
      <c r="Q240" s="26">
        <v>8.7888747837589959E-2</v>
      </c>
      <c r="R240" s="26">
        <v>0.10713066858208536</v>
      </c>
      <c r="S240" s="28">
        <v>0</v>
      </c>
      <c r="T240" s="28">
        <v>0</v>
      </c>
      <c r="U240" s="28">
        <v>9.63165131700334E-4</v>
      </c>
      <c r="V240" s="28">
        <v>4.722191823356421E-4</v>
      </c>
      <c r="W240" s="28">
        <v>3.5840293720659718E-4</v>
      </c>
      <c r="X240" s="28">
        <v>0.1236173950741264</v>
      </c>
      <c r="Y240" s="28">
        <v>0.12541118232536896</v>
      </c>
      <c r="Z240" s="30">
        <v>0</v>
      </c>
      <c r="AA240" s="30">
        <v>3.1271735442865911E-3</v>
      </c>
      <c r="AB240" s="30">
        <v>1.699570587740569E-4</v>
      </c>
      <c r="AC240" s="30">
        <v>1.5438989133449149E-4</v>
      </c>
      <c r="AD240" s="30">
        <v>1.6023798705518531E-4</v>
      </c>
      <c r="AE240" s="30">
        <v>1.0247226366538621E-2</v>
      </c>
      <c r="AF240" s="30">
        <v>1.3858984847988944E-2</v>
      </c>
      <c r="AG240" s="32">
        <v>0</v>
      </c>
      <c r="AH240" s="32">
        <v>1.6491053126472278E-5</v>
      </c>
      <c r="AI240" s="32">
        <v>6.3693063821975663E-4</v>
      </c>
      <c r="AJ240" s="32">
        <v>3.7507357872791961E-4</v>
      </c>
      <c r="AK240" s="32">
        <v>2.080819105611646E-4</v>
      </c>
      <c r="AL240" s="32">
        <v>2.8572910874845901E-2</v>
      </c>
      <c r="AM240" s="32">
        <v>2.9809488055481212E-2</v>
      </c>
      <c r="AN240" s="34">
        <v>0</v>
      </c>
      <c r="AO240" s="34">
        <v>1.179775095002105E-5</v>
      </c>
      <c r="AP240" s="34">
        <v>1.5047875525962851E-6</v>
      </c>
      <c r="AQ240" s="34">
        <v>7.4641524221169363E-7</v>
      </c>
      <c r="AR240" s="34">
        <v>8.4328602855719433E-7</v>
      </c>
      <c r="AS240" s="34">
        <v>2.5577196355962291E-5</v>
      </c>
      <c r="AT240" s="34">
        <v>4.0469436129348512E-5</v>
      </c>
      <c r="AU240" s="36">
        <v>0</v>
      </c>
      <c r="AV240" s="36">
        <v>0</v>
      </c>
      <c r="AW240" s="36">
        <v>1.6834947809089666E-2</v>
      </c>
      <c r="AX240" s="36">
        <v>0.17647448414364728</v>
      </c>
      <c r="AY240" s="36">
        <v>0.18231115576951787</v>
      </c>
      <c r="AZ240" s="36">
        <v>1.292956185038838</v>
      </c>
      <c r="BA240" s="36">
        <v>1.6685767727610927</v>
      </c>
      <c r="BB240" s="6"/>
      <c r="BC240" s="6"/>
      <c r="BD240" t="s">
        <v>1102</v>
      </c>
      <c r="BF240" s="5">
        <v>8.8069887000000013E-2</v>
      </c>
      <c r="BG240" s="5">
        <f t="shared" si="9"/>
        <v>-1.9060781582085351E-2</v>
      </c>
      <c r="BH240" s="2">
        <v>281.34589999999997</v>
      </c>
    </row>
    <row r="241" spans="1:60" x14ac:dyDescent="0.2">
      <c r="A241" t="str">
        <f t="shared" si="10"/>
        <v>Motorbike, electric, &gt;35kW - 2040 - NMC - CH</v>
      </c>
      <c r="B241" t="s">
        <v>495</v>
      </c>
      <c r="D241" s="19">
        <v>2040</v>
      </c>
      <c r="E241" t="s">
        <v>37</v>
      </c>
      <c r="F241" t="s">
        <v>140</v>
      </c>
      <c r="G241" t="s">
        <v>39</v>
      </c>
      <c r="H241" t="s">
        <v>32</v>
      </c>
      <c r="I241" t="s">
        <v>43</v>
      </c>
      <c r="J241" t="s">
        <v>861</v>
      </c>
      <c r="L241" s="26">
        <v>0</v>
      </c>
      <c r="M241" s="26">
        <v>0</v>
      </c>
      <c r="N241" s="26">
        <v>1.689725966023888E-3</v>
      </c>
      <c r="O241" s="26">
        <v>1.2306591692257861E-2</v>
      </c>
      <c r="P241" s="26">
        <v>5.2483191858409056E-3</v>
      </c>
      <c r="Q241" s="26">
        <v>8.0275243539084731E-2</v>
      </c>
      <c r="R241" s="26">
        <v>9.9519880383207387E-2</v>
      </c>
      <c r="S241" s="28">
        <v>0</v>
      </c>
      <c r="T241" s="28">
        <v>0</v>
      </c>
      <c r="U241" s="28">
        <v>9.63165131700334E-4</v>
      </c>
      <c r="V241" s="28">
        <v>4.722191823356421E-4</v>
      </c>
      <c r="W241" s="28">
        <v>3.5857456113350578E-4</v>
      </c>
      <c r="X241" s="28">
        <v>0.1052993504565712</v>
      </c>
      <c r="Y241" s="28">
        <v>0.10709330933174067</v>
      </c>
      <c r="Z241" s="30">
        <v>0</v>
      </c>
      <c r="AA241" s="30">
        <v>3.1271735442865911E-3</v>
      </c>
      <c r="AB241" s="30">
        <v>1.699570587740569E-4</v>
      </c>
      <c r="AC241" s="30">
        <v>1.5438989133449149E-4</v>
      </c>
      <c r="AD241" s="30">
        <v>1.6031600142945069E-4</v>
      </c>
      <c r="AE241" s="30">
        <v>8.8560991363717499E-3</v>
      </c>
      <c r="AF241" s="30">
        <v>1.246793563219634E-2</v>
      </c>
      <c r="AG241" s="32">
        <v>0</v>
      </c>
      <c r="AH241" s="32">
        <v>1.6491053126472278E-5</v>
      </c>
      <c r="AI241" s="32">
        <v>6.3693063821975663E-4</v>
      </c>
      <c r="AJ241" s="32">
        <v>3.7507357872791961E-4</v>
      </c>
      <c r="AK241" s="32">
        <v>2.081547193841308E-4</v>
      </c>
      <c r="AL241" s="32">
        <v>2.511793462766259E-2</v>
      </c>
      <c r="AM241" s="32">
        <v>2.6354584617120869E-2</v>
      </c>
      <c r="AN241" s="34">
        <v>0</v>
      </c>
      <c r="AO241" s="34">
        <v>1.179775095002105E-5</v>
      </c>
      <c r="AP241" s="34">
        <v>1.5047875525962851E-6</v>
      </c>
      <c r="AQ241" s="34">
        <v>7.4641524221169363E-7</v>
      </c>
      <c r="AR241" s="34">
        <v>8.4357351518813197E-7</v>
      </c>
      <c r="AS241" s="34">
        <v>2.228878710164987E-5</v>
      </c>
      <c r="AT241" s="34">
        <v>3.718131436166703E-5</v>
      </c>
      <c r="AU241" s="36">
        <v>0</v>
      </c>
      <c r="AV241" s="36">
        <v>0</v>
      </c>
      <c r="AW241" s="36">
        <v>1.6834947809089666E-2</v>
      </c>
      <c r="AX241" s="36">
        <v>0.17647448414364728</v>
      </c>
      <c r="AY241" s="36">
        <v>0.18240013342322792</v>
      </c>
      <c r="AZ241" s="36">
        <v>1.1654975603178257</v>
      </c>
      <c r="BA241" s="36">
        <v>1.5412071256937905</v>
      </c>
      <c r="BB241" s="6"/>
      <c r="BC241" s="6"/>
      <c r="BD241" t="s">
        <v>1103</v>
      </c>
      <c r="BF241" s="5">
        <v>8.3052434999999994E-2</v>
      </c>
      <c r="BG241" s="5">
        <f t="shared" si="9"/>
        <v>-1.6467445383207394E-2</v>
      </c>
      <c r="BH241" s="2">
        <v>247.52912000000001</v>
      </c>
    </row>
    <row r="242" spans="1:60" x14ac:dyDescent="0.2">
      <c r="A242" t="str">
        <f t="shared" si="10"/>
        <v>Motorbike, electric, &gt;35kW - 2050 - NMC - CH</v>
      </c>
      <c r="B242" t="s">
        <v>495</v>
      </c>
      <c r="D242" s="19">
        <v>2050</v>
      </c>
      <c r="E242" t="s">
        <v>37</v>
      </c>
      <c r="F242" t="s">
        <v>140</v>
      </c>
      <c r="G242" t="s">
        <v>39</v>
      </c>
      <c r="H242" t="s">
        <v>32</v>
      </c>
      <c r="I242" t="s">
        <v>43</v>
      </c>
      <c r="J242" t="s">
        <v>861</v>
      </c>
      <c r="L242" s="26">
        <v>0</v>
      </c>
      <c r="M242" s="26">
        <v>0</v>
      </c>
      <c r="N242" s="26">
        <v>1.689725966023888E-3</v>
      </c>
      <c r="O242" s="26">
        <v>1.9936678541457739E-2</v>
      </c>
      <c r="P242" s="26">
        <v>5.2470901128252243E-3</v>
      </c>
      <c r="Q242" s="26">
        <v>0.1234468118432987</v>
      </c>
      <c r="R242" s="26">
        <v>0.15032030646360556</v>
      </c>
      <c r="S242" s="28">
        <v>0</v>
      </c>
      <c r="T242" s="28">
        <v>0</v>
      </c>
      <c r="U242" s="28">
        <v>9.63165131700334E-4</v>
      </c>
      <c r="V242" s="28">
        <v>7.6499507538374024E-4</v>
      </c>
      <c r="W242" s="28">
        <v>3.5849689890959751E-4</v>
      </c>
      <c r="X242" s="28">
        <v>0.19307896003544581</v>
      </c>
      <c r="Y242" s="28">
        <v>0.19516561714143948</v>
      </c>
      <c r="Z242" s="30">
        <v>0</v>
      </c>
      <c r="AA242" s="30">
        <v>3.1271735442865911E-3</v>
      </c>
      <c r="AB242" s="30">
        <v>1.699570587740569E-4</v>
      </c>
      <c r="AC242" s="30">
        <v>2.5011162396187633E-4</v>
      </c>
      <c r="AD242" s="30">
        <v>1.602806988355094E-4</v>
      </c>
      <c r="AE242" s="30">
        <v>1.5837063038951899E-2</v>
      </c>
      <c r="AF242" s="30">
        <v>1.9544585964809933E-2</v>
      </c>
      <c r="AG242" s="32">
        <v>0</v>
      </c>
      <c r="AH242" s="32">
        <v>1.6491053126472278E-5</v>
      </c>
      <c r="AI242" s="32">
        <v>6.3693063821975663E-4</v>
      </c>
      <c r="AJ242" s="32">
        <v>6.0761919753922976E-4</v>
      </c>
      <c r="AK242" s="32">
        <v>2.0812177237485561E-4</v>
      </c>
      <c r="AL242" s="32">
        <v>4.2792539587781897E-2</v>
      </c>
      <c r="AM242" s="32">
        <v>4.426170224904221E-2</v>
      </c>
      <c r="AN242" s="34">
        <v>0</v>
      </c>
      <c r="AO242" s="34">
        <v>1.179775095002105E-5</v>
      </c>
      <c r="AP242" s="34">
        <v>1.5047875525962851E-6</v>
      </c>
      <c r="AQ242" s="34">
        <v>1.209192692382944E-6</v>
      </c>
      <c r="AR242" s="34">
        <v>8.4344342347245625E-7</v>
      </c>
      <c r="AS242" s="34">
        <v>3.8156199186523163E-5</v>
      </c>
      <c r="AT242" s="34">
        <v>5.3511373804995898E-5</v>
      </c>
      <c r="AU242" s="36">
        <v>0</v>
      </c>
      <c r="AV242" s="36">
        <v>0</v>
      </c>
      <c r="AW242" s="36">
        <v>1.6834947809089666E-2</v>
      </c>
      <c r="AX242" s="36">
        <v>0.28588866431270848</v>
      </c>
      <c r="AY242" s="36">
        <v>0.18235986979221949</v>
      </c>
      <c r="AZ242" s="36">
        <v>1.8445987931752665</v>
      </c>
      <c r="BA242" s="36">
        <v>2.3296822750892843</v>
      </c>
      <c r="BB242" s="6"/>
      <c r="BC242" s="6"/>
      <c r="BD242" t="s">
        <v>1104</v>
      </c>
      <c r="BF242" s="5">
        <v>0.11545806</v>
      </c>
      <c r="BG242" s="5">
        <f t="shared" si="9"/>
        <v>-3.4862246463605556E-2</v>
      </c>
      <c r="BH242" s="2">
        <v>414.65843000000001</v>
      </c>
    </row>
    <row r="243" spans="1:60" x14ac:dyDescent="0.2">
      <c r="A243" t="str">
        <f t="shared" si="10"/>
        <v>Motorbike, electric, &lt;4kW - 2020 - LFP - CH</v>
      </c>
      <c r="B243" t="s">
        <v>492</v>
      </c>
      <c r="D243" s="19">
        <v>2020</v>
      </c>
      <c r="E243" t="s">
        <v>37</v>
      </c>
      <c r="F243" t="s">
        <v>140</v>
      </c>
      <c r="G243" t="s">
        <v>39</v>
      </c>
      <c r="H243" t="s">
        <v>32</v>
      </c>
      <c r="I243" t="s">
        <v>44</v>
      </c>
      <c r="J243" t="s">
        <v>861</v>
      </c>
      <c r="L243" s="26">
        <v>0</v>
      </c>
      <c r="M243" s="26">
        <v>0</v>
      </c>
      <c r="N243" s="26">
        <v>7.4420517119050845E-4</v>
      </c>
      <c r="O243" s="26">
        <v>1.2306591692257861E-2</v>
      </c>
      <c r="P243" s="26">
        <v>4.4861118312269459E-3</v>
      </c>
      <c r="Q243" s="26">
        <v>4.1110912438960361E-2</v>
      </c>
      <c r="R243" s="26">
        <v>5.8647821133635675E-2</v>
      </c>
      <c r="S243" s="28">
        <v>0</v>
      </c>
      <c r="T243" s="28">
        <v>0</v>
      </c>
      <c r="U243" s="28">
        <v>4.2420634240975051E-4</v>
      </c>
      <c r="V243" s="28">
        <v>4.722191823356421E-4</v>
      </c>
      <c r="W243" s="28">
        <v>3.1041247679566478E-4</v>
      </c>
      <c r="X243" s="28">
        <v>2.664028343289539E-2</v>
      </c>
      <c r="Y243" s="28">
        <v>2.7847121434436448E-2</v>
      </c>
      <c r="Z243" s="30">
        <v>0</v>
      </c>
      <c r="AA243" s="30">
        <v>3.1271735442865911E-3</v>
      </c>
      <c r="AB243" s="30">
        <v>7.4854103306236475E-5</v>
      </c>
      <c r="AC243" s="30">
        <v>1.5438989133449149E-4</v>
      </c>
      <c r="AD243" s="30">
        <v>1.3842316317192141E-4</v>
      </c>
      <c r="AE243" s="30">
        <v>2.9716248226964118E-3</v>
      </c>
      <c r="AF243" s="30">
        <v>6.4664655247956525E-3</v>
      </c>
      <c r="AG243" s="32">
        <v>0</v>
      </c>
      <c r="AH243" s="32">
        <v>1.6491053126472278E-5</v>
      </c>
      <c r="AI243" s="32">
        <v>2.805230458570776E-4</v>
      </c>
      <c r="AJ243" s="32">
        <v>3.7507357872791961E-4</v>
      </c>
      <c r="AK243" s="32">
        <v>1.877226925951076E-4</v>
      </c>
      <c r="AL243" s="32">
        <v>1.036701087183492E-2</v>
      </c>
      <c r="AM243" s="32">
        <v>1.1226821242141496E-2</v>
      </c>
      <c r="AN243" s="34">
        <v>0</v>
      </c>
      <c r="AO243" s="34">
        <v>1.179775095002105E-5</v>
      </c>
      <c r="AP243" s="34">
        <v>6.6275283726653284E-7</v>
      </c>
      <c r="AQ243" s="34">
        <v>7.4641524221169363E-7</v>
      </c>
      <c r="AR243" s="34">
        <v>7.628973786224294E-7</v>
      </c>
      <c r="AS243" s="34">
        <v>7.6231375717449163E-6</v>
      </c>
      <c r="AT243" s="34">
        <v>2.1592953979866619E-5</v>
      </c>
      <c r="AU243" s="36">
        <v>0</v>
      </c>
      <c r="AV243" s="36">
        <v>0</v>
      </c>
      <c r="AW243" s="36">
        <v>7.4146077341334599E-3</v>
      </c>
      <c r="AX243" s="36">
        <v>0.17647448414364728</v>
      </c>
      <c r="AY243" s="36">
        <v>0.15743071721560767</v>
      </c>
      <c r="AZ243" s="36">
        <v>0.55980468962999508</v>
      </c>
      <c r="BA243" s="36">
        <v>0.90112449872338352</v>
      </c>
      <c r="BB243" s="6"/>
      <c r="BC243" s="6"/>
      <c r="BD243" t="s">
        <v>895</v>
      </c>
      <c r="BF243" s="5">
        <v>5.7805730999999999E-2</v>
      </c>
      <c r="BG243" s="5">
        <f t="shared" si="9"/>
        <v>-8.4209013363567564E-4</v>
      </c>
      <c r="BH243" s="2">
        <v>131.27092999999999</v>
      </c>
    </row>
    <row r="244" spans="1:60" x14ac:dyDescent="0.2">
      <c r="A244" t="str">
        <f t="shared" si="10"/>
        <v>Motorbike, electric, &lt;4kW - 2030 - LFP - CH</v>
      </c>
      <c r="B244" t="s">
        <v>492</v>
      </c>
      <c r="D244" s="19">
        <v>2030</v>
      </c>
      <c r="E244" t="s">
        <v>37</v>
      </c>
      <c r="F244" t="s">
        <v>140</v>
      </c>
      <c r="G244" t="s">
        <v>39</v>
      </c>
      <c r="H244" t="s">
        <v>32</v>
      </c>
      <c r="I244" t="s">
        <v>44</v>
      </c>
      <c r="J244" t="s">
        <v>861</v>
      </c>
      <c r="L244" s="26">
        <v>0</v>
      </c>
      <c r="M244" s="26">
        <v>0</v>
      </c>
      <c r="N244" s="26">
        <v>7.4420517119050845E-4</v>
      </c>
      <c r="O244" s="26">
        <v>1.2306591692257861E-2</v>
      </c>
      <c r="P244" s="26">
        <v>4.5301612011593474E-3</v>
      </c>
      <c r="Q244" s="26">
        <v>4.75079303803492E-2</v>
      </c>
      <c r="R244" s="26">
        <v>6.5088888444956916E-2</v>
      </c>
      <c r="S244" s="28">
        <v>0</v>
      </c>
      <c r="T244" s="28">
        <v>0</v>
      </c>
      <c r="U244" s="28">
        <v>4.2420634240975051E-4</v>
      </c>
      <c r="V244" s="28">
        <v>4.722191823356421E-4</v>
      </c>
      <c r="W244" s="28">
        <v>3.1319585254882521E-4</v>
      </c>
      <c r="X244" s="28">
        <v>2.9825723640247982E-2</v>
      </c>
      <c r="Y244" s="28">
        <v>3.1035345017542199E-2</v>
      </c>
      <c r="Z244" s="30">
        <v>0</v>
      </c>
      <c r="AA244" s="30">
        <v>3.1271735442865911E-3</v>
      </c>
      <c r="AB244" s="30">
        <v>7.4854103306236475E-5</v>
      </c>
      <c r="AC244" s="30">
        <v>1.5438989133449149E-4</v>
      </c>
      <c r="AD244" s="30">
        <v>1.3968839070539819E-4</v>
      </c>
      <c r="AE244" s="30">
        <v>3.506841290186575E-3</v>
      </c>
      <c r="AF244" s="30">
        <v>7.0029472198192919E-3</v>
      </c>
      <c r="AG244" s="32">
        <v>0</v>
      </c>
      <c r="AH244" s="32">
        <v>1.6491053126472278E-5</v>
      </c>
      <c r="AI244" s="32">
        <v>2.805230458570776E-4</v>
      </c>
      <c r="AJ244" s="32">
        <v>3.7507357872791961E-4</v>
      </c>
      <c r="AK244" s="32">
        <v>1.88903497137402E-4</v>
      </c>
      <c r="AL244" s="32">
        <v>1.2071364092082201E-2</v>
      </c>
      <c r="AM244" s="32">
        <v>1.2932355266931072E-2</v>
      </c>
      <c r="AN244" s="34">
        <v>0</v>
      </c>
      <c r="AO244" s="34">
        <v>1.179775095002105E-5</v>
      </c>
      <c r="AP244" s="34">
        <v>6.6275283726653284E-7</v>
      </c>
      <c r="AQ244" s="34">
        <v>7.4641524221169363E-7</v>
      </c>
      <c r="AR244" s="34">
        <v>7.6755980146942412E-7</v>
      </c>
      <c r="AS244" s="34">
        <v>8.4200885191706454E-6</v>
      </c>
      <c r="AT244" s="34">
        <v>2.2394567350139345E-5</v>
      </c>
      <c r="AU244" s="36">
        <v>0</v>
      </c>
      <c r="AV244" s="36">
        <v>0</v>
      </c>
      <c r="AW244" s="36">
        <v>7.4146077341334599E-3</v>
      </c>
      <c r="AX244" s="36">
        <v>0.17647448414364728</v>
      </c>
      <c r="AY244" s="36">
        <v>0.1588737458676765</v>
      </c>
      <c r="AZ244" s="36">
        <v>0.64026126088712587</v>
      </c>
      <c r="BA244" s="36">
        <v>0.98302409863258311</v>
      </c>
      <c r="BB244" s="6"/>
      <c r="BC244" s="6"/>
      <c r="BD244" t="s">
        <v>1105</v>
      </c>
      <c r="BF244" s="5">
        <v>6.1897354000000002E-2</v>
      </c>
      <c r="BG244" s="5">
        <f t="shared" si="9"/>
        <v>-3.1915344449569144E-3</v>
      </c>
      <c r="BH244" s="2">
        <v>145.64561</v>
      </c>
    </row>
    <row r="245" spans="1:60" x14ac:dyDescent="0.2">
      <c r="A245" t="str">
        <f t="shared" si="10"/>
        <v>Motorbike, electric, &lt;4kW - 2040 - LFP - CH</v>
      </c>
      <c r="B245" t="s">
        <v>492</v>
      </c>
      <c r="D245" s="19">
        <v>2040</v>
      </c>
      <c r="E245" t="s">
        <v>37</v>
      </c>
      <c r="F245" t="s">
        <v>140</v>
      </c>
      <c r="G245" t="s">
        <v>39</v>
      </c>
      <c r="H245" t="s">
        <v>32</v>
      </c>
      <c r="I245" t="s">
        <v>44</v>
      </c>
      <c r="J245" t="s">
        <v>861</v>
      </c>
      <c r="L245" s="26">
        <v>0</v>
      </c>
      <c r="M245" s="26">
        <v>0</v>
      </c>
      <c r="N245" s="26">
        <v>7.4420517119050845E-4</v>
      </c>
      <c r="O245" s="26">
        <v>1.2306591692257861E-2</v>
      </c>
      <c r="P245" s="26">
        <v>4.5450618147568718E-3</v>
      </c>
      <c r="Q245" s="26">
        <v>4.6796864547578199E-2</v>
      </c>
      <c r="R245" s="26">
        <v>6.4392723225783433E-2</v>
      </c>
      <c r="S245" s="28">
        <v>0</v>
      </c>
      <c r="T245" s="28">
        <v>0</v>
      </c>
      <c r="U245" s="28">
        <v>4.2420634240975051E-4</v>
      </c>
      <c r="V245" s="28">
        <v>4.722191823356421E-4</v>
      </c>
      <c r="W245" s="28">
        <v>3.141373871646032E-4</v>
      </c>
      <c r="X245" s="28">
        <v>2.8608445790044072E-2</v>
      </c>
      <c r="Y245" s="28">
        <v>2.9819008701954069E-2</v>
      </c>
      <c r="Z245" s="30">
        <v>0</v>
      </c>
      <c r="AA245" s="30">
        <v>3.1271735442865911E-3</v>
      </c>
      <c r="AB245" s="30">
        <v>7.4854103306236475E-5</v>
      </c>
      <c r="AC245" s="30">
        <v>1.5438989133449149E-4</v>
      </c>
      <c r="AD245" s="30">
        <v>1.40116380177625E-4</v>
      </c>
      <c r="AE245" s="30">
        <v>3.377910878294295E-3</v>
      </c>
      <c r="AF245" s="30">
        <v>6.874444797399239E-3</v>
      </c>
      <c r="AG245" s="32">
        <v>0</v>
      </c>
      <c r="AH245" s="32">
        <v>1.6491053126472278E-5</v>
      </c>
      <c r="AI245" s="32">
        <v>2.805230458570776E-4</v>
      </c>
      <c r="AJ245" s="32">
        <v>3.7507357872791961E-4</v>
      </c>
      <c r="AK245" s="32">
        <v>1.893029287807135E-4</v>
      </c>
      <c r="AL245" s="32">
        <v>1.165886053324375E-2</v>
      </c>
      <c r="AM245" s="32">
        <v>1.2520251139735932E-2</v>
      </c>
      <c r="AN245" s="34">
        <v>0</v>
      </c>
      <c r="AO245" s="34">
        <v>1.179775095002105E-5</v>
      </c>
      <c r="AP245" s="34">
        <v>6.6275283726653284E-7</v>
      </c>
      <c r="AQ245" s="34">
        <v>7.4641524221169363E-7</v>
      </c>
      <c r="AR245" s="34">
        <v>7.6913696276317151E-7</v>
      </c>
      <c r="AS245" s="34">
        <v>8.1443370266732239E-6</v>
      </c>
      <c r="AT245" s="34">
        <v>2.2120393018935672E-5</v>
      </c>
      <c r="AU245" s="36">
        <v>0</v>
      </c>
      <c r="AV245" s="36">
        <v>0</v>
      </c>
      <c r="AW245" s="36">
        <v>7.4146077341334599E-3</v>
      </c>
      <c r="AX245" s="36">
        <v>0.17647448414364728</v>
      </c>
      <c r="AY245" s="36">
        <v>0.1593618802584211</v>
      </c>
      <c r="AZ245" s="36">
        <v>0.62669710475579521</v>
      </c>
      <c r="BA245" s="36">
        <v>0.96994807689199702</v>
      </c>
      <c r="BB245" s="6"/>
      <c r="BC245" s="6"/>
      <c r="BD245" t="s">
        <v>1106</v>
      </c>
      <c r="BF245" s="5">
        <v>6.0935330999999995E-2</v>
      </c>
      <c r="BG245" s="5">
        <f t="shared" si="9"/>
        <v>-3.4573922257834372E-3</v>
      </c>
      <c r="BH245" s="2">
        <v>139.00088</v>
      </c>
    </row>
    <row r="246" spans="1:60" x14ac:dyDescent="0.2">
      <c r="A246" t="str">
        <f t="shared" si="10"/>
        <v>Motorbike, electric, &lt;4kW - 2050 - LFP - CH</v>
      </c>
      <c r="B246" t="s">
        <v>492</v>
      </c>
      <c r="D246" s="19">
        <v>2050</v>
      </c>
      <c r="E246" t="s">
        <v>37</v>
      </c>
      <c r="F246" t="s">
        <v>140</v>
      </c>
      <c r="G246" t="s">
        <v>39</v>
      </c>
      <c r="H246" t="s">
        <v>32</v>
      </c>
      <c r="I246" t="s">
        <v>44</v>
      </c>
      <c r="J246" t="s">
        <v>861</v>
      </c>
      <c r="L246" s="26">
        <v>0</v>
      </c>
      <c r="M246" s="26">
        <v>0</v>
      </c>
      <c r="N246" s="26">
        <v>7.4420517119050845E-4</v>
      </c>
      <c r="O246" s="26">
        <v>1.2306591692257861E-2</v>
      </c>
      <c r="P246" s="26">
        <v>4.5402365651397514E-3</v>
      </c>
      <c r="Q246" s="26">
        <v>6.9008180263948865E-2</v>
      </c>
      <c r="R246" s="26">
        <v>8.659921369253698E-2</v>
      </c>
      <c r="S246" s="28">
        <v>0</v>
      </c>
      <c r="T246" s="28">
        <v>0</v>
      </c>
      <c r="U246" s="28">
        <v>4.2420634240975051E-4</v>
      </c>
      <c r="V246" s="28">
        <v>4.722191823356421E-4</v>
      </c>
      <c r="W246" s="28">
        <v>3.1383249102629628E-4</v>
      </c>
      <c r="X246" s="28">
        <v>4.2336184318943468E-2</v>
      </c>
      <c r="Y246" s="28">
        <v>4.3546442334715156E-2</v>
      </c>
      <c r="Z246" s="30">
        <v>0</v>
      </c>
      <c r="AA246" s="30">
        <v>3.1271735442865911E-3</v>
      </c>
      <c r="AB246" s="30">
        <v>7.4854103306236475E-5</v>
      </c>
      <c r="AC246" s="30">
        <v>1.5438989133449149E-4</v>
      </c>
      <c r="AD246" s="30">
        <v>1.3997778480881839E-4</v>
      </c>
      <c r="AE246" s="30">
        <v>5.4447083172171054E-3</v>
      </c>
      <c r="AF246" s="30">
        <v>8.9411036409532425E-3</v>
      </c>
      <c r="AG246" s="32">
        <v>0</v>
      </c>
      <c r="AH246" s="32">
        <v>1.6491053126472278E-5</v>
      </c>
      <c r="AI246" s="32">
        <v>2.805230458570776E-4</v>
      </c>
      <c r="AJ246" s="32">
        <v>3.7507357872791961E-4</v>
      </c>
      <c r="AK246" s="32">
        <v>1.8917358126281831E-4</v>
      </c>
      <c r="AL246" s="32">
        <v>1.8299791000723119E-2</v>
      </c>
      <c r="AM246" s="32">
        <v>1.9161052259697407E-2</v>
      </c>
      <c r="AN246" s="34">
        <v>0</v>
      </c>
      <c r="AO246" s="34">
        <v>1.179775095002105E-5</v>
      </c>
      <c r="AP246" s="34">
        <v>6.6275283726653284E-7</v>
      </c>
      <c r="AQ246" s="34">
        <v>7.4641524221169363E-7</v>
      </c>
      <c r="AR246" s="34">
        <v>7.6862623232385205E-7</v>
      </c>
      <c r="AS246" s="34">
        <v>1.1430833375483671E-5</v>
      </c>
      <c r="AT246" s="34">
        <v>2.5406378637306798E-5</v>
      </c>
      <c r="AU246" s="36">
        <v>0</v>
      </c>
      <c r="AV246" s="36">
        <v>0</v>
      </c>
      <c r="AW246" s="36">
        <v>7.4146077341334599E-3</v>
      </c>
      <c r="AX246" s="36">
        <v>0.17647448414364728</v>
      </c>
      <c r="AY246" s="36">
        <v>0.15920380822557306</v>
      </c>
      <c r="AZ246" s="36">
        <v>0.91912155040929444</v>
      </c>
      <c r="BA246" s="36">
        <v>1.2622144505126482</v>
      </c>
      <c r="BB246" s="6"/>
      <c r="BC246" s="6"/>
      <c r="BD246" t="s">
        <v>1107</v>
      </c>
      <c r="BF246" s="5">
        <v>7.6353316000000004E-2</v>
      </c>
      <c r="BG246" s="5">
        <f t="shared" si="9"/>
        <v>-1.0245897692536976E-2</v>
      </c>
      <c r="BH246" s="2">
        <v>203.49734000000001</v>
      </c>
    </row>
    <row r="247" spans="1:60" x14ac:dyDescent="0.2">
      <c r="A247" t="str">
        <f t="shared" si="10"/>
        <v>Motorbike, electric, 4-11kW - 2020 - LFP - CH</v>
      </c>
      <c r="B247" t="s">
        <v>493</v>
      </c>
      <c r="D247" s="19">
        <v>2020</v>
      </c>
      <c r="E247" t="s">
        <v>37</v>
      </c>
      <c r="F247" t="s">
        <v>140</v>
      </c>
      <c r="G247" t="s">
        <v>39</v>
      </c>
      <c r="H247" t="s">
        <v>32</v>
      </c>
      <c r="I247" t="s">
        <v>44</v>
      </c>
      <c r="J247" t="s">
        <v>861</v>
      </c>
      <c r="L247" s="26">
        <v>0</v>
      </c>
      <c r="M247" s="26">
        <v>0</v>
      </c>
      <c r="N247" s="26">
        <v>1.119382984765889E-3</v>
      </c>
      <c r="O247" s="26">
        <v>1.2306591692257861E-2</v>
      </c>
      <c r="P247" s="26">
        <v>4.6478661566374943E-3</v>
      </c>
      <c r="Q247" s="26">
        <v>6.0166914792213623E-2</v>
      </c>
      <c r="R247" s="26">
        <v>7.8240755625874875E-2</v>
      </c>
      <c r="S247" s="28">
        <v>0</v>
      </c>
      <c r="T247" s="28">
        <v>0</v>
      </c>
      <c r="U247" s="28">
        <v>6.380624323849139E-4</v>
      </c>
      <c r="V247" s="28">
        <v>4.722191823356421E-4</v>
      </c>
      <c r="W247" s="28">
        <v>3.2063335096497683E-4</v>
      </c>
      <c r="X247" s="28">
        <v>3.9490957233663602E-2</v>
      </c>
      <c r="Y247" s="28">
        <v>4.0921872199349132E-2</v>
      </c>
      <c r="Z247" s="30">
        <v>0</v>
      </c>
      <c r="AA247" s="30">
        <v>3.1271735442865911E-3</v>
      </c>
      <c r="AB247" s="30">
        <v>1.125904694358268E-4</v>
      </c>
      <c r="AC247" s="30">
        <v>1.5438989133449149E-4</v>
      </c>
      <c r="AD247" s="30">
        <v>1.430692234102964E-4</v>
      </c>
      <c r="AE247" s="30">
        <v>4.4948481190346338E-3</v>
      </c>
      <c r="AF247" s="30">
        <v>8.0320712475018402E-3</v>
      </c>
      <c r="AG247" s="32">
        <v>0</v>
      </c>
      <c r="AH247" s="32">
        <v>1.6491053126472278E-5</v>
      </c>
      <c r="AI247" s="32">
        <v>4.2194375492552171E-4</v>
      </c>
      <c r="AJ247" s="32">
        <v>3.7507357872791961E-4</v>
      </c>
      <c r="AK247" s="32">
        <v>1.9205874195230989E-4</v>
      </c>
      <c r="AL247" s="32">
        <v>1.5668035078712901E-2</v>
      </c>
      <c r="AM247" s="32">
        <v>1.6673602207445126E-2</v>
      </c>
      <c r="AN247" s="34">
        <v>0</v>
      </c>
      <c r="AO247" s="34">
        <v>1.179775095002105E-5</v>
      </c>
      <c r="AP247" s="34">
        <v>9.9686790398767734E-7</v>
      </c>
      <c r="AQ247" s="34">
        <v>7.4641524221169363E-7</v>
      </c>
      <c r="AR247" s="34">
        <v>7.8001832867351342E-7</v>
      </c>
      <c r="AS247" s="34">
        <v>1.0964793461513329E-5</v>
      </c>
      <c r="AT247" s="34">
        <v>2.5285845886407264E-5</v>
      </c>
      <c r="AU247" s="36">
        <v>0</v>
      </c>
      <c r="AV247" s="36">
        <v>0</v>
      </c>
      <c r="AW247" s="36">
        <v>1.1152550476134624E-2</v>
      </c>
      <c r="AX247" s="36">
        <v>0.17647448414364728</v>
      </c>
      <c r="AY247" s="36">
        <v>0.16272968350097558</v>
      </c>
      <c r="AZ247" s="36">
        <v>0.81809342477055513</v>
      </c>
      <c r="BA247" s="36">
        <v>1.1684501428913125</v>
      </c>
      <c r="BB247" s="6"/>
      <c r="BC247" s="6"/>
      <c r="BD247" t="s">
        <v>911</v>
      </c>
      <c r="BF247" s="5">
        <v>7.3822935000000006E-2</v>
      </c>
      <c r="BG247" s="5">
        <f t="shared" si="9"/>
        <v>-4.4178206258748687E-3</v>
      </c>
      <c r="BH247" s="2">
        <v>179.89905999999999</v>
      </c>
    </row>
    <row r="248" spans="1:60" x14ac:dyDescent="0.2">
      <c r="A248" t="str">
        <f t="shared" si="10"/>
        <v>Motorbike, electric, 4-11kW - 2030 - LFP - CH</v>
      </c>
      <c r="B248" t="s">
        <v>493</v>
      </c>
      <c r="D248" s="19">
        <v>2030</v>
      </c>
      <c r="E248" t="s">
        <v>37</v>
      </c>
      <c r="F248" t="s">
        <v>140</v>
      </c>
      <c r="G248" t="s">
        <v>39</v>
      </c>
      <c r="H248" t="s">
        <v>32</v>
      </c>
      <c r="I248" t="s">
        <v>44</v>
      </c>
      <c r="J248" t="s">
        <v>861</v>
      </c>
      <c r="L248" s="26">
        <v>0</v>
      </c>
      <c r="M248" s="26">
        <v>0</v>
      </c>
      <c r="N248" s="26">
        <v>1.119382984765889E-3</v>
      </c>
      <c r="O248" s="26">
        <v>1.2306591692257861E-2</v>
      </c>
      <c r="P248" s="26">
        <v>4.7138885534054042E-3</v>
      </c>
      <c r="Q248" s="26">
        <v>6.8592959457134478E-2</v>
      </c>
      <c r="R248" s="26">
        <v>8.6732822687563632E-2</v>
      </c>
      <c r="S248" s="28">
        <v>0</v>
      </c>
      <c r="T248" s="28">
        <v>0</v>
      </c>
      <c r="U248" s="28">
        <v>6.380624323849139E-4</v>
      </c>
      <c r="V248" s="28">
        <v>4.722191823356421E-4</v>
      </c>
      <c r="W248" s="28">
        <v>3.2480515043932452E-4</v>
      </c>
      <c r="X248" s="28">
        <v>4.3762123079620782E-2</v>
      </c>
      <c r="Y248" s="28">
        <v>4.5197209844780664E-2</v>
      </c>
      <c r="Z248" s="30">
        <v>0</v>
      </c>
      <c r="AA248" s="30">
        <v>3.1271735442865911E-3</v>
      </c>
      <c r="AB248" s="30">
        <v>1.125904694358268E-4</v>
      </c>
      <c r="AC248" s="30">
        <v>1.5438989133449149E-4</v>
      </c>
      <c r="AD248" s="30">
        <v>1.4496558093697801E-4</v>
      </c>
      <c r="AE248" s="30">
        <v>5.206504781361798E-3</v>
      </c>
      <c r="AF248" s="30">
        <v>8.7456242673556849E-3</v>
      </c>
      <c r="AG248" s="32">
        <v>0</v>
      </c>
      <c r="AH248" s="32">
        <v>1.6491053126472278E-5</v>
      </c>
      <c r="AI248" s="32">
        <v>4.2194375492552171E-4</v>
      </c>
      <c r="AJ248" s="32">
        <v>3.7507357872791961E-4</v>
      </c>
      <c r="AK248" s="32">
        <v>1.938285639978091E-4</v>
      </c>
      <c r="AL248" s="32">
        <v>1.7929034225557239E-2</v>
      </c>
      <c r="AM248" s="32">
        <v>1.8936371176334961E-2</v>
      </c>
      <c r="AN248" s="34">
        <v>0</v>
      </c>
      <c r="AO248" s="34">
        <v>1.179775095002105E-5</v>
      </c>
      <c r="AP248" s="34">
        <v>9.9686790398767734E-7</v>
      </c>
      <c r="AQ248" s="34">
        <v>7.4641524221169363E-7</v>
      </c>
      <c r="AR248" s="34">
        <v>7.8700649516889011E-7</v>
      </c>
      <c r="AS248" s="34">
        <v>1.2036811311451539E-5</v>
      </c>
      <c r="AT248" s="34">
        <v>2.636485190284085E-5</v>
      </c>
      <c r="AU248" s="36">
        <v>0</v>
      </c>
      <c r="AV248" s="36">
        <v>0</v>
      </c>
      <c r="AW248" s="36">
        <v>1.1152550476134624E-2</v>
      </c>
      <c r="AX248" s="36">
        <v>0.17647448414364728</v>
      </c>
      <c r="AY248" s="36">
        <v>0.16489253419238295</v>
      </c>
      <c r="AZ248" s="36">
        <v>0.92459491856329112</v>
      </c>
      <c r="BA248" s="36">
        <v>1.2771144873754561</v>
      </c>
      <c r="BB248" s="6"/>
      <c r="BC248" s="6"/>
      <c r="BD248" t="s">
        <v>1108</v>
      </c>
      <c r="BF248" s="5">
        <v>7.9300085000000006E-2</v>
      </c>
      <c r="BG248" s="5">
        <f t="shared" si="9"/>
        <v>-7.4327376875636259E-3</v>
      </c>
      <c r="BH248" s="2">
        <v>199.39031</v>
      </c>
    </row>
    <row r="249" spans="1:60" x14ac:dyDescent="0.2">
      <c r="A249" t="str">
        <f t="shared" si="10"/>
        <v>Motorbike, electric, 4-11kW - 2040 - LFP - CH</v>
      </c>
      <c r="B249" t="s">
        <v>493</v>
      </c>
      <c r="D249" s="19">
        <v>2040</v>
      </c>
      <c r="E249" t="s">
        <v>37</v>
      </c>
      <c r="F249" t="s">
        <v>140</v>
      </c>
      <c r="G249" t="s">
        <v>39</v>
      </c>
      <c r="H249" t="s">
        <v>32</v>
      </c>
      <c r="I249" t="s">
        <v>44</v>
      </c>
      <c r="J249" t="s">
        <v>861</v>
      </c>
      <c r="L249" s="26">
        <v>0</v>
      </c>
      <c r="M249" s="26">
        <v>0</v>
      </c>
      <c r="N249" s="26">
        <v>1.119382984765889E-3</v>
      </c>
      <c r="O249" s="26">
        <v>1.2306591692257861E-2</v>
      </c>
      <c r="P249" s="26">
        <v>4.7375200925955426E-3</v>
      </c>
      <c r="Q249" s="26">
        <v>6.687707536082832E-2</v>
      </c>
      <c r="R249" s="26">
        <v>8.5040570130447607E-2</v>
      </c>
      <c r="S249" s="28">
        <v>0</v>
      </c>
      <c r="T249" s="28">
        <v>0</v>
      </c>
      <c r="U249" s="28">
        <v>6.380624323849139E-4</v>
      </c>
      <c r="V249" s="28">
        <v>4.722191823356421E-4</v>
      </c>
      <c r="W249" s="28">
        <v>3.2629837164300189E-4</v>
      </c>
      <c r="X249" s="28">
        <v>4.1684236209189512E-2</v>
      </c>
      <c r="Y249" s="28">
        <v>4.3120816195553073E-2</v>
      </c>
      <c r="Z249" s="30">
        <v>0</v>
      </c>
      <c r="AA249" s="30">
        <v>3.1271735442865911E-3</v>
      </c>
      <c r="AB249" s="30">
        <v>1.125904694358268E-4</v>
      </c>
      <c r="AC249" s="30">
        <v>1.5438989133449149E-4</v>
      </c>
      <c r="AD249" s="30">
        <v>1.45644348285698E-4</v>
      </c>
      <c r="AE249" s="30">
        <v>4.9649931298987376E-3</v>
      </c>
      <c r="AF249" s="30">
        <v>8.5047913832413443E-3</v>
      </c>
      <c r="AG249" s="32">
        <v>0</v>
      </c>
      <c r="AH249" s="32">
        <v>1.6491053126472278E-5</v>
      </c>
      <c r="AI249" s="32">
        <v>4.2194375492552171E-4</v>
      </c>
      <c r="AJ249" s="32">
        <v>3.7507357872791961E-4</v>
      </c>
      <c r="AK249" s="32">
        <v>1.944620402282285E-4</v>
      </c>
      <c r="AL249" s="32">
        <v>1.7153130356584612E-2</v>
      </c>
      <c r="AM249" s="32">
        <v>1.8161100783592753E-2</v>
      </c>
      <c r="AN249" s="34">
        <v>0</v>
      </c>
      <c r="AO249" s="34">
        <v>1.179775095002105E-5</v>
      </c>
      <c r="AP249" s="34">
        <v>9.9686790398767734E-7</v>
      </c>
      <c r="AQ249" s="34">
        <v>7.4641524221169363E-7</v>
      </c>
      <c r="AR249" s="34">
        <v>7.8950778470830546E-7</v>
      </c>
      <c r="AS249" s="34">
        <v>1.156228107659039E-5</v>
      </c>
      <c r="AT249" s="34">
        <v>2.5892822957519116E-5</v>
      </c>
      <c r="AU249" s="36">
        <v>0</v>
      </c>
      <c r="AV249" s="36">
        <v>0</v>
      </c>
      <c r="AW249" s="36">
        <v>1.1152550476134624E-2</v>
      </c>
      <c r="AX249" s="36">
        <v>0.17647448414364728</v>
      </c>
      <c r="AY249" s="36">
        <v>0.1656666880156088</v>
      </c>
      <c r="AZ249" s="36">
        <v>0.89655709371977155</v>
      </c>
      <c r="BA249" s="36">
        <v>1.2498508163551623</v>
      </c>
      <c r="BB249" s="6"/>
      <c r="BC249" s="6"/>
      <c r="BD249" t="s">
        <v>1109</v>
      </c>
      <c r="BF249" s="5">
        <v>7.7516117999999995E-2</v>
      </c>
      <c r="BG249" s="5">
        <f t="shared" si="9"/>
        <v>-7.524452130447612E-3</v>
      </c>
      <c r="BH249" s="2">
        <v>188.46744000000001</v>
      </c>
    </row>
    <row r="250" spans="1:60" x14ac:dyDescent="0.2">
      <c r="A250" t="str">
        <f t="shared" si="10"/>
        <v>Motorbike, electric, 4-11kW - 2050 - LFP - CH</v>
      </c>
      <c r="B250" t="s">
        <v>493</v>
      </c>
      <c r="D250" s="19">
        <v>2050</v>
      </c>
      <c r="E250" t="s">
        <v>37</v>
      </c>
      <c r="F250" t="s">
        <v>140</v>
      </c>
      <c r="G250" t="s">
        <v>39</v>
      </c>
      <c r="H250" t="s">
        <v>32</v>
      </c>
      <c r="I250" t="s">
        <v>44</v>
      </c>
      <c r="J250" t="s">
        <v>861</v>
      </c>
      <c r="L250" s="26">
        <v>0</v>
      </c>
      <c r="M250" s="26">
        <v>0</v>
      </c>
      <c r="N250" s="26">
        <v>1.119382984765889E-3</v>
      </c>
      <c r="O250" s="26">
        <v>7.9912933066609501E-3</v>
      </c>
      <c r="P250" s="26">
        <v>4.7364943027673728E-3</v>
      </c>
      <c r="Q250" s="26">
        <v>0.1017170859595791</v>
      </c>
      <c r="R250" s="26">
        <v>0.11556425655377331</v>
      </c>
      <c r="S250" s="28">
        <v>0</v>
      </c>
      <c r="T250" s="28">
        <v>0</v>
      </c>
      <c r="U250" s="28">
        <v>6.380624323849139E-4</v>
      </c>
      <c r="V250" s="28">
        <v>3.0663583268548191E-4</v>
      </c>
      <c r="W250" s="28">
        <v>3.2623355440407321E-4</v>
      </c>
      <c r="X250" s="28">
        <v>6.3629859579012252E-2</v>
      </c>
      <c r="Y250" s="28">
        <v>6.4900791398486715E-2</v>
      </c>
      <c r="Z250" s="30">
        <v>0</v>
      </c>
      <c r="AA250" s="30">
        <v>3.1271735442865911E-3</v>
      </c>
      <c r="AB250" s="30">
        <v>1.125904694358268E-4</v>
      </c>
      <c r="AC250" s="30">
        <v>1.002531761912283E-4</v>
      </c>
      <c r="AD250" s="30">
        <v>1.456148845831262E-4</v>
      </c>
      <c r="AE250" s="30">
        <v>8.2411244600989631E-3</v>
      </c>
      <c r="AF250" s="30">
        <v>1.1726756534595735E-2</v>
      </c>
      <c r="AG250" s="32">
        <v>0</v>
      </c>
      <c r="AH250" s="32">
        <v>1.6491053126472278E-5</v>
      </c>
      <c r="AI250" s="32">
        <v>4.2194375492552171E-4</v>
      </c>
      <c r="AJ250" s="32">
        <v>2.4355427190124649E-4</v>
      </c>
      <c r="AK250" s="32">
        <v>1.9443454250713961E-4</v>
      </c>
      <c r="AL250" s="32">
        <v>2.767092933666445E-2</v>
      </c>
      <c r="AM250" s="32">
        <v>2.854735295912483E-2</v>
      </c>
      <c r="AN250" s="34">
        <v>0</v>
      </c>
      <c r="AO250" s="34">
        <v>1.179775095002105E-5</v>
      </c>
      <c r="AP250" s="34">
        <v>9.9686790398767734E-7</v>
      </c>
      <c r="AQ250" s="34">
        <v>4.8468522221538551E-7</v>
      </c>
      <c r="AR250" s="34">
        <v>7.8939920958138722E-7</v>
      </c>
      <c r="AS250" s="34">
        <v>1.6816639145392912E-5</v>
      </c>
      <c r="AT250" s="34">
        <v>3.0885342431198414E-5</v>
      </c>
      <c r="AU250" s="36">
        <v>0</v>
      </c>
      <c r="AV250" s="36">
        <v>0</v>
      </c>
      <c r="AW250" s="36">
        <v>1.1152550476134624E-2</v>
      </c>
      <c r="AX250" s="36">
        <v>0.1145938208724982</v>
      </c>
      <c r="AY250" s="36">
        <v>0.16563308380934377</v>
      </c>
      <c r="AZ250" s="36">
        <v>1.3576554164716295</v>
      </c>
      <c r="BA250" s="36">
        <v>1.6490348716296062</v>
      </c>
      <c r="BB250" s="6"/>
      <c r="BC250" s="6"/>
      <c r="BD250" t="s">
        <v>1110</v>
      </c>
      <c r="BF250" s="5">
        <v>9.8601325000000004E-2</v>
      </c>
      <c r="BG250" s="5">
        <f t="shared" si="9"/>
        <v>-1.6962931553773306E-2</v>
      </c>
      <c r="BH250" s="2">
        <v>288.72703000000001</v>
      </c>
    </row>
    <row r="251" spans="1:60" x14ac:dyDescent="0.2">
      <c r="A251" t="str">
        <f t="shared" si="10"/>
        <v>Motorbike, electric, 11-35kW - 2020 - LFP - CH</v>
      </c>
      <c r="B251" t="s">
        <v>494</v>
      </c>
      <c r="D251" s="19">
        <v>2020</v>
      </c>
      <c r="E251" t="s">
        <v>37</v>
      </c>
      <c r="F251" t="s">
        <v>140</v>
      </c>
      <c r="G251" t="s">
        <v>39</v>
      </c>
      <c r="H251" t="s">
        <v>32</v>
      </c>
      <c r="I251" t="s">
        <v>44</v>
      </c>
      <c r="J251" t="s">
        <v>861</v>
      </c>
      <c r="L251" s="26">
        <v>0</v>
      </c>
      <c r="M251" s="26">
        <v>0</v>
      </c>
      <c r="N251" s="26">
        <v>1.5152004931467059E-3</v>
      </c>
      <c r="O251" s="26">
        <v>1.2306591692257861E-2</v>
      </c>
      <c r="P251" s="26">
        <v>5.0774325154383246E-3</v>
      </c>
      <c r="Q251" s="26">
        <v>7.8967146486972686E-2</v>
      </c>
      <c r="R251" s="26">
        <v>9.7866371187815576E-2</v>
      </c>
      <c r="S251" s="28">
        <v>0</v>
      </c>
      <c r="T251" s="28">
        <v>0</v>
      </c>
      <c r="U251" s="28">
        <v>8.6368340895427004E-4</v>
      </c>
      <c r="V251" s="28">
        <v>4.722191823356421E-4</v>
      </c>
      <c r="W251" s="28">
        <v>3.4777663563157938E-4</v>
      </c>
      <c r="X251" s="28">
        <v>5.2084956482867491E-2</v>
      </c>
      <c r="Y251" s="28">
        <v>5.376863570978898E-2</v>
      </c>
      <c r="Z251" s="30">
        <v>0</v>
      </c>
      <c r="AA251" s="30">
        <v>3.1271735442865911E-3</v>
      </c>
      <c r="AB251" s="30">
        <v>1.5240283007201779E-4</v>
      </c>
      <c r="AC251" s="30">
        <v>1.5438989133449149E-4</v>
      </c>
      <c r="AD251" s="30">
        <v>1.554076333681293E-4</v>
      </c>
      <c r="AE251" s="30">
        <v>6.542119057818362E-3</v>
      </c>
      <c r="AF251" s="30">
        <v>1.0131492956879592E-2</v>
      </c>
      <c r="AG251" s="32">
        <v>0</v>
      </c>
      <c r="AH251" s="32">
        <v>1.6491053126472278E-5</v>
      </c>
      <c r="AI251" s="32">
        <v>5.7114445569050236E-4</v>
      </c>
      <c r="AJ251" s="32">
        <v>3.7507357872791961E-4</v>
      </c>
      <c r="AK251" s="32">
        <v>2.0357386483527791E-4</v>
      </c>
      <c r="AL251" s="32">
        <v>2.2010172648530679E-2</v>
      </c>
      <c r="AM251" s="32">
        <v>2.3176455600910851E-2</v>
      </c>
      <c r="AN251" s="34">
        <v>0</v>
      </c>
      <c r="AO251" s="34">
        <v>1.179775095002105E-5</v>
      </c>
      <c r="AP251" s="34">
        <v>1.349363676490181E-6</v>
      </c>
      <c r="AQ251" s="34">
        <v>7.4641524221169363E-7</v>
      </c>
      <c r="AR251" s="34">
        <v>8.2548594849751754E-7</v>
      </c>
      <c r="AS251" s="34">
        <v>1.384164295195637E-5</v>
      </c>
      <c r="AT251" s="34">
        <v>2.8560658769176814E-5</v>
      </c>
      <c r="AU251" s="36">
        <v>0</v>
      </c>
      <c r="AV251" s="36">
        <v>0</v>
      </c>
      <c r="AW251" s="36">
        <v>1.5096129038281648E-2</v>
      </c>
      <c r="AX251" s="36">
        <v>0.17647448414364728</v>
      </c>
      <c r="AY251" s="36">
        <v>0.17680199746745828</v>
      </c>
      <c r="AZ251" s="36">
        <v>1.0710949563184369</v>
      </c>
      <c r="BA251" s="36">
        <v>1.4394675669678241</v>
      </c>
      <c r="BB251" s="6"/>
      <c r="BC251" s="6"/>
      <c r="BD251" t="s">
        <v>907</v>
      </c>
      <c r="BF251" s="5">
        <v>8.7552383000000011E-2</v>
      </c>
      <c r="BG251" s="5">
        <f t="shared" si="9"/>
        <v>-1.0313988187815565E-2</v>
      </c>
      <c r="BH251" s="2">
        <v>250.82320999999999</v>
      </c>
    </row>
    <row r="252" spans="1:60" x14ac:dyDescent="0.2">
      <c r="A252" t="str">
        <f t="shared" si="10"/>
        <v>Motorbike, electric, 11-35kW - 2030 - LFP - CH</v>
      </c>
      <c r="B252" t="s">
        <v>494</v>
      </c>
      <c r="D252" s="19">
        <v>2030</v>
      </c>
      <c r="E252" t="s">
        <v>37</v>
      </c>
      <c r="F252" t="s">
        <v>140</v>
      </c>
      <c r="G252" t="s">
        <v>39</v>
      </c>
      <c r="H252" t="s">
        <v>32</v>
      </c>
      <c r="I252" t="s">
        <v>44</v>
      </c>
      <c r="J252" t="s">
        <v>861</v>
      </c>
      <c r="L252" s="26">
        <v>0</v>
      </c>
      <c r="M252" s="26">
        <v>0</v>
      </c>
      <c r="N252" s="26">
        <v>1.5152004931467059E-3</v>
      </c>
      <c r="O252" s="26">
        <v>1.2306591692257861E-2</v>
      </c>
      <c r="P252" s="26">
        <v>5.2182600050499706E-3</v>
      </c>
      <c r="Q252" s="26">
        <v>8.6347492782024776E-2</v>
      </c>
      <c r="R252" s="26">
        <v>0.10538754497247932</v>
      </c>
      <c r="S252" s="28">
        <v>0</v>
      </c>
      <c r="T252" s="28">
        <v>0</v>
      </c>
      <c r="U252" s="28">
        <v>8.6368340895427004E-4</v>
      </c>
      <c r="V252" s="28">
        <v>4.722191823356421E-4</v>
      </c>
      <c r="W252" s="28">
        <v>3.5667519242285801E-4</v>
      </c>
      <c r="X252" s="28">
        <v>5.5866949265579051E-2</v>
      </c>
      <c r="Y252" s="28">
        <v>5.755952704929182E-2</v>
      </c>
      <c r="Z252" s="30">
        <v>0</v>
      </c>
      <c r="AA252" s="30">
        <v>3.1271735442865911E-3</v>
      </c>
      <c r="AB252" s="30">
        <v>1.5240283007201779E-4</v>
      </c>
      <c r="AC252" s="30">
        <v>1.5438989133449149E-4</v>
      </c>
      <c r="AD252" s="30">
        <v>1.5945261329861451E-4</v>
      </c>
      <c r="AE252" s="30">
        <v>7.1709361070833276E-3</v>
      </c>
      <c r="AF252" s="30">
        <v>1.0764354986075043E-2</v>
      </c>
      <c r="AG252" s="32">
        <v>0</v>
      </c>
      <c r="AH252" s="32">
        <v>1.6491053126472278E-5</v>
      </c>
      <c r="AI252" s="32">
        <v>5.7114445569050236E-4</v>
      </c>
      <c r="AJ252" s="32">
        <v>3.7507357872791961E-4</v>
      </c>
      <c r="AK252" s="32">
        <v>2.073489412930921E-4</v>
      </c>
      <c r="AL252" s="32">
        <v>2.398899846098413E-2</v>
      </c>
      <c r="AM252" s="32">
        <v>2.5159056489822116E-2</v>
      </c>
      <c r="AN252" s="34">
        <v>0</v>
      </c>
      <c r="AO252" s="34">
        <v>1.179775095002105E-5</v>
      </c>
      <c r="AP252" s="34">
        <v>1.349363676490181E-6</v>
      </c>
      <c r="AQ252" s="34">
        <v>7.4641524221169363E-7</v>
      </c>
      <c r="AR252" s="34">
        <v>8.4039188940105098E-7</v>
      </c>
      <c r="AS252" s="34">
        <v>1.481061050017246E-5</v>
      </c>
      <c r="AT252" s="34">
        <v>2.9544532258296435E-5</v>
      </c>
      <c r="AU252" s="36">
        <v>0</v>
      </c>
      <c r="AV252" s="36">
        <v>0</v>
      </c>
      <c r="AW252" s="36">
        <v>1.5096129038281648E-2</v>
      </c>
      <c r="AX252" s="36">
        <v>0.17647448414364728</v>
      </c>
      <c r="AY252" s="36">
        <v>0.18141541425004556</v>
      </c>
      <c r="AZ252" s="36">
        <v>1.1650316173815727</v>
      </c>
      <c r="BA252" s="36">
        <v>1.5380176448135472</v>
      </c>
      <c r="BB252" s="6"/>
      <c r="BC252" s="6"/>
      <c r="BD252" t="s">
        <v>1111</v>
      </c>
      <c r="BF252" s="5">
        <v>9.2572226999999993E-2</v>
      </c>
      <c r="BG252" s="5">
        <f t="shared" si="9"/>
        <v>-1.2815317972479326E-2</v>
      </c>
      <c r="BH252" s="2">
        <v>268.59798999999998</v>
      </c>
    </row>
    <row r="253" spans="1:60" x14ac:dyDescent="0.2">
      <c r="A253" t="str">
        <f t="shared" si="10"/>
        <v>Motorbike, electric, 11-35kW - 2040 - LFP - CH</v>
      </c>
      <c r="B253" t="s">
        <v>494</v>
      </c>
      <c r="D253" s="19">
        <v>2040</v>
      </c>
      <c r="E253" t="s">
        <v>37</v>
      </c>
      <c r="F253" t="s">
        <v>140</v>
      </c>
      <c r="G253" t="s">
        <v>39</v>
      </c>
      <c r="H253" t="s">
        <v>32</v>
      </c>
      <c r="I253" t="s">
        <v>44</v>
      </c>
      <c r="J253" t="s">
        <v>861</v>
      </c>
      <c r="L253" s="26">
        <v>0</v>
      </c>
      <c r="M253" s="26">
        <v>0</v>
      </c>
      <c r="N253" s="26">
        <v>1.5152004931467059E-3</v>
      </c>
      <c r="O253" s="26">
        <v>1.2306591692257861E-2</v>
      </c>
      <c r="P253" s="26">
        <v>5.2818986745286093E-3</v>
      </c>
      <c r="Q253" s="26">
        <v>8.1642883107063025E-2</v>
      </c>
      <c r="R253" s="26">
        <v>0.1007465739669962</v>
      </c>
      <c r="S253" s="28">
        <v>0</v>
      </c>
      <c r="T253" s="28">
        <v>0</v>
      </c>
      <c r="U253" s="28">
        <v>8.6368340895427004E-4</v>
      </c>
      <c r="V253" s="28">
        <v>4.722191823356421E-4</v>
      </c>
      <c r="W253" s="28">
        <v>3.6069636979411338E-4</v>
      </c>
      <c r="X253" s="28">
        <v>5.1912344210703731E-2</v>
      </c>
      <c r="Y253" s="28">
        <v>5.3608943171787757E-2</v>
      </c>
      <c r="Z253" s="30">
        <v>0</v>
      </c>
      <c r="AA253" s="30">
        <v>3.1271735442865911E-3</v>
      </c>
      <c r="AB253" s="30">
        <v>1.5240283007201779E-4</v>
      </c>
      <c r="AC253" s="30">
        <v>1.5438989133449149E-4</v>
      </c>
      <c r="AD253" s="30">
        <v>1.612805031626867E-4</v>
      </c>
      <c r="AE253" s="30">
        <v>6.6499799372623288E-3</v>
      </c>
      <c r="AF253" s="30">
        <v>1.0245226706118115E-2</v>
      </c>
      <c r="AG253" s="32">
        <v>0</v>
      </c>
      <c r="AH253" s="32">
        <v>1.6491053126472278E-5</v>
      </c>
      <c r="AI253" s="32">
        <v>5.7114445569050236E-4</v>
      </c>
      <c r="AJ253" s="32">
        <v>3.7507357872791961E-4</v>
      </c>
      <c r="AK253" s="32">
        <v>2.0905486421778481E-4</v>
      </c>
      <c r="AL253" s="32">
        <v>2.2306111618354049E-2</v>
      </c>
      <c r="AM253" s="32">
        <v>2.3477875570116727E-2</v>
      </c>
      <c r="AN253" s="34">
        <v>0</v>
      </c>
      <c r="AO253" s="34">
        <v>1.179775095002105E-5</v>
      </c>
      <c r="AP253" s="34">
        <v>1.349363676490181E-6</v>
      </c>
      <c r="AQ253" s="34">
        <v>7.4641524221169363E-7</v>
      </c>
      <c r="AR253" s="34">
        <v>8.4712774934603729E-7</v>
      </c>
      <c r="AS253" s="34">
        <v>1.3897460589459601E-5</v>
      </c>
      <c r="AT253" s="34">
        <v>2.8638118207528563E-5</v>
      </c>
      <c r="AU253" s="36">
        <v>0</v>
      </c>
      <c r="AV253" s="36">
        <v>0</v>
      </c>
      <c r="AW253" s="36">
        <v>1.5096129038281648E-2</v>
      </c>
      <c r="AX253" s="36">
        <v>0.17647448414364728</v>
      </c>
      <c r="AY253" s="36">
        <v>0.18350017558892837</v>
      </c>
      <c r="AZ253" s="36">
        <v>1.0976927569590764</v>
      </c>
      <c r="BA253" s="36">
        <v>1.4727635457299337</v>
      </c>
      <c r="BB253" s="6"/>
      <c r="BC253" s="6"/>
      <c r="BD253" t="s">
        <v>1112</v>
      </c>
      <c r="BF253" s="5">
        <v>8.8814014999999996E-2</v>
      </c>
      <c r="BG253" s="5">
        <f t="shared" si="9"/>
        <v>-1.1932558966996201E-2</v>
      </c>
      <c r="BH253" s="2">
        <v>249.14008999999999</v>
      </c>
    </row>
    <row r="254" spans="1:60" x14ac:dyDescent="0.2">
      <c r="A254" t="str">
        <f t="shared" si="10"/>
        <v>Motorbike, electric, 11-35kW - 2050 - LFP - CH</v>
      </c>
      <c r="B254" t="s">
        <v>494</v>
      </c>
      <c r="D254" s="19">
        <v>2050</v>
      </c>
      <c r="E254" t="s">
        <v>37</v>
      </c>
      <c r="F254" t="s">
        <v>140</v>
      </c>
      <c r="G254" t="s">
        <v>39</v>
      </c>
      <c r="H254" t="s">
        <v>32</v>
      </c>
      <c r="I254" t="s">
        <v>44</v>
      </c>
      <c r="J254" t="s">
        <v>861</v>
      </c>
      <c r="L254" s="26">
        <v>0</v>
      </c>
      <c r="M254" s="26">
        <v>0</v>
      </c>
      <c r="N254" s="26">
        <v>1.5152004931467059E-3</v>
      </c>
      <c r="O254" s="26">
        <v>1.16988587691834E-2</v>
      </c>
      <c r="P254" s="26">
        <v>5.2469080279340134E-3</v>
      </c>
      <c r="Q254" s="26">
        <v>0.1312707064103128</v>
      </c>
      <c r="R254" s="26">
        <v>0.14973167370057691</v>
      </c>
      <c r="S254" s="28">
        <v>0</v>
      </c>
      <c r="T254" s="28">
        <v>0</v>
      </c>
      <c r="U254" s="28">
        <v>8.6368340895427004E-4</v>
      </c>
      <c r="V254" s="28">
        <v>4.4889971654128941E-4</v>
      </c>
      <c r="W254" s="28">
        <v>3.5848539339494441E-4</v>
      </c>
      <c r="X254" s="28">
        <v>8.3879698628234439E-2</v>
      </c>
      <c r="Y254" s="28">
        <v>8.5550767147124937E-2</v>
      </c>
      <c r="Z254" s="30">
        <v>0</v>
      </c>
      <c r="AA254" s="30">
        <v>3.1271735442865911E-3</v>
      </c>
      <c r="AB254" s="30">
        <v>1.5240283007201779E-4</v>
      </c>
      <c r="AC254" s="30">
        <v>1.4676569916982529E-4</v>
      </c>
      <c r="AD254" s="30">
        <v>1.602754688215921E-4</v>
      </c>
      <c r="AE254" s="30">
        <v>1.137321068335082E-2</v>
      </c>
      <c r="AF254" s="30">
        <v>1.4959828225700847E-2</v>
      </c>
      <c r="AG254" s="32">
        <v>0</v>
      </c>
      <c r="AH254" s="32">
        <v>1.6491053126472278E-5</v>
      </c>
      <c r="AI254" s="32">
        <v>5.7114445569050236E-4</v>
      </c>
      <c r="AJ254" s="32">
        <v>3.5655142669197291E-4</v>
      </c>
      <c r="AK254" s="32">
        <v>2.081168913364444E-4</v>
      </c>
      <c r="AL254" s="32">
        <v>3.7472638859565532E-2</v>
      </c>
      <c r="AM254" s="32">
        <v>3.8624942686410924E-2</v>
      </c>
      <c r="AN254" s="34">
        <v>0</v>
      </c>
      <c r="AO254" s="34">
        <v>1.179775095002105E-5</v>
      </c>
      <c r="AP254" s="34">
        <v>1.349363676490181E-6</v>
      </c>
      <c r="AQ254" s="34">
        <v>7.095552302506223E-7</v>
      </c>
      <c r="AR254" s="34">
        <v>8.4342415062568946E-7</v>
      </c>
      <c r="AS254" s="34">
        <v>2.153221439947024E-5</v>
      </c>
      <c r="AT254" s="34">
        <v>3.6232308406857779E-5</v>
      </c>
      <c r="AU254" s="36">
        <v>0</v>
      </c>
      <c r="AV254" s="36">
        <v>0</v>
      </c>
      <c r="AW254" s="36">
        <v>1.5096129038281648E-2</v>
      </c>
      <c r="AX254" s="36">
        <v>0.16775969480322017</v>
      </c>
      <c r="AY254" s="36">
        <v>0.18235390480984784</v>
      </c>
      <c r="AZ254" s="36">
        <v>1.7582249094146232</v>
      </c>
      <c r="BA254" s="36">
        <v>2.123434638065973</v>
      </c>
      <c r="BB254" s="6"/>
      <c r="BC254" s="6"/>
      <c r="BD254" t="s">
        <v>1113</v>
      </c>
      <c r="BF254" s="5">
        <v>0.12355849000000001</v>
      </c>
      <c r="BG254" s="5">
        <f t="shared" si="9"/>
        <v>-2.6173183700576905E-2</v>
      </c>
      <c r="BH254" s="2">
        <v>400.40685999999999</v>
      </c>
    </row>
    <row r="255" spans="1:60" x14ac:dyDescent="0.2">
      <c r="A255" t="str">
        <f t="shared" si="10"/>
        <v>Motorbike, electric, &gt;35kW - 2020 - LFP - CH</v>
      </c>
      <c r="B255" t="s">
        <v>495</v>
      </c>
      <c r="D255" s="19">
        <v>2020</v>
      </c>
      <c r="E255" t="s">
        <v>37</v>
      </c>
      <c r="F255" t="s">
        <v>140</v>
      </c>
      <c r="G255" t="s">
        <v>39</v>
      </c>
      <c r="H255" t="s">
        <v>32</v>
      </c>
      <c r="I255" t="s">
        <v>44</v>
      </c>
      <c r="J255" t="s">
        <v>861</v>
      </c>
      <c r="L255" s="26">
        <v>0</v>
      </c>
      <c r="M255" s="26">
        <v>0</v>
      </c>
      <c r="N255" s="26">
        <v>1.689725966023888E-3</v>
      </c>
      <c r="O255" s="26">
        <v>1.2306591692257861E-2</v>
      </c>
      <c r="P255" s="26">
        <v>5.7322097842371321E-3</v>
      </c>
      <c r="Q255" s="26">
        <v>0.1330489585066062</v>
      </c>
      <c r="R255" s="26">
        <v>0.15277748594912507</v>
      </c>
      <c r="S255" s="28">
        <v>0</v>
      </c>
      <c r="T255" s="28">
        <v>0</v>
      </c>
      <c r="U255" s="28">
        <v>9.63165131700334E-4</v>
      </c>
      <c r="V255" s="28">
        <v>4.722191823356421E-4</v>
      </c>
      <c r="W255" s="28">
        <v>3.8915046632409652E-4</v>
      </c>
      <c r="X255" s="28">
        <v>8.6893962416245196E-2</v>
      </c>
      <c r="Y255" s="28">
        <v>8.8718497196605267E-2</v>
      </c>
      <c r="Z255" s="30">
        <v>0</v>
      </c>
      <c r="AA255" s="30">
        <v>3.1271735442865911E-3</v>
      </c>
      <c r="AB255" s="30">
        <v>1.699570587740569E-4</v>
      </c>
      <c r="AC255" s="30">
        <v>1.5438989133449149E-4</v>
      </c>
      <c r="AD255" s="30">
        <v>1.742147634144923E-4</v>
      </c>
      <c r="AE255" s="30">
        <v>1.1580690453615769E-2</v>
      </c>
      <c r="AF255" s="30">
        <v>1.52064257114254E-2</v>
      </c>
      <c r="AG255" s="32">
        <v>0</v>
      </c>
      <c r="AH255" s="32">
        <v>1.6491053126472278E-5</v>
      </c>
      <c r="AI255" s="32">
        <v>6.3693063821975663E-4</v>
      </c>
      <c r="AJ255" s="32">
        <v>3.7507357872791961E-4</v>
      </c>
      <c r="AK255" s="32">
        <v>2.2112607896172969E-4</v>
      </c>
      <c r="AL255" s="32">
        <v>3.8191506964006042E-2</v>
      </c>
      <c r="AM255" s="32">
        <v>3.9441128313041918E-2</v>
      </c>
      <c r="AN255" s="34">
        <v>0</v>
      </c>
      <c r="AO255" s="34">
        <v>1.179775095002105E-5</v>
      </c>
      <c r="AP255" s="34">
        <v>1.5047875525962851E-6</v>
      </c>
      <c r="AQ255" s="34">
        <v>7.4641524221169363E-7</v>
      </c>
      <c r="AR255" s="34">
        <v>8.947911054708254E-7</v>
      </c>
      <c r="AS255" s="34">
        <v>2.298482768960763E-5</v>
      </c>
      <c r="AT255" s="34">
        <v>3.7928572539907486E-5</v>
      </c>
      <c r="AU255" s="36">
        <v>0</v>
      </c>
      <c r="AV255" s="36">
        <v>0</v>
      </c>
      <c r="AW255" s="36">
        <v>1.6834947809089666E-2</v>
      </c>
      <c r="AX255" s="36">
        <v>0.17647448414364728</v>
      </c>
      <c r="AY255" s="36">
        <v>0.1982520740758201</v>
      </c>
      <c r="AZ255" s="36">
        <v>1.8026418530543371</v>
      </c>
      <c r="BA255" s="36">
        <v>2.194203359082894</v>
      </c>
      <c r="BB255" s="6"/>
      <c r="BC255" s="6"/>
      <c r="BD255" t="s">
        <v>901</v>
      </c>
      <c r="BF255" s="5">
        <v>0.12988803000000002</v>
      </c>
      <c r="BG255" s="5">
        <f t="shared" si="9"/>
        <v>-2.2889455949125059E-2</v>
      </c>
      <c r="BH255" s="2">
        <v>419.23570999999998</v>
      </c>
    </row>
    <row r="256" spans="1:60" x14ac:dyDescent="0.2">
      <c r="A256" t="str">
        <f t="shared" si="10"/>
        <v>Motorbike, electric, &gt;35kW - 2030 - LFP - CH</v>
      </c>
      <c r="B256" t="s">
        <v>495</v>
      </c>
      <c r="D256" s="19">
        <v>2030</v>
      </c>
      <c r="E256" t="s">
        <v>37</v>
      </c>
      <c r="F256" t="s">
        <v>140</v>
      </c>
      <c r="G256" t="s">
        <v>39</v>
      </c>
      <c r="H256" t="s">
        <v>32</v>
      </c>
      <c r="I256" t="s">
        <v>44</v>
      </c>
      <c r="J256" t="s">
        <v>861</v>
      </c>
      <c r="L256" s="26">
        <v>0</v>
      </c>
      <c r="M256" s="26">
        <v>0</v>
      </c>
      <c r="N256" s="26">
        <v>1.689725966023888E-3</v>
      </c>
      <c r="O256" s="26">
        <v>1.2306591692257861E-2</v>
      </c>
      <c r="P256" s="26">
        <v>6.0030762336561044E-3</v>
      </c>
      <c r="Q256" s="26">
        <v>0.14397240586620499</v>
      </c>
      <c r="R256" s="26">
        <v>0.16397179975814286</v>
      </c>
      <c r="S256" s="28">
        <v>0</v>
      </c>
      <c r="T256" s="28">
        <v>0</v>
      </c>
      <c r="U256" s="28">
        <v>9.63165131700334E-4</v>
      </c>
      <c r="V256" s="28">
        <v>4.722191823356421E-4</v>
      </c>
      <c r="W256" s="28">
        <v>4.0626587816345781E-4</v>
      </c>
      <c r="X256" s="28">
        <v>9.2628351819699223E-2</v>
      </c>
      <c r="Y256" s="28">
        <v>9.447000201189866E-2</v>
      </c>
      <c r="Z256" s="30">
        <v>0</v>
      </c>
      <c r="AA256" s="30">
        <v>3.1271735442865911E-3</v>
      </c>
      <c r="AB256" s="30">
        <v>1.699570587740569E-4</v>
      </c>
      <c r="AC256" s="30">
        <v>1.5438989133449149E-4</v>
      </c>
      <c r="AD256" s="30">
        <v>1.8199484495086659E-4</v>
      </c>
      <c r="AE256" s="30">
        <v>1.2524604404161629E-2</v>
      </c>
      <c r="AF256" s="30">
        <v>1.6158119743507636E-2</v>
      </c>
      <c r="AG256" s="32">
        <v>0</v>
      </c>
      <c r="AH256" s="32">
        <v>1.6491053126472278E-5</v>
      </c>
      <c r="AI256" s="32">
        <v>6.3693063821975663E-4</v>
      </c>
      <c r="AJ256" s="32">
        <v>3.7507357872791961E-4</v>
      </c>
      <c r="AK256" s="32">
        <v>2.283870303514982E-4</v>
      </c>
      <c r="AL256" s="32">
        <v>4.1143357581012688E-2</v>
      </c>
      <c r="AM256" s="32">
        <v>4.2400239881438331E-2</v>
      </c>
      <c r="AN256" s="34">
        <v>0</v>
      </c>
      <c r="AO256" s="34">
        <v>1.179775095002105E-5</v>
      </c>
      <c r="AP256" s="34">
        <v>1.5047875525962851E-6</v>
      </c>
      <c r="AQ256" s="34">
        <v>7.4641524221169363E-7</v>
      </c>
      <c r="AR256" s="34">
        <v>9.2346107110696084E-7</v>
      </c>
      <c r="AS256" s="34">
        <v>2.4470014700998951E-5</v>
      </c>
      <c r="AT256" s="34">
        <v>3.9442429516934937E-5</v>
      </c>
      <c r="AU256" s="36">
        <v>0</v>
      </c>
      <c r="AV256" s="36">
        <v>0</v>
      </c>
      <c r="AW256" s="36">
        <v>1.6834947809089666E-2</v>
      </c>
      <c r="AX256" s="36">
        <v>0.17647448414364728</v>
      </c>
      <c r="AY256" s="36">
        <v>0.20712548243547596</v>
      </c>
      <c r="AZ256" s="36">
        <v>1.9428459549765458</v>
      </c>
      <c r="BA256" s="36">
        <v>2.3432808693647589</v>
      </c>
      <c r="BB256" s="6"/>
      <c r="BC256" s="6"/>
      <c r="BD256" t="s">
        <v>1114</v>
      </c>
      <c r="BF256" s="5">
        <v>0.13760115000000001</v>
      </c>
      <c r="BG256" s="5">
        <f t="shared" si="9"/>
        <v>-2.637064975814285E-2</v>
      </c>
      <c r="BH256" s="2">
        <v>446.90778</v>
      </c>
    </row>
    <row r="257" spans="1:60" x14ac:dyDescent="0.2">
      <c r="A257" t="str">
        <f t="shared" si="10"/>
        <v>Motorbike, electric, &gt;35kW - 2040 - LFP - CH</v>
      </c>
      <c r="B257" t="s">
        <v>495</v>
      </c>
      <c r="D257" s="19">
        <v>2040</v>
      </c>
      <c r="E257" t="s">
        <v>37</v>
      </c>
      <c r="F257" t="s">
        <v>140</v>
      </c>
      <c r="G257" t="s">
        <v>39</v>
      </c>
      <c r="H257" t="s">
        <v>32</v>
      </c>
      <c r="I257" t="s">
        <v>44</v>
      </c>
      <c r="J257" t="s">
        <v>861</v>
      </c>
      <c r="L257" s="26">
        <v>0</v>
      </c>
      <c r="M257" s="26">
        <v>0</v>
      </c>
      <c r="N257" s="26">
        <v>1.689725966023888E-3</v>
      </c>
      <c r="O257" s="26">
        <v>1.2306591692257861E-2</v>
      </c>
      <c r="P257" s="26">
        <v>6.1113257014817129E-3</v>
      </c>
      <c r="Q257" s="26">
        <v>0.13253405494445991</v>
      </c>
      <c r="R257" s="26">
        <v>0.15264169830422336</v>
      </c>
      <c r="S257" s="28">
        <v>0</v>
      </c>
      <c r="T257" s="28">
        <v>0</v>
      </c>
      <c r="U257" s="28">
        <v>9.63165131700334E-4</v>
      </c>
      <c r="V257" s="28">
        <v>4.722191823356421E-4</v>
      </c>
      <c r="W257" s="28">
        <v>4.131059066247207E-4</v>
      </c>
      <c r="X257" s="28">
        <v>8.3865754159344025E-2</v>
      </c>
      <c r="Y257" s="28">
        <v>8.5714244380004717E-2</v>
      </c>
      <c r="Z257" s="30">
        <v>0</v>
      </c>
      <c r="AA257" s="30">
        <v>3.1271735442865911E-3</v>
      </c>
      <c r="AB257" s="30">
        <v>1.699570587740569E-4</v>
      </c>
      <c r="AC257" s="30">
        <v>1.5438989133449149E-4</v>
      </c>
      <c r="AD257" s="30">
        <v>1.851040882246605E-4</v>
      </c>
      <c r="AE257" s="30">
        <v>1.1325664435950089E-2</v>
      </c>
      <c r="AF257" s="30">
        <v>1.4962289018569889E-2</v>
      </c>
      <c r="AG257" s="32">
        <v>0</v>
      </c>
      <c r="AH257" s="32">
        <v>1.6491053126472278E-5</v>
      </c>
      <c r="AI257" s="32">
        <v>6.3693063821975663E-4</v>
      </c>
      <c r="AJ257" s="32">
        <v>3.7507357872791961E-4</v>
      </c>
      <c r="AK257" s="32">
        <v>2.3128880768691969E-4</v>
      </c>
      <c r="AL257" s="32">
        <v>3.7276927745773153E-2</v>
      </c>
      <c r="AM257" s="32">
        <v>3.8536711823534221E-2</v>
      </c>
      <c r="AN257" s="34">
        <v>0</v>
      </c>
      <c r="AO257" s="34">
        <v>1.179775095002105E-5</v>
      </c>
      <c r="AP257" s="34">
        <v>1.5047875525962851E-6</v>
      </c>
      <c r="AQ257" s="34">
        <v>7.4641524221169363E-7</v>
      </c>
      <c r="AR257" s="34">
        <v>9.3491877850980613E-7</v>
      </c>
      <c r="AS257" s="34">
        <v>2.2426039524605921E-5</v>
      </c>
      <c r="AT257" s="34">
        <v>3.7409912047944757E-5</v>
      </c>
      <c r="AU257" s="36">
        <v>0</v>
      </c>
      <c r="AV257" s="36">
        <v>0</v>
      </c>
      <c r="AW257" s="36">
        <v>1.6834947809089666E-2</v>
      </c>
      <c r="AX257" s="36">
        <v>0.17647448414364728</v>
      </c>
      <c r="AY257" s="36">
        <v>0.21067166445540664</v>
      </c>
      <c r="AZ257" s="36">
        <v>1.7835099942552901</v>
      </c>
      <c r="BA257" s="36">
        <v>2.1874910906634337</v>
      </c>
      <c r="BB257" s="6"/>
      <c r="BC257" s="6"/>
      <c r="BD257" t="s">
        <v>1115</v>
      </c>
      <c r="BF257" s="5">
        <v>0.12883433</v>
      </c>
      <c r="BG257" s="5">
        <f t="shared" si="9"/>
        <v>-2.3807368304223364E-2</v>
      </c>
      <c r="BH257" s="2">
        <v>404.11622</v>
      </c>
    </row>
    <row r="258" spans="1:60" x14ac:dyDescent="0.2">
      <c r="A258" t="str">
        <f t="shared" si="10"/>
        <v>Motorbike, electric, &gt;35kW - 2050 - LFP - CH</v>
      </c>
      <c r="B258" t="s">
        <v>495</v>
      </c>
      <c r="D258" s="19">
        <v>2050</v>
      </c>
      <c r="E258" t="s">
        <v>37</v>
      </c>
      <c r="F258" t="s">
        <v>140</v>
      </c>
      <c r="G258" t="s">
        <v>39</v>
      </c>
      <c r="H258" t="s">
        <v>32</v>
      </c>
      <c r="I258" t="s">
        <v>44</v>
      </c>
      <c r="J258" t="s">
        <v>861</v>
      </c>
      <c r="L258" s="26">
        <v>0</v>
      </c>
      <c r="M258" s="26">
        <v>0</v>
      </c>
      <c r="N258" s="26">
        <v>1.689725966023888E-3</v>
      </c>
      <c r="O258" s="26">
        <v>1.9936678541457739E-2</v>
      </c>
      <c r="P258" s="26">
        <v>6.0371109345718366E-3</v>
      </c>
      <c r="Q258" s="26">
        <v>0.21631706785528021</v>
      </c>
      <c r="R258" s="26">
        <v>0.24398058329733369</v>
      </c>
      <c r="S258" s="28">
        <v>0</v>
      </c>
      <c r="T258" s="28">
        <v>0</v>
      </c>
      <c r="U258" s="28">
        <v>9.63165131700334E-4</v>
      </c>
      <c r="V258" s="28">
        <v>7.6499507538374024E-4</v>
      </c>
      <c r="W258" s="28">
        <v>4.0841645061069821E-4</v>
      </c>
      <c r="X258" s="28">
        <v>0.14135138537870459</v>
      </c>
      <c r="Y258" s="28">
        <v>0.14348796203639935</v>
      </c>
      <c r="Z258" s="30">
        <v>0</v>
      </c>
      <c r="AA258" s="30">
        <v>3.1271735442865911E-3</v>
      </c>
      <c r="AB258" s="30">
        <v>1.699570587740569E-4</v>
      </c>
      <c r="AC258" s="30">
        <v>2.5011162396187633E-4</v>
      </c>
      <c r="AD258" s="30">
        <v>1.8297242171889569E-4</v>
      </c>
      <c r="AE258" s="30">
        <v>1.9587163637120739E-2</v>
      </c>
      <c r="AF258" s="30">
        <v>2.331737828586216E-2</v>
      </c>
      <c r="AG258" s="32">
        <v>0</v>
      </c>
      <c r="AH258" s="32">
        <v>1.6491053126472278E-5</v>
      </c>
      <c r="AI258" s="32">
        <v>6.3693063821975663E-4</v>
      </c>
      <c r="AJ258" s="32">
        <v>6.0761919753922976E-4</v>
      </c>
      <c r="AK258" s="32">
        <v>2.2929937778118001E-4</v>
      </c>
      <c r="AL258" s="32">
        <v>6.3764916319348358E-2</v>
      </c>
      <c r="AM258" s="32">
        <v>6.5255256586014998E-2</v>
      </c>
      <c r="AN258" s="34">
        <v>0</v>
      </c>
      <c r="AO258" s="34">
        <v>1.179775095002105E-5</v>
      </c>
      <c r="AP258" s="34">
        <v>1.5047875525962851E-6</v>
      </c>
      <c r="AQ258" s="34">
        <v>1.209192692382944E-6</v>
      </c>
      <c r="AR258" s="34">
        <v>9.2706348738178315E-7</v>
      </c>
      <c r="AS258" s="34">
        <v>3.6122450707167833E-5</v>
      </c>
      <c r="AT258" s="34">
        <v>5.1561245389549897E-5</v>
      </c>
      <c r="AU258" s="36">
        <v>0</v>
      </c>
      <c r="AV258" s="36">
        <v>0</v>
      </c>
      <c r="AW258" s="36">
        <v>1.6834947809089666E-2</v>
      </c>
      <c r="AX258" s="36">
        <v>0.28588866431270848</v>
      </c>
      <c r="AY258" s="36">
        <v>0.20824043705710535</v>
      </c>
      <c r="AZ258" s="36">
        <v>2.9183852236892727</v>
      </c>
      <c r="BA258" s="36">
        <v>3.4293492728681763</v>
      </c>
      <c r="BB258" s="6"/>
      <c r="BC258" s="6"/>
      <c r="BD258" t="s">
        <v>1116</v>
      </c>
      <c r="BF258" s="5">
        <v>0.19645399</v>
      </c>
      <c r="BG258" s="5">
        <f t="shared" si="9"/>
        <v>-4.7526593297333691E-2</v>
      </c>
      <c r="BH258" s="2">
        <v>687.79053999999996</v>
      </c>
    </row>
    <row r="259" spans="1:60" x14ac:dyDescent="0.2">
      <c r="A259" t="str">
        <f t="shared" si="10"/>
        <v>Motorbike, electric, &lt;4kW - 2020 - NCA - CH</v>
      </c>
      <c r="B259" t="s">
        <v>492</v>
      </c>
      <c r="D259" s="19">
        <v>2020</v>
      </c>
      <c r="E259" t="s">
        <v>37</v>
      </c>
      <c r="F259" t="s">
        <v>140</v>
      </c>
      <c r="G259" t="s">
        <v>39</v>
      </c>
      <c r="H259" t="s">
        <v>32</v>
      </c>
      <c r="I259" t="s">
        <v>45</v>
      </c>
      <c r="J259" t="s">
        <v>861</v>
      </c>
      <c r="L259" s="26">
        <v>0</v>
      </c>
      <c r="M259" s="26">
        <v>0</v>
      </c>
      <c r="N259" s="26">
        <v>7.4420517119050845E-4</v>
      </c>
      <c r="O259" s="26">
        <v>1.2306591692257861E-2</v>
      </c>
      <c r="P259" s="26">
        <v>4.425905066110937E-3</v>
      </c>
      <c r="Q259" s="26">
        <v>3.3902437426259507E-2</v>
      </c>
      <c r="R259" s="26">
        <v>5.1379139355818816E-2</v>
      </c>
      <c r="S259" s="28">
        <v>0</v>
      </c>
      <c r="T259" s="28">
        <v>0</v>
      </c>
      <c r="U259" s="28">
        <v>4.2420634240975051E-4</v>
      </c>
      <c r="V259" s="28">
        <v>4.722191823356421E-4</v>
      </c>
      <c r="W259" s="28">
        <v>3.0660815336363168E-4</v>
      </c>
      <c r="X259" s="28">
        <v>2.47414493231328E-2</v>
      </c>
      <c r="Y259" s="28">
        <v>2.5944483001241823E-2</v>
      </c>
      <c r="Z259" s="30">
        <v>0</v>
      </c>
      <c r="AA259" s="30">
        <v>3.1271735442865911E-3</v>
      </c>
      <c r="AB259" s="30">
        <v>7.4854103306236475E-5</v>
      </c>
      <c r="AC259" s="30">
        <v>1.5438989133449149E-4</v>
      </c>
      <c r="AD259" s="30">
        <v>1.3669384770059349E-4</v>
      </c>
      <c r="AE259" s="30">
        <v>2.475333254355087E-3</v>
      </c>
      <c r="AF259" s="30">
        <v>5.9684446409829991E-3</v>
      </c>
      <c r="AG259" s="32">
        <v>0</v>
      </c>
      <c r="AH259" s="32">
        <v>1.6491053126472278E-5</v>
      </c>
      <c r="AI259" s="32">
        <v>2.805230458570776E-4</v>
      </c>
      <c r="AJ259" s="32">
        <v>3.7507357872791961E-4</v>
      </c>
      <c r="AK259" s="32">
        <v>1.8610876663351179E-4</v>
      </c>
      <c r="AL259" s="32">
        <v>8.5929110963679396E-3</v>
      </c>
      <c r="AM259" s="32">
        <v>9.4511075407129209E-3</v>
      </c>
      <c r="AN259" s="34">
        <v>0</v>
      </c>
      <c r="AO259" s="34">
        <v>1.179775095002105E-5</v>
      </c>
      <c r="AP259" s="34">
        <v>6.6275283726653284E-7</v>
      </c>
      <c r="AQ259" s="34">
        <v>7.4641524221169363E-7</v>
      </c>
      <c r="AR259" s="34">
        <v>7.5652476994150374E-7</v>
      </c>
      <c r="AS259" s="34">
        <v>7.2500144535867421E-6</v>
      </c>
      <c r="AT259" s="34">
        <v>2.121345825302752E-5</v>
      </c>
      <c r="AU259" s="36">
        <v>0</v>
      </c>
      <c r="AV259" s="36">
        <v>0</v>
      </c>
      <c r="AW259" s="36">
        <v>7.4146077341334599E-3</v>
      </c>
      <c r="AX259" s="36">
        <v>0.17647448414364728</v>
      </c>
      <c r="AY259" s="36">
        <v>0.15545838282707702</v>
      </c>
      <c r="AZ259" s="36">
        <v>0.47060080427472312</v>
      </c>
      <c r="BA259" s="36">
        <v>0.80994827897958088</v>
      </c>
      <c r="BB259" s="6"/>
      <c r="BC259" s="6"/>
      <c r="BD259" t="s">
        <v>897</v>
      </c>
      <c r="BF259" s="5">
        <v>5.3132026000000006E-2</v>
      </c>
      <c r="BG259" s="5">
        <f t="shared" si="9"/>
        <v>1.7528866441811897E-3</v>
      </c>
      <c r="BH259" s="2">
        <v>117.84532</v>
      </c>
    </row>
    <row r="260" spans="1:60" x14ac:dyDescent="0.2">
      <c r="A260" t="str">
        <f t="shared" si="10"/>
        <v>Motorbike, electric, &lt;4kW - 2030 - NCA - CH</v>
      </c>
      <c r="B260" t="s">
        <v>492</v>
      </c>
      <c r="D260" s="19">
        <v>2030</v>
      </c>
      <c r="E260" t="s">
        <v>37</v>
      </c>
      <c r="F260" t="s">
        <v>140</v>
      </c>
      <c r="G260" t="s">
        <v>39</v>
      </c>
      <c r="H260" t="s">
        <v>32</v>
      </c>
      <c r="I260" t="s">
        <v>45</v>
      </c>
      <c r="J260" t="s">
        <v>861</v>
      </c>
      <c r="L260" s="26">
        <v>0</v>
      </c>
      <c r="M260" s="26">
        <v>0</v>
      </c>
      <c r="N260" s="26">
        <v>7.4420517119050845E-4</v>
      </c>
      <c r="O260" s="26">
        <v>1.2306591692257861E-2</v>
      </c>
      <c r="P260" s="26">
        <v>4.4354770577290396E-3</v>
      </c>
      <c r="Q260" s="26">
        <v>3.6309068769588608E-2</v>
      </c>
      <c r="R260" s="26">
        <v>5.3795342690766017E-2</v>
      </c>
      <c r="S260" s="28">
        <v>0</v>
      </c>
      <c r="T260" s="28">
        <v>0</v>
      </c>
      <c r="U260" s="28">
        <v>4.2420634240975051E-4</v>
      </c>
      <c r="V260" s="28">
        <v>4.722191823356421E-4</v>
      </c>
      <c r="W260" s="28">
        <v>3.0721298492921762E-4</v>
      </c>
      <c r="X260" s="28">
        <v>2.5348429635311379E-2</v>
      </c>
      <c r="Y260" s="28">
        <v>2.655206814498599E-2</v>
      </c>
      <c r="Z260" s="30">
        <v>0</v>
      </c>
      <c r="AA260" s="30">
        <v>3.1271735442865911E-3</v>
      </c>
      <c r="AB260" s="30">
        <v>7.4854103306236475E-5</v>
      </c>
      <c r="AC260" s="30">
        <v>1.5438989133449149E-4</v>
      </c>
      <c r="AD260" s="30">
        <v>1.3696878346843811E-4</v>
      </c>
      <c r="AE260" s="30">
        <v>2.6271210559094798E-3</v>
      </c>
      <c r="AF260" s="30">
        <v>6.1205073783052368E-3</v>
      </c>
      <c r="AG260" s="32">
        <v>0</v>
      </c>
      <c r="AH260" s="32">
        <v>1.6491053126472278E-5</v>
      </c>
      <c r="AI260" s="32">
        <v>2.805230458570776E-4</v>
      </c>
      <c r="AJ260" s="32">
        <v>3.7507357872791961E-4</v>
      </c>
      <c r="AK260" s="32">
        <v>1.863653571636104E-4</v>
      </c>
      <c r="AL260" s="32">
        <v>9.0822750147208746E-3</v>
      </c>
      <c r="AM260" s="32">
        <v>9.9407280495959552E-3</v>
      </c>
      <c r="AN260" s="34">
        <v>0</v>
      </c>
      <c r="AO260" s="34">
        <v>1.179775095002105E-5</v>
      </c>
      <c r="AP260" s="34">
        <v>6.6275283726653284E-7</v>
      </c>
      <c r="AQ260" s="34">
        <v>7.4641524221169363E-7</v>
      </c>
      <c r="AR260" s="34">
        <v>7.5753792115070333E-7</v>
      </c>
      <c r="AS260" s="34">
        <v>7.4121647405551788E-6</v>
      </c>
      <c r="AT260" s="34">
        <v>2.1376621691205159E-5</v>
      </c>
      <c r="AU260" s="36">
        <v>0</v>
      </c>
      <c r="AV260" s="36">
        <v>0</v>
      </c>
      <c r="AW260" s="36">
        <v>7.4146077341334599E-3</v>
      </c>
      <c r="AX260" s="36">
        <v>0.17647448414364728</v>
      </c>
      <c r="AY260" s="36">
        <v>0.15577195503443175</v>
      </c>
      <c r="AZ260" s="36">
        <v>0.49726894951311434</v>
      </c>
      <c r="BA260" s="36">
        <v>0.83692999642532684</v>
      </c>
      <c r="BB260" s="6"/>
      <c r="BC260" s="6"/>
      <c r="BD260" t="s">
        <v>1117</v>
      </c>
      <c r="BF260" s="5">
        <v>5.4213036000000006E-2</v>
      </c>
      <c r="BG260" s="5">
        <f t="shared" ref="BG260:BG274" si="11">BF260-R260</f>
        <v>4.1769330923398934E-4</v>
      </c>
      <c r="BH260" s="2">
        <v>119.40535</v>
      </c>
    </row>
    <row r="261" spans="1:60" x14ac:dyDescent="0.2">
      <c r="A261" t="str">
        <f t="shared" si="10"/>
        <v>Motorbike, electric, &lt;4kW - 2040 - NCA - CH</v>
      </c>
      <c r="B261" t="s">
        <v>492</v>
      </c>
      <c r="D261" s="19">
        <v>2040</v>
      </c>
      <c r="E261" t="s">
        <v>37</v>
      </c>
      <c r="F261" t="s">
        <v>140</v>
      </c>
      <c r="G261" t="s">
        <v>39</v>
      </c>
      <c r="H261" t="s">
        <v>32</v>
      </c>
      <c r="I261" t="s">
        <v>45</v>
      </c>
      <c r="J261" t="s">
        <v>861</v>
      </c>
      <c r="L261" s="26">
        <v>0</v>
      </c>
      <c r="M261" s="26">
        <v>0</v>
      </c>
      <c r="N261" s="26">
        <v>7.4420517119050845E-4</v>
      </c>
      <c r="O261" s="26">
        <v>1.2306591692257861E-2</v>
      </c>
      <c r="P261" s="26">
        <v>4.434103834174483E-3</v>
      </c>
      <c r="Q261" s="26">
        <v>3.6426180899513397E-2</v>
      </c>
      <c r="R261" s="26">
        <v>5.391108159713625E-2</v>
      </c>
      <c r="S261" s="28">
        <v>0</v>
      </c>
      <c r="T261" s="28">
        <v>0</v>
      </c>
      <c r="U261" s="28">
        <v>4.2420634240975051E-4</v>
      </c>
      <c r="V261" s="28">
        <v>4.722191823356421E-4</v>
      </c>
      <c r="W261" s="28">
        <v>3.0712621417287557E-4</v>
      </c>
      <c r="X261" s="28">
        <v>2.436109907006942E-2</v>
      </c>
      <c r="Y261" s="28">
        <v>2.5564650808987687E-2</v>
      </c>
      <c r="Z261" s="30">
        <v>0</v>
      </c>
      <c r="AA261" s="30">
        <v>3.1271735442865911E-3</v>
      </c>
      <c r="AB261" s="30">
        <v>7.4854103306236475E-5</v>
      </c>
      <c r="AC261" s="30">
        <v>1.5438989133449149E-4</v>
      </c>
      <c r="AD261" s="30">
        <v>1.3692934044681231E-4</v>
      </c>
      <c r="AE261" s="30">
        <v>2.5549809065749198E-3</v>
      </c>
      <c r="AF261" s="30">
        <v>6.0483277859490515E-3</v>
      </c>
      <c r="AG261" s="32">
        <v>0</v>
      </c>
      <c r="AH261" s="32">
        <v>1.6491053126472278E-5</v>
      </c>
      <c r="AI261" s="32">
        <v>2.805230458570776E-4</v>
      </c>
      <c r="AJ261" s="32">
        <v>3.7507357872791961E-4</v>
      </c>
      <c r="AK261" s="32">
        <v>1.8632854599892639E-4</v>
      </c>
      <c r="AL261" s="32">
        <v>8.8871934464291071E-3</v>
      </c>
      <c r="AM261" s="32">
        <v>9.7456096701395035E-3</v>
      </c>
      <c r="AN261" s="34">
        <v>0</v>
      </c>
      <c r="AO261" s="34">
        <v>1.179775095002105E-5</v>
      </c>
      <c r="AP261" s="34">
        <v>6.6275283726653284E-7</v>
      </c>
      <c r="AQ261" s="34">
        <v>7.4641524221169363E-7</v>
      </c>
      <c r="AR261" s="34">
        <v>7.5739257176467052E-7</v>
      </c>
      <c r="AS261" s="34">
        <v>7.1665713461865727E-6</v>
      </c>
      <c r="AT261" s="34">
        <v>2.1130882947450518E-5</v>
      </c>
      <c r="AU261" s="36">
        <v>0</v>
      </c>
      <c r="AV261" s="36">
        <v>0</v>
      </c>
      <c r="AW261" s="36">
        <v>7.4146077341334599E-3</v>
      </c>
      <c r="AX261" s="36">
        <v>0.17647448414364728</v>
      </c>
      <c r="AY261" s="36">
        <v>0.15572696912571241</v>
      </c>
      <c r="AZ261" s="36">
        <v>0.4937996919474914</v>
      </c>
      <c r="BA261" s="36">
        <v>0.83341575295098458</v>
      </c>
      <c r="BB261" s="6"/>
      <c r="BC261" s="6"/>
      <c r="BD261" t="s">
        <v>1118</v>
      </c>
      <c r="BF261" s="5">
        <v>5.3707326999999999E-2</v>
      </c>
      <c r="BG261" s="5">
        <f t="shared" si="11"/>
        <v>-2.037545971362506E-4</v>
      </c>
      <c r="BH261" s="2">
        <v>114.16804999999999</v>
      </c>
    </row>
    <row r="262" spans="1:60" x14ac:dyDescent="0.2">
      <c r="A262" t="str">
        <f t="shared" si="10"/>
        <v>Motorbike, electric, &lt;4kW - 2050 - NCA - CH</v>
      </c>
      <c r="B262" t="s">
        <v>492</v>
      </c>
      <c r="D262" s="19">
        <v>2050</v>
      </c>
      <c r="E262" t="s">
        <v>37</v>
      </c>
      <c r="F262" t="s">
        <v>140</v>
      </c>
      <c r="G262" t="s">
        <v>39</v>
      </c>
      <c r="H262" t="s">
        <v>32</v>
      </c>
      <c r="I262" t="s">
        <v>45</v>
      </c>
      <c r="J262" t="s">
        <v>861</v>
      </c>
      <c r="L262" s="26">
        <v>0</v>
      </c>
      <c r="M262" s="26">
        <v>0</v>
      </c>
      <c r="N262" s="26">
        <v>7.4420517119050845E-4</v>
      </c>
      <c r="O262" s="26">
        <v>1.2306591692257861E-2</v>
      </c>
      <c r="P262" s="26">
        <v>4.433716903780657E-3</v>
      </c>
      <c r="Q262" s="26">
        <v>3.6461117411092113E-2</v>
      </c>
      <c r="R262" s="26">
        <v>5.3945631178321143E-2</v>
      </c>
      <c r="S262" s="28">
        <v>0</v>
      </c>
      <c r="T262" s="28">
        <v>0</v>
      </c>
      <c r="U262" s="28">
        <v>4.2420634240975051E-4</v>
      </c>
      <c r="V262" s="28">
        <v>4.722191823356421E-4</v>
      </c>
      <c r="W262" s="28">
        <v>3.0710176495423781E-4</v>
      </c>
      <c r="X262" s="28">
        <v>2.3293633872741179E-2</v>
      </c>
      <c r="Y262" s="28">
        <v>2.4497161162440811E-2</v>
      </c>
      <c r="Z262" s="30">
        <v>0</v>
      </c>
      <c r="AA262" s="30">
        <v>3.1271735442865911E-3</v>
      </c>
      <c r="AB262" s="30">
        <v>7.4854103306236475E-5</v>
      </c>
      <c r="AC262" s="30">
        <v>1.5438989133449149E-4</v>
      </c>
      <c r="AD262" s="30">
        <v>1.3691822666723821E-4</v>
      </c>
      <c r="AE262" s="30">
        <v>2.473099587364041E-3</v>
      </c>
      <c r="AF262" s="30">
        <v>5.9664353529585981E-3</v>
      </c>
      <c r="AG262" s="32">
        <v>0</v>
      </c>
      <c r="AH262" s="32">
        <v>1.6491053126472278E-5</v>
      </c>
      <c r="AI262" s="32">
        <v>2.805230458570776E-4</v>
      </c>
      <c r="AJ262" s="32">
        <v>3.7507357872791961E-4</v>
      </c>
      <c r="AK262" s="32">
        <v>1.8631817379230269E-4</v>
      </c>
      <c r="AL262" s="32">
        <v>8.6620954539759192E-3</v>
      </c>
      <c r="AM262" s="32">
        <v>9.5205013054796908E-3</v>
      </c>
      <c r="AN262" s="34">
        <v>0</v>
      </c>
      <c r="AO262" s="34">
        <v>1.179775095002105E-5</v>
      </c>
      <c r="AP262" s="34">
        <v>6.6275283726653284E-7</v>
      </c>
      <c r="AQ262" s="34">
        <v>7.4641524221169363E-7</v>
      </c>
      <c r="AR262" s="34">
        <v>7.5735161696529122E-7</v>
      </c>
      <c r="AS262" s="34">
        <v>6.9015097879473733E-6</v>
      </c>
      <c r="AT262" s="34">
        <v>2.0865780434411941E-5</v>
      </c>
      <c r="AU262" s="36">
        <v>0</v>
      </c>
      <c r="AV262" s="36">
        <v>0</v>
      </c>
      <c r="AW262" s="36">
        <v>7.4146077341334599E-3</v>
      </c>
      <c r="AX262" s="36">
        <v>0.17647448414364728</v>
      </c>
      <c r="AY262" s="36">
        <v>0.15571429353817273</v>
      </c>
      <c r="AZ262" s="36">
        <v>0.48915861261981258</v>
      </c>
      <c r="BA262" s="36">
        <v>0.82876199803576611</v>
      </c>
      <c r="BB262" s="6"/>
      <c r="BC262" s="6"/>
      <c r="BD262" t="s">
        <v>1119</v>
      </c>
      <c r="BF262" s="5">
        <v>5.3140931000000002E-2</v>
      </c>
      <c r="BG262" s="5">
        <f t="shared" si="11"/>
        <v>-8.0470017832114105E-4</v>
      </c>
      <c r="BH262" s="2">
        <v>108.59704000000001</v>
      </c>
    </row>
    <row r="263" spans="1:60" x14ac:dyDescent="0.2">
      <c r="A263" t="str">
        <f t="shared" si="10"/>
        <v>Motorbike, electric, 4-11kW - 2020 - NCA - CH</v>
      </c>
      <c r="B263" t="s">
        <v>493</v>
      </c>
      <c r="D263" s="19">
        <v>2020</v>
      </c>
      <c r="E263" t="s">
        <v>37</v>
      </c>
      <c r="F263" t="s">
        <v>140</v>
      </c>
      <c r="G263" t="s">
        <v>39</v>
      </c>
      <c r="H263" t="s">
        <v>32</v>
      </c>
      <c r="I263" t="s">
        <v>45</v>
      </c>
      <c r="J263" t="s">
        <v>861</v>
      </c>
      <c r="L263" s="26">
        <v>0</v>
      </c>
      <c r="M263" s="26">
        <v>0</v>
      </c>
      <c r="N263" s="26">
        <v>1.119382984765889E-3</v>
      </c>
      <c r="O263" s="26">
        <v>1.2306591692257861E-2</v>
      </c>
      <c r="P263" s="26">
        <v>4.5508663683950347E-3</v>
      </c>
      <c r="Q263" s="26">
        <v>4.8553261164789127E-2</v>
      </c>
      <c r="R263" s="26">
        <v>6.6530102210207914E-2</v>
      </c>
      <c r="S263" s="28">
        <v>0</v>
      </c>
      <c r="T263" s="28">
        <v>0</v>
      </c>
      <c r="U263" s="28">
        <v>6.380624323849139E-4</v>
      </c>
      <c r="V263" s="28">
        <v>4.722191823356421E-4</v>
      </c>
      <c r="W263" s="28">
        <v>3.1450416321336791E-4</v>
      </c>
      <c r="X263" s="28">
        <v>3.6431725005103548E-2</v>
      </c>
      <c r="Y263" s="28">
        <v>3.7856510783037471E-2</v>
      </c>
      <c r="Z263" s="30">
        <v>0</v>
      </c>
      <c r="AA263" s="30">
        <v>3.1271735442865911E-3</v>
      </c>
      <c r="AB263" s="30">
        <v>1.125904694358268E-4</v>
      </c>
      <c r="AC263" s="30">
        <v>1.5438989133449149E-4</v>
      </c>
      <c r="AD263" s="30">
        <v>1.402831040398236E-4</v>
      </c>
      <c r="AE263" s="30">
        <v>3.6952673073236482E-3</v>
      </c>
      <c r="AF263" s="30">
        <v>7.2297043164203812E-3</v>
      </c>
      <c r="AG263" s="32">
        <v>0</v>
      </c>
      <c r="AH263" s="32">
        <v>1.6491053126472278E-5</v>
      </c>
      <c r="AI263" s="32">
        <v>4.2194375492552171E-4</v>
      </c>
      <c r="AJ263" s="32">
        <v>3.7507357872791961E-4</v>
      </c>
      <c r="AK263" s="32">
        <v>1.8945852790307221E-4</v>
      </c>
      <c r="AL263" s="32">
        <v>1.2809763384019179E-2</v>
      </c>
      <c r="AM263" s="32">
        <v>1.3812730298702166E-2</v>
      </c>
      <c r="AN263" s="34">
        <v>0</v>
      </c>
      <c r="AO263" s="34">
        <v>1.179775095002105E-5</v>
      </c>
      <c r="AP263" s="34">
        <v>9.9686790398767734E-7</v>
      </c>
      <c r="AQ263" s="34">
        <v>7.4641524221169363E-7</v>
      </c>
      <c r="AR263" s="34">
        <v>7.6975134802091085E-7</v>
      </c>
      <c r="AS263" s="34">
        <v>1.0363650731582819E-5</v>
      </c>
      <c r="AT263" s="34">
        <v>2.4674436175824152E-5</v>
      </c>
      <c r="AU263" s="36">
        <v>0</v>
      </c>
      <c r="AV263" s="36">
        <v>0</v>
      </c>
      <c r="AW263" s="36">
        <v>1.1152550476134624E-2</v>
      </c>
      <c r="AX263" s="36">
        <v>0.17647448414364728</v>
      </c>
      <c r="AY263" s="36">
        <v>0.15955203365278733</v>
      </c>
      <c r="AZ263" s="36">
        <v>0.67437606148485696</v>
      </c>
      <c r="BA263" s="36">
        <v>1.0215551297574261</v>
      </c>
      <c r="BB263" s="6"/>
      <c r="BC263" s="6"/>
      <c r="BD263" t="s">
        <v>913</v>
      </c>
      <c r="BF263" s="5">
        <v>6.6295403000000003E-2</v>
      </c>
      <c r="BG263" s="5">
        <f t="shared" si="11"/>
        <v>-2.3469921020791151E-4</v>
      </c>
      <c r="BH263" s="2">
        <v>158.28456</v>
      </c>
    </row>
    <row r="264" spans="1:60" x14ac:dyDescent="0.2">
      <c r="A264" t="str">
        <f t="shared" si="10"/>
        <v>Motorbike, electric, 4-11kW - 2030 - NCA - CH</v>
      </c>
      <c r="B264" t="s">
        <v>493</v>
      </c>
      <c r="D264" s="19">
        <v>2030</v>
      </c>
      <c r="E264" t="s">
        <v>37</v>
      </c>
      <c r="F264" t="s">
        <v>140</v>
      </c>
      <c r="G264" t="s">
        <v>39</v>
      </c>
      <c r="H264" t="s">
        <v>32</v>
      </c>
      <c r="I264" t="s">
        <v>45</v>
      </c>
      <c r="J264" t="s">
        <v>861</v>
      </c>
      <c r="L264" s="26">
        <v>0</v>
      </c>
      <c r="M264" s="26">
        <v>0</v>
      </c>
      <c r="N264" s="26">
        <v>1.119382984765889E-3</v>
      </c>
      <c r="O264" s="26">
        <v>1.2306591692257861E-2</v>
      </c>
      <c r="P264" s="26">
        <v>4.5659445792955522E-3</v>
      </c>
      <c r="Q264" s="26">
        <v>5.1094737487802327E-2</v>
      </c>
      <c r="R264" s="26">
        <v>6.9086656744121622E-2</v>
      </c>
      <c r="S264" s="28">
        <v>0</v>
      </c>
      <c r="T264" s="28">
        <v>0</v>
      </c>
      <c r="U264" s="28">
        <v>6.380624323849139E-4</v>
      </c>
      <c r="V264" s="28">
        <v>4.722191823356421E-4</v>
      </c>
      <c r="W264" s="28">
        <v>3.1545691978368762E-4</v>
      </c>
      <c r="X264" s="28">
        <v>3.6766350851257339E-2</v>
      </c>
      <c r="Y264" s="28">
        <v>3.8192089385761581E-2</v>
      </c>
      <c r="Z264" s="30">
        <v>0</v>
      </c>
      <c r="AA264" s="30">
        <v>3.1271735442865911E-3</v>
      </c>
      <c r="AB264" s="30">
        <v>1.125904694358268E-4</v>
      </c>
      <c r="AC264" s="30">
        <v>1.5438989133449149E-4</v>
      </c>
      <c r="AD264" s="30">
        <v>1.4071619462922781E-4</v>
      </c>
      <c r="AE264" s="30">
        <v>3.831941856794318E-3</v>
      </c>
      <c r="AF264" s="30">
        <v>7.3668119564804548E-3</v>
      </c>
      <c r="AG264" s="32">
        <v>0</v>
      </c>
      <c r="AH264" s="32">
        <v>1.6491053126472278E-5</v>
      </c>
      <c r="AI264" s="32">
        <v>4.2194375492552171E-4</v>
      </c>
      <c r="AJ264" s="32">
        <v>3.7507357872791961E-4</v>
      </c>
      <c r="AK264" s="32">
        <v>1.8986272028875961E-4</v>
      </c>
      <c r="AL264" s="32">
        <v>1.325858238507989E-2</v>
      </c>
      <c r="AM264" s="32">
        <v>1.4261953492148562E-2</v>
      </c>
      <c r="AN264" s="34">
        <v>0</v>
      </c>
      <c r="AO264" s="34">
        <v>1.179775095002105E-5</v>
      </c>
      <c r="AP264" s="34">
        <v>9.9686790398767734E-7</v>
      </c>
      <c r="AQ264" s="34">
        <v>7.4641524221169363E-7</v>
      </c>
      <c r="AR264" s="34">
        <v>7.713473071708888E-7</v>
      </c>
      <c r="AS264" s="34">
        <v>1.04619302838531E-5</v>
      </c>
      <c r="AT264" s="34">
        <v>2.4774311687244408E-5</v>
      </c>
      <c r="AU264" s="36">
        <v>0</v>
      </c>
      <c r="AV264" s="36">
        <v>0</v>
      </c>
      <c r="AW264" s="36">
        <v>1.1152550476134624E-2</v>
      </c>
      <c r="AX264" s="36">
        <v>0.17647448414364728</v>
      </c>
      <c r="AY264" s="36">
        <v>0.16004598601543801</v>
      </c>
      <c r="AZ264" s="36">
        <v>0.70116942273056115</v>
      </c>
      <c r="BA264" s="36">
        <v>1.048842443365781</v>
      </c>
      <c r="BB264" s="6"/>
      <c r="BC264" s="6"/>
      <c r="BD264" t="s">
        <v>1120</v>
      </c>
      <c r="BF264" s="5">
        <v>6.7289876999999998E-2</v>
      </c>
      <c r="BG264" s="5">
        <f t="shared" si="11"/>
        <v>-1.7967797441216238E-3</v>
      </c>
      <c r="BH264" s="2">
        <v>158.38005000000001</v>
      </c>
    </row>
    <row r="265" spans="1:60" x14ac:dyDescent="0.2">
      <c r="A265" t="str">
        <f t="shared" si="10"/>
        <v>Motorbike, electric, 4-11kW - 2040 - NCA - CH</v>
      </c>
      <c r="B265" t="s">
        <v>493</v>
      </c>
      <c r="D265" s="19">
        <v>2040</v>
      </c>
      <c r="E265" t="s">
        <v>37</v>
      </c>
      <c r="F265" t="s">
        <v>140</v>
      </c>
      <c r="G265" t="s">
        <v>39</v>
      </c>
      <c r="H265" t="s">
        <v>32</v>
      </c>
      <c r="I265" t="s">
        <v>45</v>
      </c>
      <c r="J265" t="s">
        <v>861</v>
      </c>
      <c r="L265" s="26">
        <v>0</v>
      </c>
      <c r="M265" s="26">
        <v>0</v>
      </c>
      <c r="N265" s="26">
        <v>1.119382984765889E-3</v>
      </c>
      <c r="O265" s="26">
        <v>1.2306591692257861E-2</v>
      </c>
      <c r="P265" s="26">
        <v>4.5649187894673806E-3</v>
      </c>
      <c r="Q265" s="26">
        <v>5.074490019026609E-2</v>
      </c>
      <c r="R265" s="26">
        <v>6.8735793656757221E-2</v>
      </c>
      <c r="S265" s="28">
        <v>0</v>
      </c>
      <c r="T265" s="28">
        <v>0</v>
      </c>
      <c r="U265" s="28">
        <v>6.380624323849139E-4</v>
      </c>
      <c r="V265" s="28">
        <v>4.722191823356421E-4</v>
      </c>
      <c r="W265" s="28">
        <v>3.1539210254475888E-4</v>
      </c>
      <c r="X265" s="28">
        <v>3.5077251963654868E-2</v>
      </c>
      <c r="Y265" s="28">
        <v>3.650292568092018E-2</v>
      </c>
      <c r="Z265" s="30">
        <v>0</v>
      </c>
      <c r="AA265" s="30">
        <v>3.1271735442865911E-3</v>
      </c>
      <c r="AB265" s="30">
        <v>1.125904694358268E-4</v>
      </c>
      <c r="AC265" s="30">
        <v>1.5438989133449149E-4</v>
      </c>
      <c r="AD265" s="30">
        <v>1.4068673092665601E-4</v>
      </c>
      <c r="AE265" s="30">
        <v>3.684879772258432E-3</v>
      </c>
      <c r="AF265" s="30">
        <v>7.2197204082419973E-3</v>
      </c>
      <c r="AG265" s="32">
        <v>0</v>
      </c>
      <c r="AH265" s="32">
        <v>1.6491053126472278E-5</v>
      </c>
      <c r="AI265" s="32">
        <v>4.2194375492552171E-4</v>
      </c>
      <c r="AJ265" s="32">
        <v>3.7507357872791961E-4</v>
      </c>
      <c r="AK265" s="32">
        <v>1.8983522256767069E-4</v>
      </c>
      <c r="AL265" s="32">
        <v>1.284164798792508E-2</v>
      </c>
      <c r="AM265" s="32">
        <v>1.3844991597272665E-2</v>
      </c>
      <c r="AN265" s="34">
        <v>0</v>
      </c>
      <c r="AO265" s="34">
        <v>1.179775095002105E-5</v>
      </c>
      <c r="AP265" s="34">
        <v>9.9686790398767734E-7</v>
      </c>
      <c r="AQ265" s="34">
        <v>7.4641524221169363E-7</v>
      </c>
      <c r="AR265" s="34">
        <v>7.7123873204397056E-7</v>
      </c>
      <c r="AS265" s="34">
        <v>1.0041312134937471E-5</v>
      </c>
      <c r="AT265" s="34">
        <v>2.4353584963201862E-5</v>
      </c>
      <c r="AU265" s="36">
        <v>0</v>
      </c>
      <c r="AV265" s="36">
        <v>0</v>
      </c>
      <c r="AW265" s="36">
        <v>1.1152550476134624E-2</v>
      </c>
      <c r="AX265" s="36">
        <v>0.17647448414364728</v>
      </c>
      <c r="AY265" s="36">
        <v>0.16001238180917302</v>
      </c>
      <c r="AZ265" s="36">
        <v>0.68982777645569626</v>
      </c>
      <c r="BA265" s="36">
        <v>1.0374671928846513</v>
      </c>
      <c r="BB265" s="6"/>
      <c r="BC265" s="6"/>
      <c r="BD265" t="s">
        <v>1121</v>
      </c>
      <c r="BF265" s="5">
        <v>6.6272695000000006E-2</v>
      </c>
      <c r="BG265" s="5">
        <f t="shared" si="11"/>
        <v>-2.463098656757215E-3</v>
      </c>
      <c r="BH265" s="2">
        <v>149.85061999999999</v>
      </c>
    </row>
    <row r="266" spans="1:60" x14ac:dyDescent="0.2">
      <c r="A266" t="str">
        <f t="shared" si="10"/>
        <v>Motorbike, electric, 4-11kW - 2050 - NCA - CH</v>
      </c>
      <c r="B266" t="s">
        <v>493</v>
      </c>
      <c r="D266" s="19">
        <v>2050</v>
      </c>
      <c r="E266" t="s">
        <v>37</v>
      </c>
      <c r="F266" t="s">
        <v>140</v>
      </c>
      <c r="G266" t="s">
        <v>39</v>
      </c>
      <c r="H266" t="s">
        <v>32</v>
      </c>
      <c r="I266" t="s">
        <v>45</v>
      </c>
      <c r="J266" t="s">
        <v>861</v>
      </c>
      <c r="L266" s="26">
        <v>0</v>
      </c>
      <c r="M266" s="26">
        <v>0</v>
      </c>
      <c r="N266" s="26">
        <v>1.119382984765889E-3</v>
      </c>
      <c r="O266" s="26">
        <v>1.2306591692257861E-2</v>
      </c>
      <c r="P266" s="26">
        <v>4.5678381722821411E-3</v>
      </c>
      <c r="Q266" s="26">
        <v>5.0573962850989043E-2</v>
      </c>
      <c r="R266" s="26">
        <v>6.8567775700294931E-2</v>
      </c>
      <c r="S266" s="28">
        <v>0</v>
      </c>
      <c r="T266" s="28">
        <v>0</v>
      </c>
      <c r="U266" s="28">
        <v>6.380624323849139E-4</v>
      </c>
      <c r="V266" s="28">
        <v>4.722191823356421E-4</v>
      </c>
      <c r="W266" s="28">
        <v>3.1557657145664722E-4</v>
      </c>
      <c r="X266" s="28">
        <v>3.3548717791256621E-2</v>
      </c>
      <c r="Y266" s="28">
        <v>3.4974575977433822E-2</v>
      </c>
      <c r="Z266" s="30">
        <v>0</v>
      </c>
      <c r="AA266" s="30">
        <v>3.1271735442865911E-3</v>
      </c>
      <c r="AB266" s="30">
        <v>1.125904694358268E-4</v>
      </c>
      <c r="AC266" s="30">
        <v>1.5438989133449149E-4</v>
      </c>
      <c r="AD266" s="30">
        <v>1.4077058419229089E-4</v>
      </c>
      <c r="AE266" s="30">
        <v>3.5583168130120541E-3</v>
      </c>
      <c r="AF266" s="30">
        <v>7.0932413022612543E-3</v>
      </c>
      <c r="AG266" s="32">
        <v>0</v>
      </c>
      <c r="AH266" s="32">
        <v>1.6491053126472278E-5</v>
      </c>
      <c r="AI266" s="32">
        <v>4.2194375492552171E-4</v>
      </c>
      <c r="AJ266" s="32">
        <v>3.7507357872791961E-4</v>
      </c>
      <c r="AK266" s="32">
        <v>1.899134806788231E-4</v>
      </c>
      <c r="AL266" s="32">
        <v>1.248483860956842E-2</v>
      </c>
      <c r="AM266" s="32">
        <v>1.3488260477027156E-2</v>
      </c>
      <c r="AN266" s="34">
        <v>0</v>
      </c>
      <c r="AO266" s="34">
        <v>1.179775095002105E-5</v>
      </c>
      <c r="AP266" s="34">
        <v>9.9686790398767734E-7</v>
      </c>
      <c r="AQ266" s="34">
        <v>7.4641524221169363E-7</v>
      </c>
      <c r="AR266" s="34">
        <v>7.7154773526366578E-7</v>
      </c>
      <c r="AS266" s="34">
        <v>9.6633949398180357E-6</v>
      </c>
      <c r="AT266" s="34">
        <v>2.397597677130212E-5</v>
      </c>
      <c r="AU266" s="36">
        <v>0</v>
      </c>
      <c r="AV266" s="36">
        <v>0</v>
      </c>
      <c r="AW266" s="36">
        <v>1.1152550476134624E-2</v>
      </c>
      <c r="AX266" s="36">
        <v>0.17647448414364728</v>
      </c>
      <c r="AY266" s="36">
        <v>0.16010801888762657</v>
      </c>
      <c r="AZ266" s="36">
        <v>0.68104652589301906</v>
      </c>
      <c r="BA266" s="36">
        <v>1.0287815794004276</v>
      </c>
      <c r="BB266" s="6"/>
      <c r="BC266" s="6"/>
      <c r="BD266" t="s">
        <v>1122</v>
      </c>
      <c r="BF266" s="5">
        <v>6.5405557000000003E-2</v>
      </c>
      <c r="BG266" s="5">
        <f t="shared" si="11"/>
        <v>-3.1622187002949276E-3</v>
      </c>
      <c r="BH266" s="2">
        <v>142.04390000000001</v>
      </c>
    </row>
    <row r="267" spans="1:60" x14ac:dyDescent="0.2">
      <c r="A267" t="str">
        <f t="shared" si="10"/>
        <v>Motorbike, electric, 11-35kW - 2020 - NCA - CH</v>
      </c>
      <c r="B267" t="s">
        <v>494</v>
      </c>
      <c r="D267" s="19">
        <v>2020</v>
      </c>
      <c r="E267" t="s">
        <v>37</v>
      </c>
      <c r="F267" t="s">
        <v>140</v>
      </c>
      <c r="G267" t="s">
        <v>39</v>
      </c>
      <c r="H267" t="s">
        <v>32</v>
      </c>
      <c r="I267" t="s">
        <v>45</v>
      </c>
      <c r="J267" t="s">
        <v>861</v>
      </c>
      <c r="L267" s="26">
        <v>0</v>
      </c>
      <c r="M267" s="26">
        <v>0</v>
      </c>
      <c r="N267" s="26">
        <v>1.5152004931467059E-3</v>
      </c>
      <c r="O267" s="26">
        <v>1.2306591692257861E-2</v>
      </c>
      <c r="P267" s="26">
        <v>4.8065020724162829E-3</v>
      </c>
      <c r="Q267" s="26">
        <v>5.790342132339036E-2</v>
      </c>
      <c r="R267" s="26">
        <v>7.6531715581211204E-2</v>
      </c>
      <c r="S267" s="28">
        <v>0</v>
      </c>
      <c r="T267" s="28">
        <v>0</v>
      </c>
      <c r="U267" s="28">
        <v>8.6368340895427004E-4</v>
      </c>
      <c r="V267" s="28">
        <v>4.722191823356421E-4</v>
      </c>
      <c r="W267" s="28">
        <v>3.3065718018743061E-4</v>
      </c>
      <c r="X267" s="28">
        <v>4.6536415758903452E-2</v>
      </c>
      <c r="Y267" s="28">
        <v>4.8202975530380797E-2</v>
      </c>
      <c r="Z267" s="30">
        <v>0</v>
      </c>
      <c r="AA267" s="30">
        <v>3.1271735442865911E-3</v>
      </c>
      <c r="AB267" s="30">
        <v>1.5240283007201779E-4</v>
      </c>
      <c r="AC267" s="30">
        <v>1.5438989133449149E-4</v>
      </c>
      <c r="AD267" s="30">
        <v>1.4762571374715369E-4</v>
      </c>
      <c r="AE267" s="30">
        <v>5.0919164744505554E-3</v>
      </c>
      <c r="AF267" s="30">
        <v>8.6735084538908103E-3</v>
      </c>
      <c r="AG267" s="32">
        <v>0</v>
      </c>
      <c r="AH267" s="32">
        <v>1.6491053126472278E-5</v>
      </c>
      <c r="AI267" s="32">
        <v>5.7114445569050236E-4</v>
      </c>
      <c r="AJ267" s="32">
        <v>3.7507357872791961E-4</v>
      </c>
      <c r="AK267" s="32">
        <v>1.9631119800809669E-4</v>
      </c>
      <c r="AL267" s="32">
        <v>1.6826115035017911E-2</v>
      </c>
      <c r="AM267" s="32">
        <v>1.7985135320570902E-2</v>
      </c>
      <c r="AN267" s="34">
        <v>0</v>
      </c>
      <c r="AO267" s="34">
        <v>1.179775095002105E-5</v>
      </c>
      <c r="AP267" s="34">
        <v>1.349363676490181E-6</v>
      </c>
      <c r="AQ267" s="34">
        <v>7.4641524221169363E-7</v>
      </c>
      <c r="AR267" s="34">
        <v>7.9680920943335179E-7</v>
      </c>
      <c r="AS267" s="34">
        <v>1.2751348205433231E-5</v>
      </c>
      <c r="AT267" s="34">
        <v>2.7441687283589507E-5</v>
      </c>
      <c r="AU267" s="36">
        <v>0</v>
      </c>
      <c r="AV267" s="36">
        <v>0</v>
      </c>
      <c r="AW267" s="36">
        <v>1.5096129038281648E-2</v>
      </c>
      <c r="AX267" s="36">
        <v>0.17647448414364728</v>
      </c>
      <c r="AY267" s="36">
        <v>0.16792649271907048</v>
      </c>
      <c r="AZ267" s="36">
        <v>0.8104342597733819</v>
      </c>
      <c r="BA267" s="36">
        <v>1.1699313656743813</v>
      </c>
      <c r="BB267" s="6"/>
      <c r="BC267" s="6"/>
      <c r="BD267" t="s">
        <v>1123</v>
      </c>
      <c r="BF267" s="5">
        <v>7.3783015999999993E-2</v>
      </c>
      <c r="BG267" s="5">
        <f t="shared" si="11"/>
        <v>-2.7486995812112114E-3</v>
      </c>
      <c r="BH267" s="2">
        <v>211.39007000000001</v>
      </c>
    </row>
    <row r="268" spans="1:60" x14ac:dyDescent="0.2">
      <c r="A268" t="str">
        <f t="shared" si="10"/>
        <v>Motorbike, electric, 11-35kW - 2030 - NCA - CH</v>
      </c>
      <c r="B268" t="s">
        <v>494</v>
      </c>
      <c r="D268" s="19">
        <v>2030</v>
      </c>
      <c r="E268" t="s">
        <v>37</v>
      </c>
      <c r="F268" t="s">
        <v>140</v>
      </c>
      <c r="G268" t="s">
        <v>39</v>
      </c>
      <c r="H268" t="s">
        <v>32</v>
      </c>
      <c r="I268" t="s">
        <v>45</v>
      </c>
      <c r="J268" t="s">
        <v>861</v>
      </c>
      <c r="L268" s="26">
        <v>0</v>
      </c>
      <c r="M268" s="26">
        <v>0</v>
      </c>
      <c r="N268" s="26">
        <v>1.5152004931467059E-3</v>
      </c>
      <c r="O268" s="26">
        <v>1.2306591692257861E-2</v>
      </c>
      <c r="P268" s="26">
        <v>4.8395234313287488E-3</v>
      </c>
      <c r="Q268" s="26">
        <v>5.7259540538852488E-2</v>
      </c>
      <c r="R268" s="26">
        <v>7.5920856155585803E-2</v>
      </c>
      <c r="S268" s="28">
        <v>0</v>
      </c>
      <c r="T268" s="28">
        <v>0</v>
      </c>
      <c r="U268" s="28">
        <v>8.6368340895427004E-4</v>
      </c>
      <c r="V268" s="28">
        <v>4.722191823356421E-4</v>
      </c>
      <c r="W268" s="28">
        <v>3.3274372194442772E-4</v>
      </c>
      <c r="X268" s="28">
        <v>4.4237614187522832E-2</v>
      </c>
      <c r="Y268" s="28">
        <v>4.5906260500757169E-2</v>
      </c>
      <c r="Z268" s="30">
        <v>0</v>
      </c>
      <c r="AA268" s="30">
        <v>3.1271735442865911E-3</v>
      </c>
      <c r="AB268" s="30">
        <v>1.5240283007201779E-4</v>
      </c>
      <c r="AC268" s="30">
        <v>1.5438989133449149E-4</v>
      </c>
      <c r="AD268" s="30">
        <v>1.4857418435077391E-4</v>
      </c>
      <c r="AE268" s="30">
        <v>4.8859484923827476E-3</v>
      </c>
      <c r="AF268" s="30">
        <v>8.4684889424266226E-3</v>
      </c>
      <c r="AG268" s="32">
        <v>0</v>
      </c>
      <c r="AH268" s="32">
        <v>1.6491053126472278E-5</v>
      </c>
      <c r="AI268" s="32">
        <v>5.7114445569050236E-4</v>
      </c>
      <c r="AJ268" s="32">
        <v>3.7507357872791961E-4</v>
      </c>
      <c r="AK268" s="32">
        <v>1.971963813979253E-4</v>
      </c>
      <c r="AL268" s="32">
        <v>1.6225130727688001E-2</v>
      </c>
      <c r="AM268" s="32">
        <v>1.7385036196630822E-2</v>
      </c>
      <c r="AN268" s="34">
        <v>0</v>
      </c>
      <c r="AO268" s="34">
        <v>1.179775095002105E-5</v>
      </c>
      <c r="AP268" s="34">
        <v>1.349363676490181E-6</v>
      </c>
      <c r="AQ268" s="34">
        <v>7.4641524221169363E-7</v>
      </c>
      <c r="AR268" s="34">
        <v>8.0030436812616762E-7</v>
      </c>
      <c r="AS268" s="34">
        <v>1.21926266825028E-5</v>
      </c>
      <c r="AT268" s="34">
        <v>2.6886460919351893E-5</v>
      </c>
      <c r="AU268" s="36">
        <v>0</v>
      </c>
      <c r="AV268" s="36">
        <v>0</v>
      </c>
      <c r="AW268" s="36">
        <v>1.5096129038281648E-2</v>
      </c>
      <c r="AX268" s="36">
        <v>0.17647448414364728</v>
      </c>
      <c r="AY268" s="36">
        <v>0.16900825091706656</v>
      </c>
      <c r="AZ268" s="36">
        <v>0.79362301645070976</v>
      </c>
      <c r="BA268" s="36">
        <v>1.1542018805497052</v>
      </c>
      <c r="BB268" s="6"/>
      <c r="BC268" s="6"/>
      <c r="BD268" t="s">
        <v>1124</v>
      </c>
      <c r="BF268" s="5">
        <v>7.2455001000000005E-2</v>
      </c>
      <c r="BG268" s="5">
        <f t="shared" si="11"/>
        <v>-3.465855155585798E-3</v>
      </c>
      <c r="BH268" s="2">
        <v>200.16619</v>
      </c>
    </row>
    <row r="269" spans="1:60" x14ac:dyDescent="0.2">
      <c r="A269" t="str">
        <f t="shared" si="10"/>
        <v>Motorbike, electric, 11-35kW - 2040 - NCA - CH</v>
      </c>
      <c r="B269" t="s">
        <v>494</v>
      </c>
      <c r="D269" s="19">
        <v>2040</v>
      </c>
      <c r="E269" t="s">
        <v>37</v>
      </c>
      <c r="F269" t="s">
        <v>140</v>
      </c>
      <c r="G269" t="s">
        <v>39</v>
      </c>
      <c r="H269" t="s">
        <v>32</v>
      </c>
      <c r="I269" t="s">
        <v>45</v>
      </c>
      <c r="J269" t="s">
        <v>861</v>
      </c>
      <c r="L269" s="26">
        <v>0</v>
      </c>
      <c r="M269" s="26">
        <v>0</v>
      </c>
      <c r="N269" s="26">
        <v>1.5152004931467059E-3</v>
      </c>
      <c r="O269" s="26">
        <v>1.2306591692257861E-2</v>
      </c>
      <c r="P269" s="26">
        <v>4.8429982180027134E-3</v>
      </c>
      <c r="Q269" s="26">
        <v>5.5005342052566707E-2</v>
      </c>
      <c r="R269" s="26">
        <v>7.367013245597398E-2</v>
      </c>
      <c r="S269" s="28">
        <v>0</v>
      </c>
      <c r="T269" s="28">
        <v>0</v>
      </c>
      <c r="U269" s="28">
        <v>8.6368340895427004E-4</v>
      </c>
      <c r="V269" s="28">
        <v>4.722191823356421E-4</v>
      </c>
      <c r="W269" s="28">
        <v>3.3296328551572421E-4</v>
      </c>
      <c r="X269" s="28">
        <v>4.1002854221061542E-2</v>
      </c>
      <c r="Y269" s="28">
        <v>4.2671720097867176E-2</v>
      </c>
      <c r="Z269" s="30">
        <v>0</v>
      </c>
      <c r="AA269" s="30">
        <v>3.1271735442865911E-3</v>
      </c>
      <c r="AB269" s="30">
        <v>1.5240283007201779E-4</v>
      </c>
      <c r="AC269" s="30">
        <v>1.5438989133449149E-4</v>
      </c>
      <c r="AD269" s="30">
        <v>1.4867399044969431E-4</v>
      </c>
      <c r="AE269" s="30">
        <v>4.5362493918582594E-3</v>
      </c>
      <c r="AF269" s="30">
        <v>8.1188896480010545E-3</v>
      </c>
      <c r="AG269" s="32">
        <v>0</v>
      </c>
      <c r="AH269" s="32">
        <v>1.6491053126472278E-5</v>
      </c>
      <c r="AI269" s="32">
        <v>5.7114445569050236E-4</v>
      </c>
      <c r="AJ269" s="32">
        <v>3.7507357872791961E-4</v>
      </c>
      <c r="AK269" s="32">
        <v>1.9728952788093779E-4</v>
      </c>
      <c r="AL269" s="32">
        <v>1.51869670933979E-2</v>
      </c>
      <c r="AM269" s="32">
        <v>1.634696570882373E-2</v>
      </c>
      <c r="AN269" s="34">
        <v>0</v>
      </c>
      <c r="AO269" s="34">
        <v>1.179775095002105E-5</v>
      </c>
      <c r="AP269" s="34">
        <v>1.349363676490181E-6</v>
      </c>
      <c r="AQ269" s="34">
        <v>7.4641524221169363E-7</v>
      </c>
      <c r="AR269" s="34">
        <v>8.0067215828530021E-7</v>
      </c>
      <c r="AS269" s="34">
        <v>1.1386028012994291E-5</v>
      </c>
      <c r="AT269" s="34">
        <v>2.6080230040002517E-5</v>
      </c>
      <c r="AU269" s="36">
        <v>0</v>
      </c>
      <c r="AV269" s="36">
        <v>0</v>
      </c>
      <c r="AW269" s="36">
        <v>1.5096129038281648E-2</v>
      </c>
      <c r="AX269" s="36">
        <v>0.17647448414364728</v>
      </c>
      <c r="AY269" s="36">
        <v>0.16912208266399173</v>
      </c>
      <c r="AZ269" s="36">
        <v>0.75634011283807412</v>
      </c>
      <c r="BA269" s="36">
        <v>1.1170328086839949</v>
      </c>
      <c r="BB269" s="6"/>
      <c r="BC269" s="6"/>
      <c r="BD269" t="s">
        <v>1125</v>
      </c>
      <c r="BF269" s="5">
        <v>7.0050471000000003E-2</v>
      </c>
      <c r="BG269" s="5">
        <f t="shared" si="11"/>
        <v>-3.619661455973977E-3</v>
      </c>
      <c r="BH269" s="2">
        <v>184.97057000000001</v>
      </c>
    </row>
    <row r="270" spans="1:60" x14ac:dyDescent="0.2">
      <c r="A270" t="str">
        <f t="shared" si="10"/>
        <v>Motorbike, electric, 11-35kW - 2050 - NCA - CH</v>
      </c>
      <c r="B270" t="s">
        <v>494</v>
      </c>
      <c r="D270" s="19">
        <v>2050</v>
      </c>
      <c r="E270" t="s">
        <v>37</v>
      </c>
      <c r="F270" t="s">
        <v>140</v>
      </c>
      <c r="G270" t="s">
        <v>39</v>
      </c>
      <c r="H270" t="s">
        <v>32</v>
      </c>
      <c r="I270" t="s">
        <v>45</v>
      </c>
      <c r="J270" t="s">
        <v>861</v>
      </c>
      <c r="L270" s="26">
        <v>0</v>
      </c>
      <c r="M270" s="26">
        <v>0</v>
      </c>
      <c r="N270" s="26">
        <v>1.5152004931467059E-3</v>
      </c>
      <c r="O270" s="26">
        <v>1.2306591692257861E-2</v>
      </c>
      <c r="P270" s="26">
        <v>4.8421333147694546E-3</v>
      </c>
      <c r="Q270" s="26">
        <v>5.2019069693802697E-2</v>
      </c>
      <c r="R270" s="26">
        <v>7.0682995193976722E-2</v>
      </c>
      <c r="S270" s="28">
        <v>0</v>
      </c>
      <c r="T270" s="28">
        <v>0</v>
      </c>
      <c r="U270" s="28">
        <v>8.6368340895427004E-4</v>
      </c>
      <c r="V270" s="28">
        <v>4.722191823356421E-4</v>
      </c>
      <c r="W270" s="28">
        <v>3.3290863432112197E-4</v>
      </c>
      <c r="X270" s="28">
        <v>3.7080662833818043E-2</v>
      </c>
      <c r="Y270" s="28">
        <v>3.8749474059429079E-2</v>
      </c>
      <c r="Z270" s="30">
        <v>0</v>
      </c>
      <c r="AA270" s="30">
        <v>3.1271735442865911E-3</v>
      </c>
      <c r="AB270" s="30">
        <v>1.5240283007201779E-4</v>
      </c>
      <c r="AC270" s="30">
        <v>1.5438989133449149E-4</v>
      </c>
      <c r="AD270" s="30">
        <v>1.486491478835875E-4</v>
      </c>
      <c r="AE270" s="30">
        <v>4.1011178103285131E-3</v>
      </c>
      <c r="AF270" s="30">
        <v>7.6837332239052016E-3</v>
      </c>
      <c r="AG270" s="32">
        <v>0</v>
      </c>
      <c r="AH270" s="32">
        <v>1.6491053126472278E-5</v>
      </c>
      <c r="AI270" s="32">
        <v>5.7114445569050236E-4</v>
      </c>
      <c r="AJ270" s="32">
        <v>3.7507357872791961E-4</v>
      </c>
      <c r="AK270" s="32">
        <v>1.9726634294848491E-4</v>
      </c>
      <c r="AL270" s="32">
        <v>1.389134425749195E-2</v>
      </c>
      <c r="AM270" s="32">
        <v>1.5051319687985329E-2</v>
      </c>
      <c r="AN270" s="34">
        <v>0</v>
      </c>
      <c r="AO270" s="34">
        <v>1.179775095002105E-5</v>
      </c>
      <c r="AP270" s="34">
        <v>1.349363676490181E-6</v>
      </c>
      <c r="AQ270" s="34">
        <v>7.4641524221169363E-7</v>
      </c>
      <c r="AR270" s="34">
        <v>8.0058061226315808E-7</v>
      </c>
      <c r="AS270" s="34">
        <v>1.0405388561626171E-5</v>
      </c>
      <c r="AT270" s="34">
        <v>2.5099499042612252E-5</v>
      </c>
      <c r="AU270" s="36">
        <v>0</v>
      </c>
      <c r="AV270" s="36">
        <v>0</v>
      </c>
      <c r="AW270" s="36">
        <v>1.5096129038281648E-2</v>
      </c>
      <c r="AX270" s="36">
        <v>0.17647448414364728</v>
      </c>
      <c r="AY270" s="36">
        <v>0.16909374899772653</v>
      </c>
      <c r="AZ270" s="36">
        <v>0.70860016296227279</v>
      </c>
      <c r="BA270" s="36">
        <v>1.0692645251419282</v>
      </c>
      <c r="BB270" s="6"/>
      <c r="BC270" s="6"/>
      <c r="BD270" t="s">
        <v>1126</v>
      </c>
      <c r="BF270" s="5">
        <v>6.7046278000000001E-2</v>
      </c>
      <c r="BG270" s="5">
        <f t="shared" si="11"/>
        <v>-3.6367171939767212E-3</v>
      </c>
      <c r="BH270" s="2">
        <v>166.70124999999999</v>
      </c>
    </row>
    <row r="271" spans="1:60" x14ac:dyDescent="0.2">
      <c r="A271" t="str">
        <f t="shared" si="10"/>
        <v>Motorbike, electric, &gt;35kW - 2020 - NCA - CH</v>
      </c>
      <c r="B271" t="s">
        <v>495</v>
      </c>
      <c r="D271" s="19">
        <v>2020</v>
      </c>
      <c r="E271" t="s">
        <v>37</v>
      </c>
      <c r="F271" t="s">
        <v>140</v>
      </c>
      <c r="G271" t="s">
        <v>39</v>
      </c>
      <c r="H271" t="s">
        <v>32</v>
      </c>
      <c r="I271" t="s">
        <v>45</v>
      </c>
      <c r="J271" t="s">
        <v>861</v>
      </c>
      <c r="L271" s="26">
        <v>0</v>
      </c>
      <c r="M271" s="26">
        <v>0</v>
      </c>
      <c r="N271" s="26">
        <v>1.689725966023888E-3</v>
      </c>
      <c r="O271" s="26">
        <v>1.2306591692257861E-2</v>
      </c>
      <c r="P271" s="26">
        <v>5.1803144373403784E-3</v>
      </c>
      <c r="Q271" s="26">
        <v>9.226026278512707E-2</v>
      </c>
      <c r="R271" s="26">
        <v>0.1114368948807492</v>
      </c>
      <c r="S271" s="28">
        <v>0</v>
      </c>
      <c r="T271" s="28">
        <v>0</v>
      </c>
      <c r="U271" s="28">
        <v>9.63165131700334E-4</v>
      </c>
      <c r="V271" s="28">
        <v>4.722191823356421E-4</v>
      </c>
      <c r="W271" s="28">
        <v>3.5427750153045991E-4</v>
      </c>
      <c r="X271" s="28">
        <v>7.6149529955145595E-2</v>
      </c>
      <c r="Y271" s="28">
        <v>7.7939191770712027E-2</v>
      </c>
      <c r="Z271" s="30">
        <v>0</v>
      </c>
      <c r="AA271" s="30">
        <v>3.1271735442865911E-3</v>
      </c>
      <c r="AB271" s="30">
        <v>1.699570587740569E-4</v>
      </c>
      <c r="AC271" s="30">
        <v>1.5438989133449149E-4</v>
      </c>
      <c r="AD271" s="30">
        <v>1.5836270492731959E-4</v>
      </c>
      <c r="AE271" s="30">
        <v>8.7724561373138318E-3</v>
      </c>
      <c r="AF271" s="30">
        <v>1.2382339336636291E-2</v>
      </c>
      <c r="AG271" s="32">
        <v>0</v>
      </c>
      <c r="AH271" s="32">
        <v>1.6491053126472278E-5</v>
      </c>
      <c r="AI271" s="32">
        <v>6.3693063821975663E-4</v>
      </c>
      <c r="AJ271" s="32">
        <v>3.7507357872791961E-4</v>
      </c>
      <c r="AK271" s="32">
        <v>2.0633175764710139E-4</v>
      </c>
      <c r="AL271" s="32">
        <v>2.8152876096115151E-2</v>
      </c>
      <c r="AM271" s="32">
        <v>2.9387703123836401E-2</v>
      </c>
      <c r="AN271" s="34">
        <v>0</v>
      </c>
      <c r="AO271" s="34">
        <v>1.179775095002105E-5</v>
      </c>
      <c r="AP271" s="34">
        <v>1.5047875525962851E-6</v>
      </c>
      <c r="AQ271" s="34">
        <v>7.4641524221169363E-7</v>
      </c>
      <c r="AR271" s="34">
        <v>8.3637552589567275E-7</v>
      </c>
      <c r="AS271" s="34">
        <v>2.0873534009772648E-5</v>
      </c>
      <c r="AT271" s="34">
        <v>3.5758863280497345E-5</v>
      </c>
      <c r="AU271" s="36">
        <v>0</v>
      </c>
      <c r="AV271" s="36">
        <v>0</v>
      </c>
      <c r="AW271" s="36">
        <v>1.6834947809089666E-2</v>
      </c>
      <c r="AX271" s="36">
        <v>0.17647448414364728</v>
      </c>
      <c r="AY271" s="36">
        <v>0.18017234218095599</v>
      </c>
      <c r="AZ271" s="36">
        <v>1.2978873569553775</v>
      </c>
      <c r="BA271" s="36">
        <v>1.6713691310890704</v>
      </c>
      <c r="BB271" s="6"/>
      <c r="BC271" s="6"/>
      <c r="BD271" t="s">
        <v>903</v>
      </c>
      <c r="BF271" s="5">
        <v>0.10319212000000001</v>
      </c>
      <c r="BG271" s="5">
        <f t="shared" si="11"/>
        <v>-8.2447748807491922E-3</v>
      </c>
      <c r="BH271" s="2">
        <v>342.85048</v>
      </c>
    </row>
    <row r="272" spans="1:60" x14ac:dyDescent="0.2">
      <c r="A272" t="str">
        <f t="shared" si="10"/>
        <v>Motorbike, electric, &gt;35kW - 2030 - NCA - CH</v>
      </c>
      <c r="B272" t="s">
        <v>495</v>
      </c>
      <c r="D272" s="19">
        <v>2030</v>
      </c>
      <c r="E272" t="s">
        <v>37</v>
      </c>
      <c r="F272" t="s">
        <v>140</v>
      </c>
      <c r="G272" t="s">
        <v>39</v>
      </c>
      <c r="H272" t="s">
        <v>32</v>
      </c>
      <c r="I272" t="s">
        <v>45</v>
      </c>
      <c r="J272" t="s">
        <v>861</v>
      </c>
      <c r="L272" s="26">
        <v>0</v>
      </c>
      <c r="M272" s="26">
        <v>0</v>
      </c>
      <c r="N272" s="26">
        <v>1.689725966023888E-3</v>
      </c>
      <c r="O272" s="26">
        <v>1.2306591692257861E-2</v>
      </c>
      <c r="P272" s="26">
        <v>5.2456030862136592E-3</v>
      </c>
      <c r="Q272" s="26">
        <v>8.8669385559089264E-2</v>
      </c>
      <c r="R272" s="26">
        <v>0.10791130630358467</v>
      </c>
      <c r="S272" s="28">
        <v>0</v>
      </c>
      <c r="T272" s="28">
        <v>0</v>
      </c>
      <c r="U272" s="28">
        <v>9.63165131700334E-4</v>
      </c>
      <c r="V272" s="28">
        <v>4.722191823356421E-4</v>
      </c>
      <c r="W272" s="28">
        <v>3.5840293720659718E-4</v>
      </c>
      <c r="X272" s="28">
        <v>7.0518257967876377E-2</v>
      </c>
      <c r="Y272" s="28">
        <v>7.2312045219118951E-2</v>
      </c>
      <c r="Z272" s="30">
        <v>0</v>
      </c>
      <c r="AA272" s="30">
        <v>3.1271735442865911E-3</v>
      </c>
      <c r="AB272" s="30">
        <v>1.699570587740569E-4</v>
      </c>
      <c r="AC272" s="30">
        <v>1.5438989133449149E-4</v>
      </c>
      <c r="AD272" s="30">
        <v>1.6023798705518531E-4</v>
      </c>
      <c r="AE272" s="30">
        <v>8.1803069574040623E-3</v>
      </c>
      <c r="AF272" s="30">
        <v>1.1792065438854388E-2</v>
      </c>
      <c r="AG272" s="32">
        <v>0</v>
      </c>
      <c r="AH272" s="32">
        <v>1.6491053126472278E-5</v>
      </c>
      <c r="AI272" s="32">
        <v>6.3693063821975663E-4</v>
      </c>
      <c r="AJ272" s="32">
        <v>3.7507357872791961E-4</v>
      </c>
      <c r="AK272" s="32">
        <v>2.080819105611646E-4</v>
      </c>
      <c r="AL272" s="32">
        <v>2.6382423865752638E-2</v>
      </c>
      <c r="AM272" s="32">
        <v>2.7619001046387953E-2</v>
      </c>
      <c r="AN272" s="34">
        <v>0</v>
      </c>
      <c r="AO272" s="34">
        <v>1.179775095002105E-5</v>
      </c>
      <c r="AP272" s="34">
        <v>1.5047875525962851E-6</v>
      </c>
      <c r="AQ272" s="34">
        <v>7.4641524221169363E-7</v>
      </c>
      <c r="AR272" s="34">
        <v>8.4328602855719433E-7</v>
      </c>
      <c r="AS272" s="34">
        <v>1.9492613346882631E-5</v>
      </c>
      <c r="AT272" s="34">
        <v>3.4384853120268854E-5</v>
      </c>
      <c r="AU272" s="36">
        <v>0</v>
      </c>
      <c r="AV272" s="36">
        <v>0</v>
      </c>
      <c r="AW272" s="36">
        <v>1.6834947809089666E-2</v>
      </c>
      <c r="AX272" s="36">
        <v>0.17647448414364728</v>
      </c>
      <c r="AY272" s="36">
        <v>0.18231115576951787</v>
      </c>
      <c r="AZ272" s="36">
        <v>1.2367110840323652</v>
      </c>
      <c r="BA272" s="36">
        <v>1.6123316717546201</v>
      </c>
      <c r="BB272" s="6"/>
      <c r="BC272" s="6"/>
      <c r="BD272" t="s">
        <v>1127</v>
      </c>
      <c r="BF272" s="5">
        <v>9.9280656000000009E-2</v>
      </c>
      <c r="BG272" s="5">
        <f t="shared" si="11"/>
        <v>-8.630650303584661E-3</v>
      </c>
      <c r="BH272" s="2">
        <v>316.58744000000002</v>
      </c>
    </row>
    <row r="273" spans="1:60" x14ac:dyDescent="0.2">
      <c r="A273" t="str">
        <f t="shared" si="10"/>
        <v>Motorbike, electric, &gt;35kW - 2040 - NCA - CH</v>
      </c>
      <c r="B273" t="s">
        <v>495</v>
      </c>
      <c r="D273" s="19">
        <v>2040</v>
      </c>
      <c r="E273" t="s">
        <v>37</v>
      </c>
      <c r="F273" t="s">
        <v>140</v>
      </c>
      <c r="G273" t="s">
        <v>39</v>
      </c>
      <c r="H273" t="s">
        <v>32</v>
      </c>
      <c r="I273" t="s">
        <v>45</v>
      </c>
      <c r="J273" t="s">
        <v>861</v>
      </c>
      <c r="L273" s="26">
        <v>0</v>
      </c>
      <c r="M273" s="26">
        <v>0</v>
      </c>
      <c r="N273" s="26">
        <v>1.689725966023888E-3</v>
      </c>
      <c r="O273" s="26">
        <v>1.2306591692257861E-2</v>
      </c>
      <c r="P273" s="26">
        <v>5.2483191858409056E-3</v>
      </c>
      <c r="Q273" s="26">
        <v>8.2743393760394676E-2</v>
      </c>
      <c r="R273" s="26">
        <v>0.10198803060451733</v>
      </c>
      <c r="S273" s="28">
        <v>0</v>
      </c>
      <c r="T273" s="28">
        <v>0</v>
      </c>
      <c r="U273" s="28">
        <v>9.63165131700334E-4</v>
      </c>
      <c r="V273" s="28">
        <v>4.722191823356421E-4</v>
      </c>
      <c r="W273" s="28">
        <v>3.5857456113350578E-4</v>
      </c>
      <c r="X273" s="28">
        <v>6.3473830003672987E-2</v>
      </c>
      <c r="Y273" s="28">
        <v>6.5267788878842464E-2</v>
      </c>
      <c r="Z273" s="30">
        <v>0</v>
      </c>
      <c r="AA273" s="30">
        <v>3.1271735442865911E-3</v>
      </c>
      <c r="AB273" s="30">
        <v>1.699570587740569E-4</v>
      </c>
      <c r="AC273" s="30">
        <v>1.5438989133449149E-4</v>
      </c>
      <c r="AD273" s="30">
        <v>1.6031600142945069E-4</v>
      </c>
      <c r="AE273" s="30">
        <v>7.3746976309239194E-3</v>
      </c>
      <c r="AF273" s="30">
        <v>1.098653412674851E-2</v>
      </c>
      <c r="AG273" s="32">
        <v>0</v>
      </c>
      <c r="AH273" s="32">
        <v>1.6491053126472278E-5</v>
      </c>
      <c r="AI273" s="32">
        <v>6.3693063821975663E-4</v>
      </c>
      <c r="AJ273" s="32">
        <v>3.7507357872791961E-4</v>
      </c>
      <c r="AK273" s="32">
        <v>2.081547193841308E-4</v>
      </c>
      <c r="AL273" s="32">
        <v>2.3969884678922589E-2</v>
      </c>
      <c r="AM273" s="32">
        <v>2.5206534668380867E-2</v>
      </c>
      <c r="AN273" s="34">
        <v>0</v>
      </c>
      <c r="AO273" s="34">
        <v>1.179775095002105E-5</v>
      </c>
      <c r="AP273" s="34">
        <v>1.5047875525962851E-6</v>
      </c>
      <c r="AQ273" s="34">
        <v>7.4641524221169363E-7</v>
      </c>
      <c r="AR273" s="34">
        <v>8.4357351518813197E-7</v>
      </c>
      <c r="AS273" s="34">
        <v>1.7731691392513211E-5</v>
      </c>
      <c r="AT273" s="34">
        <v>3.2624218652530372E-5</v>
      </c>
      <c r="AU273" s="36">
        <v>0</v>
      </c>
      <c r="AV273" s="36">
        <v>0</v>
      </c>
      <c r="AW273" s="36">
        <v>1.6834947809089666E-2</v>
      </c>
      <c r="AX273" s="36">
        <v>0.17647448414364728</v>
      </c>
      <c r="AY273" s="36">
        <v>0.18240013342322792</v>
      </c>
      <c r="AZ273" s="36">
        <v>1.1454565874296407</v>
      </c>
      <c r="BA273" s="36">
        <v>1.5211661528056055</v>
      </c>
      <c r="BB273" s="6"/>
      <c r="BC273" s="6"/>
      <c r="BD273" t="s">
        <v>1128</v>
      </c>
      <c r="BF273" s="5">
        <v>9.3737426000000013E-2</v>
      </c>
      <c r="BG273" s="5">
        <f t="shared" si="11"/>
        <v>-8.2506046045173198E-3</v>
      </c>
      <c r="BH273" s="2">
        <v>284.23088999999999</v>
      </c>
    </row>
    <row r="274" spans="1:60" x14ac:dyDescent="0.2">
      <c r="A274" t="str">
        <f t="shared" si="10"/>
        <v>Motorbike, electric, &gt;35kW - 2050 - NCA - CH</v>
      </c>
      <c r="B274" t="s">
        <v>495</v>
      </c>
      <c r="D274" s="19">
        <v>2050</v>
      </c>
      <c r="E274" t="s">
        <v>37</v>
      </c>
      <c r="F274" t="s">
        <v>140</v>
      </c>
      <c r="G274" t="s">
        <v>39</v>
      </c>
      <c r="H274" t="s">
        <v>32</v>
      </c>
      <c r="I274" t="s">
        <v>45</v>
      </c>
      <c r="J274" t="s">
        <v>861</v>
      </c>
      <c r="L274" s="26">
        <v>0</v>
      </c>
      <c r="M274" s="26">
        <v>0</v>
      </c>
      <c r="N274" s="26">
        <v>1.689725966023888E-3</v>
      </c>
      <c r="O274" s="26">
        <v>1.2306591692257861E-2</v>
      </c>
      <c r="P274" s="26">
        <v>5.2470901128252243E-3</v>
      </c>
      <c r="Q274" s="26">
        <v>7.6080301246672824E-2</v>
      </c>
      <c r="R274" s="26">
        <v>9.5323709017779798E-2</v>
      </c>
      <c r="S274" s="28">
        <v>0</v>
      </c>
      <c r="T274" s="28">
        <v>0</v>
      </c>
      <c r="U274" s="28">
        <v>9.63165131700334E-4</v>
      </c>
      <c r="V274" s="28">
        <v>4.722191823356421E-4</v>
      </c>
      <c r="W274" s="28">
        <v>3.5849689890959751E-4</v>
      </c>
      <c r="X274" s="28">
        <v>5.5736333721866087E-2</v>
      </c>
      <c r="Y274" s="28">
        <v>5.7530214934811662E-2</v>
      </c>
      <c r="Z274" s="30">
        <v>0</v>
      </c>
      <c r="AA274" s="30">
        <v>3.1271735442865911E-3</v>
      </c>
      <c r="AB274" s="30">
        <v>1.699570587740569E-4</v>
      </c>
      <c r="AC274" s="30">
        <v>1.5438989133449149E-4</v>
      </c>
      <c r="AD274" s="30">
        <v>1.602806988355094E-4</v>
      </c>
      <c r="AE274" s="30">
        <v>6.4830224880350574E-3</v>
      </c>
      <c r="AF274" s="30">
        <v>1.0094823681265706E-2</v>
      </c>
      <c r="AG274" s="32">
        <v>0</v>
      </c>
      <c r="AH274" s="32">
        <v>1.6491053126472278E-5</v>
      </c>
      <c r="AI274" s="32">
        <v>6.3693063821975663E-4</v>
      </c>
      <c r="AJ274" s="32">
        <v>3.7507357872791961E-4</v>
      </c>
      <c r="AK274" s="32">
        <v>2.0812177237485561E-4</v>
      </c>
      <c r="AL274" s="32">
        <v>2.129777383274865E-2</v>
      </c>
      <c r="AM274" s="32">
        <v>2.2534390875197655E-2</v>
      </c>
      <c r="AN274" s="34">
        <v>0</v>
      </c>
      <c r="AO274" s="34">
        <v>1.179775095002105E-5</v>
      </c>
      <c r="AP274" s="34">
        <v>1.5047875525962851E-6</v>
      </c>
      <c r="AQ274" s="34">
        <v>7.4641524221169363E-7</v>
      </c>
      <c r="AR274" s="34">
        <v>8.4344342347245625E-7</v>
      </c>
      <c r="AS274" s="34">
        <v>1.5795554570516991E-5</v>
      </c>
      <c r="AT274" s="34">
        <v>3.0687951738818479E-5</v>
      </c>
      <c r="AU274" s="36">
        <v>0</v>
      </c>
      <c r="AV274" s="36">
        <v>0</v>
      </c>
      <c r="AW274" s="36">
        <v>1.6834947809089666E-2</v>
      </c>
      <c r="AX274" s="36">
        <v>0.17647448414364728</v>
      </c>
      <c r="AY274" s="36">
        <v>0.18235986979221949</v>
      </c>
      <c r="AZ274" s="36">
        <v>1.0436738540823072</v>
      </c>
      <c r="BA274" s="36">
        <v>1.4193431558272636</v>
      </c>
      <c r="BB274" s="6"/>
      <c r="BC274" s="6"/>
      <c r="BD274" t="s">
        <v>1129</v>
      </c>
      <c r="BF274" s="5">
        <v>8.7575270999999996E-2</v>
      </c>
      <c r="BG274" s="5">
        <f t="shared" si="11"/>
        <v>-7.7484380177798018E-3</v>
      </c>
      <c r="BH274" s="2">
        <v>248.68481</v>
      </c>
    </row>
    <row r="275" spans="1:60" x14ac:dyDescent="0.2">
      <c r="A275" t="s">
        <v>864</v>
      </c>
      <c r="B275" t="s">
        <v>864</v>
      </c>
      <c r="D275" s="19">
        <v>2020</v>
      </c>
      <c r="E275" t="s">
        <v>37</v>
      </c>
      <c r="F275" t="s">
        <v>140</v>
      </c>
      <c r="G275" t="s">
        <v>39</v>
      </c>
      <c r="I275" t="s">
        <v>140</v>
      </c>
      <c r="J275" t="s">
        <v>140</v>
      </c>
      <c r="L275" s="26">
        <v>0.1523460930814716</v>
      </c>
      <c r="M275" s="26">
        <v>0</v>
      </c>
      <c r="N275" s="26">
        <v>0</v>
      </c>
      <c r="O275" s="26">
        <v>0</v>
      </c>
      <c r="P275" s="26">
        <v>0</v>
      </c>
      <c r="Q275" s="26">
        <v>0</v>
      </c>
      <c r="R275" s="26">
        <v>0.1523460930814716</v>
      </c>
      <c r="S275" s="28">
        <v>5.9362122354178967E-3</v>
      </c>
      <c r="T275" s="28">
        <v>0</v>
      </c>
      <c r="U275" s="28">
        <v>0</v>
      </c>
      <c r="V275" s="28">
        <v>0</v>
      </c>
      <c r="W275" s="28">
        <v>0</v>
      </c>
      <c r="X275" s="28">
        <v>0</v>
      </c>
      <c r="Y275" s="28">
        <v>5.9362122354178967E-3</v>
      </c>
      <c r="Z275" s="30">
        <v>9.5941544037531461E-3</v>
      </c>
      <c r="AA275" s="30">
        <v>0</v>
      </c>
      <c r="AB275" s="30">
        <v>0</v>
      </c>
      <c r="AC275" s="30">
        <v>0</v>
      </c>
      <c r="AD275" s="30">
        <v>0</v>
      </c>
      <c r="AE275" s="30">
        <v>0</v>
      </c>
      <c r="AF275" s="30">
        <v>9.5941544037531461E-3</v>
      </c>
      <c r="AG275" s="32">
        <v>2.906181003084271E-3</v>
      </c>
      <c r="AH275" s="32">
        <v>0</v>
      </c>
      <c r="AI275" s="32">
        <v>0</v>
      </c>
      <c r="AJ275" s="32">
        <v>0</v>
      </c>
      <c r="AK275" s="32">
        <v>0</v>
      </c>
      <c r="AL275" s="32">
        <v>0</v>
      </c>
      <c r="AM275" s="32">
        <v>2.906181003084271E-3</v>
      </c>
      <c r="AN275" s="34">
        <v>3.2838154623116922E-5</v>
      </c>
      <c r="AO275" s="34">
        <v>0</v>
      </c>
      <c r="AP275" s="34">
        <v>0</v>
      </c>
      <c r="AQ275" s="34">
        <v>0</v>
      </c>
      <c r="AR275" s="34">
        <v>0</v>
      </c>
      <c r="AS275" s="34">
        <v>0</v>
      </c>
      <c r="AT275" s="34">
        <v>3.2838154623116922E-5</v>
      </c>
      <c r="AU275" s="36">
        <v>2.3550164837955734</v>
      </c>
      <c r="AV275" s="36">
        <v>0</v>
      </c>
      <c r="AW275" s="36">
        <v>0</v>
      </c>
      <c r="AX275" s="36">
        <v>0</v>
      </c>
      <c r="AY275" s="36">
        <v>0</v>
      </c>
      <c r="AZ275" s="36">
        <v>0</v>
      </c>
      <c r="BA275" s="36">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338"/>
  <sheetViews>
    <sheetView topLeftCell="A319" zoomScale="85" zoomScaleNormal="85" workbookViewId="0">
      <selection activeCell="B346" sqref="B34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&lt;4kW, LFP battery, 2020</v>
      </c>
    </row>
    <row r="2" spans="1:2" x14ac:dyDescent="0.2">
      <c r="A2" t="s">
        <v>72</v>
      </c>
      <c r="B2" t="s">
        <v>37</v>
      </c>
    </row>
    <row r="3" spans="1:2" x14ac:dyDescent="0.2">
      <c r="A3" t="s">
        <v>86</v>
      </c>
      <c r="B3" t="s">
        <v>608</v>
      </c>
    </row>
    <row r="4" spans="1:2" x14ac:dyDescent="0.2">
      <c r="A4" t="s">
        <v>87</v>
      </c>
    </row>
    <row r="5" spans="1:2" x14ac:dyDescent="0.2">
      <c r="A5" t="s">
        <v>88</v>
      </c>
      <c r="B5">
        <v>2020</v>
      </c>
    </row>
    <row r="6" spans="1:2" x14ac:dyDescent="0.2">
      <c r="A6" t="s">
        <v>126</v>
      </c>
      <c r="B6" t="str">
        <f>B3&amp;" - "&amp;B5&amp;" - "&amp;B18&amp;" - "&amp;B2</f>
        <v>Scooter, electric, &lt;4kW - 2020 - LFP - CH</v>
      </c>
    </row>
    <row r="7" spans="1:2" x14ac:dyDescent="0.2">
      <c r="A7" t="s">
        <v>73</v>
      </c>
      <c r="B7" t="str">
        <f>B3</f>
        <v>Scooter,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104.4</v>
      </c>
    </row>
    <row r="17" spans="1:8" x14ac:dyDescent="0.2">
      <c r="A17" t="s">
        <v>133</v>
      </c>
      <c r="B17">
        <f>INDEX('vehicles specifications'!$B$3:$CW$166,MATCH(B6,'vehicles specifications'!$A$3:$A$166,0),MATCH("Power [kW]",'vehicles specifications'!$B$2:$CW$2,0))</f>
        <v>2.6</v>
      </c>
    </row>
    <row r="18" spans="1:8" x14ac:dyDescent="0.2">
      <c r="A18" t="s">
        <v>652</v>
      </c>
      <c r="B18" s="20" t="s">
        <v>44</v>
      </c>
    </row>
    <row r="19" spans="1:8" x14ac:dyDescent="0.2">
      <c r="A19" t="s">
        <v>134</v>
      </c>
      <c r="B19">
        <f>INDEX('vehicles specifications'!$B$3:$CW$166,MATCH(B6,'vehicles specifications'!$A$3:$A$166,0),MATCH("Energy battery mass [kg]",'vehicles specifications'!$B$2:$CW$2,0))</f>
        <v>18.399999999999999</v>
      </c>
    </row>
    <row r="20" spans="1:8" x14ac:dyDescent="0.2">
      <c r="A20" t="s">
        <v>135</v>
      </c>
      <c r="B20">
        <f>INDEX('vehicles specifications'!$B$3:$CW$166,MATCH(B6,'vehicles specifications'!$A$3:$A$166,0),MATCH("Electric energy stored [kWh]",'vehicles specifications'!$B$2:$CW$2,0))</f>
        <v>2.2999999999999998</v>
      </c>
    </row>
    <row r="21" spans="1:8" x14ac:dyDescent="0.2">
      <c r="A21" t="s">
        <v>588</v>
      </c>
      <c r="B21">
        <f>INDEX('vehicles specifications'!$B$3:$CW$166,MATCH(B6,'vehicles specifications'!$A$3:$A$166,0),MATCH("Electric energy available [kWh]",'vehicles specifications'!$B$2:$CW$2,0))</f>
        <v>1.8399999999999999</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49.641735985533444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&lt;4kW, LFP battery, 2020</v>
      </c>
      <c r="B33">
        <v>1</v>
      </c>
      <c r="C33" t="str">
        <f>B2</f>
        <v>CH</v>
      </c>
      <c r="D33" t="str">
        <f>B9</f>
        <v>unit</v>
      </c>
      <c r="F33" t="s">
        <v>84</v>
      </c>
      <c r="G33" t="s">
        <v>85</v>
      </c>
      <c r="H33" t="str">
        <f>B3</f>
        <v>Scooter, electric, &lt;4kW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73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8</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759</v>
      </c>
      <c r="B37" s="3">
        <f>INDEX('vehicles specifications'!$B$3:$CW$166,MATCH(B6,'vehicles specifications'!$A$3:$A$166,0),MATCH(G37,'vehicles specifications'!$B$2:$CW$2,0))*INDEX('ei names mapping'!$B$137:$BL$300,MATCH(B6,'ei names mapping'!$A$137:$A$300,0),MATCH(G37,'ei names mapping'!$B$136:$BL$136,0))</f>
        <v>30.666666666666664</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6.1333333333333329</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73</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13</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-36.799999999999997</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104.4</v>
      </c>
      <c r="C43" t="s">
        <v>92</v>
      </c>
      <c r="D43" t="s">
        <v>233</v>
      </c>
      <c r="F43" t="s">
        <v>89</v>
      </c>
      <c r="H43" s="13" t="s">
        <v>841</v>
      </c>
    </row>
    <row r="44" spans="1:8" x14ac:dyDescent="0.2">
      <c r="A44" s="13" t="s">
        <v>441</v>
      </c>
      <c r="B44" s="2">
        <f>(B16/1000)*B28</f>
        <v>1659.96</v>
      </c>
      <c r="C44" t="s">
        <v>95</v>
      </c>
      <c r="D44" t="s">
        <v>233</v>
      </c>
      <c r="F44" t="s">
        <v>89</v>
      </c>
      <c r="H44" s="13" t="s">
        <v>441</v>
      </c>
    </row>
    <row r="45" spans="1:8" x14ac:dyDescent="0.2">
      <c r="B45" s="11"/>
    </row>
    <row r="46" spans="1:8" ht="16" x14ac:dyDescent="0.2">
      <c r="A46" s="10" t="s">
        <v>71</v>
      </c>
      <c r="B46" s="8" t="str">
        <f>B48&amp;", "&amp;B63&amp;" battery, "&amp;B50</f>
        <v>Scooter, electric, &lt;4kW, LFP battery, 2030</v>
      </c>
    </row>
    <row r="47" spans="1:8" x14ac:dyDescent="0.2">
      <c r="A47" t="s">
        <v>72</v>
      </c>
      <c r="B47" t="s">
        <v>37</v>
      </c>
    </row>
    <row r="48" spans="1:8" x14ac:dyDescent="0.2">
      <c r="A48" t="s">
        <v>86</v>
      </c>
      <c r="B48" t="s">
        <v>608</v>
      </c>
    </row>
    <row r="49" spans="1:2" x14ac:dyDescent="0.2">
      <c r="A49" t="s">
        <v>87</v>
      </c>
    </row>
    <row r="50" spans="1:2" x14ac:dyDescent="0.2">
      <c r="A50" t="s">
        <v>88</v>
      </c>
      <c r="B50">
        <v>2030</v>
      </c>
    </row>
    <row r="51" spans="1:2" x14ac:dyDescent="0.2">
      <c r="A51" t="s">
        <v>126</v>
      </c>
      <c r="B51" t="str">
        <f>B48&amp;" - "&amp;B50&amp;" - "&amp;B63&amp;" - "&amp;B47</f>
        <v>Scooter, electric, &lt;4kW - 2030 - LFP - CH</v>
      </c>
    </row>
    <row r="52" spans="1:2" x14ac:dyDescent="0.2">
      <c r="A52" t="s">
        <v>73</v>
      </c>
      <c r="B52" t="str">
        <f>B48</f>
        <v>Scooter, electric, &lt;4kW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1570</v>
      </c>
    </row>
    <row r="61" spans="1:2" x14ac:dyDescent="0.2">
      <c r="A61" t="s">
        <v>132</v>
      </c>
      <c r="B61" s="2">
        <f>INDEX('vehicles specifications'!$B$3:$CW$166,MATCH(B51,'vehicles specifications'!$A$3:$A$166,0),MATCH("Curb mass [kg]",'vehicles specifications'!$B$2:$CW$2,0))</f>
        <v>110.47666666666666</v>
      </c>
    </row>
    <row r="62" spans="1:2" x14ac:dyDescent="0.2">
      <c r="A62" t="s">
        <v>133</v>
      </c>
      <c r="B62">
        <f>INDEX('vehicles specifications'!$B$3:$CW$166,MATCH(B51,'vehicles specifications'!$A$3:$A$166,0),MATCH("Power [kW]",'vehicles specifications'!$B$2:$CW$2,0))</f>
        <v>2.6</v>
      </c>
    </row>
    <row r="63" spans="1:2" x14ac:dyDescent="0.2">
      <c r="A63" t="s">
        <v>652</v>
      </c>
      <c r="B63" s="20" t="s">
        <v>44</v>
      </c>
    </row>
    <row r="64" spans="1:2" x14ac:dyDescent="0.2">
      <c r="A64" t="s">
        <v>134</v>
      </c>
      <c r="B64">
        <f>INDEX('vehicles specifications'!$B$3:$CW$166,MATCH(B51,'vehicles specifications'!$A$3:$A$166,0),MATCH("Energy battery mass [kg]",'vehicles specifications'!$B$2:$CW$2,0))</f>
        <v>26.666666666666664</v>
      </c>
    </row>
    <row r="65" spans="1:8" x14ac:dyDescent="0.2">
      <c r="A65" t="s">
        <v>135</v>
      </c>
      <c r="B65">
        <f>INDEX('vehicles specifications'!$B$3:$CW$166,MATCH(B51,'vehicles specifications'!$A$3:$A$166,0),MATCH("Electric energy stored [kWh]",'vehicles specifications'!$B$2:$CW$2,0))</f>
        <v>4</v>
      </c>
    </row>
    <row r="66" spans="1:8" x14ac:dyDescent="0.2">
      <c r="A66" t="s">
        <v>588</v>
      </c>
      <c r="B66">
        <f>INDEX('vehicles specifications'!$B$3:$CW$166,MATCH(B51,'vehicles specifications'!$A$3:$A$166,0),MATCH("Electric energy available [kWh]",'vehicles specifications'!$B$2:$CW$2,0))</f>
        <v>3.2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86.333453887884261</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110.5 kg. Lightweighting of glider: 3%. Emission standard: None. Service visits throughout lifetime: 1. Range: 86 km. Battery capacity: 4 kWh. Available battery capacity: 3.2 kWh. Battery mass: 26.7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&lt;4kW, LFP battery, 2030</v>
      </c>
      <c r="B78">
        <v>1</v>
      </c>
      <c r="C78" t="str">
        <f>B47</f>
        <v>CH</v>
      </c>
      <c r="D78" t="str">
        <f>B54</f>
        <v>unit</v>
      </c>
      <c r="F78" t="s">
        <v>84</v>
      </c>
      <c r="G78" t="s">
        <v>85</v>
      </c>
      <c r="H78" t="str">
        <f>B48</f>
        <v>Scooter, electric, &lt;4kW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73</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2.19</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5</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8</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759</v>
      </c>
      <c r="B83" s="11">
        <f>INDEX('vehicles specifications'!$B$3:$CW$166,MATCH(B51,'vehicles specifications'!$A$3:$A$166,0),MATCH(G83,'vehicles specifications'!$B$2:$CW$2,0))*INDEX('ei names mapping'!$B$137:$BL$300,MATCH(B51,'ei names mapping'!$A$137:$A$300,0),MATCH(G83,'ei names mapping'!$B$136:$BL$136,0))</f>
        <v>33.333333333333329</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6.666666666666667</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70.81</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13</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-40</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110.47666666666666</v>
      </c>
      <c r="C89" t="s">
        <v>92</v>
      </c>
      <c r="D89" t="s">
        <v>233</v>
      </c>
      <c r="F89" t="s">
        <v>89</v>
      </c>
      <c r="H89" s="13" t="s">
        <v>841</v>
      </c>
    </row>
    <row r="90" spans="1:8" x14ac:dyDescent="0.2">
      <c r="A90" s="13" t="s">
        <v>441</v>
      </c>
      <c r="B90" s="2">
        <f>(B61/1000)*B73</f>
        <v>1756.5789999999997</v>
      </c>
      <c r="C90" t="s">
        <v>95</v>
      </c>
      <c r="D90" t="s">
        <v>233</v>
      </c>
      <c r="F90" t="s">
        <v>89</v>
      </c>
      <c r="H90" s="13" t="s">
        <v>441</v>
      </c>
    </row>
    <row r="92" spans="1:8" ht="16" x14ac:dyDescent="0.2">
      <c r="A92" s="10" t="s">
        <v>71</v>
      </c>
      <c r="B92" s="8" t="str">
        <f>B94&amp;", "&amp;B109&amp;" battery, "&amp;B96</f>
        <v>Scooter, electric, &lt;4kW, LFP battery, 2040</v>
      </c>
    </row>
    <row r="93" spans="1:8" x14ac:dyDescent="0.2">
      <c r="A93" t="s">
        <v>72</v>
      </c>
      <c r="B93" t="s">
        <v>37</v>
      </c>
    </row>
    <row r="94" spans="1:8" x14ac:dyDescent="0.2">
      <c r="A94" t="s">
        <v>86</v>
      </c>
      <c r="B94" t="s">
        <v>608</v>
      </c>
    </row>
    <row r="95" spans="1:8" x14ac:dyDescent="0.2">
      <c r="A95" t="s">
        <v>87</v>
      </c>
    </row>
    <row r="96" spans="1:8" x14ac:dyDescent="0.2">
      <c r="A96" t="s">
        <v>88</v>
      </c>
      <c r="B96">
        <v>2040</v>
      </c>
    </row>
    <row r="97" spans="1:2" x14ac:dyDescent="0.2">
      <c r="A97" t="s">
        <v>126</v>
      </c>
      <c r="B97" t="str">
        <f>B94&amp;" - "&amp;B96&amp;" - "&amp;B109&amp;" - "&amp;B93</f>
        <v>Scooter, electric, &lt;4kW - 2040 - LFP - CH</v>
      </c>
    </row>
    <row r="98" spans="1:2" x14ac:dyDescent="0.2">
      <c r="A98" t="s">
        <v>73</v>
      </c>
      <c r="B98" t="str">
        <f>B94</f>
        <v>Scooter, electric, &lt;4kW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1570</v>
      </c>
    </row>
    <row r="107" spans="1:2" x14ac:dyDescent="0.2">
      <c r="A107" t="s">
        <v>132</v>
      </c>
      <c r="B107" s="2">
        <f>INDEX('vehicles specifications'!$B$3:$CW$166,MATCH(B97,'vehicles specifications'!$A$3:$A$166,0),MATCH("Curb mass [kg]",'vehicles specifications'!$B$2:$CW$2,0))</f>
        <v>121.01666666666665</v>
      </c>
    </row>
    <row r="108" spans="1:2" x14ac:dyDescent="0.2">
      <c r="A108" t="s">
        <v>133</v>
      </c>
      <c r="B108">
        <f>INDEX('vehicles specifications'!$B$3:$CW$166,MATCH(B97,'vehicles specifications'!$A$3:$A$166,0),MATCH("Power [kW]",'vehicles specifications'!$B$2:$CW$2,0))</f>
        <v>2.6</v>
      </c>
    </row>
    <row r="109" spans="1:2" x14ac:dyDescent="0.2">
      <c r="A109" t="s">
        <v>652</v>
      </c>
      <c r="B109" s="20" t="s">
        <v>44</v>
      </c>
    </row>
    <row r="110" spans="1:2" x14ac:dyDescent="0.2">
      <c r="A110" t="s">
        <v>134</v>
      </c>
      <c r="B110">
        <f>INDEX('vehicles specifications'!$B$3:$CW$166,MATCH(B97,'vehicles specifications'!$A$3:$A$166,0),MATCH("Energy battery mass [kg]",'vehicles specifications'!$B$2:$CW$2,0))</f>
        <v>38.666666666666664</v>
      </c>
    </row>
    <row r="111" spans="1:2" x14ac:dyDescent="0.2">
      <c r="A111" t="s">
        <v>135</v>
      </c>
      <c r="B111">
        <f>INDEX('vehicles specifications'!$B$3:$CW$166,MATCH(B97,'vehicles specifications'!$A$3:$A$166,0),MATCH("Electric energy stored [kWh]",'vehicles specifications'!$B$2:$CW$2,0))</f>
        <v>5.8</v>
      </c>
    </row>
    <row r="112" spans="1:2" x14ac:dyDescent="0.2">
      <c r="A112" t="s">
        <v>588</v>
      </c>
      <c r="B112">
        <f>INDEX('vehicles specifications'!$B$3:$CW$166,MATCH(B97,'vehicles specifications'!$A$3:$A$166,0),MATCH("Electric energy available [kWh]",'vehicles specifications'!$B$2:$CW$2,0))</f>
        <v>4.6399999999999997</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125.18350813743217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121 kg. Lightweighting of glider: 5%. Emission standard: None. Service visits throughout lifetime: 1. Range: 125 km. Battery capacity: 5.8 kWh. Available battery capacity: 4.64 kWh. Battery mass: 38.7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&lt;4kW, LFP battery, 2040</v>
      </c>
      <c r="B124">
        <v>1</v>
      </c>
      <c r="C124" t="str">
        <f>B93</f>
        <v>CH</v>
      </c>
      <c r="D124" t="str">
        <f>B100</f>
        <v>unit</v>
      </c>
      <c r="F124" t="s">
        <v>84</v>
      </c>
      <c r="G124" t="s">
        <v>85</v>
      </c>
      <c r="H124" t="str">
        <f>B94</f>
        <v>Scooter, electric, &lt;4kW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73</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3.6500000000000004</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5</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759</v>
      </c>
      <c r="B129" s="11">
        <f>INDEX('vehicles specifications'!$B$3:$CW$166,MATCH(B97,'vehicles specifications'!$A$3:$A$166,0),MATCH(G129,'vehicles specifications'!$B$2:$CW$2,0))*INDEX('ei names mapping'!$B$137:$BL$300,MATCH(B97,'ei names mapping'!$A$137:$A$300,0),MATCH(G129,'ei names mapping'!$B$136:$BL$136,0))</f>
        <v>40.277777777777779</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8.0555555555555554</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69.349999999999994</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13</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-48.333333333333329</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121.01666666666665</v>
      </c>
      <c r="C135" t="s">
        <v>92</v>
      </c>
      <c r="D135" t="s">
        <v>233</v>
      </c>
      <c r="F135" t="s">
        <v>89</v>
      </c>
      <c r="H135" s="13" t="s">
        <v>841</v>
      </c>
    </row>
    <row r="136" spans="1:8" x14ac:dyDescent="0.2">
      <c r="A136" s="13" t="s">
        <v>441</v>
      </c>
      <c r="B136" s="2">
        <f>(B107/1000)*B119</f>
        <v>1924.1649999999997</v>
      </c>
      <c r="C136" t="s">
        <v>95</v>
      </c>
      <c r="D136" t="s">
        <v>233</v>
      </c>
      <c r="F136" t="s">
        <v>89</v>
      </c>
      <c r="H136" s="13" t="s">
        <v>441</v>
      </c>
    </row>
    <row r="138" spans="1:8" ht="16" x14ac:dyDescent="0.2">
      <c r="A138" s="10" t="s">
        <v>71</v>
      </c>
      <c r="B138" s="8" t="str">
        <f>B140&amp;", "&amp;B155&amp;" battery, "&amp;B142</f>
        <v>Scooter, electric, &lt;4kW, LFP battery, 2050</v>
      </c>
    </row>
    <row r="139" spans="1:8" x14ac:dyDescent="0.2">
      <c r="A139" t="s">
        <v>72</v>
      </c>
      <c r="B139" t="s">
        <v>37</v>
      </c>
    </row>
    <row r="140" spans="1:8" x14ac:dyDescent="0.2">
      <c r="A140" t="s">
        <v>86</v>
      </c>
      <c r="B140" t="s">
        <v>608</v>
      </c>
    </row>
    <row r="141" spans="1:8" x14ac:dyDescent="0.2">
      <c r="A141" t="s">
        <v>87</v>
      </c>
    </row>
    <row r="142" spans="1:8" x14ac:dyDescent="0.2">
      <c r="A142" t="s">
        <v>88</v>
      </c>
      <c r="B142">
        <v>2050</v>
      </c>
    </row>
    <row r="143" spans="1:8" x14ac:dyDescent="0.2">
      <c r="A143" t="s">
        <v>126</v>
      </c>
      <c r="B143" t="str">
        <f>B140&amp;" - "&amp;B142&amp;" - "&amp;B155&amp;" - "&amp;B139</f>
        <v>Scooter, electric, &lt;4kW - 2050 - LFP - CH</v>
      </c>
    </row>
    <row r="144" spans="1:8" x14ac:dyDescent="0.2">
      <c r="A144" t="s">
        <v>73</v>
      </c>
      <c r="B144" t="str">
        <f>B140</f>
        <v>Scooter, electric, &lt;4kW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1570</v>
      </c>
    </row>
    <row r="153" spans="1:2" x14ac:dyDescent="0.2">
      <c r="A153" t="s">
        <v>132</v>
      </c>
      <c r="B153" s="2">
        <f>INDEX('vehicles specifications'!$B$3:$CW$166,MATCH(B143,'vehicles specifications'!$A$3:$A$166,0),MATCH("Curb mass [kg]",'vehicles specifications'!$B$2:$CW$2,0))</f>
        <v>128.88999999999999</v>
      </c>
    </row>
    <row r="154" spans="1:2" x14ac:dyDescent="0.2">
      <c r="A154" t="s">
        <v>133</v>
      </c>
      <c r="B154">
        <f>INDEX('vehicles specifications'!$B$3:$CW$166,MATCH(B143,'vehicles specifications'!$A$3:$A$166,0),MATCH("Power [kW]",'vehicles specifications'!$B$2:$CW$2,0))</f>
        <v>2.6</v>
      </c>
    </row>
    <row r="155" spans="1:2" x14ac:dyDescent="0.2">
      <c r="A155" t="s">
        <v>652</v>
      </c>
      <c r="B155" s="20" t="s">
        <v>44</v>
      </c>
    </row>
    <row r="156" spans="1:2" x14ac:dyDescent="0.2">
      <c r="A156" t="s">
        <v>134</v>
      </c>
      <c r="B156">
        <f>INDEX('vehicles specifications'!$B$3:$CW$166,MATCH(B143,'vehicles specifications'!$A$3:$A$166,0),MATCH("Energy battery mass [kg]",'vehicles specifications'!$B$2:$CW$2,0))</f>
        <v>48</v>
      </c>
    </row>
    <row r="157" spans="1:2" x14ac:dyDescent="0.2">
      <c r="A157" t="s">
        <v>135</v>
      </c>
      <c r="B157">
        <f>INDEX('vehicles specifications'!$B$3:$CW$166,MATCH(B143,'vehicles specifications'!$A$3:$A$166,0),MATCH("Electric energy stored [kWh]",'vehicles specifications'!$B$2:$CW$2,0))</f>
        <v>8</v>
      </c>
    </row>
    <row r="158" spans="1:2" x14ac:dyDescent="0.2">
      <c r="A158" t="s">
        <v>588</v>
      </c>
      <c r="B158">
        <f>INDEX('vehicles specifications'!$B$3:$CW$166,MATCH(B143,'vehicles specifications'!$A$3:$A$166,0),MATCH("Electric energy available [kWh]",'vehicles specifications'!$B$2:$CW$2,0))</f>
        <v>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172.66690777576852</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128.9 kg. Lightweighting of glider: 7%. Emission standard: None. Service visits throughout lifetime: 1. Range: 173 km. Battery capacity: 8 kWh. Available battery capacity: 6.4 kWh. Battery mass: 48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&lt;4kW, LFP battery, 2050</v>
      </c>
      <c r="B170">
        <v>1</v>
      </c>
      <c r="C170" t="str">
        <f>B139</f>
        <v>CH</v>
      </c>
      <c r="D170" t="str">
        <f>B146</f>
        <v>unit</v>
      </c>
      <c r="F170" t="s">
        <v>84</v>
      </c>
      <c r="G170" t="s">
        <v>85</v>
      </c>
      <c r="H170" t="str">
        <f>B140</f>
        <v>Scooter, electric, &lt;4kW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73</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5.1100000000000003</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5</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759</v>
      </c>
      <c r="B175" s="11">
        <f>INDEX('vehicles specifications'!$B$3:$CW$166,MATCH(B143,'vehicles specifications'!$A$3:$A$166,0),MATCH(G175,'vehicles specifications'!$B$2:$CW$2,0))*INDEX('ei names mapping'!$B$137:$BL$300,MATCH(B143,'ei names mapping'!$A$137:$A$300,0),MATCH(G175,'ei names mapping'!$B$136:$BL$136,0))</f>
        <v>40</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67.89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13</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-48</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128.88999999999999</v>
      </c>
      <c r="C181" t="s">
        <v>92</v>
      </c>
      <c r="D181" t="s">
        <v>233</v>
      </c>
      <c r="F181" t="s">
        <v>89</v>
      </c>
      <c r="H181" s="13" t="s">
        <v>841</v>
      </c>
    </row>
    <row r="182" spans="1:8" x14ac:dyDescent="0.2">
      <c r="A182" s="13" t="s">
        <v>441</v>
      </c>
      <c r="B182" s="2">
        <f>(B153/1000)*B165</f>
        <v>2049.3509999999997</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&lt;4kW, LFP battery, 2020</v>
      </c>
    </row>
    <row r="185" spans="1:8" x14ac:dyDescent="0.2">
      <c r="A185" t="s">
        <v>72</v>
      </c>
      <c r="B185" t="s">
        <v>37</v>
      </c>
    </row>
    <row r="186" spans="1:8" x14ac:dyDescent="0.2">
      <c r="A186" t="s">
        <v>86</v>
      </c>
      <c r="B186" t="s">
        <v>608</v>
      </c>
    </row>
    <row r="187" spans="1:8" x14ac:dyDescent="0.2">
      <c r="A187" t="s">
        <v>87</v>
      </c>
    </row>
    <row r="188" spans="1:8" x14ac:dyDescent="0.2">
      <c r="A188" t="s">
        <v>88</v>
      </c>
      <c r="B188">
        <v>2020</v>
      </c>
    </row>
    <row r="189" spans="1:8" x14ac:dyDescent="0.2">
      <c r="A189" t="s">
        <v>126</v>
      </c>
      <c r="B189" t="str">
        <f>B186&amp;" - "&amp;B188&amp;" - "&amp;B201&amp;" - "&amp;B185</f>
        <v>Scooter, electric, &lt;4kW - 2020 - LFP - CH</v>
      </c>
    </row>
    <row r="190" spans="1:8" x14ac:dyDescent="0.2">
      <c r="A190" t="s">
        <v>73</v>
      </c>
      <c r="B190" t="str">
        <f>"transport, "&amp;B186</f>
        <v>transport, Scooter, electric, &lt;4kW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1570</v>
      </c>
    </row>
    <row r="199" spans="1:2" x14ac:dyDescent="0.2">
      <c r="A199" t="s">
        <v>132</v>
      </c>
      <c r="B199" s="2">
        <f>INDEX('vehicles specifications'!$B$3:$CW$166,MATCH(B189,'vehicles specifications'!$A$3:$A$166,0),MATCH("Curb mass [kg]",'vehicles specifications'!$B$2:$CW$2,0))</f>
        <v>104.4</v>
      </c>
    </row>
    <row r="200" spans="1:2" x14ac:dyDescent="0.2">
      <c r="A200" t="s">
        <v>133</v>
      </c>
      <c r="B200">
        <f>INDEX('vehicles specifications'!$B$3:$CW$166,MATCH(B189,'vehicles specifications'!$A$3:$A$166,0),MATCH("Power [kW]",'vehicles specifications'!$B$2:$CW$2,0))</f>
        <v>2.6</v>
      </c>
    </row>
    <row r="201" spans="1:2" x14ac:dyDescent="0.2">
      <c r="A201" t="s">
        <v>652</v>
      </c>
      <c r="B201" s="20" t="s">
        <v>44</v>
      </c>
    </row>
    <row r="202" spans="1:2" x14ac:dyDescent="0.2">
      <c r="A202" t="s">
        <v>134</v>
      </c>
      <c r="B202">
        <f>INDEX('vehicles specifications'!$B$3:$CW$166,MATCH(B189,'vehicles specifications'!$A$3:$A$166,0),MATCH("Energy battery mass [kg]",'vehicles specifications'!$B$2:$CW$2,0))</f>
        <v>18.399999999999999</v>
      </c>
    </row>
    <row r="203" spans="1:2" x14ac:dyDescent="0.2">
      <c r="A203" t="s">
        <v>135</v>
      </c>
      <c r="B203">
        <f>INDEX('vehicles specifications'!$B$3:$CW$166,MATCH(B189,'vehicles specifications'!$A$3:$A$166,0),MATCH("Electric energy stored [kWh]",'vehicles specifications'!$B$2:$CW$2,0))</f>
        <v>2.2999999999999998</v>
      </c>
    </row>
    <row r="204" spans="1:2" x14ac:dyDescent="0.2">
      <c r="A204" t="s">
        <v>588</v>
      </c>
      <c r="B204">
        <f>INDEX('vehicles specifications'!$B$3:$CW$166,MATCH(B189,'vehicles specifications'!$A$3:$A$166,0),MATCH("Electric energy available [kWh]",'vehicles specifications'!$B$2:$CW$2,0))</f>
        <v>1.8399999999999999</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49.641735985533444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104.4 kg. Lightweighting of glider: 0%. Emission standard: None. Service visits throughout lifetime: 1. Range: 50 km. Battery capacity: 2.3 kWh. Available battery capacity: 1.84 kWh. Battery mass: 18.4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&lt;4kW, LFP battery, 2020</v>
      </c>
      <c r="B213">
        <v>1</v>
      </c>
      <c r="C213" t="str">
        <f>B185</f>
        <v>CH</v>
      </c>
      <c r="D213" t="s">
        <v>166</v>
      </c>
      <c r="F213" t="s">
        <v>84</v>
      </c>
      <c r="G213" t="s">
        <v>85</v>
      </c>
      <c r="H213" t="str">
        <f>B190</f>
        <v>transport, Scooter, electric, &lt;4kW</v>
      </c>
    </row>
    <row r="214" spans="1:8" x14ac:dyDescent="0.2">
      <c r="A214" t="str">
        <f>RIGHT(A213,LEN(A213)-11)</f>
        <v>Scooter, electric, &lt;4kW, LFP battery, 2020</v>
      </c>
      <c r="B214" s="7">
        <f>1/B194</f>
        <v>4.0000000000000003E-5</v>
      </c>
      <c r="C214" t="str">
        <f>B185</f>
        <v>CH</v>
      </c>
      <c r="D214" t="s">
        <v>76</v>
      </c>
      <c r="F214" t="s">
        <v>89</v>
      </c>
      <c r="H214" t="str">
        <f>RIGHT(H213,LEN(H213)-11)</f>
        <v>Scooter, electric, &lt;4kW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9.8485800000000005E-5</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4.0772143838600498E-2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-6.8017451062921886E-6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-5.4201133888799773E-6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-3.817774576606569E-6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&lt;4kW, LFP battery, 2030</v>
      </c>
    </row>
    <row r="224" spans="1:8" x14ac:dyDescent="0.2">
      <c r="A224" t="s">
        <v>72</v>
      </c>
      <c r="B224" t="s">
        <v>37</v>
      </c>
    </row>
    <row r="225" spans="1:2" x14ac:dyDescent="0.2">
      <c r="A225" t="s">
        <v>86</v>
      </c>
      <c r="B225" t="s">
        <v>608</v>
      </c>
    </row>
    <row r="226" spans="1:2" x14ac:dyDescent="0.2">
      <c r="A226" t="s">
        <v>87</v>
      </c>
    </row>
    <row r="227" spans="1:2" x14ac:dyDescent="0.2">
      <c r="A227" t="s">
        <v>88</v>
      </c>
      <c r="B227">
        <v>2030</v>
      </c>
    </row>
    <row r="228" spans="1:2" x14ac:dyDescent="0.2">
      <c r="A228" t="s">
        <v>126</v>
      </c>
      <c r="B228" t="str">
        <f>B225&amp;" - "&amp;B227&amp;" - "&amp;B240&amp;" - "&amp;B224</f>
        <v>Scooter, electric, &lt;4kW - 2030 - LFP - CH</v>
      </c>
    </row>
    <row r="229" spans="1:2" x14ac:dyDescent="0.2">
      <c r="A229" t="s">
        <v>73</v>
      </c>
      <c r="B229" t="str">
        <f>"transport, "&amp;B225</f>
        <v>transport, Scooter, electric, &lt;4kW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1570</v>
      </c>
    </row>
    <row r="238" spans="1:2" x14ac:dyDescent="0.2">
      <c r="A238" t="s">
        <v>132</v>
      </c>
      <c r="B238" s="2">
        <f>INDEX('vehicles specifications'!$B$3:$CW$166,MATCH(B228,'vehicles specifications'!$A$3:$A$166,0),MATCH("Curb mass [kg]",'vehicles specifications'!$B$2:$CW$2,0))</f>
        <v>110.47666666666666</v>
      </c>
    </row>
    <row r="239" spans="1:2" x14ac:dyDescent="0.2">
      <c r="A239" t="s">
        <v>133</v>
      </c>
      <c r="B239">
        <f>INDEX('vehicles specifications'!$B$3:$CW$166,MATCH(B228,'vehicles specifications'!$A$3:$A$166,0),MATCH("Power [kW]",'vehicles specifications'!$B$2:$CW$2,0))</f>
        <v>2.6</v>
      </c>
    </row>
    <row r="240" spans="1:2" x14ac:dyDescent="0.2">
      <c r="A240" t="s">
        <v>652</v>
      </c>
      <c r="B240" s="20" t="s">
        <v>44</v>
      </c>
    </row>
    <row r="241" spans="1:8" x14ac:dyDescent="0.2">
      <c r="A241" t="s">
        <v>134</v>
      </c>
      <c r="B241">
        <f>INDEX('vehicles specifications'!$B$3:$CW$166,MATCH(B228,'vehicles specifications'!$A$3:$A$166,0),MATCH("Energy battery mass [kg]",'vehicles specifications'!$B$2:$CW$2,0))</f>
        <v>26.666666666666664</v>
      </c>
    </row>
    <row r="242" spans="1:8" x14ac:dyDescent="0.2">
      <c r="A242" t="s">
        <v>135</v>
      </c>
      <c r="B242">
        <f>INDEX('vehicles specifications'!$B$3:$CW$166,MATCH(B228,'vehicles specifications'!$A$3:$A$166,0),MATCH("Electric energy stored [kWh]",'vehicles specifications'!$B$2:$CW$2,0))</f>
        <v>4</v>
      </c>
    </row>
    <row r="243" spans="1:8" x14ac:dyDescent="0.2">
      <c r="A243" t="s">
        <v>588</v>
      </c>
      <c r="B243">
        <f>INDEX('vehicles specifications'!$B$3:$CW$166,MATCH(B228,'vehicles specifications'!$A$3:$A$166,0),MATCH("Electric energy available [kWh]",'vehicles specifications'!$B$2:$CW$2,0))</f>
        <v>3.2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86.333453887884261</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110.5 kg. Lightweighting of glider: 3%. Emission standard: None. Service visits throughout lifetime: 1. Range: 86 km. Battery capacity: 4 kWh. Available battery capacity: 3.2 kWh. Battery mass: 26.7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&lt;4kW, LFP battery, 2030</v>
      </c>
      <c r="B252">
        <v>1</v>
      </c>
      <c r="C252" t="str">
        <f>B224</f>
        <v>CH</v>
      </c>
      <c r="D252" t="s">
        <v>166</v>
      </c>
      <c r="F252" t="s">
        <v>84</v>
      </c>
      <c r="G252" t="s">
        <v>85</v>
      </c>
      <c r="H252" t="str">
        <f>B229</f>
        <v>transport, Scooter, electric, &lt;4kW</v>
      </c>
    </row>
    <row r="253" spans="1:8" x14ac:dyDescent="0.2">
      <c r="A253" t="str">
        <f>RIGHT(A252,LEN(A252)-11)</f>
        <v>Scooter, electric, &lt;4kW, LFP battery, 2030</v>
      </c>
      <c r="B253" s="7">
        <f>1/B233</f>
        <v>4.0000000000000003E-5</v>
      </c>
      <c r="C253" t="str">
        <f>B224</f>
        <v>CH</v>
      </c>
      <c r="D253" t="s">
        <v>76</v>
      </c>
      <c r="F253" t="s">
        <v>89</v>
      </c>
      <c r="H253" t="str">
        <f>RIGHT(H252,LEN(H252)-11)</f>
        <v>Scooter, electric, &lt;4kW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1.0174897E-4</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4.0772143838600498E-2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4.0000000000000003E-5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-6.9796223058990272E-6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-5.5179717661303463E-6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-3.8997026733924905E-6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&lt;4kW, LFP battery, 2040</v>
      </c>
    </row>
    <row r="263" spans="1:8" x14ac:dyDescent="0.2">
      <c r="A263" t="s">
        <v>72</v>
      </c>
      <c r="B263" t="s">
        <v>37</v>
      </c>
    </row>
    <row r="264" spans="1:8" x14ac:dyDescent="0.2">
      <c r="A264" t="s">
        <v>86</v>
      </c>
      <c r="B264" t="s">
        <v>608</v>
      </c>
    </row>
    <row r="265" spans="1:8" x14ac:dyDescent="0.2">
      <c r="A265" t="s">
        <v>87</v>
      </c>
    </row>
    <row r="266" spans="1:8" x14ac:dyDescent="0.2">
      <c r="A266" t="s">
        <v>88</v>
      </c>
      <c r="B266">
        <v>2040</v>
      </c>
    </row>
    <row r="267" spans="1:8" x14ac:dyDescent="0.2">
      <c r="A267" t="s">
        <v>126</v>
      </c>
      <c r="B267" t="str">
        <f>B264&amp;" - "&amp;B266&amp;" - "&amp;B279&amp;" - "&amp;B263</f>
        <v>Scooter, electric, &lt;4kW - 2040 - LFP - CH</v>
      </c>
    </row>
    <row r="268" spans="1:8" x14ac:dyDescent="0.2">
      <c r="A268" t="s">
        <v>73</v>
      </c>
      <c r="B268" t="str">
        <f>"transport, "&amp;B264</f>
        <v>transport, Scooter, electric, &lt;4kW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1570</v>
      </c>
    </row>
    <row r="277" spans="1:2" x14ac:dyDescent="0.2">
      <c r="A277" t="s">
        <v>132</v>
      </c>
      <c r="B277" s="2">
        <f>INDEX('vehicles specifications'!$B$3:$CW$166,MATCH(B267,'vehicles specifications'!$A$3:$A$166,0),MATCH("Curb mass [kg]",'vehicles specifications'!$B$2:$CW$2,0))</f>
        <v>121.01666666666665</v>
      </c>
    </row>
    <row r="278" spans="1:2" x14ac:dyDescent="0.2">
      <c r="A278" t="s">
        <v>133</v>
      </c>
      <c r="B278">
        <f>INDEX('vehicles specifications'!$B$3:$CW$166,MATCH(B267,'vehicles specifications'!$A$3:$A$166,0),MATCH("Power [kW]",'vehicles specifications'!$B$2:$CW$2,0))</f>
        <v>2.6</v>
      </c>
    </row>
    <row r="279" spans="1:2" x14ac:dyDescent="0.2">
      <c r="A279" t="s">
        <v>652</v>
      </c>
      <c r="B279" s="20" t="s">
        <v>44</v>
      </c>
    </row>
    <row r="280" spans="1:2" x14ac:dyDescent="0.2">
      <c r="A280" t="s">
        <v>134</v>
      </c>
      <c r="B280">
        <f>INDEX('vehicles specifications'!$B$3:$CW$166,MATCH(B267,'vehicles specifications'!$A$3:$A$166,0),MATCH("Energy battery mass [kg]",'vehicles specifications'!$B$2:$CW$2,0))</f>
        <v>38.666666666666664</v>
      </c>
    </row>
    <row r="281" spans="1:2" x14ac:dyDescent="0.2">
      <c r="A281" t="s">
        <v>135</v>
      </c>
      <c r="B281">
        <f>INDEX('vehicles specifications'!$B$3:$CW$166,MATCH(B267,'vehicles specifications'!$A$3:$A$166,0),MATCH("Electric energy stored [kWh]",'vehicles specifications'!$B$2:$CW$2,0))</f>
        <v>5.8</v>
      </c>
    </row>
    <row r="282" spans="1:2" x14ac:dyDescent="0.2">
      <c r="A282" t="s">
        <v>588</v>
      </c>
      <c r="B282">
        <f>INDEX('vehicles specifications'!$B$3:$CW$166,MATCH(B267,'vehicles specifications'!$A$3:$A$166,0),MATCH("Electric energy available [kWh]",'vehicles specifications'!$B$2:$CW$2,0))</f>
        <v>4.6399999999999997</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125.18350813743217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121 kg. Lightweighting of glider: 5%. Emission standard: None. Service visits throughout lifetime: 1. Range: 125 km. Battery capacity: 5.8 kWh. Available battery capacity: 4.64 kWh. Battery mass: 38.7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&lt;4kW, LFP battery, 2040</v>
      </c>
      <c r="B291">
        <v>1</v>
      </c>
      <c r="C291" t="str">
        <f>B263</f>
        <v>CH</v>
      </c>
      <c r="D291" t="s">
        <v>166</v>
      </c>
      <c r="F291" t="s">
        <v>84</v>
      </c>
      <c r="G291" t="s">
        <v>85</v>
      </c>
      <c r="H291" t="str">
        <f>B268</f>
        <v>transport, Scooter, electric, &lt;4kW</v>
      </c>
    </row>
    <row r="292" spans="1:8" x14ac:dyDescent="0.2">
      <c r="A292" t="str">
        <f>RIGHT(A291,LEN(A291)-11)</f>
        <v>Scooter, electric, &lt;4kW, LFP battery, 2040</v>
      </c>
      <c r="B292" s="7">
        <f>1/B272</f>
        <v>4.0000000000000003E-5</v>
      </c>
      <c r="C292" t="str">
        <f>B263</f>
        <v>CH</v>
      </c>
      <c r="D292" t="s">
        <v>76</v>
      </c>
      <c r="F292" t="s">
        <v>89</v>
      </c>
      <c r="H292" t="str">
        <f>RIGHT(H291,LEN(H291)-11)</f>
        <v>Scooter, electric, &lt;4kW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1.0740895E-4</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4.0772143838600498E-2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4.0000000000000003E-5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-7.285622310923459E-6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-5.6821902734755812E-6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-4.0385483483822152E-6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&lt;4kW, LFP battery, 2050</v>
      </c>
    </row>
    <row r="302" spans="1:8" x14ac:dyDescent="0.2">
      <c r="A302" t="s">
        <v>72</v>
      </c>
      <c r="B302" t="s">
        <v>37</v>
      </c>
    </row>
    <row r="303" spans="1:8" x14ac:dyDescent="0.2">
      <c r="A303" t="s">
        <v>86</v>
      </c>
      <c r="B303" t="s">
        <v>608</v>
      </c>
    </row>
    <row r="304" spans="1:8" x14ac:dyDescent="0.2">
      <c r="A304" t="s">
        <v>87</v>
      </c>
    </row>
    <row r="305" spans="1:2" x14ac:dyDescent="0.2">
      <c r="A305" t="s">
        <v>88</v>
      </c>
      <c r="B305">
        <v>2050</v>
      </c>
    </row>
    <row r="306" spans="1:2" x14ac:dyDescent="0.2">
      <c r="A306" t="s">
        <v>126</v>
      </c>
      <c r="B306" t="str">
        <f>B303&amp;" - "&amp;B305&amp;" - "&amp;B318&amp;" - "&amp;B302</f>
        <v>Scooter, electric, &lt;4kW - 2050 - LFP - CH</v>
      </c>
    </row>
    <row r="307" spans="1:2" x14ac:dyDescent="0.2">
      <c r="A307" t="s">
        <v>73</v>
      </c>
      <c r="B307" t="str">
        <f>"transport, "&amp;B303</f>
        <v>transport, Scooter, electric, &lt;4kW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1570</v>
      </c>
    </row>
    <row r="316" spans="1:2" x14ac:dyDescent="0.2">
      <c r="A316" t="s">
        <v>132</v>
      </c>
      <c r="B316" s="2">
        <f>INDEX('vehicles specifications'!$B$3:$CW$166,MATCH(B306,'vehicles specifications'!$A$3:$A$166,0),MATCH("Curb mass [kg]",'vehicles specifications'!$B$2:$CW$2,0))</f>
        <v>128.88999999999999</v>
      </c>
    </row>
    <row r="317" spans="1:2" x14ac:dyDescent="0.2">
      <c r="A317" t="s">
        <v>133</v>
      </c>
      <c r="B317">
        <f>INDEX('vehicles specifications'!$B$3:$CW$166,MATCH(B306,'vehicles specifications'!$A$3:$A$166,0),MATCH("Power [kW]",'vehicles specifications'!$B$2:$CW$2,0))</f>
        <v>2.6</v>
      </c>
    </row>
    <row r="318" spans="1:2" x14ac:dyDescent="0.2">
      <c r="A318" t="s">
        <v>652</v>
      </c>
      <c r="B318" s="20" t="s">
        <v>44</v>
      </c>
    </row>
    <row r="319" spans="1:2" x14ac:dyDescent="0.2">
      <c r="A319" t="s">
        <v>134</v>
      </c>
      <c r="B319">
        <f>INDEX('vehicles specifications'!$B$3:$CW$166,MATCH(B306,'vehicles specifications'!$A$3:$A$166,0),MATCH("Energy battery mass [kg]",'vehicles specifications'!$B$2:$CW$2,0))</f>
        <v>48</v>
      </c>
    </row>
    <row r="320" spans="1:2" x14ac:dyDescent="0.2">
      <c r="A320" t="s">
        <v>135</v>
      </c>
      <c r="B320">
        <f>INDEX('vehicles specifications'!$B$3:$CW$166,MATCH(B306,'vehicles specifications'!$A$3:$A$166,0),MATCH("Electric energy stored [kWh]",'vehicles specifications'!$B$2:$CW$2,0))</f>
        <v>8</v>
      </c>
    </row>
    <row r="321" spans="1:8" x14ac:dyDescent="0.2">
      <c r="A321" t="s">
        <v>588</v>
      </c>
      <c r="B321">
        <f>INDEX('vehicles specifications'!$B$3:$CW$166,MATCH(B306,'vehicles specifications'!$A$3:$A$166,0),MATCH("Electric energy available [kWh]",'vehicles specifications'!$B$2:$CW$2,0))</f>
        <v>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172.66690777576852</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128.9 kg. Lightweighting of glider: 7%. Emission standard: None. Service visits throughout lifetime: 1. Range: 173 km. Battery capacity: 8 kWh. Available battery capacity: 6.4 kWh. Battery mass: 48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&lt;4kW, LFP battery, 2050</v>
      </c>
      <c r="B330">
        <v>1</v>
      </c>
      <c r="C330" t="str">
        <f>B302</f>
        <v>CH</v>
      </c>
      <c r="D330" t="s">
        <v>166</v>
      </c>
      <c r="F330" t="s">
        <v>84</v>
      </c>
      <c r="G330" t="s">
        <v>85</v>
      </c>
      <c r="H330" t="str">
        <f>B307</f>
        <v>transport, Scooter, electric, &lt;4kW</v>
      </c>
    </row>
    <row r="331" spans="1:8" x14ac:dyDescent="0.2">
      <c r="A331" t="str">
        <f>RIGHT(A330,LEN(A330)-11)</f>
        <v>Scooter, electric, &lt;4kW, LFP battery, 2050</v>
      </c>
      <c r="B331" s="7">
        <f>1/B311</f>
        <v>4.0000000000000003E-5</v>
      </c>
      <c r="C331" t="str">
        <f>B302</f>
        <v>CH</v>
      </c>
      <c r="D331" t="s">
        <v>76</v>
      </c>
      <c r="F331" t="s">
        <v>89</v>
      </c>
      <c r="H331" t="str">
        <f>RIGHT(H330,LEN(H330)-11)</f>
        <v>Scooter, electric, &lt;4kW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1.1163693E-4</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4.0772143838600498E-2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4.0000000000000003E-5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-7.5122175908833659E-6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-5.8006987254388856E-6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-4.1397722562820695E-6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338"/>
  <sheetViews>
    <sheetView topLeftCell="A319" zoomScale="85" zoomScaleNormal="85" workbookViewId="0">
      <selection activeCell="A344" sqref="A344"/>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&lt;4kW, NCA battery, 2020</v>
      </c>
    </row>
    <row r="2" spans="1:2" x14ac:dyDescent="0.2">
      <c r="A2" t="s">
        <v>72</v>
      </c>
      <c r="B2" t="s">
        <v>37</v>
      </c>
    </row>
    <row r="3" spans="1:2" x14ac:dyDescent="0.2">
      <c r="A3" t="s">
        <v>86</v>
      </c>
      <c r="B3" t="s">
        <v>608</v>
      </c>
    </row>
    <row r="4" spans="1:2" x14ac:dyDescent="0.2">
      <c r="A4" t="s">
        <v>87</v>
      </c>
    </row>
    <row r="5" spans="1:2" x14ac:dyDescent="0.2">
      <c r="A5" t="s">
        <v>88</v>
      </c>
      <c r="B5">
        <v>2020</v>
      </c>
    </row>
    <row r="6" spans="1:2" x14ac:dyDescent="0.2">
      <c r="A6" t="s">
        <v>126</v>
      </c>
      <c r="B6" t="str">
        <f>B3&amp;" - "&amp;B5&amp;" - "&amp;B18&amp;" - "&amp;B2</f>
        <v>Scooter, electric, &lt;4kW - 2020 - NCA - CH</v>
      </c>
    </row>
    <row r="7" spans="1:2" x14ac:dyDescent="0.2">
      <c r="A7" t="s">
        <v>73</v>
      </c>
      <c r="B7" t="str">
        <f>B3</f>
        <v>Scooter, electric, &lt;4kW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99</v>
      </c>
    </row>
    <row r="17" spans="1:8" x14ac:dyDescent="0.2">
      <c r="A17" t="s">
        <v>133</v>
      </c>
      <c r="B17">
        <f>INDEX('vehicles specifications'!$B$3:$CW$166,MATCH(B6,'vehicles specifications'!$A$3:$A$166,0),MATCH("Power [kW]",'vehicles specifications'!$B$2:$CW$2,0))</f>
        <v>2.6</v>
      </c>
    </row>
    <row r="18" spans="1:8" x14ac:dyDescent="0.2">
      <c r="A18" t="s">
        <v>652</v>
      </c>
      <c r="B18" s="20" t="s">
        <v>45</v>
      </c>
    </row>
    <row r="19" spans="1:8" x14ac:dyDescent="0.2">
      <c r="A19" t="s">
        <v>134</v>
      </c>
      <c r="B19">
        <f>INDEX('vehicles specifications'!$B$3:$CW$166,MATCH(B6,'vehicles specifications'!$A$3:$A$166,0),MATCH("Energy battery mass [kg]",'vehicles specifications'!$B$2:$CW$2,0))</f>
        <v>12.999999999999998</v>
      </c>
    </row>
    <row r="20" spans="1:8" x14ac:dyDescent="0.2">
      <c r="A20" t="s">
        <v>135</v>
      </c>
      <c r="B20">
        <f>INDEX('vehicles specifications'!$B$3:$CW$166,MATCH(B6,'vehicles specifications'!$A$3:$A$166,0),MATCH("Electric energy stored [kWh]",'vehicles specifications'!$B$2:$CW$2,0))</f>
        <v>2.2999999999999998</v>
      </c>
    </row>
    <row r="21" spans="1:8" x14ac:dyDescent="0.2">
      <c r="A21" t="s">
        <v>588</v>
      </c>
      <c r="B21">
        <f>INDEX('vehicles specifications'!$B$3:$CW$166,MATCH(B6,'vehicles specifications'!$A$3:$A$166,0),MATCH("Electric energy available [kWh]",'vehicles specifications'!$B$2:$CW$2,0))</f>
        <v>1.8399999999999999</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49.641735985533444</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&lt;4kW, NCA battery, 2020</v>
      </c>
      <c r="B33">
        <v>1</v>
      </c>
      <c r="C33" t="str">
        <f>B2</f>
        <v>CH</v>
      </c>
      <c r="D33" t="str">
        <f>B9</f>
        <v>unit</v>
      </c>
      <c r="F33" t="s">
        <v>84</v>
      </c>
      <c r="G33" t="s">
        <v>85</v>
      </c>
      <c r="H33" t="str">
        <f>B3</f>
        <v>Scooter, electric, &lt;4kW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73</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8</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760</v>
      </c>
      <c r="B37" s="3">
        <f>INDEX('vehicles specifications'!$B$3:$CW$166,MATCH(B6,'vehicles specifications'!$A$3:$A$166,0),MATCH(G37,'vehicles specifications'!$B$2:$CW$2,0))*INDEX('ei names mapping'!$B$137:$BL$300,MATCH(B6,'ei names mapping'!$A$137:$A$300,0),MATCH(G37,'ei names mapping'!$B$136:$BL$136,0))</f>
        <v>19.999999999999996</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5.9999999999999991</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73</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13</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3">
        <f>INDEX('vehicles specifications'!$B$3:$CW$166,MATCH(B6,'vehicles specifications'!$A$3:$A$166,0),MATCH(G42,'vehicles specifications'!$B$2:$CW$2,0))*INDEX('ei names mapping'!$B$137:$BL$300,MATCH(B6,'ei names mapping'!$A$137:$A$300,0),MATCH(G42,'ei names mapping'!$B$136:$BL$136,0))</f>
        <v>-25.999999999999996</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99</v>
      </c>
      <c r="C43" t="s">
        <v>92</v>
      </c>
      <c r="D43" t="s">
        <v>233</v>
      </c>
      <c r="F43" t="s">
        <v>89</v>
      </c>
      <c r="H43" s="13" t="s">
        <v>841</v>
      </c>
    </row>
    <row r="44" spans="1:8" x14ac:dyDescent="0.2">
      <c r="A44" s="13" t="s">
        <v>441</v>
      </c>
      <c r="B44" s="2">
        <f>(B16/1000)*B28</f>
        <v>1574.1000000000001</v>
      </c>
      <c r="C44" t="s">
        <v>95</v>
      </c>
      <c r="D44" t="s">
        <v>233</v>
      </c>
      <c r="F44" t="s">
        <v>89</v>
      </c>
      <c r="H44" s="13" t="s">
        <v>441</v>
      </c>
    </row>
    <row r="45" spans="1:8" x14ac:dyDescent="0.2">
      <c r="B45" s="11"/>
    </row>
    <row r="46" spans="1:8" ht="16" x14ac:dyDescent="0.2">
      <c r="A46" s="10" t="s">
        <v>71</v>
      </c>
      <c r="B46" s="8" t="str">
        <f>B48&amp;", "&amp;B63&amp;" battery, "&amp;B50</f>
        <v>Scooter, electric, &lt;4kW, NCA battery, 2030</v>
      </c>
    </row>
    <row r="47" spans="1:8" x14ac:dyDescent="0.2">
      <c r="A47" t="s">
        <v>72</v>
      </c>
      <c r="B47" t="s">
        <v>37</v>
      </c>
    </row>
    <row r="48" spans="1:8" x14ac:dyDescent="0.2">
      <c r="A48" t="s">
        <v>86</v>
      </c>
      <c r="B48" t="s">
        <v>608</v>
      </c>
    </row>
    <row r="49" spans="1:2" x14ac:dyDescent="0.2">
      <c r="A49" t="s">
        <v>87</v>
      </c>
    </row>
    <row r="50" spans="1:2" x14ac:dyDescent="0.2">
      <c r="A50" t="s">
        <v>88</v>
      </c>
      <c r="B50">
        <v>2030</v>
      </c>
    </row>
    <row r="51" spans="1:2" x14ac:dyDescent="0.2">
      <c r="A51" t="s">
        <v>126</v>
      </c>
      <c r="B51" t="str">
        <f>B48&amp;" - "&amp;B50&amp;" - "&amp;B63&amp;" - "&amp;B47</f>
        <v>Scooter, electric, &lt;4kW - 2030 - NCA - CH</v>
      </c>
    </row>
    <row r="52" spans="1:2" x14ac:dyDescent="0.2">
      <c r="A52" t="s">
        <v>73</v>
      </c>
      <c r="B52" t="str">
        <f>B48</f>
        <v>Scooter, electric, &lt;4kW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1570</v>
      </c>
    </row>
    <row r="61" spans="1:2" x14ac:dyDescent="0.2">
      <c r="A61" t="s">
        <v>132</v>
      </c>
      <c r="B61" s="2">
        <f>INDEX('vehicles specifications'!$B$3:$CW$166,MATCH(B51,'vehicles specifications'!$A$3:$A$166,0),MATCH("Curb mass [kg]",'vehicles specifications'!$B$2:$CW$2,0))</f>
        <v>101.14333333333335</v>
      </c>
    </row>
    <row r="62" spans="1:2" x14ac:dyDescent="0.2">
      <c r="A62" t="s">
        <v>133</v>
      </c>
      <c r="B62">
        <f>INDEX('vehicles specifications'!$B$3:$CW$166,MATCH(B51,'vehicles specifications'!$A$3:$A$166,0),MATCH("Power [kW]",'vehicles specifications'!$B$2:$CW$2,0))</f>
        <v>2.6</v>
      </c>
    </row>
    <row r="63" spans="1:2" x14ac:dyDescent="0.2">
      <c r="A63" t="s">
        <v>652</v>
      </c>
      <c r="B63" s="20" t="s">
        <v>45</v>
      </c>
    </row>
    <row r="64" spans="1:2" x14ac:dyDescent="0.2">
      <c r="A64" t="s">
        <v>134</v>
      </c>
      <c r="B64">
        <f>INDEX('vehicles specifications'!$B$3:$CW$166,MATCH(B51,'vehicles specifications'!$A$3:$A$166,0),MATCH("Energy battery mass [kg]",'vehicles specifications'!$B$2:$CW$2,0))</f>
        <v>17.333333333333336</v>
      </c>
    </row>
    <row r="65" spans="1:8" x14ac:dyDescent="0.2">
      <c r="A65" t="s">
        <v>135</v>
      </c>
      <c r="B65">
        <f>INDEX('vehicles specifications'!$B$3:$CW$166,MATCH(B51,'vehicles specifications'!$A$3:$A$166,0),MATCH("Electric energy stored [kWh]",'vehicles specifications'!$B$2:$CW$2,0))</f>
        <v>4</v>
      </c>
    </row>
    <row r="66" spans="1:8" x14ac:dyDescent="0.2">
      <c r="A66" t="s">
        <v>588</v>
      </c>
      <c r="B66">
        <f>INDEX('vehicles specifications'!$B$3:$CW$166,MATCH(B51,'vehicles specifications'!$A$3:$A$166,0),MATCH("Electric energy available [kWh]",'vehicles specifications'!$B$2:$CW$2,0))</f>
        <v>3.2</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86.333453887884261</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&lt;4kW, NCA battery, 2030</v>
      </c>
      <c r="B78">
        <v>1</v>
      </c>
      <c r="C78" t="str">
        <f>B47</f>
        <v>CH</v>
      </c>
      <c r="D78" t="str">
        <f>B54</f>
        <v>unit</v>
      </c>
      <c r="F78" t="s">
        <v>84</v>
      </c>
      <c r="G78" t="s">
        <v>85</v>
      </c>
      <c r="H78" t="str">
        <f>B48</f>
        <v>Scooter, electric, &lt;4kW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73</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2.52</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5</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8</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760</v>
      </c>
      <c r="B83" s="11">
        <f>INDEX('vehicles specifications'!$B$3:$CW$166,MATCH(B51,'vehicles specifications'!$A$3:$A$166,0),MATCH(G83,'vehicles specifications'!$B$2:$CW$2,0))*INDEX('ei names mapping'!$B$137:$BL$300,MATCH(B51,'ei names mapping'!$A$137:$A$300,0),MATCH(G83,'ei names mapping'!$B$136:$BL$136,0))</f>
        <v>20</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6</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70.81</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13</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-26.000000000000004</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101.14333333333335</v>
      </c>
      <c r="C89" t="s">
        <v>92</v>
      </c>
      <c r="D89" t="s">
        <v>233</v>
      </c>
      <c r="F89" t="s">
        <v>89</v>
      </c>
      <c r="H89" s="13" t="s">
        <v>841</v>
      </c>
    </row>
    <row r="90" spans="1:8" x14ac:dyDescent="0.2">
      <c r="A90" s="13" t="s">
        <v>441</v>
      </c>
      <c r="B90" s="2">
        <f>(B61/1000)*B73</f>
        <v>1608.1790000000003</v>
      </c>
      <c r="C90" t="s">
        <v>95</v>
      </c>
      <c r="D90" t="s">
        <v>233</v>
      </c>
      <c r="F90" t="s">
        <v>89</v>
      </c>
      <c r="H90" s="13" t="s">
        <v>441</v>
      </c>
    </row>
    <row r="92" spans="1:8" ht="16" x14ac:dyDescent="0.2">
      <c r="A92" s="10" t="s">
        <v>71</v>
      </c>
      <c r="B92" s="8" t="str">
        <f>B94&amp;", "&amp;B109&amp;" battery, "&amp;B96</f>
        <v>Scooter, electric, &lt;4kW, NCA battery, 2040</v>
      </c>
    </row>
    <row r="93" spans="1:8" x14ac:dyDescent="0.2">
      <c r="A93" t="s">
        <v>72</v>
      </c>
      <c r="B93" t="s">
        <v>37</v>
      </c>
    </row>
    <row r="94" spans="1:8" x14ac:dyDescent="0.2">
      <c r="A94" t="s">
        <v>86</v>
      </c>
      <c r="B94" t="s">
        <v>608</v>
      </c>
    </row>
    <row r="95" spans="1:8" x14ac:dyDescent="0.2">
      <c r="A95" t="s">
        <v>87</v>
      </c>
    </row>
    <row r="96" spans="1:8" x14ac:dyDescent="0.2">
      <c r="A96" t="s">
        <v>88</v>
      </c>
      <c r="B96">
        <v>2040</v>
      </c>
    </row>
    <row r="97" spans="1:2" x14ac:dyDescent="0.2">
      <c r="A97" t="s">
        <v>126</v>
      </c>
      <c r="B97" t="str">
        <f>B94&amp;" - "&amp;B96&amp;" - "&amp;B109&amp;" - "&amp;B93</f>
        <v>Scooter, electric, &lt;4kW - 2040 - NCA - CH</v>
      </c>
    </row>
    <row r="98" spans="1:2" x14ac:dyDescent="0.2">
      <c r="A98" t="s">
        <v>73</v>
      </c>
      <c r="B98" t="str">
        <f>B94</f>
        <v>Scooter, electric, &lt;4kW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1570</v>
      </c>
    </row>
    <row r="107" spans="1:2" x14ac:dyDescent="0.2">
      <c r="A107" t="s">
        <v>132</v>
      </c>
      <c r="B107" s="2">
        <f>INDEX('vehicles specifications'!$B$3:$CW$166,MATCH(B97,'vehicles specifications'!$A$3:$A$166,0),MATCH("Curb mass [kg]",'vehicles specifications'!$B$2:$CW$2,0))</f>
        <v>101.19999999999999</v>
      </c>
    </row>
    <row r="108" spans="1:2" x14ac:dyDescent="0.2">
      <c r="A108" t="s">
        <v>133</v>
      </c>
      <c r="B108">
        <f>INDEX('vehicles specifications'!$B$3:$CW$166,MATCH(B97,'vehicles specifications'!$A$3:$A$166,0),MATCH("Power [kW]",'vehicles specifications'!$B$2:$CW$2,0))</f>
        <v>2.6</v>
      </c>
    </row>
    <row r="109" spans="1:2" x14ac:dyDescent="0.2">
      <c r="A109" t="s">
        <v>652</v>
      </c>
      <c r="B109" s="20" t="s">
        <v>45</v>
      </c>
    </row>
    <row r="110" spans="1:2" x14ac:dyDescent="0.2">
      <c r="A110" t="s">
        <v>134</v>
      </c>
      <c r="B110">
        <f>INDEX('vehicles specifications'!$B$3:$CW$166,MATCH(B97,'vehicles specifications'!$A$3:$A$166,0),MATCH("Energy battery mass [kg]",'vehicles specifications'!$B$2:$CW$2,0))</f>
        <v>18.849999999999998</v>
      </c>
    </row>
    <row r="111" spans="1:2" x14ac:dyDescent="0.2">
      <c r="A111" t="s">
        <v>135</v>
      </c>
      <c r="B111">
        <f>INDEX('vehicles specifications'!$B$3:$CW$166,MATCH(B97,'vehicles specifications'!$A$3:$A$166,0),MATCH("Electric energy stored [kWh]",'vehicles specifications'!$B$2:$CW$2,0))</f>
        <v>5.8</v>
      </c>
    </row>
    <row r="112" spans="1:2" x14ac:dyDescent="0.2">
      <c r="A112" t="s">
        <v>588</v>
      </c>
      <c r="B112">
        <f>INDEX('vehicles specifications'!$B$3:$CW$166,MATCH(B97,'vehicles specifications'!$A$3:$A$166,0),MATCH("Electric energy available [kWh]",'vehicles specifications'!$B$2:$CW$2,0))</f>
        <v>4.6399999999999997</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125.18350813743217</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&lt;4kW, NCA battery, 2040</v>
      </c>
      <c r="B124">
        <v>1</v>
      </c>
      <c r="C124" t="str">
        <f>B93</f>
        <v>CH</v>
      </c>
      <c r="D124" t="str">
        <f>B100</f>
        <v>unit</v>
      </c>
      <c r="F124" t="s">
        <v>84</v>
      </c>
      <c r="G124" t="s">
        <v>85</v>
      </c>
      <c r="H124" t="str">
        <f>B94</f>
        <v>Scooter, electric, &lt;4kW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73</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4.2</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5</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8</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760</v>
      </c>
      <c r="B129" s="11">
        <f>INDEX('vehicles specifications'!$B$3:$CW$166,MATCH(B97,'vehicles specifications'!$A$3:$A$166,0),MATCH(G129,'vehicles specifications'!$B$2:$CW$2,0))*INDEX('ei names mapping'!$B$137:$BL$300,MATCH(B97,'ei names mapping'!$A$137:$A$300,0),MATCH(G129,'ei names mapping'!$B$136:$BL$136,0))</f>
        <v>18.124999999999996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5.4375</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69.349999999999994</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13</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-23.562499999999996</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101.19999999999999</v>
      </c>
      <c r="C135" t="s">
        <v>92</v>
      </c>
      <c r="D135" t="s">
        <v>233</v>
      </c>
      <c r="F135" t="s">
        <v>89</v>
      </c>
      <c r="H135" s="13" t="s">
        <v>841</v>
      </c>
    </row>
    <row r="136" spans="1:8" x14ac:dyDescent="0.2">
      <c r="A136" s="13" t="s">
        <v>441</v>
      </c>
      <c r="B136" s="2">
        <f>(B107/1000)*B119</f>
        <v>1609.0799999999997</v>
      </c>
      <c r="C136" t="s">
        <v>95</v>
      </c>
      <c r="D136" t="s">
        <v>233</v>
      </c>
      <c r="F136" t="s">
        <v>89</v>
      </c>
      <c r="H136" s="13" t="s">
        <v>441</v>
      </c>
    </row>
    <row r="138" spans="1:8" ht="16" x14ac:dyDescent="0.2">
      <c r="A138" s="10" t="s">
        <v>71</v>
      </c>
      <c r="B138" s="8" t="str">
        <f>B140&amp;", "&amp;B155&amp;" battery, "&amp;B142</f>
        <v>Scooter, electric, &lt;4kW, NCA battery, 2050</v>
      </c>
    </row>
    <row r="139" spans="1:8" x14ac:dyDescent="0.2">
      <c r="A139" t="s">
        <v>72</v>
      </c>
      <c r="B139" t="s">
        <v>37</v>
      </c>
    </row>
    <row r="140" spans="1:8" x14ac:dyDescent="0.2">
      <c r="A140" t="s">
        <v>86</v>
      </c>
      <c r="B140" t="s">
        <v>608</v>
      </c>
    </row>
    <row r="141" spans="1:8" x14ac:dyDescent="0.2">
      <c r="A141" t="s">
        <v>87</v>
      </c>
    </row>
    <row r="142" spans="1:8" x14ac:dyDescent="0.2">
      <c r="A142" t="s">
        <v>88</v>
      </c>
      <c r="B142">
        <v>2050</v>
      </c>
    </row>
    <row r="143" spans="1:8" x14ac:dyDescent="0.2">
      <c r="A143" t="s">
        <v>126</v>
      </c>
      <c r="B143" t="str">
        <f>B140&amp;" - "&amp;B142&amp;" - "&amp;B155&amp;" - "&amp;B139</f>
        <v>Scooter, electric, &lt;4kW - 2050 - NCA - CH</v>
      </c>
    </row>
    <row r="144" spans="1:8" x14ac:dyDescent="0.2">
      <c r="A144" t="s">
        <v>73</v>
      </c>
      <c r="B144" t="str">
        <f>B140</f>
        <v>Scooter, electric, &lt;4kW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1570</v>
      </c>
    </row>
    <row r="153" spans="1:2" x14ac:dyDescent="0.2">
      <c r="A153" t="s">
        <v>132</v>
      </c>
      <c r="B153" s="2">
        <f>INDEX('vehicles specifications'!$B$3:$CW$166,MATCH(B143,'vehicles specifications'!$A$3:$A$166,0),MATCH("Curb mass [kg]",'vehicles specifications'!$B$2:$CW$2,0))</f>
        <v>101.69</v>
      </c>
    </row>
    <row r="154" spans="1:2" x14ac:dyDescent="0.2">
      <c r="A154" t="s">
        <v>133</v>
      </c>
      <c r="B154">
        <f>INDEX('vehicles specifications'!$B$3:$CW$166,MATCH(B143,'vehicles specifications'!$A$3:$A$166,0),MATCH("Power [kW]",'vehicles specifications'!$B$2:$CW$2,0))</f>
        <v>2.6</v>
      </c>
    </row>
    <row r="155" spans="1:2" x14ac:dyDescent="0.2">
      <c r="A155" t="s">
        <v>652</v>
      </c>
      <c r="B155" s="20" t="s">
        <v>45</v>
      </c>
    </row>
    <row r="156" spans="1:2" x14ac:dyDescent="0.2">
      <c r="A156" t="s">
        <v>134</v>
      </c>
      <c r="B156">
        <f>INDEX('vehicles specifications'!$B$3:$CW$166,MATCH(B143,'vehicles specifications'!$A$3:$A$166,0),MATCH("Energy battery mass [kg]",'vehicles specifications'!$B$2:$CW$2,0))</f>
        <v>20.8</v>
      </c>
    </row>
    <row r="157" spans="1:2" x14ac:dyDescent="0.2">
      <c r="A157" t="s">
        <v>135</v>
      </c>
      <c r="B157">
        <f>INDEX('vehicles specifications'!$B$3:$CW$166,MATCH(B143,'vehicles specifications'!$A$3:$A$166,0),MATCH("Electric energy stored [kWh]",'vehicles specifications'!$B$2:$CW$2,0))</f>
        <v>8</v>
      </c>
    </row>
    <row r="158" spans="1:2" x14ac:dyDescent="0.2">
      <c r="A158" t="s">
        <v>588</v>
      </c>
      <c r="B158">
        <f>INDEX('vehicles specifications'!$B$3:$CW$166,MATCH(B143,'vehicles specifications'!$A$3:$A$166,0),MATCH("Electric energy available [kWh]",'vehicles specifications'!$B$2:$CW$2,0))</f>
        <v>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172.66690777576852</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&lt;4kW, NCA battery, 2050</v>
      </c>
      <c r="B170">
        <v>1</v>
      </c>
      <c r="C170" t="str">
        <f>B139</f>
        <v>CH</v>
      </c>
      <c r="D170" t="str">
        <f>B146</f>
        <v>unit</v>
      </c>
      <c r="F170" t="s">
        <v>84</v>
      </c>
      <c r="G170" t="s">
        <v>85</v>
      </c>
      <c r="H170" t="str">
        <f>B140</f>
        <v>Scooter, electric, &lt;4kW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73</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5.8800000000000008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5</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8</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760</v>
      </c>
      <c r="B175" s="11">
        <f>INDEX('vehicles specifications'!$B$3:$CW$166,MATCH(B143,'vehicles specifications'!$A$3:$A$166,0),MATCH(G175,'vehicles specifications'!$B$2:$CW$2,0))*INDEX('ei names mapping'!$B$137:$BL$300,MATCH(B143,'ei names mapping'!$A$137:$A$300,0),MATCH(G175,'ei names mapping'!$B$136:$BL$136,0))</f>
        <v>16</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4.8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67.89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13</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-20.8</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101.69</v>
      </c>
      <c r="C181" t="s">
        <v>92</v>
      </c>
      <c r="D181" t="s">
        <v>233</v>
      </c>
      <c r="F181" t="s">
        <v>89</v>
      </c>
      <c r="H181" s="13" t="s">
        <v>841</v>
      </c>
    </row>
    <row r="182" spans="1:8" x14ac:dyDescent="0.2">
      <c r="A182" s="13" t="s">
        <v>441</v>
      </c>
      <c r="B182" s="2">
        <f>(B153/1000)*B165</f>
        <v>1616.8710000000001</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&lt;4kW, NCA battery, 2020</v>
      </c>
    </row>
    <row r="185" spans="1:8" x14ac:dyDescent="0.2">
      <c r="A185" t="s">
        <v>72</v>
      </c>
      <c r="B185" t="s">
        <v>37</v>
      </c>
    </row>
    <row r="186" spans="1:8" x14ac:dyDescent="0.2">
      <c r="A186" t="s">
        <v>86</v>
      </c>
      <c r="B186" t="s">
        <v>608</v>
      </c>
    </row>
    <row r="187" spans="1:8" x14ac:dyDescent="0.2">
      <c r="A187" t="s">
        <v>87</v>
      </c>
    </row>
    <row r="188" spans="1:8" x14ac:dyDescent="0.2">
      <c r="A188" t="s">
        <v>88</v>
      </c>
      <c r="B188">
        <v>2020</v>
      </c>
    </row>
    <row r="189" spans="1:8" x14ac:dyDescent="0.2">
      <c r="A189" t="s">
        <v>126</v>
      </c>
      <c r="B189" t="str">
        <f>B186&amp;" - "&amp;B188&amp;" - "&amp;B201&amp;" - "&amp;B185</f>
        <v>Scooter, electric, &lt;4kW - 2020 - NCA - CH</v>
      </c>
    </row>
    <row r="190" spans="1:8" x14ac:dyDescent="0.2">
      <c r="A190" t="s">
        <v>73</v>
      </c>
      <c r="B190" t="str">
        <f>"transport, "&amp;B186</f>
        <v>transport, Scooter, electric, &lt;4kW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1570</v>
      </c>
    </row>
    <row r="199" spans="1:2" x14ac:dyDescent="0.2">
      <c r="A199" t="s">
        <v>132</v>
      </c>
      <c r="B199" s="2">
        <f>INDEX('vehicles specifications'!$B$3:$CW$166,MATCH(B189,'vehicles specifications'!$A$3:$A$166,0),MATCH("Curb mass [kg]",'vehicles specifications'!$B$2:$CW$2,0))</f>
        <v>99</v>
      </c>
    </row>
    <row r="200" spans="1:2" x14ac:dyDescent="0.2">
      <c r="A200" t="s">
        <v>133</v>
      </c>
      <c r="B200">
        <f>INDEX('vehicles specifications'!$B$3:$CW$166,MATCH(B189,'vehicles specifications'!$A$3:$A$166,0),MATCH("Power [kW]",'vehicles specifications'!$B$2:$CW$2,0))</f>
        <v>2.6</v>
      </c>
    </row>
    <row r="201" spans="1:2" x14ac:dyDescent="0.2">
      <c r="A201" t="s">
        <v>652</v>
      </c>
      <c r="B201" s="20" t="s">
        <v>45</v>
      </c>
    </row>
    <row r="202" spans="1:2" x14ac:dyDescent="0.2">
      <c r="A202" t="s">
        <v>134</v>
      </c>
      <c r="B202">
        <f>INDEX('vehicles specifications'!$B$3:$CW$166,MATCH(B189,'vehicles specifications'!$A$3:$A$166,0),MATCH("Energy battery mass [kg]",'vehicles specifications'!$B$2:$CW$2,0))</f>
        <v>12.999999999999998</v>
      </c>
    </row>
    <row r="203" spans="1:2" x14ac:dyDescent="0.2">
      <c r="A203" t="s">
        <v>135</v>
      </c>
      <c r="B203">
        <f>INDEX('vehicles specifications'!$B$3:$CW$166,MATCH(B189,'vehicles specifications'!$A$3:$A$166,0),MATCH("Electric energy stored [kWh]",'vehicles specifications'!$B$2:$CW$2,0))</f>
        <v>2.2999999999999998</v>
      </c>
    </row>
    <row r="204" spans="1:2" x14ac:dyDescent="0.2">
      <c r="A204" t="s">
        <v>588</v>
      </c>
      <c r="B204">
        <f>INDEX('vehicles specifications'!$B$3:$CW$166,MATCH(B189,'vehicles specifications'!$A$3:$A$166,0),MATCH("Electric energy available [kWh]",'vehicles specifications'!$B$2:$CW$2,0))</f>
        <v>1.8399999999999999</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49.641735985533444</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2.6 kW. Lifetime: 25000 km. Annual kilometers: 1570 km. Number of passengers: 1. Curb mass: 99 kg. Lightweighting of glider: 0%. Emission standard: None. Service visits throughout lifetime: 1. Range: 50 km. Battery capacity: 2.3 kWh. Available battery capacity: 1.84 kWh. Battery mass: 13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&lt;4kW, NCA battery, 2020</v>
      </c>
      <c r="B213">
        <v>1</v>
      </c>
      <c r="C213" t="str">
        <f>B185</f>
        <v>CH</v>
      </c>
      <c r="D213" t="s">
        <v>166</v>
      </c>
      <c r="F213" t="s">
        <v>84</v>
      </c>
      <c r="G213" t="s">
        <v>85</v>
      </c>
      <c r="H213" t="str">
        <f>B190</f>
        <v>transport, Scooter, electric, &lt;4kW</v>
      </c>
    </row>
    <row r="214" spans="1:8" x14ac:dyDescent="0.2">
      <c r="A214" t="str">
        <f>RIGHT(A213,LEN(A213)-11)</f>
        <v>Scooter, electric, &lt;4kW, NCA battery, 2020</v>
      </c>
      <c r="B214" s="7">
        <f>1/B194</f>
        <v>4.0000000000000003E-5</v>
      </c>
      <c r="C214" t="str">
        <f>B185</f>
        <v>CH</v>
      </c>
      <c r="D214" t="s">
        <v>76</v>
      </c>
      <c r="F214" t="s">
        <v>89</v>
      </c>
      <c r="H214" t="str">
        <f>RIGHT(H213,LEN(H213)-11)</f>
        <v>Scooter, electric, &lt;4kW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9.5586000000000003E-5</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4.0772143838600498E-2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-6.6427354043393994E-6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-5.3310187549390202E-6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-3.7437265641026168E-6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&lt;4kW, NCA battery, 2030</v>
      </c>
    </row>
    <row r="224" spans="1:8" x14ac:dyDescent="0.2">
      <c r="A224" t="s">
        <v>72</v>
      </c>
      <c r="B224" t="s">
        <v>37</v>
      </c>
    </row>
    <row r="225" spans="1:2" x14ac:dyDescent="0.2">
      <c r="A225" t="s">
        <v>86</v>
      </c>
      <c r="B225" t="s">
        <v>608</v>
      </c>
    </row>
    <row r="226" spans="1:2" x14ac:dyDescent="0.2">
      <c r="A226" t="s">
        <v>87</v>
      </c>
    </row>
    <row r="227" spans="1:2" x14ac:dyDescent="0.2">
      <c r="A227" t="s">
        <v>88</v>
      </c>
      <c r="B227">
        <v>2030</v>
      </c>
    </row>
    <row r="228" spans="1:2" x14ac:dyDescent="0.2">
      <c r="A228" t="s">
        <v>126</v>
      </c>
      <c r="B228" t="str">
        <f>B225&amp;" - "&amp;B227&amp;" - "&amp;B240&amp;" - "&amp;B224</f>
        <v>Scooter, electric, &lt;4kW - 2030 - NCA - CH</v>
      </c>
    </row>
    <row r="229" spans="1:2" x14ac:dyDescent="0.2">
      <c r="A229" t="s">
        <v>73</v>
      </c>
      <c r="B229" t="str">
        <f>"transport, "&amp;B225</f>
        <v>transport, Scooter, electric, &lt;4kW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1570</v>
      </c>
    </row>
    <row r="238" spans="1:2" x14ac:dyDescent="0.2">
      <c r="A238" t="s">
        <v>132</v>
      </c>
      <c r="B238" s="2">
        <f>INDEX('vehicles specifications'!$B$3:$CW$166,MATCH(B228,'vehicles specifications'!$A$3:$A$166,0),MATCH("Curb mass [kg]",'vehicles specifications'!$B$2:$CW$2,0))</f>
        <v>101.14333333333335</v>
      </c>
    </row>
    <row r="239" spans="1:2" x14ac:dyDescent="0.2">
      <c r="A239" t="s">
        <v>133</v>
      </c>
      <c r="B239">
        <f>INDEX('vehicles specifications'!$B$3:$CW$166,MATCH(B228,'vehicles specifications'!$A$3:$A$166,0),MATCH("Power [kW]",'vehicles specifications'!$B$2:$CW$2,0))</f>
        <v>2.6</v>
      </c>
    </row>
    <row r="240" spans="1:2" x14ac:dyDescent="0.2">
      <c r="A240" t="s">
        <v>652</v>
      </c>
      <c r="B240" s="20" t="s">
        <v>45</v>
      </c>
    </row>
    <row r="241" spans="1:8" x14ac:dyDescent="0.2">
      <c r="A241" t="s">
        <v>134</v>
      </c>
      <c r="B241">
        <f>INDEX('vehicles specifications'!$B$3:$CW$166,MATCH(B228,'vehicles specifications'!$A$3:$A$166,0),MATCH("Energy battery mass [kg]",'vehicles specifications'!$B$2:$CW$2,0))</f>
        <v>17.333333333333336</v>
      </c>
    </row>
    <row r="242" spans="1:8" x14ac:dyDescent="0.2">
      <c r="A242" t="s">
        <v>135</v>
      </c>
      <c r="B242">
        <f>INDEX('vehicles specifications'!$B$3:$CW$166,MATCH(B228,'vehicles specifications'!$A$3:$A$166,0),MATCH("Electric energy stored [kWh]",'vehicles specifications'!$B$2:$CW$2,0))</f>
        <v>4</v>
      </c>
    </row>
    <row r="243" spans="1:8" x14ac:dyDescent="0.2">
      <c r="A243" t="s">
        <v>588</v>
      </c>
      <c r="B243">
        <f>INDEX('vehicles specifications'!$B$3:$CW$166,MATCH(B228,'vehicles specifications'!$A$3:$A$166,0),MATCH("Electric energy available [kWh]",'vehicles specifications'!$B$2:$CW$2,0))</f>
        <v>3.2</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86.333453887884261</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2.6 kW. Lifetime: 25000 km. Annual kilometers: 1570 km. Number of passengers: 1. Curb mass: 101.1 kg. Lightweighting of glider: 3%. Emission standard: None. Service visits throughout lifetime: 1. Range: 86 km. Battery capacity: 4 kWh. Available battery capacity: 3.2 kWh. Battery mass: 17.3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&lt;4kW, NCA battery, 2030</v>
      </c>
      <c r="B252">
        <v>1</v>
      </c>
      <c r="C252" t="str">
        <f>B224</f>
        <v>CH</v>
      </c>
      <c r="D252" t="s">
        <v>166</v>
      </c>
      <c r="F252" t="s">
        <v>84</v>
      </c>
      <c r="G252" t="s">
        <v>85</v>
      </c>
      <c r="H252" t="str">
        <f>B229</f>
        <v>transport, Scooter, electric, &lt;4kW</v>
      </c>
    </row>
    <row r="253" spans="1:8" x14ac:dyDescent="0.2">
      <c r="A253" t="str">
        <f>RIGHT(A252,LEN(A252)-11)</f>
        <v>Scooter, electric, &lt;4kW, NCA battery, 2030</v>
      </c>
      <c r="B253" s="7">
        <f>1/B233</f>
        <v>4.0000000000000003E-5</v>
      </c>
      <c r="C253" t="str">
        <f>B224</f>
        <v>CH</v>
      </c>
      <c r="D253" t="s">
        <v>76</v>
      </c>
      <c r="F253" t="s">
        <v>89</v>
      </c>
      <c r="H253" t="str">
        <f>RIGHT(H252,LEN(H252)-11)</f>
        <v>Scooter, electric, &lt;4kW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9.6736970000000004E-5</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4.0772143838600498E-2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4.0000000000000003E-5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-6.7059566799777275E-6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-5.3666314835027254E-6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-3.7732619309166969E-6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&lt;4kW, NCA battery, 2040</v>
      </c>
    </row>
    <row r="263" spans="1:8" x14ac:dyDescent="0.2">
      <c r="A263" t="s">
        <v>72</v>
      </c>
      <c r="B263" t="s">
        <v>37</v>
      </c>
    </row>
    <row r="264" spans="1:8" x14ac:dyDescent="0.2">
      <c r="A264" t="s">
        <v>86</v>
      </c>
      <c r="B264" t="s">
        <v>608</v>
      </c>
    </row>
    <row r="265" spans="1:8" x14ac:dyDescent="0.2">
      <c r="A265" t="s">
        <v>87</v>
      </c>
    </row>
    <row r="266" spans="1:8" x14ac:dyDescent="0.2">
      <c r="A266" t="s">
        <v>88</v>
      </c>
      <c r="B266">
        <v>2040</v>
      </c>
    </row>
    <row r="267" spans="1:8" x14ac:dyDescent="0.2">
      <c r="A267" t="s">
        <v>126</v>
      </c>
      <c r="B267" t="str">
        <f>B264&amp;" - "&amp;B266&amp;" - "&amp;B279&amp;" - "&amp;B263</f>
        <v>Scooter, electric, &lt;4kW - 2040 - NCA - CH</v>
      </c>
    </row>
    <row r="268" spans="1:8" x14ac:dyDescent="0.2">
      <c r="A268" t="s">
        <v>73</v>
      </c>
      <c r="B268" t="str">
        <f>"transport, "&amp;B264</f>
        <v>transport, Scooter, electric, &lt;4kW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1570</v>
      </c>
    </row>
    <row r="277" spans="1:2" x14ac:dyDescent="0.2">
      <c r="A277" t="s">
        <v>132</v>
      </c>
      <c r="B277" s="2">
        <f>INDEX('vehicles specifications'!$B$3:$CW$166,MATCH(B267,'vehicles specifications'!$A$3:$A$166,0),MATCH("Curb mass [kg]",'vehicles specifications'!$B$2:$CW$2,0))</f>
        <v>101.19999999999999</v>
      </c>
    </row>
    <row r="278" spans="1:2" x14ac:dyDescent="0.2">
      <c r="A278" t="s">
        <v>133</v>
      </c>
      <c r="B278">
        <f>INDEX('vehicles specifications'!$B$3:$CW$166,MATCH(B267,'vehicles specifications'!$A$3:$A$166,0),MATCH("Power [kW]",'vehicles specifications'!$B$2:$CW$2,0))</f>
        <v>2.6</v>
      </c>
    </row>
    <row r="279" spans="1:2" x14ac:dyDescent="0.2">
      <c r="A279" t="s">
        <v>652</v>
      </c>
      <c r="B279" s="20" t="s">
        <v>45</v>
      </c>
    </row>
    <row r="280" spans="1:2" x14ac:dyDescent="0.2">
      <c r="A280" t="s">
        <v>134</v>
      </c>
      <c r="B280">
        <f>INDEX('vehicles specifications'!$B$3:$CW$166,MATCH(B267,'vehicles specifications'!$A$3:$A$166,0),MATCH("Energy battery mass [kg]",'vehicles specifications'!$B$2:$CW$2,0))</f>
        <v>18.849999999999998</v>
      </c>
    </row>
    <row r="281" spans="1:2" x14ac:dyDescent="0.2">
      <c r="A281" t="s">
        <v>135</v>
      </c>
      <c r="B281">
        <f>INDEX('vehicles specifications'!$B$3:$CW$166,MATCH(B267,'vehicles specifications'!$A$3:$A$166,0),MATCH("Electric energy stored [kWh]",'vehicles specifications'!$B$2:$CW$2,0))</f>
        <v>5.8</v>
      </c>
    </row>
    <row r="282" spans="1:2" x14ac:dyDescent="0.2">
      <c r="A282" t="s">
        <v>588</v>
      </c>
      <c r="B282">
        <f>INDEX('vehicles specifications'!$B$3:$CW$166,MATCH(B267,'vehicles specifications'!$A$3:$A$166,0),MATCH("Electric energy available [kWh]",'vehicles specifications'!$B$2:$CW$2,0))</f>
        <v>4.6399999999999997</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125.18350813743217</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2.6 kW. Lifetime: 25000 km. Annual kilometers: 1570 km. Number of passengers: 1. Curb mass: 101.2 kg. Lightweighting of glider: 5%. Emission standard: None. Service visits throughout lifetime: 1. Range: 125 km. Battery capacity: 5.8 kWh. Available battery capacity: 4.64 kWh. Battery mass: 18.9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&lt;4kW, NCA battery, 2040</v>
      </c>
      <c r="B291">
        <v>1</v>
      </c>
      <c r="C291" t="str">
        <f>B263</f>
        <v>CH</v>
      </c>
      <c r="D291" t="s">
        <v>166</v>
      </c>
      <c r="F291" t="s">
        <v>84</v>
      </c>
      <c r="G291" t="s">
        <v>85</v>
      </c>
      <c r="H291" t="str">
        <f>B268</f>
        <v>transport, Scooter, electric, &lt;4kW</v>
      </c>
    </row>
    <row r="292" spans="1:8" x14ac:dyDescent="0.2">
      <c r="A292" t="str">
        <f>RIGHT(A291,LEN(A291)-11)</f>
        <v>Scooter, electric, &lt;4kW, NCA battery, 2040</v>
      </c>
      <c r="B292" s="7">
        <f>1/B272</f>
        <v>4.0000000000000003E-5</v>
      </c>
      <c r="C292" t="str">
        <f>B263</f>
        <v>CH</v>
      </c>
      <c r="D292" t="s">
        <v>76</v>
      </c>
      <c r="F292" t="s">
        <v>89</v>
      </c>
      <c r="H292" t="str">
        <f>RIGHT(H291,LEN(H291)-11)</f>
        <v>Scooter, electric, &lt;4kW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9.6767399999999991E-5</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4.0772143838600498E-2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4.0000000000000003E-5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-6.7076262137343895E-6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-5.3675685087870323E-6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-3.7740401891516924E-6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&lt;4kW, NCA battery, 2050</v>
      </c>
    </row>
    <row r="302" spans="1:8" x14ac:dyDescent="0.2">
      <c r="A302" t="s">
        <v>72</v>
      </c>
      <c r="B302" t="s">
        <v>37</v>
      </c>
    </row>
    <row r="303" spans="1:8" x14ac:dyDescent="0.2">
      <c r="A303" t="s">
        <v>86</v>
      </c>
      <c r="B303" t="s">
        <v>608</v>
      </c>
    </row>
    <row r="304" spans="1:8" x14ac:dyDescent="0.2">
      <c r="A304" t="s">
        <v>87</v>
      </c>
    </row>
    <row r="305" spans="1:2" x14ac:dyDescent="0.2">
      <c r="A305" t="s">
        <v>88</v>
      </c>
      <c r="B305">
        <v>2050</v>
      </c>
    </row>
    <row r="306" spans="1:2" x14ac:dyDescent="0.2">
      <c r="A306" t="s">
        <v>126</v>
      </c>
      <c r="B306" t="str">
        <f>B303&amp;" - "&amp;B305&amp;" - "&amp;B318&amp;" - "&amp;B302</f>
        <v>Scooter, electric, &lt;4kW - 2050 - NCA - CH</v>
      </c>
    </row>
    <row r="307" spans="1:2" x14ac:dyDescent="0.2">
      <c r="A307" t="s">
        <v>73</v>
      </c>
      <c r="B307" t="str">
        <f>"transport, "&amp;B303</f>
        <v>transport, Scooter, electric, &lt;4kW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1570</v>
      </c>
    </row>
    <row r="316" spans="1:2" x14ac:dyDescent="0.2">
      <c r="A316" t="s">
        <v>132</v>
      </c>
      <c r="B316" s="2">
        <f>INDEX('vehicles specifications'!$B$3:$CW$166,MATCH(B306,'vehicles specifications'!$A$3:$A$166,0),MATCH("Curb mass [kg]",'vehicles specifications'!$B$2:$CW$2,0))</f>
        <v>101.69</v>
      </c>
    </row>
    <row r="317" spans="1:2" x14ac:dyDescent="0.2">
      <c r="A317" t="s">
        <v>133</v>
      </c>
      <c r="B317">
        <f>INDEX('vehicles specifications'!$B$3:$CW$166,MATCH(B306,'vehicles specifications'!$A$3:$A$166,0),MATCH("Power [kW]",'vehicles specifications'!$B$2:$CW$2,0))</f>
        <v>2.6</v>
      </c>
    </row>
    <row r="318" spans="1:2" x14ac:dyDescent="0.2">
      <c r="A318" t="s">
        <v>652</v>
      </c>
      <c r="B318" s="20" t="s">
        <v>45</v>
      </c>
    </row>
    <row r="319" spans="1:2" x14ac:dyDescent="0.2">
      <c r="A319" t="s">
        <v>134</v>
      </c>
      <c r="B319">
        <f>INDEX('vehicles specifications'!$B$3:$CW$166,MATCH(B306,'vehicles specifications'!$A$3:$A$166,0),MATCH("Energy battery mass [kg]",'vehicles specifications'!$B$2:$CW$2,0))</f>
        <v>20.8</v>
      </c>
    </row>
    <row r="320" spans="1:2" x14ac:dyDescent="0.2">
      <c r="A320" t="s">
        <v>135</v>
      </c>
      <c r="B320">
        <f>INDEX('vehicles specifications'!$B$3:$CW$166,MATCH(B306,'vehicles specifications'!$A$3:$A$166,0),MATCH("Electric energy stored [kWh]",'vehicles specifications'!$B$2:$CW$2,0))</f>
        <v>8</v>
      </c>
    </row>
    <row r="321" spans="1:8" x14ac:dyDescent="0.2">
      <c r="A321" t="s">
        <v>588</v>
      </c>
      <c r="B321">
        <f>INDEX('vehicles specifications'!$B$3:$CW$166,MATCH(B306,'vehicles specifications'!$A$3:$A$166,0),MATCH("Electric energy available [kWh]",'vehicles specifications'!$B$2:$CW$2,0))</f>
        <v>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172.66690777576852</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2.6 kW. Lifetime: 25000 km. Annual kilometers: 1570 km. Number of passengers: 1. Curb mass: 101.7 kg. Lightweighting of glider: 7%. Emission standard: None. Service visits throughout lifetime: 1. Range: 173 km. Battery capacity: 8 kWh. Available battery capacity: 6.4 kWh. Battery mass: 20.8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&lt;4kW, NCA battery, 2050</v>
      </c>
      <c r="B330">
        <v>1</v>
      </c>
      <c r="C330" t="str">
        <f>B302</f>
        <v>CH</v>
      </c>
      <c r="D330" t="s">
        <v>166</v>
      </c>
      <c r="F330" t="s">
        <v>84</v>
      </c>
      <c r="G330" t="s">
        <v>85</v>
      </c>
      <c r="H330" t="str">
        <f>B307</f>
        <v>transport, Scooter, electric, &lt;4kW</v>
      </c>
    </row>
    <row r="331" spans="1:8" x14ac:dyDescent="0.2">
      <c r="A331" t="str">
        <f>RIGHT(A330,LEN(A330)-11)</f>
        <v>Scooter, electric, &lt;4kW, NCA battery, 2050</v>
      </c>
      <c r="B331" s="7">
        <f>1/B311</f>
        <v>4.0000000000000003E-5</v>
      </c>
      <c r="C331" t="str">
        <f>B302</f>
        <v>CH</v>
      </c>
      <c r="D331" t="s">
        <v>76</v>
      </c>
      <c r="F331" t="s">
        <v>89</v>
      </c>
      <c r="H331" t="str">
        <f>RIGHT(H330,LEN(H330)-11)</f>
        <v>Scooter, electric, &lt;4kW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9.7030529999999994E-5</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4.0772143838600498E-2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4.0000000000000003E-5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-6.7220586146877895E-6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-5.3756614136129848E-6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-3.7807642711566629E-6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338"/>
  <sheetViews>
    <sheetView topLeftCell="A319" zoomScale="85" zoomScaleNormal="85" workbookViewId="0">
      <selection activeCell="A344" sqref="A344"/>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4-11kW, NMC battery, 2020</v>
      </c>
    </row>
    <row r="2" spans="1:2" x14ac:dyDescent="0.2">
      <c r="A2" t="s">
        <v>72</v>
      </c>
      <c r="B2" t="s">
        <v>37</v>
      </c>
    </row>
    <row r="3" spans="1:2" x14ac:dyDescent="0.2">
      <c r="A3" t="s">
        <v>86</v>
      </c>
      <c r="B3" t="s">
        <v>569</v>
      </c>
    </row>
    <row r="4" spans="1:2" x14ac:dyDescent="0.2">
      <c r="A4" t="s">
        <v>87</v>
      </c>
    </row>
    <row r="5" spans="1:2" x14ac:dyDescent="0.2">
      <c r="A5" t="s">
        <v>88</v>
      </c>
      <c r="B5">
        <v>2020</v>
      </c>
    </row>
    <row r="6" spans="1:2" x14ac:dyDescent="0.2">
      <c r="A6" t="s">
        <v>126</v>
      </c>
      <c r="B6" t="str">
        <f>B3&amp;" - "&amp;B5&amp;" - "&amp;B18&amp;" - "&amp;B2</f>
        <v>Scooter, electric, 4-11kW - 2020 - NMC - CH</v>
      </c>
    </row>
    <row r="7" spans="1:2" x14ac:dyDescent="0.2">
      <c r="A7" t="s">
        <v>73</v>
      </c>
      <c r="B7" t="str">
        <f>B3</f>
        <v>Scooter,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131.44999999999999</v>
      </c>
    </row>
    <row r="17" spans="1:8" x14ac:dyDescent="0.2">
      <c r="A17" t="s">
        <v>133</v>
      </c>
      <c r="B17">
        <f>INDEX('vehicles specifications'!$B$3:$CW$166,MATCH(B6,'vehicles specifications'!$A$3:$A$166,0),MATCH("Power [kW]",'vehicles specifications'!$B$2:$CW$2,0))</f>
        <v>6.1</v>
      </c>
    </row>
    <row r="18" spans="1:8" x14ac:dyDescent="0.2">
      <c r="A18" t="s">
        <v>652</v>
      </c>
      <c r="B18" s="20" t="s">
        <v>43</v>
      </c>
    </row>
    <row r="19" spans="1:8" x14ac:dyDescent="0.2">
      <c r="A19" t="s">
        <v>134</v>
      </c>
      <c r="B19">
        <f>INDEX('vehicles specifications'!$B$3:$CW$166,MATCH(B6,'vehicles specifications'!$A$3:$A$166,0),MATCH("Energy battery mass [kg]",'vehicles specifications'!$B$2:$CW$2,0))</f>
        <v>21.449999999999996</v>
      </c>
    </row>
    <row r="20" spans="1:8" x14ac:dyDescent="0.2">
      <c r="A20" t="s">
        <v>135</v>
      </c>
      <c r="B20">
        <f>INDEX('vehicles specifications'!$B$3:$CW$166,MATCH(B6,'vehicles specifications'!$A$3:$A$166,0),MATCH("Electric energy stored [kWh]",'vehicles specifications'!$B$2:$CW$2,0))</f>
        <v>3.3</v>
      </c>
    </row>
    <row r="21" spans="1:8" x14ac:dyDescent="0.2">
      <c r="A21" t="s">
        <v>588</v>
      </c>
      <c r="B21">
        <f>INDEX('vehicles specifications'!$B$3:$CW$166,MATCH(B6,'vehicles specifications'!$A$3:$A$166,0),MATCH("Electric energy available [kWh]",'vehicles specifications'!$B$2:$CW$2,0))</f>
        <v>2.64</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50.175550663414057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4-11kW, NMC battery, 2020</v>
      </c>
      <c r="B33">
        <v>1</v>
      </c>
      <c r="C33" t="str">
        <f>B2</f>
        <v>CH</v>
      </c>
      <c r="D33" t="str">
        <f>B9</f>
        <v>unit</v>
      </c>
      <c r="F33" t="s">
        <v>84</v>
      </c>
      <c r="G33" t="s">
        <v>85</v>
      </c>
      <c r="H33" t="str">
        <f>B3</f>
        <v>Scooter,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84</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10</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16</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tr">
        <f>INDEX('ei names mapping'!$B$4:$R$33,MATCH(B3,'ei names mapping'!$A$4:$A$33,0),MATCH(G37,'ei names mapping'!$B$3:$R$3,0))</f>
        <v>Battery cell, NMC-622</v>
      </c>
      <c r="B37" s="3">
        <f>INDEX('vehicles specifications'!$B$3:$CW$166,MATCH(B6,'vehicles specifications'!$A$3:$A$166,0),MATCH(G37,'vehicles specifications'!$B$2:$CW$2,0))*INDEX('ei names mapping'!$B$137:$BL$300,MATCH(B6,'ei names mapping'!$A$137:$A$300,0),MATCH(G37,'ei names mapping'!$B$136:$BL$136,0))</f>
        <v>32.999999999999993</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9.8999999999999968</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84</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26</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11">
        <f>INDEX('vehicles specifications'!$B$3:$CW$166,MATCH(B6,'vehicles specifications'!$A$3:$A$166,0),MATCH(G42,'vehicles specifications'!$B$2:$CW$2,0))*INDEX('ei names mapping'!$B$137:$BL$300,MATCH(B6,'ei names mapping'!$A$137:$A$300,0),MATCH(G42,'ei names mapping'!$B$136:$BL$136,0))</f>
        <v>-42.899999999999991</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131.44999999999999</v>
      </c>
      <c r="C43" t="s">
        <v>92</v>
      </c>
      <c r="D43" t="s">
        <v>233</v>
      </c>
      <c r="F43" t="s">
        <v>89</v>
      </c>
      <c r="H43" s="13" t="s">
        <v>841</v>
      </c>
    </row>
    <row r="44" spans="1:8" x14ac:dyDescent="0.2">
      <c r="A44" s="13" t="s">
        <v>441</v>
      </c>
      <c r="B44" s="2">
        <f>(B16/1000)*B28</f>
        <v>2090.0549999999998</v>
      </c>
      <c r="C44" t="s">
        <v>95</v>
      </c>
      <c r="D44" t="s">
        <v>233</v>
      </c>
      <c r="F44" t="s">
        <v>89</v>
      </c>
      <c r="H44" s="13" t="s">
        <v>441</v>
      </c>
    </row>
    <row r="45" spans="1:8" x14ac:dyDescent="0.2">
      <c r="B45" s="11"/>
    </row>
    <row r="46" spans="1:8" ht="16" x14ac:dyDescent="0.2">
      <c r="A46" s="10" t="s">
        <v>71</v>
      </c>
      <c r="B46" s="8" t="str">
        <f>B48&amp;", "&amp;B63&amp;" battery, "&amp;B50</f>
        <v>Scooter, electric, 4-11kW, NMC battery, 2030</v>
      </c>
    </row>
    <row r="47" spans="1:8" x14ac:dyDescent="0.2">
      <c r="A47" t="s">
        <v>72</v>
      </c>
      <c r="B47" t="s">
        <v>37</v>
      </c>
    </row>
    <row r="48" spans="1:8" x14ac:dyDescent="0.2">
      <c r="A48" t="s">
        <v>86</v>
      </c>
      <c r="B48" t="s">
        <v>569</v>
      </c>
    </row>
    <row r="49" spans="1:2" x14ac:dyDescent="0.2">
      <c r="A49" t="s">
        <v>87</v>
      </c>
    </row>
    <row r="50" spans="1:2" x14ac:dyDescent="0.2">
      <c r="A50" t="s">
        <v>88</v>
      </c>
      <c r="B50">
        <v>2030</v>
      </c>
    </row>
    <row r="51" spans="1:2" x14ac:dyDescent="0.2">
      <c r="A51" t="s">
        <v>126</v>
      </c>
      <c r="B51" t="str">
        <f>B48&amp;" - "&amp;B50&amp;" - "&amp;B63&amp;" - "&amp;B47</f>
        <v>Scooter, electric, 4-11kW - 2030 - NMC - CH</v>
      </c>
    </row>
    <row r="52" spans="1:2" x14ac:dyDescent="0.2">
      <c r="A52" t="s">
        <v>73</v>
      </c>
      <c r="B52" t="str">
        <f>B48</f>
        <v>Scooter,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25000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1570</v>
      </c>
    </row>
    <row r="61" spans="1:2" x14ac:dyDescent="0.2">
      <c r="A61" t="s">
        <v>132</v>
      </c>
      <c r="B61" s="2">
        <f>INDEX('vehicles specifications'!$B$3:$CW$166,MATCH(B51,'vehicles specifications'!$A$3:$A$166,0),MATCH("Curb mass [kg]",'vehicles specifications'!$B$2:$CW$2,0))</f>
        <v>132.18</v>
      </c>
    </row>
    <row r="62" spans="1:2" x14ac:dyDescent="0.2">
      <c r="A62" t="s">
        <v>133</v>
      </c>
      <c r="B62">
        <f>INDEX('vehicles specifications'!$B$3:$CW$166,MATCH(B51,'vehicles specifications'!$A$3:$A$166,0),MATCH("Power [kW]",'vehicles specifications'!$B$2:$CW$2,0))</f>
        <v>6.1</v>
      </c>
    </row>
    <row r="63" spans="1:2" x14ac:dyDescent="0.2">
      <c r="A63" t="s">
        <v>652</v>
      </c>
      <c r="B63" s="20" t="s">
        <v>43</v>
      </c>
    </row>
    <row r="64" spans="1:2" x14ac:dyDescent="0.2">
      <c r="A64" t="s">
        <v>134</v>
      </c>
      <c r="B64">
        <f>INDEX('vehicles specifications'!$B$3:$CW$166,MATCH(B51,'vehicles specifications'!$A$3:$A$166,0),MATCH("Energy battery mass [kg]",'vehicles specifications'!$B$2:$CW$2,0))</f>
        <v>24.7</v>
      </c>
    </row>
    <row r="65" spans="1:8" x14ac:dyDescent="0.2">
      <c r="A65" t="s">
        <v>135</v>
      </c>
      <c r="B65">
        <f>INDEX('vehicles specifications'!$B$3:$CW$166,MATCH(B51,'vehicles specifications'!$A$3:$A$166,0),MATCH("Electric energy stored [kWh]",'vehicles specifications'!$B$2:$CW$2,0))</f>
        <v>5.7</v>
      </c>
    </row>
    <row r="66" spans="1:8" x14ac:dyDescent="0.2">
      <c r="A66" t="s">
        <v>588</v>
      </c>
      <c r="B66">
        <f>INDEX('vehicles specifications'!$B$3:$CW$166,MATCH(B51,'vehicles specifications'!$A$3:$A$166,0),MATCH("Electric energy available [kWh]",'vehicles specifications'!$B$2:$CW$2,0))</f>
        <v>4.5600000000000005</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86.666860236806102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25000 km. Annual kilometers: 1570 km. Number of passengers: 1. Curb mass: 132.2 kg. Lightweighting of glider: 3%. Emission standard: None. Service visits throughout lifetime: 1. Range: 87 km. Battery capacity: 5.7 kWh. Available battery capacity: 4.56 kWh. Battery mass: 24.7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4-11kW, NMC battery, 2030</v>
      </c>
      <c r="B78">
        <v>1</v>
      </c>
      <c r="C78" t="str">
        <f>B47</f>
        <v>CH</v>
      </c>
      <c r="D78" t="str">
        <f>B54</f>
        <v>unit</v>
      </c>
      <c r="F78" t="s">
        <v>84</v>
      </c>
      <c r="G78" t="s">
        <v>85</v>
      </c>
      <c r="H78" t="str">
        <f>B48</f>
        <v>Scooter,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84</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2.52</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10</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16</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tr">
        <f>INDEX('ei names mapping'!$B$4:$R$33,MATCH(B48,'ei names mapping'!$A$4:$A$33,0),MATCH(G83,'ei names mapping'!$B$3:$R$3,0))</f>
        <v>Battery cell, NMC-622</v>
      </c>
      <c r="B83" s="11">
        <f>INDEX('vehicles specifications'!$B$3:$CW$166,MATCH(B51,'vehicles specifications'!$A$3:$A$166,0),MATCH(G83,'vehicles specifications'!$B$2:$CW$2,0))*INDEX('ei names mapping'!$B$137:$BL$300,MATCH(B51,'ei names mapping'!$A$137:$A$300,0),MATCH(G83,'ei names mapping'!$B$136:$BL$136,0))</f>
        <v>28.5</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8.5500000000000007</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81.48</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26</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-37.049999999999997</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132.18</v>
      </c>
      <c r="C89" t="s">
        <v>92</v>
      </c>
      <c r="D89" t="s">
        <v>233</v>
      </c>
      <c r="F89" t="s">
        <v>89</v>
      </c>
      <c r="H89" s="13" t="s">
        <v>841</v>
      </c>
    </row>
    <row r="90" spans="1:8" x14ac:dyDescent="0.2">
      <c r="A90" s="13" t="s">
        <v>441</v>
      </c>
      <c r="B90" s="2">
        <f>(B61/1000)*B73</f>
        <v>2101.6620000000003</v>
      </c>
      <c r="C90" t="s">
        <v>95</v>
      </c>
      <c r="D90" t="s">
        <v>233</v>
      </c>
      <c r="F90" t="s">
        <v>89</v>
      </c>
      <c r="H90" s="13" t="s">
        <v>441</v>
      </c>
    </row>
    <row r="92" spans="1:8" ht="16" x14ac:dyDescent="0.2">
      <c r="A92" s="10" t="s">
        <v>71</v>
      </c>
      <c r="B92" s="8" t="str">
        <f>B94&amp;", "&amp;B109&amp;" battery, "&amp;B96</f>
        <v>Scooter, electric, 4-11kW, NMC battery, 2040</v>
      </c>
    </row>
    <row r="93" spans="1:8" x14ac:dyDescent="0.2">
      <c r="A93" t="s">
        <v>72</v>
      </c>
      <c r="B93" t="s">
        <v>37</v>
      </c>
    </row>
    <row r="94" spans="1:8" x14ac:dyDescent="0.2">
      <c r="A94" t="s">
        <v>86</v>
      </c>
      <c r="B94" t="s">
        <v>569</v>
      </c>
    </row>
    <row r="95" spans="1:8" x14ac:dyDescent="0.2">
      <c r="A95" t="s">
        <v>87</v>
      </c>
    </row>
    <row r="96" spans="1:8" x14ac:dyDescent="0.2">
      <c r="A96" t="s">
        <v>88</v>
      </c>
      <c r="B96">
        <v>2040</v>
      </c>
    </row>
    <row r="97" spans="1:2" x14ac:dyDescent="0.2">
      <c r="A97" t="s">
        <v>126</v>
      </c>
      <c r="B97" t="str">
        <f>B94&amp;" - "&amp;B96&amp;" - "&amp;B109&amp;" - "&amp;B93</f>
        <v>Scooter, electric, 4-11kW - 2040 - NMC - CH</v>
      </c>
    </row>
    <row r="98" spans="1:2" x14ac:dyDescent="0.2">
      <c r="A98" t="s">
        <v>73</v>
      </c>
      <c r="B98" t="str">
        <f>B94</f>
        <v>Scooter,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25000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1570</v>
      </c>
    </row>
    <row r="107" spans="1:2" x14ac:dyDescent="0.2">
      <c r="A107" t="s">
        <v>132</v>
      </c>
      <c r="B107" s="2">
        <f>INDEX('vehicles specifications'!$B$3:$CW$166,MATCH(B97,'vehicles specifications'!$A$3:$A$166,0),MATCH("Curb mass [kg]",'vehicles specifications'!$B$2:$CW$2,0))</f>
        <v>132.44999999999999</v>
      </c>
    </row>
    <row r="108" spans="1:2" x14ac:dyDescent="0.2">
      <c r="A108" t="s">
        <v>133</v>
      </c>
      <c r="B108">
        <f>INDEX('vehicles specifications'!$B$3:$CW$166,MATCH(B97,'vehicles specifications'!$A$3:$A$166,0),MATCH("Power [kW]",'vehicles specifications'!$B$2:$CW$2,0))</f>
        <v>6.1</v>
      </c>
    </row>
    <row r="109" spans="1:2" x14ac:dyDescent="0.2">
      <c r="A109" t="s">
        <v>652</v>
      </c>
      <c r="B109" s="20" t="s">
        <v>43</v>
      </c>
    </row>
    <row r="110" spans="1:2" x14ac:dyDescent="0.2">
      <c r="A110" t="s">
        <v>134</v>
      </c>
      <c r="B110">
        <f>INDEX('vehicles specifications'!$B$3:$CW$166,MATCH(B97,'vehicles specifications'!$A$3:$A$166,0),MATCH("Energy battery mass [kg]",'vehicles specifications'!$B$2:$CW$2,0))</f>
        <v>26.649999999999995</v>
      </c>
    </row>
    <row r="111" spans="1:2" x14ac:dyDescent="0.2">
      <c r="A111" t="s">
        <v>135</v>
      </c>
      <c r="B111">
        <f>INDEX('vehicles specifications'!$B$3:$CW$166,MATCH(B97,'vehicles specifications'!$A$3:$A$166,0),MATCH("Electric energy stored [kWh]",'vehicles specifications'!$B$2:$CW$2,0))</f>
        <v>8.1999999999999993</v>
      </c>
    </row>
    <row r="112" spans="1:2" x14ac:dyDescent="0.2">
      <c r="A112" t="s">
        <v>588</v>
      </c>
      <c r="B112">
        <f>INDEX('vehicles specifications'!$B$3:$CW$166,MATCH(B97,'vehicles specifications'!$A$3:$A$166,0),MATCH("Electric energy available [kWh]",'vehicles specifications'!$B$2:$CW$2,0))</f>
        <v>6.56</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124.6786410424228</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25000 km. Annual kilometers: 1570 km. Number of passengers: 1. Curb mass: 132.5 kg. Lightweighting of glider: 5%. Emission standard: None. Service visits throughout lifetime: 1. Range: 125 km. Battery capacity: 8.2 kWh. Available battery capacity: 6.56 kWh. Battery mass: 26.7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4-11kW, NMC battery, 2040</v>
      </c>
      <c r="B124">
        <v>1</v>
      </c>
      <c r="C124" t="str">
        <f>B93</f>
        <v>CH</v>
      </c>
      <c r="D124" t="str">
        <f>B100</f>
        <v>unit</v>
      </c>
      <c r="F124" t="s">
        <v>84</v>
      </c>
      <c r="G124" t="s">
        <v>85</v>
      </c>
      <c r="H124" t="str">
        <f>B94</f>
        <v>Scooter,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84</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4.2</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10</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16</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tr">
        <f>INDEX('ei names mapping'!$B$4:$R$33,MATCH(B94,'ei names mapping'!$A$4:$A$33,0),MATCH(G129,'ei names mapping'!$B$3:$R$3,0))</f>
        <v>Battery cell, NMC-622</v>
      </c>
      <c r="B129" s="11">
        <f>INDEX('vehicles specifications'!$B$3:$CW$166,MATCH(B97,'vehicles specifications'!$A$3:$A$166,0),MATCH(G129,'vehicles specifications'!$B$2:$CW$2,0))*INDEX('ei names mapping'!$B$137:$BL$300,MATCH(B97,'ei names mapping'!$A$137:$A$300,0),MATCH(G129,'ei names mapping'!$B$136:$BL$136,0))</f>
        <v>25.624999999999996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7.6874999999999982</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79.8</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26</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-33.312499999999993</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132.44999999999999</v>
      </c>
      <c r="C135" t="s">
        <v>92</v>
      </c>
      <c r="D135" t="s">
        <v>233</v>
      </c>
      <c r="F135" t="s">
        <v>89</v>
      </c>
      <c r="H135" s="13" t="s">
        <v>841</v>
      </c>
    </row>
    <row r="136" spans="1:8" x14ac:dyDescent="0.2">
      <c r="A136" s="13" t="s">
        <v>441</v>
      </c>
      <c r="B136" s="2">
        <f>(B107/1000)*B119</f>
        <v>2105.9549999999999</v>
      </c>
      <c r="C136" t="s">
        <v>95</v>
      </c>
      <c r="D136" t="s">
        <v>233</v>
      </c>
      <c r="F136" t="s">
        <v>89</v>
      </c>
      <c r="H136" s="13" t="s">
        <v>441</v>
      </c>
    </row>
    <row r="138" spans="1:8" ht="16" x14ac:dyDescent="0.2">
      <c r="A138" s="10" t="s">
        <v>71</v>
      </c>
      <c r="B138" s="8" t="str">
        <f>B140&amp;", "&amp;B155&amp;" battery, "&amp;B142</f>
        <v>Scooter, electric, 4-11kW, NMC battery, 2050</v>
      </c>
    </row>
    <row r="139" spans="1:8" x14ac:dyDescent="0.2">
      <c r="A139" t="s">
        <v>72</v>
      </c>
      <c r="B139" t="s">
        <v>37</v>
      </c>
    </row>
    <row r="140" spans="1:8" x14ac:dyDescent="0.2">
      <c r="A140" t="s">
        <v>86</v>
      </c>
      <c r="B140" t="s">
        <v>569</v>
      </c>
    </row>
    <row r="141" spans="1:8" x14ac:dyDescent="0.2">
      <c r="A141" t="s">
        <v>87</v>
      </c>
    </row>
    <row r="142" spans="1:8" x14ac:dyDescent="0.2">
      <c r="A142" t="s">
        <v>88</v>
      </c>
      <c r="B142">
        <v>2050</v>
      </c>
    </row>
    <row r="143" spans="1:8" x14ac:dyDescent="0.2">
      <c r="A143" t="s">
        <v>126</v>
      </c>
      <c r="B143" t="str">
        <f>B140&amp;" - "&amp;B142&amp;" - "&amp;B155&amp;" - "&amp;B139</f>
        <v>Scooter, electric, 4-11kW - 2050 - NMC - CH</v>
      </c>
    </row>
    <row r="144" spans="1:8" x14ac:dyDescent="0.2">
      <c r="A144" t="s">
        <v>73</v>
      </c>
      <c r="B144" t="str">
        <f>B140</f>
        <v>Scooter,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25000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1570</v>
      </c>
    </row>
    <row r="153" spans="1:2" x14ac:dyDescent="0.2">
      <c r="A153" t="s">
        <v>132</v>
      </c>
      <c r="B153" s="2">
        <f>INDEX('vehicles specifications'!$B$3:$CW$166,MATCH(B143,'vehicles specifications'!$A$3:$A$166,0),MATCH("Curb mass [kg]",'vehicles specifications'!$B$2:$CW$2,0))</f>
        <v>132.19999999999999</v>
      </c>
    </row>
    <row r="154" spans="1:2" x14ac:dyDescent="0.2">
      <c r="A154" t="s">
        <v>133</v>
      </c>
      <c r="B154">
        <f>INDEX('vehicles specifications'!$B$3:$CW$166,MATCH(B143,'vehicles specifications'!$A$3:$A$166,0),MATCH("Power [kW]",'vehicles specifications'!$B$2:$CW$2,0))</f>
        <v>6.1</v>
      </c>
    </row>
    <row r="155" spans="1:2" x14ac:dyDescent="0.2">
      <c r="A155" t="s">
        <v>652</v>
      </c>
      <c r="B155" s="20" t="s">
        <v>43</v>
      </c>
    </row>
    <row r="156" spans="1:2" x14ac:dyDescent="0.2">
      <c r="A156" t="s">
        <v>134</v>
      </c>
      <c r="B156">
        <f>INDEX('vehicles specifications'!$B$3:$CW$166,MATCH(B143,'vehicles specifications'!$A$3:$A$166,0),MATCH("Energy battery mass [kg]",'vehicles specifications'!$B$2:$CW$2,0))</f>
        <v>28.080000000000002</v>
      </c>
    </row>
    <row r="157" spans="1:2" x14ac:dyDescent="0.2">
      <c r="A157" t="s">
        <v>135</v>
      </c>
      <c r="B157">
        <f>INDEX('vehicles specifications'!$B$3:$CW$166,MATCH(B143,'vehicles specifications'!$A$3:$A$166,0),MATCH("Electric energy stored [kWh]",'vehicles specifications'!$B$2:$CW$2,0))</f>
        <v>10.8</v>
      </c>
    </row>
    <row r="158" spans="1:2" x14ac:dyDescent="0.2">
      <c r="A158" t="s">
        <v>588</v>
      </c>
      <c r="B158">
        <f>INDEX('vehicles specifications'!$B$3:$CW$166,MATCH(B143,'vehicles specifications'!$A$3:$A$166,0),MATCH("Electric energy available [kWh]",'vehicles specifications'!$B$2:$CW$2,0))</f>
        <v>8.64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164.21089308026419</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25000 km. Annual kilometers: 1570 km. Number of passengers: 1. Curb mass: 132.2 kg. Lightweighting of glider: 7%. Emission standard: None. Service visits throughout lifetime: 1. Range: 164 km. Battery capacity: 10.8 kWh. Available battery capacity: 8.64 kWh. Battery mass: 28.1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4-11kW, NMC battery, 2050</v>
      </c>
      <c r="B170">
        <v>1</v>
      </c>
      <c r="C170" t="str">
        <f>B139</f>
        <v>CH</v>
      </c>
      <c r="D170" t="str">
        <f>B146</f>
        <v>unit</v>
      </c>
      <c r="F170" t="s">
        <v>84</v>
      </c>
      <c r="G170" t="s">
        <v>85</v>
      </c>
      <c r="H170" t="str">
        <f>B140</f>
        <v>Scooter,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84</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5.8800000000000008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10</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16</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tr">
        <f>INDEX('ei names mapping'!$B$4:$R$33,MATCH(B140,'ei names mapping'!$A$4:$A$33,0),MATCH(G175,'ei names mapping'!$B$3:$R$3,0))</f>
        <v>Battery cell, NMC-622</v>
      </c>
      <c r="B175" s="11">
        <f>INDEX('vehicles specifications'!$B$3:$CW$166,MATCH(B143,'vehicles specifications'!$A$3:$A$166,0),MATCH(G175,'vehicles specifications'!$B$2:$CW$2,0))*INDEX('ei names mapping'!$B$137:$BL$300,MATCH(B143,'ei names mapping'!$A$137:$A$300,0),MATCH(G175,'ei names mapping'!$B$136:$BL$136,0))</f>
        <v>21.6</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6.48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78.11999999999999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26</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-28.080000000000002</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132.19999999999999</v>
      </c>
      <c r="C181" t="s">
        <v>92</v>
      </c>
      <c r="D181" t="s">
        <v>233</v>
      </c>
      <c r="F181" t="s">
        <v>89</v>
      </c>
      <c r="H181" s="13" t="s">
        <v>841</v>
      </c>
    </row>
    <row r="182" spans="1:8" x14ac:dyDescent="0.2">
      <c r="A182" s="13" t="s">
        <v>441</v>
      </c>
      <c r="B182" s="2">
        <f>(B153/1000)*B165</f>
        <v>2101.9799999999996</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4-11kW, NMC battery, 2020</v>
      </c>
    </row>
    <row r="185" spans="1:8" x14ac:dyDescent="0.2">
      <c r="A185" t="s">
        <v>72</v>
      </c>
      <c r="B185" t="s">
        <v>37</v>
      </c>
    </row>
    <row r="186" spans="1:8" x14ac:dyDescent="0.2">
      <c r="A186" t="s">
        <v>86</v>
      </c>
      <c r="B186" t="s">
        <v>569</v>
      </c>
    </row>
    <row r="187" spans="1:8" x14ac:dyDescent="0.2">
      <c r="A187" t="s">
        <v>87</v>
      </c>
    </row>
    <row r="188" spans="1:8" x14ac:dyDescent="0.2">
      <c r="A188" t="s">
        <v>88</v>
      </c>
      <c r="B188">
        <v>2020</v>
      </c>
    </row>
    <row r="189" spans="1:8" x14ac:dyDescent="0.2">
      <c r="A189" t="s">
        <v>126</v>
      </c>
      <c r="B189" t="str">
        <f>B186&amp;" - "&amp;B188&amp;" - "&amp;B201&amp;" - "&amp;B185</f>
        <v>Scooter, electric, 4-11kW - 2020 - NMC - CH</v>
      </c>
    </row>
    <row r="190" spans="1:8" x14ac:dyDescent="0.2">
      <c r="A190" t="s">
        <v>73</v>
      </c>
      <c r="B190" t="str">
        <f>"transport, "&amp;B186</f>
        <v>transport, Scooter,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25000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1570</v>
      </c>
    </row>
    <row r="199" spans="1:2" x14ac:dyDescent="0.2">
      <c r="A199" t="s">
        <v>132</v>
      </c>
      <c r="B199" s="2">
        <f>INDEX('vehicles specifications'!$B$3:$CW$166,MATCH(B189,'vehicles specifications'!$A$3:$A$166,0),MATCH("Curb mass [kg]",'vehicles specifications'!$B$2:$CW$2,0))</f>
        <v>131.44999999999999</v>
      </c>
    </row>
    <row r="200" spans="1:2" x14ac:dyDescent="0.2">
      <c r="A200" t="s">
        <v>133</v>
      </c>
      <c r="B200">
        <f>INDEX('vehicles specifications'!$B$3:$CW$166,MATCH(B189,'vehicles specifications'!$A$3:$A$166,0),MATCH("Power [kW]",'vehicles specifications'!$B$2:$CW$2,0))</f>
        <v>6.1</v>
      </c>
    </row>
    <row r="201" spans="1:2" x14ac:dyDescent="0.2">
      <c r="A201" t="s">
        <v>652</v>
      </c>
      <c r="B201" s="20" t="s">
        <v>43</v>
      </c>
    </row>
    <row r="202" spans="1:2" x14ac:dyDescent="0.2">
      <c r="A202" t="s">
        <v>134</v>
      </c>
      <c r="B202">
        <f>INDEX('vehicles specifications'!$B$3:$CW$166,MATCH(B189,'vehicles specifications'!$A$3:$A$166,0),MATCH("Energy battery mass [kg]",'vehicles specifications'!$B$2:$CW$2,0))</f>
        <v>21.449999999999996</v>
      </c>
    </row>
    <row r="203" spans="1:2" x14ac:dyDescent="0.2">
      <c r="A203" t="s">
        <v>135</v>
      </c>
      <c r="B203">
        <f>INDEX('vehicles specifications'!$B$3:$CW$166,MATCH(B189,'vehicles specifications'!$A$3:$A$166,0),MATCH("Electric energy stored [kWh]",'vehicles specifications'!$B$2:$CW$2,0))</f>
        <v>3.3</v>
      </c>
    </row>
    <row r="204" spans="1:2" x14ac:dyDescent="0.2">
      <c r="A204" t="s">
        <v>588</v>
      </c>
      <c r="B204">
        <f>INDEX('vehicles specifications'!$B$3:$CW$166,MATCH(B189,'vehicles specifications'!$A$3:$A$166,0),MATCH("Electric energy available [kWh]",'vehicles specifications'!$B$2:$CW$2,0))</f>
        <v>2.64</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50.175550663414057</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4-11kW, NMC battery, 2020</v>
      </c>
      <c r="B213">
        <v>1</v>
      </c>
      <c r="C213" t="str">
        <f>B185</f>
        <v>CH</v>
      </c>
      <c r="D213" t="s">
        <v>166</v>
      </c>
      <c r="F213" t="s">
        <v>84</v>
      </c>
      <c r="G213" t="s">
        <v>85</v>
      </c>
      <c r="H213" t="str">
        <f>B190</f>
        <v>transport, Scooter, electric, 4-11kW</v>
      </c>
    </row>
    <row r="214" spans="1:8" x14ac:dyDescent="0.2">
      <c r="A214" t="str">
        <f>RIGHT(A213,LEN(A213)-11)</f>
        <v>Scooter, electric, 4-11kW, NMC battery, 2020</v>
      </c>
      <c r="B214" s="7">
        <f>1/B194</f>
        <v>4.0000000000000003E-5</v>
      </c>
      <c r="C214" t="str">
        <f>B185</f>
        <v>CH</v>
      </c>
      <c r="D214" t="s">
        <v>76</v>
      </c>
      <c r="F214" t="s">
        <v>89</v>
      </c>
      <c r="H214" t="str">
        <f>RIGHT(H213,LEN(H213)-11)</f>
        <v>Scooter,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1.1301165E-4</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5.7876793809010993E-2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-7.5855445843363987E-6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-5.8385207989719453E-6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-4.1722544100886321E-6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4-11kW, NMC battery, 2030</v>
      </c>
    </row>
    <row r="224" spans="1:8" x14ac:dyDescent="0.2">
      <c r="A224" t="s">
        <v>72</v>
      </c>
      <c r="B224" t="s">
        <v>37</v>
      </c>
    </row>
    <row r="225" spans="1:2" x14ac:dyDescent="0.2">
      <c r="A225" t="s">
        <v>86</v>
      </c>
      <c r="B225" t="s">
        <v>569</v>
      </c>
    </row>
    <row r="226" spans="1:2" x14ac:dyDescent="0.2">
      <c r="A226" t="s">
        <v>87</v>
      </c>
    </row>
    <row r="227" spans="1:2" x14ac:dyDescent="0.2">
      <c r="A227" t="s">
        <v>88</v>
      </c>
      <c r="B227">
        <v>2030</v>
      </c>
    </row>
    <row r="228" spans="1:2" x14ac:dyDescent="0.2">
      <c r="A228" t="s">
        <v>126</v>
      </c>
      <c r="B228" t="str">
        <f>B225&amp;" - "&amp;B227&amp;" - "&amp;B240&amp;" - "&amp;B224</f>
        <v>Scooter, electric, 4-11kW - 2030 - NMC - CH</v>
      </c>
    </row>
    <row r="229" spans="1:2" x14ac:dyDescent="0.2">
      <c r="A229" t="s">
        <v>73</v>
      </c>
      <c r="B229" t="str">
        <f>"transport, "&amp;B225</f>
        <v>transport, Scooter,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25000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1570</v>
      </c>
    </row>
    <row r="238" spans="1:2" x14ac:dyDescent="0.2">
      <c r="A238" t="s">
        <v>132</v>
      </c>
      <c r="B238" s="2">
        <f>INDEX('vehicles specifications'!$B$3:$CW$166,MATCH(B228,'vehicles specifications'!$A$3:$A$166,0),MATCH("Curb mass [kg]",'vehicles specifications'!$B$2:$CW$2,0))</f>
        <v>132.18</v>
      </c>
    </row>
    <row r="239" spans="1:2" x14ac:dyDescent="0.2">
      <c r="A239" t="s">
        <v>133</v>
      </c>
      <c r="B239">
        <f>INDEX('vehicles specifications'!$B$3:$CW$166,MATCH(B228,'vehicles specifications'!$A$3:$A$166,0),MATCH("Power [kW]",'vehicles specifications'!$B$2:$CW$2,0))</f>
        <v>6.1</v>
      </c>
    </row>
    <row r="240" spans="1:2" x14ac:dyDescent="0.2">
      <c r="A240" t="s">
        <v>652</v>
      </c>
      <c r="B240" s="20" t="s">
        <v>43</v>
      </c>
    </row>
    <row r="241" spans="1:8" x14ac:dyDescent="0.2">
      <c r="A241" t="s">
        <v>134</v>
      </c>
      <c r="B241">
        <f>INDEX('vehicles specifications'!$B$3:$CW$166,MATCH(B228,'vehicles specifications'!$A$3:$A$166,0),MATCH("Energy battery mass [kg]",'vehicles specifications'!$B$2:$CW$2,0))</f>
        <v>24.7</v>
      </c>
    </row>
    <row r="242" spans="1:8" x14ac:dyDescent="0.2">
      <c r="A242" t="s">
        <v>135</v>
      </c>
      <c r="B242">
        <f>INDEX('vehicles specifications'!$B$3:$CW$166,MATCH(B228,'vehicles specifications'!$A$3:$A$166,0),MATCH("Electric energy stored [kWh]",'vehicles specifications'!$B$2:$CW$2,0))</f>
        <v>5.7</v>
      </c>
    </row>
    <row r="243" spans="1:8" x14ac:dyDescent="0.2">
      <c r="A243" t="s">
        <v>588</v>
      </c>
      <c r="B243">
        <f>INDEX('vehicles specifications'!$B$3:$CW$166,MATCH(B228,'vehicles specifications'!$A$3:$A$166,0),MATCH("Electric energy available [kWh]",'vehicles specifications'!$B$2:$CW$2,0))</f>
        <v>4.5600000000000005</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86.666860236806102</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25000 km. Annual kilometers: 1570 km. Number of passengers: 1. Curb mass: 132.2 kg. Lightweighting of glider: 3%. Emission standard: None. Service visits throughout lifetime: 1.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4-11kW, NMC battery, 2030</v>
      </c>
      <c r="B252">
        <v>1</v>
      </c>
      <c r="C252" t="str">
        <f>B224</f>
        <v>CH</v>
      </c>
      <c r="D252" t="s">
        <v>166</v>
      </c>
      <c r="F252" t="s">
        <v>84</v>
      </c>
      <c r="G252" t="s">
        <v>85</v>
      </c>
      <c r="H252" t="str">
        <f>B229</f>
        <v>transport, Scooter, electric, 4-11kW</v>
      </c>
    </row>
    <row r="253" spans="1:8" x14ac:dyDescent="0.2">
      <c r="A253" t="str">
        <f>RIGHT(A252,LEN(A252)-11)</f>
        <v>Scooter, electric, 4-11kW, NMC battery, 2030</v>
      </c>
      <c r="B253" s="7">
        <f>1/B233</f>
        <v>4.0000000000000003E-5</v>
      </c>
      <c r="C253" t="str">
        <f>B224</f>
        <v>CH</v>
      </c>
      <c r="D253" t="s">
        <v>76</v>
      </c>
      <c r="F253" t="s">
        <v>89</v>
      </c>
      <c r="H253" t="str">
        <f>RIGHT(H252,LEN(H252)-11)</f>
        <v>Scooter, electric, 4-11kW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1.1340366E-4</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5.7876793809010993E-2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4.0000000000000003E-5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-7.6064234663980656E-6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-5.8492445161006275E-6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-4.1814794350148126E-6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4-11kW, NMC battery, 2040</v>
      </c>
    </row>
    <row r="263" spans="1:8" x14ac:dyDescent="0.2">
      <c r="A263" t="s">
        <v>72</v>
      </c>
      <c r="B263" t="s">
        <v>37</v>
      </c>
    </row>
    <row r="264" spans="1:8" x14ac:dyDescent="0.2">
      <c r="A264" t="s">
        <v>86</v>
      </c>
      <c r="B264" t="s">
        <v>569</v>
      </c>
    </row>
    <row r="265" spans="1:8" x14ac:dyDescent="0.2">
      <c r="A265" t="s">
        <v>87</v>
      </c>
    </row>
    <row r="266" spans="1:8" x14ac:dyDescent="0.2">
      <c r="A266" t="s">
        <v>88</v>
      </c>
      <c r="B266">
        <v>2040</v>
      </c>
    </row>
    <row r="267" spans="1:8" x14ac:dyDescent="0.2">
      <c r="A267" t="s">
        <v>126</v>
      </c>
      <c r="B267" t="str">
        <f>B264&amp;" - "&amp;B266&amp;" - "&amp;B279&amp;" - "&amp;B263</f>
        <v>Scooter, electric, 4-11kW - 2040 - NMC - CH</v>
      </c>
    </row>
    <row r="268" spans="1:8" x14ac:dyDescent="0.2">
      <c r="A268" t="s">
        <v>73</v>
      </c>
      <c r="B268" t="str">
        <f>"transport, "&amp;B264</f>
        <v>transport, Scooter,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25000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1570</v>
      </c>
    </row>
    <row r="277" spans="1:2" x14ac:dyDescent="0.2">
      <c r="A277" t="s">
        <v>132</v>
      </c>
      <c r="B277" s="2">
        <f>INDEX('vehicles specifications'!$B$3:$CW$166,MATCH(B267,'vehicles specifications'!$A$3:$A$166,0),MATCH("Curb mass [kg]",'vehicles specifications'!$B$2:$CW$2,0))</f>
        <v>132.44999999999999</v>
      </c>
    </row>
    <row r="278" spans="1:2" x14ac:dyDescent="0.2">
      <c r="A278" t="s">
        <v>133</v>
      </c>
      <c r="B278">
        <f>INDEX('vehicles specifications'!$B$3:$CW$166,MATCH(B267,'vehicles specifications'!$A$3:$A$166,0),MATCH("Power [kW]",'vehicles specifications'!$B$2:$CW$2,0))</f>
        <v>6.1</v>
      </c>
    </row>
    <row r="279" spans="1:2" x14ac:dyDescent="0.2">
      <c r="A279" t="s">
        <v>652</v>
      </c>
      <c r="B279" s="20" t="s">
        <v>43</v>
      </c>
    </row>
    <row r="280" spans="1:2" x14ac:dyDescent="0.2">
      <c r="A280" t="s">
        <v>134</v>
      </c>
      <c r="B280">
        <f>INDEX('vehicles specifications'!$B$3:$CW$166,MATCH(B267,'vehicles specifications'!$A$3:$A$166,0),MATCH("Energy battery mass [kg]",'vehicles specifications'!$B$2:$CW$2,0))</f>
        <v>26.649999999999995</v>
      </c>
    </row>
    <row r="281" spans="1:2" x14ac:dyDescent="0.2">
      <c r="A281" t="s">
        <v>135</v>
      </c>
      <c r="B281">
        <f>INDEX('vehicles specifications'!$B$3:$CW$166,MATCH(B267,'vehicles specifications'!$A$3:$A$166,0),MATCH("Electric energy stored [kWh]",'vehicles specifications'!$B$2:$CW$2,0))</f>
        <v>8.1999999999999993</v>
      </c>
    </row>
    <row r="282" spans="1:2" x14ac:dyDescent="0.2">
      <c r="A282" t="s">
        <v>588</v>
      </c>
      <c r="B282">
        <f>INDEX('vehicles specifications'!$B$3:$CW$166,MATCH(B267,'vehicles specifications'!$A$3:$A$166,0),MATCH("Electric energy available [kWh]",'vehicles specifications'!$B$2:$CW$2,0))</f>
        <v>6.56</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124.6786410424228</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25000 km. Annual kilometers: 1570 km. Number of passengers: 1. Curb mass: 132.5 kg. Lightweighting of glider: 5%. Emission standard: None. Service visits throughout lifetime: 1.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4-11kW, NMC battery, 2040</v>
      </c>
      <c r="B291">
        <v>1</v>
      </c>
      <c r="C291" t="str">
        <f>B263</f>
        <v>CH</v>
      </c>
      <c r="D291" t="s">
        <v>166</v>
      </c>
      <c r="F291" t="s">
        <v>84</v>
      </c>
      <c r="G291" t="s">
        <v>85</v>
      </c>
      <c r="H291" t="str">
        <f>B268</f>
        <v>transport, Scooter, electric, 4-11kW</v>
      </c>
    </row>
    <row r="292" spans="1:8" x14ac:dyDescent="0.2">
      <c r="A292" t="str">
        <f>RIGHT(A291,LEN(A291)-11)</f>
        <v>Scooter, electric, 4-11kW, NMC battery, 2040</v>
      </c>
      <c r="B292" s="7">
        <f>1/B272</f>
        <v>4.0000000000000003E-5</v>
      </c>
      <c r="C292" t="str">
        <f>B263</f>
        <v>CH</v>
      </c>
      <c r="D292" t="s">
        <v>76</v>
      </c>
      <c r="F292" t="s">
        <v>89</v>
      </c>
      <c r="H292" t="str">
        <f>RIGHT(H291,LEN(H291)-11)</f>
        <v>Scooter, electric, 4-11kW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1.1354865E-4</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5.7876793809010993E-2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4.0000000000000003E-5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-7.6141423582400934E-6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-5.8532039930709717E-6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-4.1848872618450126E-6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4-11kW, NMC battery, 2050</v>
      </c>
    </row>
    <row r="302" spans="1:8" x14ac:dyDescent="0.2">
      <c r="A302" t="s">
        <v>72</v>
      </c>
      <c r="B302" t="s">
        <v>37</v>
      </c>
    </row>
    <row r="303" spans="1:8" x14ac:dyDescent="0.2">
      <c r="A303" t="s">
        <v>86</v>
      </c>
      <c r="B303" t="s">
        <v>569</v>
      </c>
    </row>
    <row r="304" spans="1:8" x14ac:dyDescent="0.2">
      <c r="A304" t="s">
        <v>87</v>
      </c>
    </row>
    <row r="305" spans="1:2" x14ac:dyDescent="0.2">
      <c r="A305" t="s">
        <v>88</v>
      </c>
      <c r="B305">
        <v>2050</v>
      </c>
    </row>
    <row r="306" spans="1:2" x14ac:dyDescent="0.2">
      <c r="A306" t="s">
        <v>126</v>
      </c>
      <c r="B306" t="str">
        <f>B303&amp;" - "&amp;B305&amp;" - "&amp;B318&amp;" - "&amp;B302</f>
        <v>Scooter, electric, 4-11kW - 2050 - NMC - CH</v>
      </c>
    </row>
    <row r="307" spans="1:2" x14ac:dyDescent="0.2">
      <c r="A307" t="s">
        <v>73</v>
      </c>
      <c r="B307" t="str">
        <f>"transport, "&amp;B303</f>
        <v>transport, Scooter,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25000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1570</v>
      </c>
    </row>
    <row r="316" spans="1:2" x14ac:dyDescent="0.2">
      <c r="A316" t="s">
        <v>132</v>
      </c>
      <c r="B316" s="2">
        <f>INDEX('vehicles specifications'!$B$3:$CW$166,MATCH(B306,'vehicles specifications'!$A$3:$A$166,0),MATCH("Curb mass [kg]",'vehicles specifications'!$B$2:$CW$2,0))</f>
        <v>132.19999999999999</v>
      </c>
    </row>
    <row r="317" spans="1:2" x14ac:dyDescent="0.2">
      <c r="A317" t="s">
        <v>133</v>
      </c>
      <c r="B317">
        <f>INDEX('vehicles specifications'!$B$3:$CW$166,MATCH(B306,'vehicles specifications'!$A$3:$A$166,0),MATCH("Power [kW]",'vehicles specifications'!$B$2:$CW$2,0))</f>
        <v>6.1</v>
      </c>
    </row>
    <row r="318" spans="1:2" x14ac:dyDescent="0.2">
      <c r="A318" t="s">
        <v>652</v>
      </c>
      <c r="B318" s="20" t="s">
        <v>43</v>
      </c>
    </row>
    <row r="319" spans="1:2" x14ac:dyDescent="0.2">
      <c r="A319" t="s">
        <v>134</v>
      </c>
      <c r="B319">
        <f>INDEX('vehicles specifications'!$B$3:$CW$166,MATCH(B306,'vehicles specifications'!$A$3:$A$166,0),MATCH("Energy battery mass [kg]",'vehicles specifications'!$B$2:$CW$2,0))</f>
        <v>28.080000000000002</v>
      </c>
    </row>
    <row r="320" spans="1:2" x14ac:dyDescent="0.2">
      <c r="A320" t="s">
        <v>135</v>
      </c>
      <c r="B320">
        <f>INDEX('vehicles specifications'!$B$3:$CW$166,MATCH(B306,'vehicles specifications'!$A$3:$A$166,0),MATCH("Electric energy stored [kWh]",'vehicles specifications'!$B$2:$CW$2,0))</f>
        <v>10.8</v>
      </c>
    </row>
    <row r="321" spans="1:8" x14ac:dyDescent="0.2">
      <c r="A321" t="s">
        <v>588</v>
      </c>
      <c r="B321">
        <f>INDEX('vehicles specifications'!$B$3:$CW$166,MATCH(B306,'vehicles specifications'!$A$3:$A$166,0),MATCH("Electric energy available [kWh]",'vehicles specifications'!$B$2:$CW$2,0))</f>
        <v>8.64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164.21089308026419</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25000 km. Annual kilometers: 1570 km. Number of passengers: 1. Curb mass: 132.2 kg. Lightweighting of glider: 7%. Emission standard: None. Service visits throughout lifetime: 1.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4-11kW, NMC battery, 2050</v>
      </c>
      <c r="B330" s="7">
        <v>1</v>
      </c>
      <c r="C330" t="str">
        <f>B302</f>
        <v>CH</v>
      </c>
      <c r="D330" t="s">
        <v>166</v>
      </c>
      <c r="F330" t="s">
        <v>84</v>
      </c>
      <c r="G330" t="s">
        <v>85</v>
      </c>
      <c r="H330" t="str">
        <f>B307</f>
        <v>transport, Scooter, electric, 4-11kW</v>
      </c>
    </row>
    <row r="331" spans="1:8" x14ac:dyDescent="0.2">
      <c r="A331" t="str">
        <f>RIGHT(A330,LEN(A330)-11)</f>
        <v>Scooter, electric, 4-11kW, NMC battery, 2050</v>
      </c>
      <c r="B331" s="7">
        <f>1/B311</f>
        <v>4.0000000000000003E-5</v>
      </c>
      <c r="C331" t="str">
        <f>B302</f>
        <v>CH</v>
      </c>
      <c r="D331" t="s">
        <v>76</v>
      </c>
      <c r="F331" t="s">
        <v>89</v>
      </c>
      <c r="H331" t="str">
        <f>RIGHT(H330,LEN(H330)-11)</f>
        <v>Scooter, electric, 4-11kW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1.134144E-4</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5.7876793809010993E-2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4.0000000000000003E-5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-7.6069952996690376E-6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-5.8495379368429613E-6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-4.1817319436640074E-6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338"/>
  <sheetViews>
    <sheetView topLeftCell="A319" zoomScale="85" zoomScaleNormal="85" workbookViewId="0">
      <selection activeCell="B352" sqref="B352"/>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4-11kW, LFP battery, 2020</v>
      </c>
    </row>
    <row r="2" spans="1:2" x14ac:dyDescent="0.2">
      <c r="A2" t="s">
        <v>72</v>
      </c>
      <c r="B2" t="s">
        <v>37</v>
      </c>
    </row>
    <row r="3" spans="1:2" x14ac:dyDescent="0.2">
      <c r="A3" t="s">
        <v>86</v>
      </c>
      <c r="B3" t="s">
        <v>569</v>
      </c>
    </row>
    <row r="4" spans="1:2" x14ac:dyDescent="0.2">
      <c r="A4" t="s">
        <v>87</v>
      </c>
    </row>
    <row r="5" spans="1:2" x14ac:dyDescent="0.2">
      <c r="A5" t="s">
        <v>88</v>
      </c>
      <c r="B5">
        <v>2020</v>
      </c>
    </row>
    <row r="6" spans="1:2" x14ac:dyDescent="0.2">
      <c r="A6" t="s">
        <v>126</v>
      </c>
      <c r="B6" t="str">
        <f>B3&amp;" - "&amp;B5&amp;" - "&amp;B18&amp;" - "&amp;B2</f>
        <v>Scooter, electric, 4-11kW - 2020 - LFP - CH</v>
      </c>
    </row>
    <row r="7" spans="1:2" x14ac:dyDescent="0.2">
      <c r="A7" t="s">
        <v>73</v>
      </c>
      <c r="B7" t="str">
        <f>B3</f>
        <v>Scooter,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1870</v>
      </c>
    </row>
    <row r="16" spans="1:2" x14ac:dyDescent="0.2">
      <c r="A16" t="s">
        <v>132</v>
      </c>
      <c r="B16" s="2">
        <f>INDEX('vehicles specifications'!$B$3:$CW$166,MATCH(B6,'vehicles specifications'!$A$3:$A$166,0),MATCH("Curb mass [kg]",'vehicles specifications'!$B$2:$CW$2,0))</f>
        <v>136.4</v>
      </c>
    </row>
    <row r="17" spans="1:8" x14ac:dyDescent="0.2">
      <c r="A17" t="s">
        <v>133</v>
      </c>
      <c r="B17">
        <f>INDEX('vehicles specifications'!$B$3:$CW$166,MATCH(B6,'vehicles specifications'!$A$3:$A$166,0),MATCH("Power [kW]",'vehicles specifications'!$B$2:$CW$2,0))</f>
        <v>6.1</v>
      </c>
    </row>
    <row r="18" spans="1:8" x14ac:dyDescent="0.2">
      <c r="A18" t="s">
        <v>652</v>
      </c>
      <c r="B18" s="20" t="s">
        <v>44</v>
      </c>
    </row>
    <row r="19" spans="1:8" x14ac:dyDescent="0.2">
      <c r="A19" t="s">
        <v>134</v>
      </c>
      <c r="B19">
        <f>INDEX('vehicles specifications'!$B$3:$CW$166,MATCH(B6,'vehicles specifications'!$A$3:$A$166,0),MATCH("Energy battery mass [kg]",'vehicles specifications'!$B$2:$CW$2,0))</f>
        <v>26.4</v>
      </c>
    </row>
    <row r="20" spans="1:8" x14ac:dyDescent="0.2">
      <c r="A20" t="s">
        <v>135</v>
      </c>
      <c r="B20">
        <f>INDEX('vehicles specifications'!$B$3:$CW$166,MATCH(B6,'vehicles specifications'!$A$3:$A$166,0),MATCH("Electric energy stored [kWh]",'vehicles specifications'!$B$2:$CW$2,0))</f>
        <v>3.3</v>
      </c>
    </row>
    <row r="21" spans="1:8" x14ac:dyDescent="0.2">
      <c r="A21" t="s">
        <v>588</v>
      </c>
      <c r="B21">
        <f>INDEX('vehicles specifications'!$B$3:$CW$166,MATCH(B6,'vehicles specifications'!$A$3:$A$166,0),MATCH("Electric energy available [kWh]",'vehicles specifications'!$B$2:$CW$2,0))</f>
        <v>2.64</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50.175550663414057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4-11kW, LFP battery, 2020</v>
      </c>
      <c r="B33">
        <v>1</v>
      </c>
      <c r="C33" t="str">
        <f>B2</f>
        <v>CH</v>
      </c>
      <c r="D33" t="str">
        <f>B9</f>
        <v>unit</v>
      </c>
      <c r="F33" t="s">
        <v>84</v>
      </c>
      <c r="G33" t="s">
        <v>85</v>
      </c>
      <c r="H33" t="str">
        <f>B3</f>
        <v>Scooter,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84</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10</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16</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759</v>
      </c>
      <c r="B37" s="3">
        <f>INDEX('vehicles specifications'!$B$3:$CW$166,MATCH(B6,'vehicles specifications'!$A$3:$A$166,0),MATCH(G37,'vehicles specifications'!$B$2:$CW$2,0))*INDEX('ei names mapping'!$B$137:$BL$300,MATCH(B6,'ei names mapping'!$A$137:$A$300,0),MATCH(G37,'ei names mapping'!$B$136:$BL$136,0))</f>
        <v>44</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8.8000000000000007</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84</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26</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11">
        <f>INDEX('vehicles specifications'!$B$3:$CW$166,MATCH(B6,'vehicles specifications'!$A$3:$A$166,0),MATCH(G42,'vehicles specifications'!$B$2:$CW$2,0))*INDEX('ei names mapping'!$B$137:$BL$300,MATCH(B6,'ei names mapping'!$A$137:$A$300,0),MATCH(G42,'ei names mapping'!$B$136:$BL$136,0))</f>
        <v>-52.8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136.4</v>
      </c>
      <c r="C43" t="s">
        <v>92</v>
      </c>
      <c r="D43" t="s">
        <v>233</v>
      </c>
      <c r="F43" t="s">
        <v>89</v>
      </c>
      <c r="H43" s="13" t="s">
        <v>841</v>
      </c>
    </row>
    <row r="44" spans="1:8" x14ac:dyDescent="0.2">
      <c r="A44" s="13" t="s">
        <v>441</v>
      </c>
      <c r="B44" s="2">
        <f>(B16/1000)*B28</f>
        <v>2168.7599999999998</v>
      </c>
      <c r="C44" t="s">
        <v>95</v>
      </c>
      <c r="D44" t="s">
        <v>233</v>
      </c>
      <c r="F44" t="s">
        <v>89</v>
      </c>
      <c r="H44" s="13" t="s">
        <v>441</v>
      </c>
    </row>
    <row r="45" spans="1:8" x14ac:dyDescent="0.2">
      <c r="B45" s="11"/>
    </row>
    <row r="46" spans="1:8" ht="16" x14ac:dyDescent="0.2">
      <c r="A46" s="10" t="s">
        <v>71</v>
      </c>
      <c r="B46" s="8" t="str">
        <f>B48&amp;", "&amp;B63&amp;" battery, "&amp;B50</f>
        <v>Scooter, electric, 4-11kW, LFP battery, 2030</v>
      </c>
    </row>
    <row r="47" spans="1:8" x14ac:dyDescent="0.2">
      <c r="A47" t="s">
        <v>72</v>
      </c>
      <c r="B47" t="s">
        <v>37</v>
      </c>
    </row>
    <row r="48" spans="1:8" x14ac:dyDescent="0.2">
      <c r="A48" t="s">
        <v>86</v>
      </c>
      <c r="B48" t="s">
        <v>569</v>
      </c>
    </row>
    <row r="49" spans="1:2" x14ac:dyDescent="0.2">
      <c r="A49" t="s">
        <v>87</v>
      </c>
    </row>
    <row r="50" spans="1:2" x14ac:dyDescent="0.2">
      <c r="A50" t="s">
        <v>88</v>
      </c>
      <c r="B50">
        <v>2030</v>
      </c>
    </row>
    <row r="51" spans="1:2" x14ac:dyDescent="0.2">
      <c r="A51" t="s">
        <v>126</v>
      </c>
      <c r="B51" t="str">
        <f>B48&amp;" - "&amp;B50&amp;" - "&amp;B63&amp;" - "&amp;B47</f>
        <v>Scooter, electric, 4-11kW - 2030 - LFP - CH</v>
      </c>
    </row>
    <row r="52" spans="1:2" x14ac:dyDescent="0.2">
      <c r="A52" t="s">
        <v>73</v>
      </c>
      <c r="B52" t="str">
        <f>B48</f>
        <v>Scooter,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1870</v>
      </c>
    </row>
    <row r="61" spans="1:2" x14ac:dyDescent="0.2">
      <c r="A61" t="s">
        <v>132</v>
      </c>
      <c r="B61" s="2">
        <f>INDEX('vehicles specifications'!$B$3:$CW$166,MATCH(B51,'vehicles specifications'!$A$3:$A$166,0),MATCH("Curb mass [kg]",'vehicles specifications'!$B$2:$CW$2,0))</f>
        <v>145.48000000000002</v>
      </c>
    </row>
    <row r="62" spans="1:2" x14ac:dyDescent="0.2">
      <c r="A62" t="s">
        <v>133</v>
      </c>
      <c r="B62">
        <f>INDEX('vehicles specifications'!$B$3:$CW$166,MATCH(B51,'vehicles specifications'!$A$3:$A$166,0),MATCH("Power [kW]",'vehicles specifications'!$B$2:$CW$2,0))</f>
        <v>6.1</v>
      </c>
    </row>
    <row r="63" spans="1:2" x14ac:dyDescent="0.2">
      <c r="A63" t="s">
        <v>652</v>
      </c>
      <c r="B63" s="20" t="s">
        <v>44</v>
      </c>
    </row>
    <row r="64" spans="1:2" x14ac:dyDescent="0.2">
      <c r="A64" t="s">
        <v>134</v>
      </c>
      <c r="B64">
        <f>INDEX('vehicles specifications'!$B$3:$CW$166,MATCH(B51,'vehicles specifications'!$A$3:$A$166,0),MATCH("Energy battery mass [kg]",'vehicles specifications'!$B$2:$CW$2,0))</f>
        <v>38</v>
      </c>
    </row>
    <row r="65" spans="1:8" x14ac:dyDescent="0.2">
      <c r="A65" t="s">
        <v>135</v>
      </c>
      <c r="B65">
        <f>INDEX('vehicles specifications'!$B$3:$CW$166,MATCH(B51,'vehicles specifications'!$A$3:$A$166,0),MATCH("Electric energy stored [kWh]",'vehicles specifications'!$B$2:$CW$2,0))</f>
        <v>5.7</v>
      </c>
    </row>
    <row r="66" spans="1:8" x14ac:dyDescent="0.2">
      <c r="A66" t="s">
        <v>588</v>
      </c>
      <c r="B66">
        <f>INDEX('vehicles specifications'!$B$3:$CW$166,MATCH(B51,'vehicles specifications'!$A$3:$A$166,0),MATCH("Electric energy available [kWh]",'vehicles specifications'!$B$2:$CW$2,0))</f>
        <v>4.5600000000000005</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86.666860236806102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30000 km. Annual kilometers: 1870 km. Number of passengers: 1. Curb mass: 145.5 kg. Lightweighting of glider: 3%. Emission standard: None. Service visits throughout lifetime: 1.2. Range: 87 km. Battery capacity: 5.7 kWh. Available battery capacity: 4.56 kWh. Battery mass: 38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4-11kW, LFP battery, 2030</v>
      </c>
      <c r="B78">
        <v>1</v>
      </c>
      <c r="C78" t="str">
        <f>B47</f>
        <v>CH</v>
      </c>
      <c r="D78" t="str">
        <f>B54</f>
        <v>unit</v>
      </c>
      <c r="F78" t="s">
        <v>84</v>
      </c>
      <c r="G78" t="s">
        <v>85</v>
      </c>
      <c r="H78" t="str">
        <f>B48</f>
        <v>Scooter,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84</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2.19</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10</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16</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759</v>
      </c>
      <c r="B83" s="11">
        <f>INDEX('vehicles specifications'!$B$3:$CW$166,MATCH(B51,'vehicles specifications'!$A$3:$A$166,0),MATCH(G83,'vehicles specifications'!$B$2:$CW$2,0))*INDEX('ei names mapping'!$B$137:$BL$300,MATCH(B51,'ei names mapping'!$A$137:$A$300,0),MATCH(G83,'ei names mapping'!$B$136:$BL$136,0))</f>
        <v>47.5</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9.5</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81.48</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26</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-57</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145.48000000000002</v>
      </c>
      <c r="C89" t="s">
        <v>92</v>
      </c>
      <c r="D89" t="s">
        <v>233</v>
      </c>
      <c r="F89" t="s">
        <v>89</v>
      </c>
      <c r="H89" s="13" t="s">
        <v>841</v>
      </c>
    </row>
    <row r="90" spans="1:8" x14ac:dyDescent="0.2">
      <c r="A90" s="13" t="s">
        <v>441</v>
      </c>
      <c r="B90" s="2">
        <f>(B61/1000)*B73</f>
        <v>2313.1320000000005</v>
      </c>
      <c r="C90" t="s">
        <v>95</v>
      </c>
      <c r="D90" t="s">
        <v>233</v>
      </c>
      <c r="F90" t="s">
        <v>89</v>
      </c>
      <c r="H90" s="13" t="s">
        <v>441</v>
      </c>
    </row>
    <row r="92" spans="1:8" ht="16" x14ac:dyDescent="0.2">
      <c r="A92" s="10" t="s">
        <v>71</v>
      </c>
      <c r="B92" s="8" t="str">
        <f>B94&amp;", "&amp;B109&amp;" battery, "&amp;B96</f>
        <v>Scooter, electric, 4-11kW, LFP battery, 2040</v>
      </c>
    </row>
    <row r="93" spans="1:8" x14ac:dyDescent="0.2">
      <c r="A93" t="s">
        <v>72</v>
      </c>
      <c r="B93" t="s">
        <v>37</v>
      </c>
    </row>
    <row r="94" spans="1:8" x14ac:dyDescent="0.2">
      <c r="A94" t="s">
        <v>86</v>
      </c>
      <c r="B94" t="s">
        <v>569</v>
      </c>
    </row>
    <row r="95" spans="1:8" x14ac:dyDescent="0.2">
      <c r="A95" t="s">
        <v>87</v>
      </c>
    </row>
    <row r="96" spans="1:8" x14ac:dyDescent="0.2">
      <c r="A96" t="s">
        <v>88</v>
      </c>
      <c r="B96">
        <v>2040</v>
      </c>
    </row>
    <row r="97" spans="1:2" x14ac:dyDescent="0.2">
      <c r="A97" t="s">
        <v>126</v>
      </c>
      <c r="B97" t="str">
        <f>B94&amp;" - "&amp;B96&amp;" - "&amp;B109&amp;" - "&amp;B93</f>
        <v>Scooter, electric, 4-11kW - 2040 - LFP - CH</v>
      </c>
    </row>
    <row r="98" spans="1:2" x14ac:dyDescent="0.2">
      <c r="A98" t="s">
        <v>73</v>
      </c>
      <c r="B98" t="str">
        <f>B94</f>
        <v>Scooter,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30000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1.2</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1870</v>
      </c>
    </row>
    <row r="107" spans="1:2" x14ac:dyDescent="0.2">
      <c r="A107" t="s">
        <v>132</v>
      </c>
      <c r="B107" s="2">
        <f>INDEX('vehicles specifications'!$B$3:$CW$166,MATCH(B97,'vehicles specifications'!$A$3:$A$166,0),MATCH("Curb mass [kg]",'vehicles specifications'!$B$2:$CW$2,0))</f>
        <v>160.46666666666664</v>
      </c>
    </row>
    <row r="108" spans="1:2" x14ac:dyDescent="0.2">
      <c r="A108" t="s">
        <v>133</v>
      </c>
      <c r="B108">
        <f>INDEX('vehicles specifications'!$B$3:$CW$166,MATCH(B97,'vehicles specifications'!$A$3:$A$166,0),MATCH("Power [kW]",'vehicles specifications'!$B$2:$CW$2,0))</f>
        <v>6.1</v>
      </c>
    </row>
    <row r="109" spans="1:2" x14ac:dyDescent="0.2">
      <c r="A109" t="s">
        <v>652</v>
      </c>
      <c r="B109" s="20" t="s">
        <v>44</v>
      </c>
    </row>
    <row r="110" spans="1:2" x14ac:dyDescent="0.2">
      <c r="A110" t="s">
        <v>134</v>
      </c>
      <c r="B110">
        <f>INDEX('vehicles specifications'!$B$3:$CW$166,MATCH(B97,'vehicles specifications'!$A$3:$A$166,0),MATCH("Energy battery mass [kg]",'vehicles specifications'!$B$2:$CW$2,0))</f>
        <v>54.666666666666657</v>
      </c>
    </row>
    <row r="111" spans="1:2" x14ac:dyDescent="0.2">
      <c r="A111" t="s">
        <v>135</v>
      </c>
      <c r="B111">
        <f>INDEX('vehicles specifications'!$B$3:$CW$166,MATCH(B97,'vehicles specifications'!$A$3:$A$166,0),MATCH("Electric energy stored [kWh]",'vehicles specifications'!$B$2:$CW$2,0))</f>
        <v>8.1999999999999993</v>
      </c>
    </row>
    <row r="112" spans="1:2" x14ac:dyDescent="0.2">
      <c r="A112" t="s">
        <v>588</v>
      </c>
      <c r="B112">
        <f>INDEX('vehicles specifications'!$B$3:$CW$166,MATCH(B97,'vehicles specifications'!$A$3:$A$166,0),MATCH("Electric energy available [kWh]",'vehicles specifications'!$B$2:$CW$2,0))</f>
        <v>6.56</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124.6786410424228</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30000 km. Annual kilometers: 1870 km. Number of passengers: 1. Curb mass: 160.5 kg. Lightweighting of glider: 5%. Emission standard: None. Service visits throughout lifetime: 1.2. Range: 125 km. Battery capacity: 8.2 kWh. Available battery capacity: 6.56 kWh. Battery mass: 54.7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4-11kW, LFP battery, 2040</v>
      </c>
      <c r="B124">
        <v>1</v>
      </c>
      <c r="C124" t="str">
        <f>B93</f>
        <v>CH</v>
      </c>
      <c r="D124" t="str">
        <f>B100</f>
        <v>unit</v>
      </c>
      <c r="F124" t="s">
        <v>84</v>
      </c>
      <c r="G124" t="s">
        <v>85</v>
      </c>
      <c r="H124" t="str">
        <f>B94</f>
        <v>Scooter,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84</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3.6500000000000004</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10</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16</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759</v>
      </c>
      <c r="B129" s="11">
        <f>INDEX('vehicles specifications'!$B$3:$CW$166,MATCH(B97,'vehicles specifications'!$A$3:$A$166,0),MATCH(G129,'vehicles specifications'!$B$2:$CW$2,0))*INDEX('ei names mapping'!$B$137:$BL$300,MATCH(B97,'ei names mapping'!$A$137:$A$300,0),MATCH(G129,'ei names mapping'!$B$136:$BL$136,0))</f>
        <v>56.944444444444436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11.388888888888889</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79.8</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26</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-68.333333333333314</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160.46666666666664</v>
      </c>
      <c r="C135" t="s">
        <v>92</v>
      </c>
      <c r="D135" t="s">
        <v>233</v>
      </c>
      <c r="F135" t="s">
        <v>89</v>
      </c>
      <c r="H135" s="13" t="s">
        <v>841</v>
      </c>
    </row>
    <row r="136" spans="1:8" x14ac:dyDescent="0.2">
      <c r="A136" s="13" t="s">
        <v>441</v>
      </c>
      <c r="B136" s="2">
        <f>(B107/1000)*B119</f>
        <v>2551.4199999999996</v>
      </c>
      <c r="C136" t="s">
        <v>95</v>
      </c>
      <c r="D136" t="s">
        <v>233</v>
      </c>
      <c r="F136" t="s">
        <v>89</v>
      </c>
      <c r="H136" s="13" t="s">
        <v>441</v>
      </c>
    </row>
    <row r="138" spans="1:8" ht="16" x14ac:dyDescent="0.2">
      <c r="A138" s="10" t="s">
        <v>71</v>
      </c>
      <c r="B138" s="8" t="str">
        <f>B140&amp;", "&amp;B155&amp;" battery, "&amp;B142</f>
        <v>Scooter, electric, 4-11kW, LFP battery, 2050</v>
      </c>
    </row>
    <row r="139" spans="1:8" x14ac:dyDescent="0.2">
      <c r="A139" t="s">
        <v>72</v>
      </c>
      <c r="B139" t="s">
        <v>37</v>
      </c>
    </row>
    <row r="140" spans="1:8" x14ac:dyDescent="0.2">
      <c r="A140" t="s">
        <v>86</v>
      </c>
      <c r="B140" t="s">
        <v>569</v>
      </c>
    </row>
    <row r="141" spans="1:8" x14ac:dyDescent="0.2">
      <c r="A141" t="s">
        <v>87</v>
      </c>
    </row>
    <row r="142" spans="1:8" x14ac:dyDescent="0.2">
      <c r="A142" t="s">
        <v>88</v>
      </c>
      <c r="B142">
        <v>2050</v>
      </c>
    </row>
    <row r="143" spans="1:8" x14ac:dyDescent="0.2">
      <c r="A143" t="s">
        <v>126</v>
      </c>
      <c r="B143" t="str">
        <f>B140&amp;" - "&amp;B142&amp;" - "&amp;B155&amp;" - "&amp;B139</f>
        <v>Scooter, electric, 4-11kW - 2050 - LFP - CH</v>
      </c>
    </row>
    <row r="144" spans="1:8" x14ac:dyDescent="0.2">
      <c r="A144" t="s">
        <v>73</v>
      </c>
      <c r="B144" t="str">
        <f>B140</f>
        <v>Scooter,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30000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1.2</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1870</v>
      </c>
    </row>
    <row r="153" spans="1:2" x14ac:dyDescent="0.2">
      <c r="A153" t="s">
        <v>132</v>
      </c>
      <c r="B153" s="2">
        <f>INDEX('vehicles specifications'!$B$3:$CW$166,MATCH(B143,'vehicles specifications'!$A$3:$A$166,0),MATCH("Curb mass [kg]",'vehicles specifications'!$B$2:$CW$2,0))</f>
        <v>168.92</v>
      </c>
    </row>
    <row r="154" spans="1:2" x14ac:dyDescent="0.2">
      <c r="A154" t="s">
        <v>133</v>
      </c>
      <c r="B154">
        <f>INDEX('vehicles specifications'!$B$3:$CW$166,MATCH(B143,'vehicles specifications'!$A$3:$A$166,0),MATCH("Power [kW]",'vehicles specifications'!$B$2:$CW$2,0))</f>
        <v>6.1</v>
      </c>
    </row>
    <row r="155" spans="1:2" x14ac:dyDescent="0.2">
      <c r="A155" t="s">
        <v>652</v>
      </c>
      <c r="B155" s="20" t="s">
        <v>44</v>
      </c>
    </row>
    <row r="156" spans="1:2" x14ac:dyDescent="0.2">
      <c r="A156" t="s">
        <v>134</v>
      </c>
      <c r="B156">
        <f>INDEX('vehicles specifications'!$B$3:$CW$166,MATCH(B143,'vehicles specifications'!$A$3:$A$166,0),MATCH("Energy battery mass [kg]",'vehicles specifications'!$B$2:$CW$2,0))</f>
        <v>64.8</v>
      </c>
    </row>
    <row r="157" spans="1:2" x14ac:dyDescent="0.2">
      <c r="A157" t="s">
        <v>135</v>
      </c>
      <c r="B157">
        <f>INDEX('vehicles specifications'!$B$3:$CW$166,MATCH(B143,'vehicles specifications'!$A$3:$A$166,0),MATCH("Electric energy stored [kWh]",'vehicles specifications'!$B$2:$CW$2,0))</f>
        <v>10.8</v>
      </c>
    </row>
    <row r="158" spans="1:2" x14ac:dyDescent="0.2">
      <c r="A158" t="s">
        <v>588</v>
      </c>
      <c r="B158">
        <f>INDEX('vehicles specifications'!$B$3:$CW$166,MATCH(B143,'vehicles specifications'!$A$3:$A$166,0),MATCH("Electric energy available [kWh]",'vehicles specifications'!$B$2:$CW$2,0))</f>
        <v>8.64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164.21089308026419</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30000 km. Annual kilometers: 1870 km. Number of passengers: 1. Curb mass: 168.9 kg. Lightweighting of glider: 7%. Emission standard: None. Service visits throughout lifetime: 1.2. Range: 164 km. Battery capacity: 10.8 kWh. Available battery capacity: 8.64 kWh. Battery mass: 64.8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4-11kW, LFP battery, 2050</v>
      </c>
      <c r="B170">
        <v>1</v>
      </c>
      <c r="C170" t="str">
        <f>B139</f>
        <v>CH</v>
      </c>
      <c r="D170" t="str">
        <f>B146</f>
        <v>unit</v>
      </c>
      <c r="F170" t="s">
        <v>84</v>
      </c>
      <c r="G170" t="s">
        <v>85</v>
      </c>
      <c r="H170" t="str">
        <f>B140</f>
        <v>Scooter,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84</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5.1100000000000003</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10</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16</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759</v>
      </c>
      <c r="B175" s="11">
        <f>INDEX('vehicles specifications'!$B$3:$CW$166,MATCH(B143,'vehicles specifications'!$A$3:$A$166,0),MATCH(G175,'vehicles specifications'!$B$2:$CW$2,0))*INDEX('ei names mapping'!$B$137:$BL$300,MATCH(B143,'ei names mapping'!$A$137:$A$300,0),MATCH(G175,'ei names mapping'!$B$136:$BL$136,0))</f>
        <v>54</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10.8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78.11999999999999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26</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-64.8</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168.92</v>
      </c>
      <c r="C181" t="s">
        <v>92</v>
      </c>
      <c r="D181" t="s">
        <v>233</v>
      </c>
      <c r="F181" t="s">
        <v>89</v>
      </c>
      <c r="H181" s="13" t="s">
        <v>841</v>
      </c>
    </row>
    <row r="182" spans="1:8" x14ac:dyDescent="0.2">
      <c r="A182" s="13" t="s">
        <v>441</v>
      </c>
      <c r="B182" s="2">
        <f>(B153/1000)*B165</f>
        <v>2685.828</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4-11kW, LFP battery, 2020</v>
      </c>
    </row>
    <row r="185" spans="1:8" x14ac:dyDescent="0.2">
      <c r="A185" t="s">
        <v>72</v>
      </c>
      <c r="B185" t="s">
        <v>37</v>
      </c>
    </row>
    <row r="186" spans="1:8" x14ac:dyDescent="0.2">
      <c r="A186" t="s">
        <v>86</v>
      </c>
      <c r="B186" t="s">
        <v>569</v>
      </c>
    </row>
    <row r="187" spans="1:8" x14ac:dyDescent="0.2">
      <c r="A187" t="s">
        <v>87</v>
      </c>
    </row>
    <row r="188" spans="1:8" x14ac:dyDescent="0.2">
      <c r="A188" t="s">
        <v>88</v>
      </c>
      <c r="B188">
        <v>2020</v>
      </c>
    </row>
    <row r="189" spans="1:8" x14ac:dyDescent="0.2">
      <c r="A189" t="s">
        <v>126</v>
      </c>
      <c r="B189" t="str">
        <f>B186&amp;" - "&amp;B188&amp;" - "&amp;B201&amp;" - "&amp;B185</f>
        <v>Scooter, electric, 4-11kW - 2020 - LFP - CH</v>
      </c>
    </row>
    <row r="190" spans="1:8" x14ac:dyDescent="0.2">
      <c r="A190" t="s">
        <v>73</v>
      </c>
      <c r="B190" t="str">
        <f>"transport, "&amp;B186</f>
        <v>transport, Scooter,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30000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1.2</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1870</v>
      </c>
    </row>
    <row r="199" spans="1:2" x14ac:dyDescent="0.2">
      <c r="A199" t="s">
        <v>132</v>
      </c>
      <c r="B199" s="2">
        <f>INDEX('vehicles specifications'!$B$3:$CW$166,MATCH(B189,'vehicles specifications'!$A$3:$A$166,0),MATCH("Curb mass [kg]",'vehicles specifications'!$B$2:$CW$2,0))</f>
        <v>136.4</v>
      </c>
    </row>
    <row r="200" spans="1:2" x14ac:dyDescent="0.2">
      <c r="A200" t="s">
        <v>133</v>
      </c>
      <c r="B200">
        <f>INDEX('vehicles specifications'!$B$3:$CW$166,MATCH(B189,'vehicles specifications'!$A$3:$A$166,0),MATCH("Power [kW]",'vehicles specifications'!$B$2:$CW$2,0))</f>
        <v>6.1</v>
      </c>
    </row>
    <row r="201" spans="1:2" x14ac:dyDescent="0.2">
      <c r="A201" t="s">
        <v>652</v>
      </c>
      <c r="B201" s="20" t="s">
        <v>44</v>
      </c>
    </row>
    <row r="202" spans="1:2" x14ac:dyDescent="0.2">
      <c r="A202" t="s">
        <v>134</v>
      </c>
      <c r="B202">
        <f>INDEX('vehicles specifications'!$B$3:$CW$166,MATCH(B189,'vehicles specifications'!$A$3:$A$166,0),MATCH("Energy battery mass [kg]",'vehicles specifications'!$B$2:$CW$2,0))</f>
        <v>26.4</v>
      </c>
    </row>
    <row r="203" spans="1:2" x14ac:dyDescent="0.2">
      <c r="A203" t="s">
        <v>135</v>
      </c>
      <c r="B203">
        <f>INDEX('vehicles specifications'!$B$3:$CW$166,MATCH(B189,'vehicles specifications'!$A$3:$A$166,0),MATCH("Electric energy stored [kWh]",'vehicles specifications'!$B$2:$CW$2,0))</f>
        <v>3.3</v>
      </c>
    </row>
    <row r="204" spans="1:2" x14ac:dyDescent="0.2">
      <c r="A204" t="s">
        <v>588</v>
      </c>
      <c r="B204">
        <f>INDEX('vehicles specifications'!$B$3:$CW$166,MATCH(B189,'vehicles specifications'!$A$3:$A$166,0),MATCH("Electric energy available [kWh]",'vehicles specifications'!$B$2:$CW$2,0))</f>
        <v>2.64</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50.175550663414057</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30000 km. Annual kilometers: 1870 km. Number of passengers: 1. Curb mass: 136.4 kg. Lightweighting of glider: 0%. Emission standard: None. Service visits throughout lifetime: 1.2. Range: 50 km. Battery capacity: 3.3 kWh. Available battery capacity: 2.64 kWh. Battery mass: 26.4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4-11kW, LFP battery, 2020</v>
      </c>
      <c r="B213">
        <v>1</v>
      </c>
      <c r="C213" t="str">
        <f>B185</f>
        <v>CH</v>
      </c>
      <c r="D213" t="s">
        <v>166</v>
      </c>
      <c r="F213" t="s">
        <v>84</v>
      </c>
      <c r="G213" t="s">
        <v>85</v>
      </c>
      <c r="H213" t="str">
        <f>B190</f>
        <v>transport, Scooter, electric, 4-11kW</v>
      </c>
    </row>
    <row r="214" spans="1:8" x14ac:dyDescent="0.2">
      <c r="A214" t="str">
        <f>RIGHT(A213,LEN(A213)-11)</f>
        <v>Scooter, electric, 4-11kW, LFP battery, 2020</v>
      </c>
      <c r="B214" s="7">
        <f>1/B194</f>
        <v>3.3333333333333335E-5</v>
      </c>
      <c r="C214" t="str">
        <f>B185</f>
        <v>CH</v>
      </c>
      <c r="D214" t="s">
        <v>76</v>
      </c>
      <c r="F214" t="s">
        <v>89</v>
      </c>
      <c r="H214" t="str">
        <f>RIGHT(H213,LEN(H213)-11)</f>
        <v>Scooter,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1.1566980000000001E-4</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5.7876793809010993E-2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4.8000000000000001E-5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-7.7268569266199988E-6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-5.9107149181405576E-6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-4.2344887345535782E-6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4-11kW, LFP battery, 2030</v>
      </c>
    </row>
    <row r="224" spans="1:8" x14ac:dyDescent="0.2">
      <c r="A224" t="s">
        <v>72</v>
      </c>
      <c r="B224" t="s">
        <v>37</v>
      </c>
    </row>
    <row r="225" spans="1:2" x14ac:dyDescent="0.2">
      <c r="A225" t="s">
        <v>86</v>
      </c>
      <c r="B225" t="s">
        <v>569</v>
      </c>
    </row>
    <row r="226" spans="1:2" x14ac:dyDescent="0.2">
      <c r="A226" t="s">
        <v>87</v>
      </c>
    </row>
    <row r="227" spans="1:2" x14ac:dyDescent="0.2">
      <c r="A227" t="s">
        <v>88</v>
      </c>
      <c r="B227">
        <v>2030</v>
      </c>
    </row>
    <row r="228" spans="1:2" x14ac:dyDescent="0.2">
      <c r="A228" t="s">
        <v>126</v>
      </c>
      <c r="B228" t="str">
        <f>B225&amp;" - "&amp;B227&amp;" - "&amp;B240&amp;" - "&amp;B224</f>
        <v>Scooter, electric, 4-11kW - 2030 - LFP - CH</v>
      </c>
    </row>
    <row r="229" spans="1:2" x14ac:dyDescent="0.2">
      <c r="A229" t="s">
        <v>73</v>
      </c>
      <c r="B229" t="str">
        <f>"transport, "&amp;B225</f>
        <v>transport, Scooter,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30000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1.2</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1870</v>
      </c>
    </row>
    <row r="238" spans="1:2" x14ac:dyDescent="0.2">
      <c r="A238" t="s">
        <v>132</v>
      </c>
      <c r="B238" s="2">
        <f>INDEX('vehicles specifications'!$B$3:$CW$166,MATCH(B228,'vehicles specifications'!$A$3:$A$166,0),MATCH("Curb mass [kg]",'vehicles specifications'!$B$2:$CW$2,0))</f>
        <v>145.48000000000002</v>
      </c>
    </row>
    <row r="239" spans="1:2" x14ac:dyDescent="0.2">
      <c r="A239" t="s">
        <v>133</v>
      </c>
      <c r="B239">
        <f>INDEX('vehicles specifications'!$B$3:$CW$166,MATCH(B228,'vehicles specifications'!$A$3:$A$166,0),MATCH("Power [kW]",'vehicles specifications'!$B$2:$CW$2,0))</f>
        <v>6.1</v>
      </c>
    </row>
    <row r="240" spans="1:2" x14ac:dyDescent="0.2">
      <c r="A240" t="s">
        <v>652</v>
      </c>
      <c r="B240" s="20" t="s">
        <v>44</v>
      </c>
    </row>
    <row r="241" spans="1:8" x14ac:dyDescent="0.2">
      <c r="A241" t="s">
        <v>134</v>
      </c>
      <c r="B241">
        <f>INDEX('vehicles specifications'!$B$3:$CW$166,MATCH(B228,'vehicles specifications'!$A$3:$A$166,0),MATCH("Energy battery mass [kg]",'vehicles specifications'!$B$2:$CW$2,0))</f>
        <v>38</v>
      </c>
    </row>
    <row r="242" spans="1:8" x14ac:dyDescent="0.2">
      <c r="A242" t="s">
        <v>135</v>
      </c>
      <c r="B242">
        <f>INDEX('vehicles specifications'!$B$3:$CW$166,MATCH(B228,'vehicles specifications'!$A$3:$A$166,0),MATCH("Electric energy stored [kWh]",'vehicles specifications'!$B$2:$CW$2,0))</f>
        <v>5.7</v>
      </c>
    </row>
    <row r="243" spans="1:8" x14ac:dyDescent="0.2">
      <c r="A243" t="s">
        <v>588</v>
      </c>
      <c r="B243">
        <f>INDEX('vehicles specifications'!$B$3:$CW$166,MATCH(B228,'vehicles specifications'!$A$3:$A$166,0),MATCH("Electric energy available [kWh]",'vehicles specifications'!$B$2:$CW$2,0))</f>
        <v>4.5600000000000005</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86.666860236806102</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30000 km. Annual kilometers: 1870 km. Number of passengers: 1. Curb mass: 145.5 kg. Lightweighting of glider: 3%. Emission standard: None. Service visits throughout lifetime: 1.2. Range: 87 km. Battery capacity: 5.7 kWh. Available battery capacity: 4.56 kWh. Battery mass: 38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4-11kW, LFP battery, 2030</v>
      </c>
      <c r="B252">
        <v>1</v>
      </c>
      <c r="C252" t="str">
        <f>B224</f>
        <v>CH</v>
      </c>
      <c r="D252" t="s">
        <v>166</v>
      </c>
      <c r="F252" t="s">
        <v>84</v>
      </c>
      <c r="G252" t="s">
        <v>85</v>
      </c>
      <c r="H252" t="str">
        <f>B229</f>
        <v>transport, Scooter, electric, 4-11kW</v>
      </c>
    </row>
    <row r="253" spans="1:8" x14ac:dyDescent="0.2">
      <c r="A253" t="str">
        <f>RIGHT(A252,LEN(A252)-11)</f>
        <v>Scooter, electric, 4-11kW, LFP battery, 2030</v>
      </c>
      <c r="B253" s="7">
        <f>1/B233</f>
        <v>3.3333333333333335E-5</v>
      </c>
      <c r="C253" t="str">
        <f>B224</f>
        <v>CH</v>
      </c>
      <c r="D253" t="s">
        <v>76</v>
      </c>
      <c r="F253" t="s">
        <v>89</v>
      </c>
      <c r="H253" t="str">
        <f>RIGHT(H252,LEN(H252)-11)</f>
        <v>Scooter, electric, 4-11kW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1.2054576E-4</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5.7876793809010993E-2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4.8000000000000001E-5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-7.9845055443951376E-6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-6.0400969769002495E-6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-4.3467731359367686E-6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4-11kW, LFP battery, 2040</v>
      </c>
    </row>
    <row r="263" spans="1:8" x14ac:dyDescent="0.2">
      <c r="A263" t="s">
        <v>72</v>
      </c>
      <c r="B263" t="s">
        <v>37</v>
      </c>
    </row>
    <row r="264" spans="1:8" x14ac:dyDescent="0.2">
      <c r="A264" t="s">
        <v>86</v>
      </c>
      <c r="B264" t="s">
        <v>569</v>
      </c>
    </row>
    <row r="265" spans="1:8" x14ac:dyDescent="0.2">
      <c r="A265" t="s">
        <v>87</v>
      </c>
    </row>
    <row r="266" spans="1:8" x14ac:dyDescent="0.2">
      <c r="A266" t="s">
        <v>88</v>
      </c>
      <c r="B266">
        <v>2040</v>
      </c>
    </row>
    <row r="267" spans="1:8" x14ac:dyDescent="0.2">
      <c r="A267" t="s">
        <v>126</v>
      </c>
      <c r="B267" t="str">
        <f>B264&amp;" - "&amp;B266&amp;" - "&amp;B279&amp;" - "&amp;B263</f>
        <v>Scooter, electric, 4-11kW - 2040 - LFP - CH</v>
      </c>
    </row>
    <row r="268" spans="1:8" x14ac:dyDescent="0.2">
      <c r="A268" t="s">
        <v>73</v>
      </c>
      <c r="B268" t="str">
        <f>"transport, "&amp;B264</f>
        <v>transport, Scooter,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30000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1.2</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1870</v>
      </c>
    </row>
    <row r="277" spans="1:2" x14ac:dyDescent="0.2">
      <c r="A277" t="s">
        <v>132</v>
      </c>
      <c r="B277" s="2">
        <f>INDEX('vehicles specifications'!$B$3:$CW$166,MATCH(B267,'vehicles specifications'!$A$3:$A$166,0),MATCH("Curb mass [kg]",'vehicles specifications'!$B$2:$CW$2,0))</f>
        <v>160.46666666666664</v>
      </c>
    </row>
    <row r="278" spans="1:2" x14ac:dyDescent="0.2">
      <c r="A278" t="s">
        <v>133</v>
      </c>
      <c r="B278">
        <f>INDEX('vehicles specifications'!$B$3:$CW$166,MATCH(B267,'vehicles specifications'!$A$3:$A$166,0),MATCH("Power [kW]",'vehicles specifications'!$B$2:$CW$2,0))</f>
        <v>6.1</v>
      </c>
    </row>
    <row r="279" spans="1:2" x14ac:dyDescent="0.2">
      <c r="A279" t="s">
        <v>652</v>
      </c>
      <c r="B279" s="20" t="s">
        <v>44</v>
      </c>
    </row>
    <row r="280" spans="1:2" x14ac:dyDescent="0.2">
      <c r="A280" t="s">
        <v>134</v>
      </c>
      <c r="B280">
        <f>INDEX('vehicles specifications'!$B$3:$CW$166,MATCH(B267,'vehicles specifications'!$A$3:$A$166,0),MATCH("Energy battery mass [kg]",'vehicles specifications'!$B$2:$CW$2,0))</f>
        <v>54.666666666666657</v>
      </c>
    </row>
    <row r="281" spans="1:2" x14ac:dyDescent="0.2">
      <c r="A281" t="s">
        <v>135</v>
      </c>
      <c r="B281">
        <f>INDEX('vehicles specifications'!$B$3:$CW$166,MATCH(B267,'vehicles specifications'!$A$3:$A$166,0),MATCH("Electric energy stored [kWh]",'vehicles specifications'!$B$2:$CW$2,0))</f>
        <v>8.1999999999999993</v>
      </c>
    </row>
    <row r="282" spans="1:2" x14ac:dyDescent="0.2">
      <c r="A282" t="s">
        <v>588</v>
      </c>
      <c r="B282">
        <f>INDEX('vehicles specifications'!$B$3:$CW$166,MATCH(B267,'vehicles specifications'!$A$3:$A$166,0),MATCH("Electric energy available [kWh]",'vehicles specifications'!$B$2:$CW$2,0))</f>
        <v>6.56</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124.6786410424228</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30000 km. Annual kilometers: 1870 km. Number of passengers: 1. Curb mass: 160.5 kg. Lightweighting of glider: 5%. Emission standard: None. Service visits throughout lifetime: 1.2. Range: 125 km. Battery capacity: 8.2 kWh. Available battery capacity: 6.56 kWh. Battery mass: 54.7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4-11kW, LFP battery, 2040</v>
      </c>
      <c r="B291">
        <v>1</v>
      </c>
      <c r="C291" t="str">
        <f>B263</f>
        <v>CH</v>
      </c>
      <c r="D291" t="s">
        <v>166</v>
      </c>
      <c r="F291" t="s">
        <v>84</v>
      </c>
      <c r="G291" t="s">
        <v>85</v>
      </c>
      <c r="H291" t="str">
        <f>B268</f>
        <v>transport, Scooter, electric, 4-11kW</v>
      </c>
    </row>
    <row r="292" spans="1:8" x14ac:dyDescent="0.2">
      <c r="A292" t="str">
        <f>RIGHT(A291,LEN(A291)-11)</f>
        <v>Scooter, electric, 4-11kW, LFP battery, 2040</v>
      </c>
      <c r="B292" s="7">
        <f>1/B272</f>
        <v>3.3333333333333335E-5</v>
      </c>
      <c r="C292" t="str">
        <f>B263</f>
        <v>CH</v>
      </c>
      <c r="D292" t="s">
        <v>76</v>
      </c>
      <c r="F292" t="s">
        <v>89</v>
      </c>
      <c r="H292" t="str">
        <f>RIGHT(H291,LEN(H291)-11)</f>
        <v>Scooter, electric, 4-11kW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1.2859359999999999E-4</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5.7876793809010993E-2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4.8000000000000001E-5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-8.4055583303453682E-6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-6.2457556469000968E-6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-4.5271849074802194E-6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4-11kW, LFP battery, 2050</v>
      </c>
    </row>
    <row r="302" spans="1:8" x14ac:dyDescent="0.2">
      <c r="A302" t="s">
        <v>72</v>
      </c>
      <c r="B302" t="s">
        <v>37</v>
      </c>
    </row>
    <row r="303" spans="1:8" x14ac:dyDescent="0.2">
      <c r="A303" t="s">
        <v>86</v>
      </c>
      <c r="B303" t="s">
        <v>569</v>
      </c>
    </row>
    <row r="304" spans="1:8" x14ac:dyDescent="0.2">
      <c r="A304" t="s">
        <v>87</v>
      </c>
    </row>
    <row r="305" spans="1:2" x14ac:dyDescent="0.2">
      <c r="A305" t="s">
        <v>88</v>
      </c>
      <c r="B305">
        <v>2050</v>
      </c>
    </row>
    <row r="306" spans="1:2" x14ac:dyDescent="0.2">
      <c r="A306" t="s">
        <v>126</v>
      </c>
      <c r="B306" t="str">
        <f>B303&amp;" - "&amp;B305&amp;" - "&amp;B318&amp;" - "&amp;B302</f>
        <v>Scooter, electric, 4-11kW - 2050 - LFP - CH</v>
      </c>
    </row>
    <row r="307" spans="1:2" x14ac:dyDescent="0.2">
      <c r="A307" t="s">
        <v>73</v>
      </c>
      <c r="B307" t="str">
        <f>"transport, "&amp;B303</f>
        <v>transport, Scooter,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30000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1.2</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1870</v>
      </c>
    </row>
    <row r="316" spans="1:2" x14ac:dyDescent="0.2">
      <c r="A316" t="s">
        <v>132</v>
      </c>
      <c r="B316" s="2">
        <f>INDEX('vehicles specifications'!$B$3:$CW$166,MATCH(B306,'vehicles specifications'!$A$3:$A$166,0),MATCH("Curb mass [kg]",'vehicles specifications'!$B$2:$CW$2,0))</f>
        <v>168.92</v>
      </c>
    </row>
    <row r="317" spans="1:2" x14ac:dyDescent="0.2">
      <c r="A317" t="s">
        <v>133</v>
      </c>
      <c r="B317">
        <f>INDEX('vehicles specifications'!$B$3:$CW$166,MATCH(B306,'vehicles specifications'!$A$3:$A$166,0),MATCH("Power [kW]",'vehicles specifications'!$B$2:$CW$2,0))</f>
        <v>6.1</v>
      </c>
    </row>
    <row r="318" spans="1:2" x14ac:dyDescent="0.2">
      <c r="A318" t="s">
        <v>652</v>
      </c>
      <c r="B318" s="20" t="s">
        <v>44</v>
      </c>
    </row>
    <row r="319" spans="1:2" x14ac:dyDescent="0.2">
      <c r="A319" t="s">
        <v>134</v>
      </c>
      <c r="B319">
        <f>INDEX('vehicles specifications'!$B$3:$CW$166,MATCH(B306,'vehicles specifications'!$A$3:$A$166,0),MATCH("Energy battery mass [kg]",'vehicles specifications'!$B$2:$CW$2,0))</f>
        <v>64.8</v>
      </c>
    </row>
    <row r="320" spans="1:2" x14ac:dyDescent="0.2">
      <c r="A320" t="s">
        <v>135</v>
      </c>
      <c r="B320">
        <f>INDEX('vehicles specifications'!$B$3:$CW$166,MATCH(B306,'vehicles specifications'!$A$3:$A$166,0),MATCH("Electric energy stored [kWh]",'vehicles specifications'!$B$2:$CW$2,0))</f>
        <v>10.8</v>
      </c>
    </row>
    <row r="321" spans="1:8" x14ac:dyDescent="0.2">
      <c r="A321" t="s">
        <v>588</v>
      </c>
      <c r="B321">
        <f>INDEX('vehicles specifications'!$B$3:$CW$166,MATCH(B306,'vehicles specifications'!$A$3:$A$166,0),MATCH("Electric energy available [kWh]",'vehicles specifications'!$B$2:$CW$2,0))</f>
        <v>8.64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164.21089308026419</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30000 km. Annual kilometers: 1870 km. Number of passengers: 1. Curb mass: 168.9 kg. Lightweighting of glider: 7%. Emission standard: None. Service visits throughout lifetime: 1.2. Range: 164 km. Battery capacity: 10.8 kWh. Available battery capacity: 8.64 kWh. Battery mass: 64.8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4-11kW, LFP battery, 2050</v>
      </c>
      <c r="B330">
        <v>1</v>
      </c>
      <c r="C330" t="str">
        <f>B302</f>
        <v>CH</v>
      </c>
      <c r="D330" t="s">
        <v>166</v>
      </c>
      <c r="F330" t="s">
        <v>84</v>
      </c>
      <c r="G330" t="s">
        <v>85</v>
      </c>
      <c r="H330" t="str">
        <f>B307</f>
        <v>transport, Scooter, electric, 4-11kW</v>
      </c>
    </row>
    <row r="331" spans="1:8" x14ac:dyDescent="0.2">
      <c r="A331" t="str">
        <f>RIGHT(A330,LEN(A330)-11)</f>
        <v>Scooter, electric, 4-11kW, LFP battery, 2050</v>
      </c>
      <c r="B331" s="7">
        <f>1/B311</f>
        <v>3.3333333333333335E-5</v>
      </c>
      <c r="C331" t="str">
        <f>B302</f>
        <v>CH</v>
      </c>
      <c r="D331" t="s">
        <v>76</v>
      </c>
      <c r="F331" t="s">
        <v>89</v>
      </c>
      <c r="H331" t="str">
        <f>RIGHT(H330,LEN(H330)-11)</f>
        <v>Scooter, electric, 4-11kW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1.3313303999999999E-4</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5.7876793809010993E-2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4.8000000000000001E-5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-8.6408811677586719E-6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-6.3578189334249771E-6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-4.6264597747033504E-6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338"/>
  <sheetViews>
    <sheetView topLeftCell="A319" zoomScale="85" zoomScaleNormal="85" workbookViewId="0">
      <selection activeCell="B346" sqref="B34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tr">
        <f>B3&amp;", "&amp;B18&amp;" battery, "&amp;B5</f>
        <v>Scooter, electric, 4-11kW, NCA battery, 2020</v>
      </c>
    </row>
    <row r="2" spans="1:2" x14ac:dyDescent="0.2">
      <c r="A2" t="s">
        <v>72</v>
      </c>
      <c r="B2" t="s">
        <v>37</v>
      </c>
    </row>
    <row r="3" spans="1:2" x14ac:dyDescent="0.2">
      <c r="A3" t="s">
        <v>86</v>
      </c>
      <c r="B3" t="s">
        <v>569</v>
      </c>
    </row>
    <row r="4" spans="1:2" x14ac:dyDescent="0.2">
      <c r="A4" t="s">
        <v>87</v>
      </c>
    </row>
    <row r="5" spans="1:2" x14ac:dyDescent="0.2">
      <c r="A5" t="s">
        <v>88</v>
      </c>
      <c r="B5">
        <v>2020</v>
      </c>
    </row>
    <row r="6" spans="1:2" x14ac:dyDescent="0.2">
      <c r="A6" t="s">
        <v>126</v>
      </c>
      <c r="B6" t="str">
        <f>B3&amp;" - "&amp;B5&amp;" - "&amp;B18&amp;" - "&amp;B2</f>
        <v>Scooter, electric, 4-11kW - 2020 - NCA - CH</v>
      </c>
    </row>
    <row r="7" spans="1:2" x14ac:dyDescent="0.2">
      <c r="A7" t="s">
        <v>73</v>
      </c>
      <c r="B7" t="str">
        <f>B3</f>
        <v>Scooter, electric, 4-11kW</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1870</v>
      </c>
    </row>
    <row r="16" spans="1:2" x14ac:dyDescent="0.2">
      <c r="A16" t="s">
        <v>132</v>
      </c>
      <c r="B16" s="2">
        <f>INDEX('vehicles specifications'!$B$3:$CW$166,MATCH(B6,'vehicles specifications'!$A$3:$A$166,0),MATCH("Curb mass [kg]",'vehicles specifications'!$B$2:$CW$2,0))</f>
        <v>128.65217391304347</v>
      </c>
    </row>
    <row r="17" spans="1:8" x14ac:dyDescent="0.2">
      <c r="A17" t="s">
        <v>133</v>
      </c>
      <c r="B17">
        <f>INDEX('vehicles specifications'!$B$3:$CW$166,MATCH(B6,'vehicles specifications'!$A$3:$A$166,0),MATCH("Power [kW]",'vehicles specifications'!$B$2:$CW$2,0))</f>
        <v>6.1</v>
      </c>
    </row>
    <row r="18" spans="1:8" x14ac:dyDescent="0.2">
      <c r="A18" t="s">
        <v>652</v>
      </c>
      <c r="B18" s="20" t="s">
        <v>45</v>
      </c>
    </row>
    <row r="19" spans="1:8" x14ac:dyDescent="0.2">
      <c r="A19" t="s">
        <v>134</v>
      </c>
      <c r="B19">
        <f>INDEX('vehicles specifications'!$B$3:$CW$166,MATCH(B6,'vehicles specifications'!$A$3:$A$166,0),MATCH("Energy battery mass [kg]",'vehicles specifications'!$B$2:$CW$2,0))</f>
        <v>18.652173913043477</v>
      </c>
    </row>
    <row r="20" spans="1:8" x14ac:dyDescent="0.2">
      <c r="A20" t="s">
        <v>135</v>
      </c>
      <c r="B20">
        <f>INDEX('vehicles specifications'!$B$3:$CW$166,MATCH(B6,'vehicles specifications'!$A$3:$A$166,0),MATCH("Electric energy stored [kWh]",'vehicles specifications'!$B$2:$CW$2,0))</f>
        <v>3.3</v>
      </c>
    </row>
    <row r="21" spans="1:8" x14ac:dyDescent="0.2">
      <c r="A21" t="s">
        <v>588</v>
      </c>
      <c r="B21">
        <f>INDEX('vehicles specifications'!$B$3:$CW$166,MATCH(B6,'vehicles specifications'!$A$3:$A$166,0),MATCH("Electric energy available [kWh]",'vehicles specifications'!$B$2:$CW$2,0))</f>
        <v>2.64</v>
      </c>
    </row>
    <row r="22" spans="1:8" x14ac:dyDescent="0.2">
      <c r="A22" t="s">
        <v>138</v>
      </c>
      <c r="B22" s="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50.175550663414057</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Scooter, electric, 4-11kW, NCA battery, 2020</v>
      </c>
      <c r="B33">
        <v>1</v>
      </c>
      <c r="C33" t="str">
        <f>B2</f>
        <v>CH</v>
      </c>
      <c r="D33" t="str">
        <f>B9</f>
        <v>unit</v>
      </c>
      <c r="F33" t="s">
        <v>84</v>
      </c>
      <c r="G33" t="s">
        <v>85</v>
      </c>
      <c r="H33" t="str">
        <f>B3</f>
        <v>Scooter, electric, 4-11kW</v>
      </c>
    </row>
    <row r="34" spans="1:8" x14ac:dyDescent="0.2">
      <c r="A34" t="str">
        <f>INDEX('ei names mapping'!$B$4:$R$33,MATCH(B3,'ei names mapping'!$A$4:$A$33,0),MATCH(G34,'ei names mapping'!$B$3:$R$3,0))</f>
        <v>market for glider, for electric scooter</v>
      </c>
      <c r="B34" s="3">
        <f>INDEX('vehicles specifications'!$B$3:$CW$166,MATCH(B6,'vehicles specifications'!$A$3:$A$166,0),MATCH(G34,'vehicles specifications'!$B$2:$CW$2,0))*INDEX('ei names mapping'!$B$137:$BL$300,MATCH(B6,'ei names mapping'!$A$137:$A$300,0),MATCH(G34,'ei names mapping'!$B$136:$BL$136,0))</f>
        <v>84</v>
      </c>
      <c r="C34" t="str">
        <f>INDEX('ei names mapping'!$B$38:$R$67,MATCH(B3,'ei names mapping'!$A$4:$A$33,0),MATCH(G34,'ei names mapping'!$B$3:$R$3,0))</f>
        <v>GLO</v>
      </c>
      <c r="D34" t="str">
        <f>INDEX('ei names mapping'!$B$104:$R$133,MATCH(B3,'ei names mapping'!$A$104:$A$133,0),MATCH(G34,'ei names mapping'!$B$3:$R$3,0))</f>
        <v>kilogram</v>
      </c>
      <c r="F34" t="s">
        <v>89</v>
      </c>
      <c r="G34" t="s">
        <v>15</v>
      </c>
      <c r="H34" t="str">
        <f>INDEX('ei names mapping'!$B$71:$R$100,MATCH(B3,'ei names mapping'!$A$4:$A$33,0),MATCH(G34,'ei names mapping'!$B$3:$R$3,0))</f>
        <v>glider, for electric scooter</v>
      </c>
    </row>
    <row r="35" spans="1:8" x14ac:dyDescent="0.2">
      <c r="A35" t="str">
        <f>INDEX('ei names mapping'!$B$4:$R$33,MATCH(B3,'ei names mapping'!$A$4:$A$33,0),MATCH(G35,'ei names mapping'!$B$3:$R$3,0))</f>
        <v>market for glider, for electric scooter</v>
      </c>
      <c r="B35" s="3">
        <f>INDEX('vehicles specifications'!$B$3:$CW$166,MATCH(B6,'vehicles specifications'!$A$3:$A$166,0),MATCH(G35,'vehicles specifications'!$B$2:$CW$2,0))*INDEX('ei names mapping'!$B$137:$BL$300,MATCH(B6,'ei names mapping'!$A$137:$A$300,0),MATCH(G35,'ei names mapping'!$B$136:$BL$136,0))</f>
        <v>10</v>
      </c>
      <c r="C35" t="str">
        <f>INDEX('ei names mapping'!$B$38:$R$67,MATCH(B3,'ei names mapping'!$A$4:$A$33,0),MATCH(G35,'ei names mapping'!$B$3:$R$3,0))</f>
        <v>GLO</v>
      </c>
      <c r="D35" t="str">
        <f>INDEX('ei names mapping'!$B$104:$R$133,MATCH(B3,'ei names mapping'!$A$104:$A$133,0),MATCH(G35,'ei names mapping'!$B$3:$R$3,0))</f>
        <v>kilogram</v>
      </c>
      <c r="F35" t="s">
        <v>89</v>
      </c>
      <c r="G35" t="s">
        <v>16</v>
      </c>
      <c r="H35" t="str">
        <f>INDEX('ei names mapping'!$B$71:$R$100,MATCH(B3,'ei names mapping'!$A$4:$A$33,0),MATCH(G35,'ei names mapping'!$B$3:$R$3,0))</f>
        <v>glider, for electric scooter</v>
      </c>
    </row>
    <row r="36" spans="1:8" x14ac:dyDescent="0.2">
      <c r="A36" t="str">
        <f>INDEX('ei names mapping'!$B$4:$R$33,MATCH(B3,'ei names mapping'!$A$4:$A$33,0),MATCH(G36,'ei names mapping'!$B$3:$R$3,0))</f>
        <v>market for electric powertrain, for electric scooter</v>
      </c>
      <c r="B36" s="3">
        <f>INDEX('vehicles specifications'!$B$3:$CW$166,MATCH(B6,'vehicles specifications'!$A$3:$A$166,0),MATCH(G36,'vehicles specifications'!$B$2:$CW$2,0))*INDEX('ei names mapping'!$B$137:$BL$300,MATCH(B6,'ei names mapping'!$A$137:$A$300,0),MATCH(G36,'ei names mapping'!$B$136:$BL$136,0))</f>
        <v>16</v>
      </c>
      <c r="C36" t="str">
        <f>INDEX('ei names mapping'!$B$38:$R$67,MATCH(B3,'ei names mapping'!$A$4:$A$33,0),MATCH(G36,'ei names mapping'!$B$3:$R$3,0))</f>
        <v>GLO</v>
      </c>
      <c r="D36" t="str">
        <f>INDEX('ei names mapping'!$B$104:$R$133,MATCH(B3,'ei names mapping'!$A$104:$A$133,0),MATCH(G36,'ei names mapping'!$B$3:$R$3,0))</f>
        <v>kilogram</v>
      </c>
      <c r="F36" t="s">
        <v>89</v>
      </c>
      <c r="G36" t="s">
        <v>501</v>
      </c>
      <c r="H36" t="str">
        <f>INDEX('ei names mapping'!$B$71:$R$100,MATCH(B3,'ei names mapping'!$A$4:$A$33,0),MATCH(G36,'ei names mapping'!$B$3:$R$3,0))</f>
        <v>powertrain, for electric scooter</v>
      </c>
    </row>
    <row r="37" spans="1:8" x14ac:dyDescent="0.2">
      <c r="A37" t="s">
        <v>760</v>
      </c>
      <c r="B37" s="3">
        <f>INDEX('vehicles specifications'!$B$3:$CW$166,MATCH(B6,'vehicles specifications'!$A$3:$A$166,0),MATCH(G37,'vehicles specifications'!$B$2:$CW$2,0))*INDEX('ei names mapping'!$B$137:$BL$300,MATCH(B6,'ei names mapping'!$A$137:$A$300,0),MATCH(G37,'ei names mapping'!$B$136:$BL$136,0))</f>
        <v>28.695652173913039</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3">
        <f>INDEX('vehicles specifications'!$B$3:$CW$166,MATCH(B6,'vehicles specifications'!$A$3:$A$166,0),MATCH(G38,'vehicles specifications'!$B$2:$CW$2,0))*INDEX('ei names mapping'!$B$137:$BL$300,MATCH(B6,'ei names mapping'!$A$137:$A$300,0),MATCH(G38,'ei names mapping'!$B$136:$BL$136,0))</f>
        <v>8.6086956521739122</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3kW</v>
      </c>
      <c r="B39" s="3">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3kW</v>
      </c>
    </row>
    <row r="40" spans="1:8" x14ac:dyDescent="0.2">
      <c r="A40" t="str">
        <f>INDEX('ei names mapping'!$B$4:$R$33,MATCH(B3,'ei names mapping'!$A$4:$A$33,0),MATCH(G40,'ei names mapping'!$B$3:$R$3,0))</f>
        <v>manual dismantling of used electric scooter</v>
      </c>
      <c r="B40" s="3">
        <f>INDEX('vehicles specifications'!$B$3:$CW$166,MATCH(B6,'vehicles specifications'!$A$3:$A$166,0),MATCH(G40,'vehicles specifications'!$B$2:$CW$2,0))*INDEX('ei names mapping'!$B$137:$BL$300,MATCH(B6,'ei names mapping'!$A$137:$A$300,0),MATCH(G40,'ei names mapping'!$B$136:$BL$136,0))</f>
        <v>84</v>
      </c>
      <c r="C40" t="str">
        <f>INDEX('ei names mapping'!$B$38:$R$67,MATCH(B3,'ei names mapping'!$A$4:$A$33,0),MATCH(G40,'ei names mapping'!$B$3:$R$3,0))</f>
        <v>GLO</v>
      </c>
      <c r="D40" t="str">
        <f>INDEX('ei names mapping'!$B$104:$R$133,MATCH(B3,'ei names mapping'!$A$104:$A$133,0),MATCH(G40,'ei names mapping'!$B$3:$R$3,0))</f>
        <v>unit</v>
      </c>
      <c r="F40" t="s">
        <v>89</v>
      </c>
      <c r="G40" t="s">
        <v>144</v>
      </c>
      <c r="H40" t="str">
        <f>INDEX('ei names mapping'!$B$71:$R$100,MATCH(B3,'ei names mapping'!$A$4:$A$33,0),MATCH(G40,'ei names mapping'!$B$3:$R$3,0))</f>
        <v>manual dismantling of electric scooter</v>
      </c>
    </row>
    <row r="41" spans="1:8" x14ac:dyDescent="0.2">
      <c r="A41" t="str">
        <f>INDEX('ei names mapping'!$B$4:$R$33,MATCH(B3,'ei names mapping'!$A$4:$A$33,0),MATCH(G41,'ei names mapping'!$B$3:$R$3,0))</f>
        <v>manual dismantling of used electric scooter</v>
      </c>
      <c r="B41" s="3">
        <f>INDEX('vehicles specifications'!$B$3:$CW$166,MATCH(B6,'vehicles specifications'!$A$3:$A$166,0),MATCH(G41,'vehicles specifications'!$B$2:$CW$2,0))*INDEX('ei names mapping'!$B$137:$BL$300,MATCH(B6,'ei names mapping'!$A$137:$A$300,0),MATCH(G41,'ei names mapping'!$B$136:$BL$136,0))</f>
        <v>26</v>
      </c>
      <c r="C41" t="str">
        <f>INDEX('ei names mapping'!$B$38:$R$67,MATCH(B3,'ei names mapping'!$A$4:$A$33,0),MATCH(G41,'ei names mapping'!$B$3:$R$3,0))</f>
        <v>GLO</v>
      </c>
      <c r="D41" t="str">
        <f>INDEX('ei names mapping'!$B$104:$R$133,MATCH(B3,'ei names mapping'!$A$104:$A$133,0),MATCH(G41,'ei names mapping'!$B$3:$R$3,0))</f>
        <v>unit</v>
      </c>
      <c r="F41" t="s">
        <v>89</v>
      </c>
      <c r="G41" t="s">
        <v>145</v>
      </c>
      <c r="H41" t="str">
        <f>INDEX('ei names mapping'!$B$71:$R$100,MATCH(B3,'ei names mapping'!$A$4:$A$33,0),MATCH(G41,'ei names mapping'!$B$3:$R$3,0))</f>
        <v>manual dismantling of electric scooter</v>
      </c>
    </row>
    <row r="42" spans="1:8" x14ac:dyDescent="0.2">
      <c r="A42" t="str">
        <f>INDEX('ei names mapping'!$B$4:$R$33,MATCH(B3,'ei names mapping'!$A$4:$A$33,0),MATCH(G42,'ei names mapping'!$B$3:$R$3,0))</f>
        <v>market for used Li-ion battery</v>
      </c>
      <c r="B42" s="11">
        <f>INDEX('vehicles specifications'!$B$3:$CW$166,MATCH(B6,'vehicles specifications'!$A$3:$A$166,0),MATCH(G42,'vehicles specifications'!$B$2:$CW$2,0))*INDEX('ei names mapping'!$B$137:$BL$300,MATCH(B6,'ei names mapping'!$A$137:$A$300,0),MATCH(G42,'ei names mapping'!$B$136:$BL$136,0))</f>
        <v>-37.304347826086953</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128.65217391304347</v>
      </c>
      <c r="C43" t="s">
        <v>92</v>
      </c>
      <c r="D43" t="s">
        <v>233</v>
      </c>
      <c r="F43" t="s">
        <v>89</v>
      </c>
      <c r="H43" s="13" t="s">
        <v>841</v>
      </c>
    </row>
    <row r="44" spans="1:8" x14ac:dyDescent="0.2">
      <c r="A44" s="13" t="s">
        <v>441</v>
      </c>
      <c r="B44" s="2">
        <f>(B16/1000)*B28</f>
        <v>2045.5695652173913</v>
      </c>
      <c r="C44" t="s">
        <v>95</v>
      </c>
      <c r="D44" t="s">
        <v>233</v>
      </c>
      <c r="F44" t="s">
        <v>89</v>
      </c>
      <c r="H44" s="13" t="s">
        <v>441</v>
      </c>
    </row>
    <row r="45" spans="1:8" x14ac:dyDescent="0.2">
      <c r="B45" s="11"/>
    </row>
    <row r="46" spans="1:8" ht="16" x14ac:dyDescent="0.2">
      <c r="A46" s="10" t="s">
        <v>71</v>
      </c>
      <c r="B46" s="8" t="str">
        <f>B48&amp;", "&amp;B63&amp;" battery, "&amp;B50</f>
        <v>Scooter, electric, 4-11kW, NCA battery, 2030</v>
      </c>
    </row>
    <row r="47" spans="1:8" x14ac:dyDescent="0.2">
      <c r="A47" t="s">
        <v>72</v>
      </c>
      <c r="B47" t="s">
        <v>37</v>
      </c>
    </row>
    <row r="48" spans="1:8" x14ac:dyDescent="0.2">
      <c r="A48" t="s">
        <v>86</v>
      </c>
      <c r="B48" t="s">
        <v>569</v>
      </c>
    </row>
    <row r="49" spans="1:2" x14ac:dyDescent="0.2">
      <c r="A49" t="s">
        <v>87</v>
      </c>
    </row>
    <row r="50" spans="1:2" x14ac:dyDescent="0.2">
      <c r="A50" t="s">
        <v>88</v>
      </c>
      <c r="B50">
        <v>2030</v>
      </c>
    </row>
    <row r="51" spans="1:2" x14ac:dyDescent="0.2">
      <c r="A51" t="s">
        <v>126</v>
      </c>
      <c r="B51" t="str">
        <f>B48&amp;" - "&amp;B50&amp;" - "&amp;B63&amp;" - "&amp;B47</f>
        <v>Scooter, electric, 4-11kW - 2030 - NCA - CH</v>
      </c>
    </row>
    <row r="52" spans="1:2" x14ac:dyDescent="0.2">
      <c r="A52" t="s">
        <v>73</v>
      </c>
      <c r="B52" t="str">
        <f>B48</f>
        <v>Scooter, electric, 4-11kW</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1870</v>
      </c>
    </row>
    <row r="61" spans="1:2" x14ac:dyDescent="0.2">
      <c r="A61" t="s">
        <v>132</v>
      </c>
      <c r="B61" s="2">
        <f>INDEX('vehicles specifications'!$B$3:$CW$166,MATCH(B51,'vehicles specifications'!$A$3:$A$166,0),MATCH("Curb mass [kg]",'vehicles specifications'!$B$2:$CW$2,0))</f>
        <v>132.18</v>
      </c>
    </row>
    <row r="62" spans="1:2" x14ac:dyDescent="0.2">
      <c r="A62" t="s">
        <v>133</v>
      </c>
      <c r="B62">
        <f>INDEX('vehicles specifications'!$B$3:$CW$166,MATCH(B51,'vehicles specifications'!$A$3:$A$166,0),MATCH("Power [kW]",'vehicles specifications'!$B$2:$CW$2,0))</f>
        <v>6.1</v>
      </c>
    </row>
    <row r="63" spans="1:2" x14ac:dyDescent="0.2">
      <c r="A63" t="s">
        <v>652</v>
      </c>
      <c r="B63" s="20" t="s">
        <v>45</v>
      </c>
    </row>
    <row r="64" spans="1:2" x14ac:dyDescent="0.2">
      <c r="A64" t="s">
        <v>134</v>
      </c>
      <c r="B64">
        <f>INDEX('vehicles specifications'!$B$3:$CW$166,MATCH(B51,'vehicles specifications'!$A$3:$A$166,0),MATCH("Energy battery mass [kg]",'vehicles specifications'!$B$2:$CW$2,0))</f>
        <v>24.7</v>
      </c>
    </row>
    <row r="65" spans="1:8" x14ac:dyDescent="0.2">
      <c r="A65" t="s">
        <v>135</v>
      </c>
      <c r="B65">
        <f>INDEX('vehicles specifications'!$B$3:$CW$166,MATCH(B51,'vehicles specifications'!$A$3:$A$166,0),MATCH("Electric energy stored [kWh]",'vehicles specifications'!$B$2:$CW$2,0))</f>
        <v>5.7</v>
      </c>
    </row>
    <row r="66" spans="1:8" x14ac:dyDescent="0.2">
      <c r="A66" t="s">
        <v>588</v>
      </c>
      <c r="B66">
        <f>INDEX('vehicles specifications'!$B$3:$CW$166,MATCH(B51,'vehicles specifications'!$A$3:$A$166,0),MATCH("Electric energy available [kWh]",'vehicles specifications'!$B$2:$CW$2,0))</f>
        <v>4.5600000000000005</v>
      </c>
    </row>
    <row r="67" spans="1:8" x14ac:dyDescent="0.2">
      <c r="A67" t="s">
        <v>138</v>
      </c>
      <c r="B67" s="2">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86.666860236806102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NMC'!B57</f>
        <v>Power: 6.1 kW. Lifetime: 30000 km. Annual kilometers: 1870 km. Number of passengers: 1. Curb mass: 132.2 kg. Lightweighting of glider: 3%. Emission standard: None. Service visits throughout lifetime: 1.2. Range: 87 km. Battery capacity: 5.7 kWh. Available battery capacity: 4.56 kWh. Battery mass: 24.7 kg. Battery replacement throughout lifetime: 0.5.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Scooter, electric, 4-11kW, NCA battery, 2030</v>
      </c>
      <c r="B78">
        <v>1</v>
      </c>
      <c r="C78" t="str">
        <f>B47</f>
        <v>CH</v>
      </c>
      <c r="D78" t="str">
        <f>B54</f>
        <v>unit</v>
      </c>
      <c r="F78" t="s">
        <v>84</v>
      </c>
      <c r="G78" t="s">
        <v>85</v>
      </c>
      <c r="H78" t="str">
        <f>B48</f>
        <v>Scooter, electric, 4-11kW</v>
      </c>
    </row>
    <row r="79" spans="1:8" x14ac:dyDescent="0.2">
      <c r="A79" t="str">
        <f>INDEX('ei names mapping'!$B$4:$R$33,MATCH(B48,'ei names mapping'!$A$4:$A$33,0),MATCH(G79,'ei names mapping'!$B$3:$R$3,0))</f>
        <v>market for glider, for electric scooter</v>
      </c>
      <c r="B79" s="11">
        <f>INDEX('vehicles specifications'!$B$3:$CW$166,MATCH(B51,'vehicles specifications'!$A$3:$A$166,0),MATCH(G79,'vehicles specifications'!$B$2:$CW$2,0))*INDEX('ei names mapping'!$B$137:$BL$300,MATCH(B51,'ei names mapping'!$A$137:$A$300,0),MATCH(G79,'ei names mapping'!$B$136:$BL$136,0))</f>
        <v>84</v>
      </c>
      <c r="C79" t="str">
        <f>INDEX('ei names mapping'!$B$38:$R$67,MATCH(B48,'ei names mapping'!$A$4:$A$33,0),MATCH(G79,'ei names mapping'!$B$3:$R$3,0))</f>
        <v>GLO</v>
      </c>
      <c r="D79" t="str">
        <f>INDEX('ei names mapping'!$B$104:$R$133,MATCH(B48,'ei names mapping'!$A$104:$A$133,0),MATCH(G79,'ei names mapping'!$B$3:$R$3,0))</f>
        <v>kilogram</v>
      </c>
      <c r="F79" t="s">
        <v>89</v>
      </c>
      <c r="G79" t="s">
        <v>15</v>
      </c>
      <c r="H79" t="str">
        <f>INDEX('ei names mapping'!$B$71:$R$100,MATCH(B48,'ei names mapping'!$A$4:$A$33,0),MATCH(G79,'ei names mapping'!$B$3:$R$3,0))</f>
        <v>glider, for electric scooter</v>
      </c>
    </row>
    <row r="80" spans="1:8" x14ac:dyDescent="0.2">
      <c r="A80" t="str">
        <f>INDEX('ei names mapping'!$B$4:$R$33,MATCH(B48,'ei names mapping'!$A$4:$A$33,0),MATCH(G80,'ei names mapping'!$B$3:$R$3,0))</f>
        <v>Glider lightweighting</v>
      </c>
      <c r="B80" s="11">
        <f>INDEX('vehicles specifications'!$B$3:$CW$166,MATCH(B51,'vehicles specifications'!$A$3:$A$166,0),MATCH(G80,'vehicles specifications'!$B$2:$CW$2,0))*INDEX('ei names mapping'!$B$137:$BL$300,MATCH(B51,'ei names mapping'!$A$137:$A$300,0),MATCH(G80,'ei names mapping'!$B$136:$BL$136,0))</f>
        <v>2.52</v>
      </c>
      <c r="C80" t="str">
        <f>INDEX('ei names mapping'!$B$38:$R$67,MATCH(B48,'ei names mapping'!$A$4:$A$33,0),MATCH(G80,'ei names mapping'!$B$3:$R$3,0))</f>
        <v>GLO</v>
      </c>
      <c r="D80" t="str">
        <f>INDEX('ei names mapping'!$B$104:$R$133,MATCH(B48,'ei names mapping'!$A$104:$A$133,0),MATCH(G80,'ei names mapping'!$B$3:$R$3,0))</f>
        <v>kilogram</v>
      </c>
      <c r="F80" t="s">
        <v>89</v>
      </c>
      <c r="G80" t="s">
        <v>14</v>
      </c>
      <c r="H80" t="str">
        <f>INDEX('ei names mapping'!$B$71:$R$100,MATCH(B48,'ei names mapping'!$A$4:$A$33,0),MATCH(G80,'ei names mapping'!$B$3:$R$3,0))</f>
        <v>Glider lightweighting</v>
      </c>
    </row>
    <row r="81" spans="1:8" x14ac:dyDescent="0.2">
      <c r="A81" t="str">
        <f>INDEX('ei names mapping'!$B$4:$R$33,MATCH(B48,'ei names mapping'!$A$4:$A$33,0),MATCH(G81,'ei names mapping'!$B$3:$R$3,0))</f>
        <v>market for glider, for electric scooter</v>
      </c>
      <c r="B81" s="11">
        <f>INDEX('vehicles specifications'!$B$3:$CW$166,MATCH(B51,'vehicles specifications'!$A$3:$A$166,0),MATCH(G81,'vehicles specifications'!$B$2:$CW$2,0))*INDEX('ei names mapping'!$B$137:$BL$300,MATCH(B51,'ei names mapping'!$A$137:$A$300,0),MATCH(G81,'ei names mapping'!$B$136:$BL$136,0))</f>
        <v>10</v>
      </c>
      <c r="C81" t="str">
        <f>INDEX('ei names mapping'!$B$38:$R$67,MATCH(B48,'ei names mapping'!$A$4:$A$33,0),MATCH(G81,'ei names mapping'!$B$3:$R$3,0))</f>
        <v>GLO</v>
      </c>
      <c r="D81" t="str">
        <f>INDEX('ei names mapping'!$B$104:$R$133,MATCH(B48,'ei names mapping'!$A$104:$A$133,0),MATCH(G81,'ei names mapping'!$B$3:$R$3,0))</f>
        <v>kilogram</v>
      </c>
      <c r="F81" t="s">
        <v>89</v>
      </c>
      <c r="G81" t="s">
        <v>16</v>
      </c>
      <c r="H81" t="str">
        <f>INDEX('ei names mapping'!$B$71:$R$100,MATCH(B48,'ei names mapping'!$A$4:$A$33,0),MATCH(G81,'ei names mapping'!$B$3:$R$3,0))</f>
        <v>glider, for electric scooter</v>
      </c>
    </row>
    <row r="82" spans="1:8" x14ac:dyDescent="0.2">
      <c r="A82" t="str">
        <f>INDEX('ei names mapping'!$B$4:$R$33,MATCH(B48,'ei names mapping'!$A$4:$A$33,0),MATCH(G82,'ei names mapping'!$B$3:$R$3,0))</f>
        <v>market for electric powertrain, for electric scooter</v>
      </c>
      <c r="B82" s="11">
        <f>INDEX('vehicles specifications'!$B$3:$CW$166,MATCH(B51,'vehicles specifications'!$A$3:$A$166,0),MATCH(G82,'vehicles specifications'!$B$2:$CW$2,0))*INDEX('ei names mapping'!$B$137:$BL$300,MATCH(B51,'ei names mapping'!$A$137:$A$300,0),MATCH(G82,'ei names mapping'!$B$136:$BL$136,0))</f>
        <v>16</v>
      </c>
      <c r="C82" t="str">
        <f>INDEX('ei names mapping'!$B$38:$R$67,MATCH(B48,'ei names mapping'!$A$4:$A$33,0),MATCH(G82,'ei names mapping'!$B$3:$R$3,0))</f>
        <v>GLO</v>
      </c>
      <c r="D82" t="str">
        <f>INDEX('ei names mapping'!$B$104:$R$133,MATCH(B48,'ei names mapping'!$A$104:$A$133,0),MATCH(G82,'ei names mapping'!$B$3:$R$3,0))</f>
        <v>kilogram</v>
      </c>
      <c r="F82" t="s">
        <v>89</v>
      </c>
      <c r="G82" t="s">
        <v>501</v>
      </c>
      <c r="H82" t="str">
        <f>INDEX('ei names mapping'!$B$71:$R$100,MATCH(B48,'ei names mapping'!$A$4:$A$33,0),MATCH(G82,'ei names mapping'!$B$3:$R$3,0))</f>
        <v>powertrain, for electric scooter</v>
      </c>
    </row>
    <row r="83" spans="1:8" x14ac:dyDescent="0.2">
      <c r="A83" t="s">
        <v>760</v>
      </c>
      <c r="B83" s="11">
        <f>INDEX('vehicles specifications'!$B$3:$CW$166,MATCH(B51,'vehicles specifications'!$A$3:$A$166,0),MATCH(G83,'vehicles specifications'!$B$2:$CW$2,0))*INDEX('ei names mapping'!$B$137:$BL$300,MATCH(B51,'ei names mapping'!$A$137:$A$300,0),MATCH(G83,'ei names mapping'!$B$136:$BL$136,0))</f>
        <v>28.5</v>
      </c>
      <c r="C83" t="str">
        <f>INDEX('ei names mapping'!$B$38:$R$67,MATCH(B48,'ei names mapping'!$A$4:$A$33,0),MATCH(G83,'ei names mapping'!$B$3:$R$3,0))</f>
        <v>GLO</v>
      </c>
      <c r="D83" t="str">
        <f>INDEX('ei names mapping'!$B$104:$R$133,MATCH(B48,'ei names mapping'!$A$104:$A$133,0),MATCH(G83,'ei names mapping'!$B$3:$R$3,0))</f>
        <v>kilogram</v>
      </c>
      <c r="F83" t="s">
        <v>89</v>
      </c>
      <c r="G83" t="s">
        <v>19</v>
      </c>
      <c r="H83" t="str">
        <f>INDEX('ei names mapping'!$B$71:$R$100,MATCH(B48,'ei names mapping'!$A$4:$A$33,0),MATCH(G83,'ei names mapping'!$B$3:$R$3,0))</f>
        <v>Battery cell</v>
      </c>
    </row>
    <row r="84" spans="1:8" x14ac:dyDescent="0.2">
      <c r="A84" t="str">
        <f>INDEX('ei names mapping'!$B$4:$R$33,MATCH(B48,'ei names mapping'!$A$4:$A$33,0),MATCH(G84,'ei names mapping'!$B$3:$R$3,0))</f>
        <v>Battery BoP</v>
      </c>
      <c r="B84" s="11">
        <f>INDEX('vehicles specifications'!$B$3:$CW$166,MATCH(B51,'vehicles specifications'!$A$3:$A$166,0),MATCH(G84,'vehicles specifications'!$B$2:$CW$2,0))*INDEX('ei names mapping'!$B$137:$BL$300,MATCH(B51,'ei names mapping'!$A$137:$A$300,0),MATCH(G84,'ei names mapping'!$B$136:$BL$136,0))</f>
        <v>8.5500000000000007</v>
      </c>
      <c r="C84" t="str">
        <f>INDEX('ei names mapping'!$B$38:$R$67,MATCH(B48,'ei names mapping'!$A$4:$A$33,0),MATCH(G84,'ei names mapping'!$B$3:$R$3,0))</f>
        <v>GLO</v>
      </c>
      <c r="D84" t="str">
        <f>INDEX('ei names mapping'!$B$104:$R$133,MATCH(B48,'ei names mapping'!$A$104:$A$133,0),MATCH(G84,'ei names mapping'!$B$3:$R$3,0))</f>
        <v>kilogram</v>
      </c>
      <c r="F84" t="s">
        <v>89</v>
      </c>
      <c r="G84" t="s">
        <v>20</v>
      </c>
      <c r="H84" t="str">
        <f>INDEX('ei names mapping'!$B$71:$R$100,MATCH(B48,'ei names mapping'!$A$4:$A$33,0),MATCH(G84,'ei names mapping'!$B$3:$R$3,0))</f>
        <v>Battery BoP</v>
      </c>
    </row>
    <row r="85" spans="1:8" x14ac:dyDescent="0.2">
      <c r="A85" t="str">
        <f>INDEX('ei names mapping'!$B$4:$R$33,MATCH(B48,'ei names mapping'!$A$4:$A$33,0),MATCH(G85,'ei names mapping'!$B$3:$R$3,0))</f>
        <v>charging station, 3kW</v>
      </c>
      <c r="B85" s="11">
        <f>INDEX('vehicles specifications'!$B$3:$CW$166,MATCH(B51,'vehicles specifications'!$A$3:$A$166,0),MATCH(G85,'vehicles specifications'!$B$2:$CW$2,0))*INDEX('ei names mapping'!$B$137:$BL$300,MATCH(B51,'ei names mapping'!$A$137:$A$300,0),MATCH(G85,'ei names mapping'!$B$136:$BL$136,0))</f>
        <v>1</v>
      </c>
      <c r="C85" t="str">
        <f>INDEX('ei names mapping'!$B$38:$R$67,MATCH(B48,'ei names mapping'!$A$4:$A$33,0),MATCH(G85,'ei names mapping'!$B$3:$R$3,0))</f>
        <v>GLO</v>
      </c>
      <c r="D85" t="str">
        <f>INDEX('ei names mapping'!$B$104:$R$133,MATCH(B48,'ei names mapping'!$A$104:$A$133,0),MATCH(G85,'ei names mapping'!$B$3:$R$3,0))</f>
        <v>unit</v>
      </c>
      <c r="F85" t="s">
        <v>89</v>
      </c>
      <c r="G85" t="s">
        <v>52</v>
      </c>
      <c r="H85" t="str">
        <f>INDEX('ei names mapping'!$B$71:$R$100,MATCH(B48,'ei names mapping'!$A$4:$A$33,0),MATCH(G85,'ei names mapping'!$B$3:$R$3,0))</f>
        <v>charging station, 3kW</v>
      </c>
    </row>
    <row r="86" spans="1:8" x14ac:dyDescent="0.2">
      <c r="A86" t="str">
        <f>INDEX('ei names mapping'!$B$4:$R$33,MATCH(B48,'ei names mapping'!$A$4:$A$33,0),MATCH(G86,'ei names mapping'!$B$3:$R$3,0))</f>
        <v>manual dismantling of used electric scooter</v>
      </c>
      <c r="B86" s="11">
        <f>INDEX('vehicles specifications'!$B$3:$CW$166,MATCH(B51,'vehicles specifications'!$A$3:$A$166,0),MATCH(G86,'vehicles specifications'!$B$2:$CW$2,0))*INDEX('ei names mapping'!$B$137:$BL$300,MATCH(B51,'ei names mapping'!$A$137:$A$300,0),MATCH(G86,'ei names mapping'!$B$136:$BL$136,0))</f>
        <v>81.48</v>
      </c>
      <c r="C86" t="str">
        <f>INDEX('ei names mapping'!$B$38:$R$67,MATCH(B48,'ei names mapping'!$A$4:$A$33,0),MATCH(G86,'ei names mapping'!$B$3:$R$3,0))</f>
        <v>GLO</v>
      </c>
      <c r="D86" t="str">
        <f>INDEX('ei names mapping'!$B$104:$R$133,MATCH(B48,'ei names mapping'!$A$104:$A$133,0),MATCH(G86,'ei names mapping'!$B$3:$R$3,0))</f>
        <v>unit</v>
      </c>
      <c r="F86" t="s">
        <v>89</v>
      </c>
      <c r="G86" t="s">
        <v>144</v>
      </c>
      <c r="H86" t="str">
        <f>INDEX('ei names mapping'!$B$71:$R$100,MATCH(B48,'ei names mapping'!$A$4:$A$33,0),MATCH(G86,'ei names mapping'!$B$3:$R$3,0))</f>
        <v>manual dismantling of electric scooter</v>
      </c>
    </row>
    <row r="87" spans="1:8" x14ac:dyDescent="0.2">
      <c r="A87" t="str">
        <f>INDEX('ei names mapping'!$B$4:$R$33,MATCH(B48,'ei names mapping'!$A$4:$A$33,0),MATCH(G87,'ei names mapping'!$B$3:$R$3,0))</f>
        <v>manual dismantling of used electric scooter</v>
      </c>
      <c r="B87" s="11">
        <f>INDEX('vehicles specifications'!$B$3:$CW$166,MATCH(B51,'vehicles specifications'!$A$3:$A$166,0),MATCH(G87,'vehicles specifications'!$B$2:$CW$2,0))*INDEX('ei names mapping'!$B$137:$BL$300,MATCH(B51,'ei names mapping'!$A$137:$A$300,0),MATCH(G87,'ei names mapping'!$B$136:$BL$136,0))</f>
        <v>26</v>
      </c>
      <c r="C87" t="str">
        <f>INDEX('ei names mapping'!$B$38:$R$67,MATCH(B48,'ei names mapping'!$A$4:$A$33,0),MATCH(G87,'ei names mapping'!$B$3:$R$3,0))</f>
        <v>GLO</v>
      </c>
      <c r="D87" t="str">
        <f>INDEX('ei names mapping'!$B$104:$R$133,MATCH(B48,'ei names mapping'!$A$104:$A$133,0),MATCH(G87,'ei names mapping'!$B$3:$R$3,0))</f>
        <v>unit</v>
      </c>
      <c r="F87" t="s">
        <v>89</v>
      </c>
      <c r="G87" t="s">
        <v>145</v>
      </c>
      <c r="H87" t="str">
        <f>INDEX('ei names mapping'!$B$71:$R$100,MATCH(B48,'ei names mapping'!$A$4:$A$33,0),MATCH(G87,'ei names mapping'!$B$3:$R$3,0))</f>
        <v>manual dismantling of electric scooter</v>
      </c>
    </row>
    <row r="88" spans="1:8" x14ac:dyDescent="0.2">
      <c r="A88" t="str">
        <f>INDEX('ei names mapping'!$B$4:$R$33,MATCH(B48,'ei names mapping'!$A$4:$A$33,0),MATCH(G88,'ei names mapping'!$B$3:$R$3,0))</f>
        <v>market for used Li-ion battery</v>
      </c>
      <c r="B88" s="11">
        <f>INDEX('vehicles specifications'!$B$3:$CW$166,MATCH(B51,'vehicles specifications'!$A$3:$A$166,0),MATCH(G88,'vehicles specifications'!$B$2:$CW$2,0))*INDEX('ei names mapping'!$B$137:$BL$300,MATCH(B51,'ei names mapping'!$A$137:$A$300,0),MATCH(G88,'ei names mapping'!$B$136:$BL$136,0))</f>
        <v>-37.049999999999997</v>
      </c>
      <c r="C88" t="str">
        <f>INDEX('ei names mapping'!$B$38:$R$67,MATCH(B48,'ei names mapping'!$A$4:$A$33,0),MATCH(G88,'ei names mapping'!$B$3:$R$3,0))</f>
        <v>GLO</v>
      </c>
      <c r="D88" t="str">
        <f>INDEX('ei names mapping'!$B$104:$R$133,MATCH(B48,'ei names mapping'!$A$104:$A$133,0),MATCH(G88,'ei names mapping'!$B$3:$R$3,0))</f>
        <v>kilogram</v>
      </c>
      <c r="F88" t="s">
        <v>89</v>
      </c>
      <c r="G88" t="s">
        <v>146</v>
      </c>
      <c r="H88" t="str">
        <f>INDEX('ei names mapping'!$B$71:$R$100,MATCH(B48,'ei names mapping'!$A$4:$A$33,0),MATCH(G88,'ei names mapping'!$B$3:$R$3,0))</f>
        <v>used Li-ion battery</v>
      </c>
    </row>
    <row r="89" spans="1:8" x14ac:dyDescent="0.2">
      <c r="A89" s="13" t="s">
        <v>840</v>
      </c>
      <c r="B89">
        <f>(B61/1000)*B74</f>
        <v>132.18</v>
      </c>
      <c r="C89" t="s">
        <v>92</v>
      </c>
      <c r="D89" t="s">
        <v>233</v>
      </c>
      <c r="F89" t="s">
        <v>89</v>
      </c>
      <c r="H89" s="13" t="s">
        <v>841</v>
      </c>
    </row>
    <row r="90" spans="1:8" x14ac:dyDescent="0.2">
      <c r="A90" s="13" t="s">
        <v>441</v>
      </c>
      <c r="B90" s="2">
        <f>(B61/1000)*B73</f>
        <v>2101.6620000000003</v>
      </c>
      <c r="C90" t="s">
        <v>95</v>
      </c>
      <c r="D90" t="s">
        <v>233</v>
      </c>
      <c r="F90" t="s">
        <v>89</v>
      </c>
      <c r="H90" s="13" t="s">
        <v>441</v>
      </c>
    </row>
    <row r="92" spans="1:8" ht="16" x14ac:dyDescent="0.2">
      <c r="A92" s="10" t="s">
        <v>71</v>
      </c>
      <c r="B92" s="8" t="str">
        <f>B94&amp;", "&amp;B109&amp;" battery, "&amp;B96</f>
        <v>Scooter, electric, 4-11kW, NCA battery, 2040</v>
      </c>
    </row>
    <row r="93" spans="1:8" x14ac:dyDescent="0.2">
      <c r="A93" t="s">
        <v>72</v>
      </c>
      <c r="B93" t="s">
        <v>37</v>
      </c>
    </row>
    <row r="94" spans="1:8" x14ac:dyDescent="0.2">
      <c r="A94" t="s">
        <v>86</v>
      </c>
      <c r="B94" t="s">
        <v>569</v>
      </c>
    </row>
    <row r="95" spans="1:8" x14ac:dyDescent="0.2">
      <c r="A95" t="s">
        <v>87</v>
      </c>
    </row>
    <row r="96" spans="1:8" x14ac:dyDescent="0.2">
      <c r="A96" t="s">
        <v>88</v>
      </c>
      <c r="B96">
        <v>2040</v>
      </c>
    </row>
    <row r="97" spans="1:2" x14ac:dyDescent="0.2">
      <c r="A97" t="s">
        <v>126</v>
      </c>
      <c r="B97" t="str">
        <f>B94&amp;" - "&amp;B96&amp;" - "&amp;B109&amp;" - "&amp;B93</f>
        <v>Scooter, electric, 4-11kW - 2040 - NCA - CH</v>
      </c>
    </row>
    <row r="98" spans="1:2" x14ac:dyDescent="0.2">
      <c r="A98" t="s">
        <v>73</v>
      </c>
      <c r="B98" t="str">
        <f>B94</f>
        <v>Scooter, electric, 4-11kW</v>
      </c>
    </row>
    <row r="99" spans="1:2" x14ac:dyDescent="0.2">
      <c r="A99" t="s">
        <v>74</v>
      </c>
      <c r="B99" t="s">
        <v>75</v>
      </c>
    </row>
    <row r="100" spans="1:2" x14ac:dyDescent="0.2">
      <c r="A100" t="s">
        <v>76</v>
      </c>
      <c r="B100" t="s">
        <v>76</v>
      </c>
    </row>
    <row r="101" spans="1:2" x14ac:dyDescent="0.2">
      <c r="A101" t="s">
        <v>78</v>
      </c>
      <c r="B101" t="s">
        <v>1143</v>
      </c>
    </row>
    <row r="102" spans="1:2" x14ac:dyDescent="0.2">
      <c r="A102" t="s">
        <v>127</v>
      </c>
      <c r="B102">
        <f>INDEX('vehicles specifications'!$B$3:$CW$166,MATCH(B97,'vehicles specifications'!$A$3:$A$166,0),MATCH("Lifetime [km]",'vehicles specifications'!$B$2:$CW$2,0))</f>
        <v>30000</v>
      </c>
    </row>
    <row r="103" spans="1:2" x14ac:dyDescent="0.2">
      <c r="A103" t="s">
        <v>128</v>
      </c>
      <c r="B103">
        <f>INDEX('vehicles specifications'!$B$3:$CW$166,MATCH(B97,'vehicles specifications'!$A$3:$A$166,0),MATCH("Passengers [unit]",'vehicles specifications'!$B$2:$CW$2,0))</f>
        <v>1</v>
      </c>
    </row>
    <row r="104" spans="1:2" x14ac:dyDescent="0.2">
      <c r="A104" t="s">
        <v>129</v>
      </c>
      <c r="B104">
        <f>INDEX('vehicles specifications'!$B$3:$CW$166,MATCH(B97,'vehicles specifications'!$A$3:$A$166,0),MATCH("Servicing [unit]",'vehicles specifications'!$B$2:$CW$2,0))</f>
        <v>1.2</v>
      </c>
    </row>
    <row r="105" spans="1:2" x14ac:dyDescent="0.2">
      <c r="A105" t="s">
        <v>130</v>
      </c>
      <c r="B105">
        <f>INDEX('vehicles specifications'!$B$3:$CW$166,MATCH(B97,'vehicles specifications'!$A$3:$A$166,0),MATCH("Energy battery replacement [unit]",'vehicles specifications'!$B$2:$CW$2,0))</f>
        <v>0.25</v>
      </c>
    </row>
    <row r="106" spans="1:2" x14ac:dyDescent="0.2">
      <c r="A106" t="s">
        <v>131</v>
      </c>
      <c r="B106">
        <f>INDEX('vehicles specifications'!$B$3:$CW$166,MATCH(B97,'vehicles specifications'!$A$3:$A$166,0),MATCH("Annual kilometers [km]",'vehicles specifications'!$B$2:$CW$2,0))</f>
        <v>1870</v>
      </c>
    </row>
    <row r="107" spans="1:2" x14ac:dyDescent="0.2">
      <c r="A107" t="s">
        <v>132</v>
      </c>
      <c r="B107" s="2">
        <f>INDEX('vehicles specifications'!$B$3:$CW$166,MATCH(B97,'vehicles specifications'!$A$3:$A$166,0),MATCH("Curb mass [kg]",'vehicles specifications'!$B$2:$CW$2,0))</f>
        <v>132.44999999999999</v>
      </c>
    </row>
    <row r="108" spans="1:2" x14ac:dyDescent="0.2">
      <c r="A108" t="s">
        <v>133</v>
      </c>
      <c r="B108">
        <f>INDEX('vehicles specifications'!$B$3:$CW$166,MATCH(B97,'vehicles specifications'!$A$3:$A$166,0),MATCH("Power [kW]",'vehicles specifications'!$B$2:$CW$2,0))</f>
        <v>6.1</v>
      </c>
    </row>
    <row r="109" spans="1:2" x14ac:dyDescent="0.2">
      <c r="A109" t="s">
        <v>652</v>
      </c>
      <c r="B109" s="20" t="s">
        <v>45</v>
      </c>
    </row>
    <row r="110" spans="1:2" x14ac:dyDescent="0.2">
      <c r="A110" t="s">
        <v>134</v>
      </c>
      <c r="B110">
        <f>INDEX('vehicles specifications'!$B$3:$CW$166,MATCH(B97,'vehicles specifications'!$A$3:$A$166,0),MATCH("Energy battery mass [kg]",'vehicles specifications'!$B$2:$CW$2,0))</f>
        <v>26.649999999999995</v>
      </c>
    </row>
    <row r="111" spans="1:2" x14ac:dyDescent="0.2">
      <c r="A111" t="s">
        <v>135</v>
      </c>
      <c r="B111">
        <f>INDEX('vehicles specifications'!$B$3:$CW$166,MATCH(B97,'vehicles specifications'!$A$3:$A$166,0),MATCH("Electric energy stored [kWh]",'vehicles specifications'!$B$2:$CW$2,0))</f>
        <v>8.1999999999999993</v>
      </c>
    </row>
    <row r="112" spans="1:2" x14ac:dyDescent="0.2">
      <c r="A112" t="s">
        <v>588</v>
      </c>
      <c r="B112">
        <f>INDEX('vehicles specifications'!$B$3:$CW$166,MATCH(B97,'vehicles specifications'!$A$3:$A$166,0),MATCH("Electric energy available [kWh]",'vehicles specifications'!$B$2:$CW$2,0))</f>
        <v>6.56</v>
      </c>
    </row>
    <row r="113" spans="1:8" x14ac:dyDescent="0.2">
      <c r="A113" t="s">
        <v>138</v>
      </c>
      <c r="B113" s="2">
        <f>INDEX('vehicles specifications'!$B$3:$CW$166,MATCH(B97,'vehicles specifications'!$A$3:$A$166,0),MATCH("Oxydation energy stored [kWh]",'vehicles specifications'!$B$2:$CW$2,0))</f>
        <v>0</v>
      </c>
    </row>
    <row r="114" spans="1:8" x14ac:dyDescent="0.2">
      <c r="A114" t="s">
        <v>139</v>
      </c>
      <c r="B114">
        <f>INDEX('vehicles specifications'!$B$3:$CW$166,MATCH(B97,'vehicles specifications'!$A$3:$A$166,0),MATCH("Fuel mass [kg]",'vehicles specifications'!$B$2:$CW$2,0))</f>
        <v>0</v>
      </c>
    </row>
    <row r="115" spans="1:8" x14ac:dyDescent="0.2">
      <c r="A115" t="s">
        <v>136</v>
      </c>
      <c r="B115" s="2">
        <f>INDEX('vehicles specifications'!$B$3:$CW$166,MATCH(B97,'vehicles specifications'!$A$3:$A$166,0),MATCH("Range [km]",'vehicles specifications'!$B$2:$CW$2,0))</f>
        <v>124.6786410424228</v>
      </c>
    </row>
    <row r="116" spans="1:8" x14ac:dyDescent="0.2">
      <c r="A116" t="s">
        <v>137</v>
      </c>
      <c r="B116" t="str">
        <f>INDEX('vehicles specifications'!$B$3:$CW$166,MATCH(B97,'vehicles specifications'!$A$3:$A$166,0),MATCH("Emission standard",'vehicles specifications'!$B$2:$CW$2,0))</f>
        <v>None</v>
      </c>
    </row>
    <row r="117" spans="1:8" x14ac:dyDescent="0.2">
      <c r="A117" t="s">
        <v>1174</v>
      </c>
      <c r="B117" s="6">
        <f>INDEX('vehicles specifications'!$B$3:$CW$166,MATCH(B97,'vehicles specifications'!$A$3:$A$166,0),MATCH("Lightweighting rate [%]",'vehicles specifications'!$B$2:$CW$2,0))</f>
        <v>0.05</v>
      </c>
    </row>
    <row r="118" spans="1:8" x14ac:dyDescent="0.2">
      <c r="A118" t="s">
        <v>485</v>
      </c>
      <c r="B118" s="6" t="s">
        <v>486</v>
      </c>
    </row>
    <row r="119" spans="1:8" x14ac:dyDescent="0.2">
      <c r="A119" t="s">
        <v>487</v>
      </c>
      <c r="B119" s="2">
        <v>15900</v>
      </c>
    </row>
    <row r="120" spans="1:8" x14ac:dyDescent="0.2">
      <c r="A120" t="s">
        <v>488</v>
      </c>
      <c r="B120" s="2">
        <v>1000</v>
      </c>
    </row>
    <row r="121" spans="1:8" x14ac:dyDescent="0.2">
      <c r="A121" t="s">
        <v>83</v>
      </c>
      <c r="B121" t="str">
        <f>"Power: "&amp;B108&amp;" kW. Lifetime: "&amp;B102&amp;" km. Annual kilometers: "&amp;ROUND(B106,0)&amp;" km. Number of passengers: "&amp;ROUND(B103,1)&amp;". Curb mass: "&amp;ROUND(B107,1)&amp;" kg. Lightweighting of glider: "&amp;ROUND(B117*100,0)&amp;"%. Emission standard: "&amp;B116&amp;". Service visits throughout lifetime: "&amp;ROUND(B104,1)&amp;". Range: "&amp;ROUND(B115,0)&amp;" km. Battery capacity: "&amp;ROUND(B111,1)&amp;" kWh. Available battery capacity: "&amp;B112&amp;" kWh. Battery mass: "&amp;ROUND(B110,1)&amp; " kg. Battery replacement throughout lifetime: "&amp;ROUND(B105,1)&amp;". Fuel tank capacity: "&amp;ROUND(B113,1)&amp;" kWh. Fuel mass: "&amp;ROUND(B114,1)&amp;" kg. Origin of manufacture: "&amp;B118&amp;". Shipping distance: "&amp;B119&amp;" km. Lorry distribution distance: "&amp;B120&amp;" km. Documentation: "&amp;Readmefirst!$B$2&amp;", "&amp;Readmefirst!$B$3&amp;". "&amp;'lci-kick scooter - NMC'!B104</f>
        <v>Power: 6.1 kW. Lifetime: 30000 km. Annual kilometers: 1870 km. Number of passengers: 1. Curb mass: 132.5 kg. Lightweighting of glider: 5%. Emission standard: None. Service visits throughout lifetime: 1.2. Range: 125 km. Battery capacity: 8.2 kWh. Available battery capacity: 6.56 kWh. Battery mass: 26.7 kg. Battery replacement throughout lifetime: 0.3. Fuel tank capacity: 0 kWh. Fuel mass: 0 kg. Origin of manufacture: China. Shipping distance: 15900 km. Lorry distribution distance: 1000 km. Documentation: Life-cycle inventories for on-road vehicles, Sacchi R. (PSI), Bauer C. (PSI), 2021. 1</v>
      </c>
    </row>
    <row r="122" spans="1:8" ht="16" x14ac:dyDescent="0.2">
      <c r="A122" s="10" t="s">
        <v>79</v>
      </c>
    </row>
    <row r="123" spans="1:8" x14ac:dyDescent="0.2">
      <c r="A123" t="s">
        <v>80</v>
      </c>
      <c r="B123" t="s">
        <v>81</v>
      </c>
      <c r="C123" t="s">
        <v>72</v>
      </c>
      <c r="D123" t="s">
        <v>76</v>
      </c>
      <c r="E123" t="s">
        <v>82</v>
      </c>
      <c r="F123" t="s">
        <v>74</v>
      </c>
      <c r="G123" t="s">
        <v>83</v>
      </c>
      <c r="H123" t="s">
        <v>73</v>
      </c>
    </row>
    <row r="124" spans="1:8" x14ac:dyDescent="0.2">
      <c r="A124" t="str">
        <f>B92</f>
        <v>Scooter, electric, 4-11kW, NCA battery, 2040</v>
      </c>
      <c r="B124">
        <v>1</v>
      </c>
      <c r="C124" t="str">
        <f>B93</f>
        <v>CH</v>
      </c>
      <c r="D124" t="str">
        <f>B100</f>
        <v>unit</v>
      </c>
      <c r="F124" t="s">
        <v>84</v>
      </c>
      <c r="G124" t="s">
        <v>85</v>
      </c>
      <c r="H124" t="str">
        <f>B94</f>
        <v>Scooter, electric, 4-11kW</v>
      </c>
    </row>
    <row r="125" spans="1:8" x14ac:dyDescent="0.2">
      <c r="A125" t="str">
        <f>INDEX('ei names mapping'!$B$4:$R$33,MATCH(B94,'ei names mapping'!$A$4:$A$33,0),MATCH(G125,'ei names mapping'!$B$3:$R$3,0))</f>
        <v>market for glider, for electric scooter</v>
      </c>
      <c r="B125" s="11">
        <f>INDEX('vehicles specifications'!$B$3:$CW$166,MATCH(B97,'vehicles specifications'!$A$3:$A$166,0),MATCH(G125,'vehicles specifications'!$B$2:$CW$2,0))*INDEX('ei names mapping'!$B$137:$BL$300,MATCH(B97,'ei names mapping'!$A$137:$A$300,0),MATCH(G125,'ei names mapping'!$B$136:$BL$136,0))</f>
        <v>84</v>
      </c>
      <c r="C125" t="str">
        <f>INDEX('ei names mapping'!$B$38:$R$67,MATCH(B94,'ei names mapping'!$A$4:$A$33,0),MATCH(G125,'ei names mapping'!$B$3:$R$3,0))</f>
        <v>GLO</v>
      </c>
      <c r="D125" t="str">
        <f>INDEX('ei names mapping'!$B$104:$R$133,MATCH(B94,'ei names mapping'!$A$104:$A$133,0),MATCH(G125,'ei names mapping'!$B$3:$R$3,0))</f>
        <v>kilogram</v>
      </c>
      <c r="F125" t="s">
        <v>89</v>
      </c>
      <c r="G125" t="s">
        <v>15</v>
      </c>
      <c r="H125" t="str">
        <f>INDEX('ei names mapping'!$B$71:$R$100,MATCH(B94,'ei names mapping'!$A$4:$A$33,0),MATCH(G125,'ei names mapping'!$B$3:$R$3,0))</f>
        <v>glider, for electric scooter</v>
      </c>
    </row>
    <row r="126" spans="1:8" x14ac:dyDescent="0.2">
      <c r="A126" t="str">
        <f>INDEX('ei names mapping'!$B$4:$R$33,MATCH(B94,'ei names mapping'!$A$4:$A$33,0),MATCH(G126,'ei names mapping'!$B$3:$R$3,0))</f>
        <v>Glider lightweighting</v>
      </c>
      <c r="B126" s="11">
        <f>INDEX('vehicles specifications'!$B$3:$CW$166,MATCH(B97,'vehicles specifications'!$A$3:$A$166,0),MATCH(G126,'vehicles specifications'!$B$2:$CW$2,0))*INDEX('ei names mapping'!$B$137:$BL$300,MATCH(B97,'ei names mapping'!$A$137:$A$300,0),MATCH(G126,'ei names mapping'!$B$136:$BL$136,0))</f>
        <v>4.2</v>
      </c>
      <c r="C126" t="str">
        <f>INDEX('ei names mapping'!$B$38:$R$67,MATCH(B94,'ei names mapping'!$A$4:$A$33,0),MATCH(G126,'ei names mapping'!$B$3:$R$3,0))</f>
        <v>GLO</v>
      </c>
      <c r="D126" t="str">
        <f>INDEX('ei names mapping'!$B$104:$R$133,MATCH(B94,'ei names mapping'!$A$104:$A$133,0),MATCH(G126,'ei names mapping'!$B$3:$R$3,0))</f>
        <v>kilogram</v>
      </c>
      <c r="F126" t="s">
        <v>89</v>
      </c>
      <c r="G126" t="s">
        <v>14</v>
      </c>
      <c r="H126" t="str">
        <f>INDEX('ei names mapping'!$B$71:$R$100,MATCH(B94,'ei names mapping'!$A$4:$A$33,0),MATCH(G126,'ei names mapping'!$B$3:$R$3,0))</f>
        <v>Glider lightweighting</v>
      </c>
    </row>
    <row r="127" spans="1:8" x14ac:dyDescent="0.2">
      <c r="A127" t="str">
        <f>INDEX('ei names mapping'!$B$4:$R$33,MATCH(B94,'ei names mapping'!$A$4:$A$33,0),MATCH(G127,'ei names mapping'!$B$3:$R$3,0))</f>
        <v>market for glider, for electric scooter</v>
      </c>
      <c r="B127" s="11">
        <f>INDEX('vehicles specifications'!$B$3:$CW$166,MATCH(B97,'vehicles specifications'!$A$3:$A$166,0),MATCH(G127,'vehicles specifications'!$B$2:$CW$2,0))*INDEX('ei names mapping'!$B$137:$BL$300,MATCH(B97,'ei names mapping'!$A$137:$A$300,0),MATCH(G127,'ei names mapping'!$B$136:$BL$136,0))</f>
        <v>10</v>
      </c>
      <c r="C127" t="str">
        <f>INDEX('ei names mapping'!$B$38:$R$67,MATCH(B94,'ei names mapping'!$A$4:$A$33,0),MATCH(G127,'ei names mapping'!$B$3:$R$3,0))</f>
        <v>GLO</v>
      </c>
      <c r="D127" t="str">
        <f>INDEX('ei names mapping'!$B$104:$R$133,MATCH(B94,'ei names mapping'!$A$104:$A$133,0),MATCH(G127,'ei names mapping'!$B$3:$R$3,0))</f>
        <v>kilogram</v>
      </c>
      <c r="F127" t="s">
        <v>89</v>
      </c>
      <c r="G127" t="s">
        <v>16</v>
      </c>
      <c r="H127" t="str">
        <f>INDEX('ei names mapping'!$B$71:$R$100,MATCH(B94,'ei names mapping'!$A$4:$A$33,0),MATCH(G127,'ei names mapping'!$B$3:$R$3,0))</f>
        <v>glider, for electric scooter</v>
      </c>
    </row>
    <row r="128" spans="1:8" x14ac:dyDescent="0.2">
      <c r="A128" t="str">
        <f>INDEX('ei names mapping'!$B$4:$R$33,MATCH(B94,'ei names mapping'!$A$4:$A$33,0),MATCH(G128,'ei names mapping'!$B$3:$R$3,0))</f>
        <v>market for electric powertrain, for electric scooter</v>
      </c>
      <c r="B128" s="11">
        <f>INDEX('vehicles specifications'!$B$3:$CW$166,MATCH(B97,'vehicles specifications'!$A$3:$A$166,0),MATCH(G128,'vehicles specifications'!$B$2:$CW$2,0))*INDEX('ei names mapping'!$B$137:$BL$300,MATCH(B97,'ei names mapping'!$A$137:$A$300,0),MATCH(G128,'ei names mapping'!$B$136:$BL$136,0))</f>
        <v>16</v>
      </c>
      <c r="C128" t="str">
        <f>INDEX('ei names mapping'!$B$38:$R$67,MATCH(B94,'ei names mapping'!$A$4:$A$33,0),MATCH(G128,'ei names mapping'!$B$3:$R$3,0))</f>
        <v>GLO</v>
      </c>
      <c r="D128" t="str">
        <f>INDEX('ei names mapping'!$B$104:$R$133,MATCH(B94,'ei names mapping'!$A$104:$A$133,0),MATCH(G128,'ei names mapping'!$B$3:$R$3,0))</f>
        <v>kilogram</v>
      </c>
      <c r="F128" t="s">
        <v>89</v>
      </c>
      <c r="G128" t="s">
        <v>501</v>
      </c>
      <c r="H128" t="str">
        <f>INDEX('ei names mapping'!$B$71:$R$100,MATCH(B94,'ei names mapping'!$A$4:$A$33,0),MATCH(G128,'ei names mapping'!$B$3:$R$3,0))</f>
        <v>powertrain, for electric scooter</v>
      </c>
    </row>
    <row r="129" spans="1:8" x14ac:dyDescent="0.2">
      <c r="A129" t="s">
        <v>760</v>
      </c>
      <c r="B129" s="11">
        <f>INDEX('vehicles specifications'!$B$3:$CW$166,MATCH(B97,'vehicles specifications'!$A$3:$A$166,0),MATCH(G129,'vehicles specifications'!$B$2:$CW$2,0))*INDEX('ei names mapping'!$B$137:$BL$300,MATCH(B97,'ei names mapping'!$A$137:$A$300,0),MATCH(G129,'ei names mapping'!$B$136:$BL$136,0))</f>
        <v>25.624999999999996</v>
      </c>
      <c r="C129" t="str">
        <f>INDEX('ei names mapping'!$B$38:$R$67,MATCH(B94,'ei names mapping'!$A$4:$A$33,0),MATCH(G129,'ei names mapping'!$B$3:$R$3,0))</f>
        <v>GLO</v>
      </c>
      <c r="D129" t="str">
        <f>INDEX('ei names mapping'!$B$104:$R$133,MATCH(B94,'ei names mapping'!$A$104:$A$133,0),MATCH(G129,'ei names mapping'!$B$3:$R$3,0))</f>
        <v>kilogram</v>
      </c>
      <c r="F129" t="s">
        <v>89</v>
      </c>
      <c r="G129" t="s">
        <v>19</v>
      </c>
      <c r="H129" t="str">
        <f>INDEX('ei names mapping'!$B$71:$R$100,MATCH(B94,'ei names mapping'!$A$4:$A$33,0),MATCH(G129,'ei names mapping'!$B$3:$R$3,0))</f>
        <v>Battery cell</v>
      </c>
    </row>
    <row r="130" spans="1:8" x14ac:dyDescent="0.2">
      <c r="A130" t="str">
        <f>INDEX('ei names mapping'!$B$4:$R$33,MATCH(B94,'ei names mapping'!$A$4:$A$33,0),MATCH(G130,'ei names mapping'!$B$3:$R$3,0))</f>
        <v>Battery BoP</v>
      </c>
      <c r="B130" s="11">
        <f>INDEX('vehicles specifications'!$B$3:$CW$166,MATCH(B97,'vehicles specifications'!$A$3:$A$166,0),MATCH(G130,'vehicles specifications'!$B$2:$CW$2,0))*INDEX('ei names mapping'!$B$137:$BL$300,MATCH(B97,'ei names mapping'!$A$137:$A$300,0),MATCH(G130,'ei names mapping'!$B$136:$BL$136,0))</f>
        <v>7.6874999999999982</v>
      </c>
      <c r="C130" t="str">
        <f>INDEX('ei names mapping'!$B$38:$R$67,MATCH(B94,'ei names mapping'!$A$4:$A$33,0),MATCH(G130,'ei names mapping'!$B$3:$R$3,0))</f>
        <v>GLO</v>
      </c>
      <c r="D130" t="str">
        <f>INDEX('ei names mapping'!$B$104:$R$133,MATCH(B94,'ei names mapping'!$A$104:$A$133,0),MATCH(G130,'ei names mapping'!$B$3:$R$3,0))</f>
        <v>kilogram</v>
      </c>
      <c r="F130" t="s">
        <v>89</v>
      </c>
      <c r="G130" t="s">
        <v>20</v>
      </c>
      <c r="H130" t="str">
        <f>INDEX('ei names mapping'!$B$71:$R$100,MATCH(B94,'ei names mapping'!$A$4:$A$33,0),MATCH(G130,'ei names mapping'!$B$3:$R$3,0))</f>
        <v>Battery BoP</v>
      </c>
    </row>
    <row r="131" spans="1:8" x14ac:dyDescent="0.2">
      <c r="A131" t="str">
        <f>INDEX('ei names mapping'!$B$4:$R$33,MATCH(B94,'ei names mapping'!$A$4:$A$33,0),MATCH(G131,'ei names mapping'!$B$3:$R$3,0))</f>
        <v>charging station, 3kW</v>
      </c>
      <c r="B131" s="11">
        <f>INDEX('vehicles specifications'!$B$3:$CW$166,MATCH(B97,'vehicles specifications'!$A$3:$A$166,0),MATCH(G131,'vehicles specifications'!$B$2:$CW$2,0))*INDEX('ei names mapping'!$B$137:$BL$300,MATCH(B97,'ei names mapping'!$A$137:$A$300,0),MATCH(G131,'ei names mapping'!$B$136:$BL$136,0))</f>
        <v>1</v>
      </c>
      <c r="C131" t="str">
        <f>INDEX('ei names mapping'!$B$38:$R$67,MATCH(B94,'ei names mapping'!$A$4:$A$33,0),MATCH(G131,'ei names mapping'!$B$3:$R$3,0))</f>
        <v>GLO</v>
      </c>
      <c r="D131" t="str">
        <f>INDEX('ei names mapping'!$B$104:$R$133,MATCH(B94,'ei names mapping'!$A$104:$A$133,0),MATCH(G131,'ei names mapping'!$B$3:$R$3,0))</f>
        <v>unit</v>
      </c>
      <c r="F131" t="s">
        <v>89</v>
      </c>
      <c r="G131" t="s">
        <v>52</v>
      </c>
      <c r="H131" t="str">
        <f>INDEX('ei names mapping'!$B$71:$R$100,MATCH(B94,'ei names mapping'!$A$4:$A$33,0),MATCH(G131,'ei names mapping'!$B$3:$R$3,0))</f>
        <v>charging station, 3kW</v>
      </c>
    </row>
    <row r="132" spans="1:8" x14ac:dyDescent="0.2">
      <c r="A132" t="str">
        <f>INDEX('ei names mapping'!$B$4:$R$33,MATCH(B94,'ei names mapping'!$A$4:$A$33,0),MATCH(G132,'ei names mapping'!$B$3:$R$3,0))</f>
        <v>manual dismantling of used electric scooter</v>
      </c>
      <c r="B132" s="11">
        <f>INDEX('vehicles specifications'!$B$3:$CW$166,MATCH(B97,'vehicles specifications'!$A$3:$A$166,0),MATCH(G132,'vehicles specifications'!$B$2:$CW$2,0))*INDEX('ei names mapping'!$B$137:$BL$300,MATCH(B97,'ei names mapping'!$A$137:$A$300,0),MATCH(G132,'ei names mapping'!$B$136:$BL$136,0))</f>
        <v>79.8</v>
      </c>
      <c r="C132" t="str">
        <f>INDEX('ei names mapping'!$B$38:$R$67,MATCH(B94,'ei names mapping'!$A$4:$A$33,0),MATCH(G132,'ei names mapping'!$B$3:$R$3,0))</f>
        <v>GLO</v>
      </c>
      <c r="D132" t="str">
        <f>INDEX('ei names mapping'!$B$104:$R$133,MATCH(B94,'ei names mapping'!$A$104:$A$133,0),MATCH(G132,'ei names mapping'!$B$3:$R$3,0))</f>
        <v>unit</v>
      </c>
      <c r="F132" t="s">
        <v>89</v>
      </c>
      <c r="G132" t="s">
        <v>144</v>
      </c>
      <c r="H132" t="str">
        <f>INDEX('ei names mapping'!$B$71:$R$100,MATCH(B94,'ei names mapping'!$A$4:$A$33,0),MATCH(G132,'ei names mapping'!$B$3:$R$3,0))</f>
        <v>manual dismantling of electric scooter</v>
      </c>
    </row>
    <row r="133" spans="1:8" x14ac:dyDescent="0.2">
      <c r="A133" t="str">
        <f>INDEX('ei names mapping'!$B$4:$R$33,MATCH(B94,'ei names mapping'!$A$4:$A$33,0),MATCH(G133,'ei names mapping'!$B$3:$R$3,0))</f>
        <v>manual dismantling of used electric scooter</v>
      </c>
      <c r="B133" s="11">
        <f>INDEX('vehicles specifications'!$B$3:$CW$166,MATCH(B97,'vehicles specifications'!$A$3:$A$166,0),MATCH(G133,'vehicles specifications'!$B$2:$CW$2,0))*INDEX('ei names mapping'!$B$137:$BL$300,MATCH(B97,'ei names mapping'!$A$137:$A$300,0),MATCH(G133,'ei names mapping'!$B$136:$BL$136,0))</f>
        <v>26</v>
      </c>
      <c r="C133" t="str">
        <f>INDEX('ei names mapping'!$B$38:$R$67,MATCH(B94,'ei names mapping'!$A$4:$A$33,0),MATCH(G133,'ei names mapping'!$B$3:$R$3,0))</f>
        <v>GLO</v>
      </c>
      <c r="D133" t="str">
        <f>INDEX('ei names mapping'!$B$104:$R$133,MATCH(B94,'ei names mapping'!$A$104:$A$133,0),MATCH(G133,'ei names mapping'!$B$3:$R$3,0))</f>
        <v>unit</v>
      </c>
      <c r="F133" t="s">
        <v>89</v>
      </c>
      <c r="G133" t="s">
        <v>145</v>
      </c>
      <c r="H133" t="str">
        <f>INDEX('ei names mapping'!$B$71:$R$100,MATCH(B94,'ei names mapping'!$A$4:$A$33,0),MATCH(G133,'ei names mapping'!$B$3:$R$3,0))</f>
        <v>manual dismantling of electric scooter</v>
      </c>
    </row>
    <row r="134" spans="1:8" x14ac:dyDescent="0.2">
      <c r="A134" t="str">
        <f>INDEX('ei names mapping'!$B$4:$R$33,MATCH(B94,'ei names mapping'!$A$4:$A$33,0),MATCH(G134,'ei names mapping'!$B$3:$R$3,0))</f>
        <v>market for used Li-ion battery</v>
      </c>
      <c r="B134" s="11">
        <f>INDEX('vehicles specifications'!$B$3:$CW$166,MATCH(B97,'vehicles specifications'!$A$3:$A$166,0),MATCH(G134,'vehicles specifications'!$B$2:$CW$2,0))*INDEX('ei names mapping'!$B$137:$BL$300,MATCH(B97,'ei names mapping'!$A$137:$A$300,0),MATCH(G134,'ei names mapping'!$B$136:$BL$136,0))</f>
        <v>-33.312499999999993</v>
      </c>
      <c r="C134" t="str">
        <f>INDEX('ei names mapping'!$B$38:$R$67,MATCH(B94,'ei names mapping'!$A$4:$A$33,0),MATCH(G134,'ei names mapping'!$B$3:$R$3,0))</f>
        <v>GLO</v>
      </c>
      <c r="D134" t="str">
        <f>INDEX('ei names mapping'!$B$104:$R$133,MATCH(B94,'ei names mapping'!$A$104:$A$133,0),MATCH(G134,'ei names mapping'!$B$3:$R$3,0))</f>
        <v>kilogram</v>
      </c>
      <c r="F134" t="s">
        <v>89</v>
      </c>
      <c r="G134" t="s">
        <v>146</v>
      </c>
      <c r="H134" t="str">
        <f>INDEX('ei names mapping'!$B$71:$R$100,MATCH(B94,'ei names mapping'!$A$4:$A$33,0),MATCH(G134,'ei names mapping'!$B$3:$R$3,0))</f>
        <v>used Li-ion battery</v>
      </c>
    </row>
    <row r="135" spans="1:8" x14ac:dyDescent="0.2">
      <c r="A135" s="13" t="s">
        <v>840</v>
      </c>
      <c r="B135">
        <f>(B107/1000)*B120</f>
        <v>132.44999999999999</v>
      </c>
      <c r="C135" t="s">
        <v>92</v>
      </c>
      <c r="D135" t="s">
        <v>233</v>
      </c>
      <c r="F135" t="s">
        <v>89</v>
      </c>
      <c r="H135" s="13" t="s">
        <v>841</v>
      </c>
    </row>
    <row r="136" spans="1:8" x14ac:dyDescent="0.2">
      <c r="A136" s="13" t="s">
        <v>441</v>
      </c>
      <c r="B136" s="2">
        <f>(B107/1000)*B119</f>
        <v>2105.9549999999999</v>
      </c>
      <c r="C136" t="s">
        <v>95</v>
      </c>
      <c r="D136" t="s">
        <v>233</v>
      </c>
      <c r="F136" t="s">
        <v>89</v>
      </c>
      <c r="H136" s="13" t="s">
        <v>441</v>
      </c>
    </row>
    <row r="138" spans="1:8" ht="16" x14ac:dyDescent="0.2">
      <c r="A138" s="10" t="s">
        <v>71</v>
      </c>
      <c r="B138" s="8" t="str">
        <f>B140&amp;", "&amp;B155&amp;" battery, "&amp;B142</f>
        <v>Scooter, electric, 4-11kW, NCA battery, 2050</v>
      </c>
    </row>
    <row r="139" spans="1:8" x14ac:dyDescent="0.2">
      <c r="A139" t="s">
        <v>72</v>
      </c>
      <c r="B139" t="s">
        <v>37</v>
      </c>
    </row>
    <row r="140" spans="1:8" x14ac:dyDescent="0.2">
      <c r="A140" t="s">
        <v>86</v>
      </c>
      <c r="B140" t="s">
        <v>569</v>
      </c>
    </row>
    <row r="141" spans="1:8" x14ac:dyDescent="0.2">
      <c r="A141" t="s">
        <v>87</v>
      </c>
    </row>
    <row r="142" spans="1:8" x14ac:dyDescent="0.2">
      <c r="A142" t="s">
        <v>88</v>
      </c>
      <c r="B142">
        <v>2050</v>
      </c>
    </row>
    <row r="143" spans="1:8" x14ac:dyDescent="0.2">
      <c r="A143" t="s">
        <v>126</v>
      </c>
      <c r="B143" t="str">
        <f>B140&amp;" - "&amp;B142&amp;" - "&amp;B155&amp;" - "&amp;B139</f>
        <v>Scooter, electric, 4-11kW - 2050 - NCA - CH</v>
      </c>
    </row>
    <row r="144" spans="1:8" x14ac:dyDescent="0.2">
      <c r="A144" t="s">
        <v>73</v>
      </c>
      <c r="B144" t="str">
        <f>B140</f>
        <v>Scooter, electric, 4-11kW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specifications'!$B$3:$CW$166,MATCH(B143,'vehicles specifications'!$A$3:$A$166,0),MATCH("Lifetime [km]",'vehicles specifications'!$B$2:$CW$2,0))</f>
        <v>30000</v>
      </c>
    </row>
    <row r="149" spans="1:2" x14ac:dyDescent="0.2">
      <c r="A149" t="s">
        <v>128</v>
      </c>
      <c r="B149">
        <f>INDEX('vehicles specifications'!$B$3:$CW$166,MATCH(B143,'vehicles specifications'!$A$3:$A$166,0),MATCH("Passengers [unit]",'vehicles specifications'!$B$2:$CW$2,0))</f>
        <v>1</v>
      </c>
    </row>
    <row r="150" spans="1:2" x14ac:dyDescent="0.2">
      <c r="A150" t="s">
        <v>129</v>
      </c>
      <c r="B150">
        <f>INDEX('vehicles specifications'!$B$3:$CW$166,MATCH(B143,'vehicles specifications'!$A$3:$A$166,0),MATCH("Servicing [unit]",'vehicles specifications'!$B$2:$CW$2,0))</f>
        <v>1.2</v>
      </c>
    </row>
    <row r="151" spans="1:2" x14ac:dyDescent="0.2">
      <c r="A151" t="s">
        <v>130</v>
      </c>
      <c r="B151">
        <f>INDEX('vehicles specifications'!$B$3:$CW$166,MATCH(B143,'vehicles specifications'!$A$3:$A$166,0),MATCH("Energy battery replacement [unit]",'vehicles specifications'!$B$2:$CW$2,0))</f>
        <v>0</v>
      </c>
    </row>
    <row r="152" spans="1:2" x14ac:dyDescent="0.2">
      <c r="A152" t="s">
        <v>131</v>
      </c>
      <c r="B152">
        <f>INDEX('vehicles specifications'!$B$3:$CW$166,MATCH(B143,'vehicles specifications'!$A$3:$A$166,0),MATCH("Annual kilometers [km]",'vehicles specifications'!$B$2:$CW$2,0))</f>
        <v>1870</v>
      </c>
    </row>
    <row r="153" spans="1:2" x14ac:dyDescent="0.2">
      <c r="A153" t="s">
        <v>132</v>
      </c>
      <c r="B153" s="2">
        <f>INDEX('vehicles specifications'!$B$3:$CW$166,MATCH(B143,'vehicles specifications'!$A$3:$A$166,0),MATCH("Curb mass [kg]",'vehicles specifications'!$B$2:$CW$2,0))</f>
        <v>132.19999999999999</v>
      </c>
    </row>
    <row r="154" spans="1:2" x14ac:dyDescent="0.2">
      <c r="A154" t="s">
        <v>133</v>
      </c>
      <c r="B154">
        <f>INDEX('vehicles specifications'!$B$3:$CW$166,MATCH(B143,'vehicles specifications'!$A$3:$A$166,0),MATCH("Power [kW]",'vehicles specifications'!$B$2:$CW$2,0))</f>
        <v>6.1</v>
      </c>
    </row>
    <row r="155" spans="1:2" x14ac:dyDescent="0.2">
      <c r="A155" t="s">
        <v>652</v>
      </c>
      <c r="B155" s="20" t="s">
        <v>45</v>
      </c>
    </row>
    <row r="156" spans="1:2" x14ac:dyDescent="0.2">
      <c r="A156" t="s">
        <v>134</v>
      </c>
      <c r="B156">
        <f>INDEX('vehicles specifications'!$B$3:$CW$166,MATCH(B143,'vehicles specifications'!$A$3:$A$166,0),MATCH("Energy battery mass [kg]",'vehicles specifications'!$B$2:$CW$2,0))</f>
        <v>28.080000000000002</v>
      </c>
    </row>
    <row r="157" spans="1:2" x14ac:dyDescent="0.2">
      <c r="A157" t="s">
        <v>135</v>
      </c>
      <c r="B157">
        <f>INDEX('vehicles specifications'!$B$3:$CW$166,MATCH(B143,'vehicles specifications'!$A$3:$A$166,0),MATCH("Electric energy stored [kWh]",'vehicles specifications'!$B$2:$CW$2,0))</f>
        <v>10.8</v>
      </c>
    </row>
    <row r="158" spans="1:2" x14ac:dyDescent="0.2">
      <c r="A158" t="s">
        <v>588</v>
      </c>
      <c r="B158">
        <f>INDEX('vehicles specifications'!$B$3:$CW$166,MATCH(B143,'vehicles specifications'!$A$3:$A$166,0),MATCH("Electric energy available [kWh]",'vehicles specifications'!$B$2:$CW$2,0))</f>
        <v>8.64</v>
      </c>
    </row>
    <row r="159" spans="1:2" x14ac:dyDescent="0.2">
      <c r="A159" t="s">
        <v>138</v>
      </c>
      <c r="B159" s="2">
        <f>INDEX('vehicles specifications'!$B$3:$CW$166,MATCH(B143,'vehicles specifications'!$A$3:$A$166,0),MATCH("Oxydation energy stored [kWh]",'vehicles specifications'!$B$2:$CW$2,0))</f>
        <v>0</v>
      </c>
    </row>
    <row r="160" spans="1:2" x14ac:dyDescent="0.2">
      <c r="A160" t="s">
        <v>139</v>
      </c>
      <c r="B160">
        <f>INDEX('vehicles specifications'!$B$3:$CW$166,MATCH(B143,'vehicles specifications'!$A$3:$A$166,0),MATCH("Fuel mass [kg]",'vehicles specifications'!$B$2:$CW$2,0))</f>
        <v>0</v>
      </c>
    </row>
    <row r="161" spans="1:8" x14ac:dyDescent="0.2">
      <c r="A161" t="s">
        <v>136</v>
      </c>
      <c r="B161" s="2">
        <f>INDEX('vehicles specifications'!$B$3:$CW$166,MATCH(B143,'vehicles specifications'!$A$3:$A$166,0),MATCH("Range [km]",'vehicles specifications'!$B$2:$CW$2,0))</f>
        <v>164.21089308026419</v>
      </c>
    </row>
    <row r="162" spans="1:8" x14ac:dyDescent="0.2">
      <c r="A162" t="s">
        <v>137</v>
      </c>
      <c r="B162" t="str">
        <f>INDEX('vehicles specifications'!$B$3:$CW$166,MATCH(B143,'vehicles specifications'!$A$3:$A$166,0),MATCH("Emission standard",'vehicles specifications'!$B$2:$CW$2,0))</f>
        <v>None</v>
      </c>
    </row>
    <row r="163" spans="1:8" x14ac:dyDescent="0.2">
      <c r="A163" t="s">
        <v>1174</v>
      </c>
      <c r="B163" s="6">
        <f>INDEX('vehicles specifications'!$B$3:$CW$166,MATCH(B143,'vehicles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NMC'!B151</f>
        <v>Power: 6.1 kW. Lifetime: 30000 km. Annual kilometers: 1870 km. Number of passengers: 1. Curb mass: 132.2 kg. Lightweighting of glider: 7%. Emission standard: None. Service visits throughout lifetime: 1.2. Range: 164 km. Battery capacity: 10.8 kWh. Available battery capacity: 8.64 kWh. Battery mass: 28.1 kg. Battery replacement throughout lifetime: 0. Fuel tank capacity: 0 kWh. Fuel mass: 0 kg. Origin of manufacture: China. Shipping distance: 15900 km. Lorry distribution distance: 1000 km. Documentation: Life-cycle inventories for on-road vehicles, Sacchi R. (PSI), Bauer C. (PSI), 2021. 0</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Scooter, electric, 4-11kW, NCA battery, 2050</v>
      </c>
      <c r="B170">
        <v>1</v>
      </c>
      <c r="C170" t="str">
        <f>B139</f>
        <v>CH</v>
      </c>
      <c r="D170" t="str">
        <f>B146</f>
        <v>unit</v>
      </c>
      <c r="F170" t="s">
        <v>84</v>
      </c>
      <c r="G170" t="s">
        <v>85</v>
      </c>
      <c r="H170" t="str">
        <f>B140</f>
        <v>Scooter, electric, 4-11kW</v>
      </c>
    </row>
    <row r="171" spans="1:8" x14ac:dyDescent="0.2">
      <c r="A171" t="str">
        <f>INDEX('ei names mapping'!$B$4:$R$33,MATCH(B140,'ei names mapping'!$A$4:$A$33,0),MATCH(G171,'ei names mapping'!$B$3:$R$3,0))</f>
        <v>market for glider, for electric scooter</v>
      </c>
      <c r="B171" s="11">
        <f>INDEX('vehicles specifications'!$B$3:$CW$166,MATCH(B143,'vehicles specifications'!$A$3:$A$166,0),MATCH(G171,'vehicles specifications'!$B$2:$CW$2,0))*INDEX('ei names mapping'!$B$137:$BL$300,MATCH(B143,'ei names mapping'!$A$137:$A$300,0),MATCH(G171,'ei names mapping'!$B$136:$BL$136,0))</f>
        <v>84</v>
      </c>
      <c r="C171" t="str">
        <f>INDEX('ei names mapping'!$B$38:$R$67,MATCH(B140,'ei names mapping'!$A$4:$A$33,0),MATCH(G171,'ei names mapping'!$B$3:$R$3,0))</f>
        <v>GLO</v>
      </c>
      <c r="D171" t="str">
        <f>INDEX('ei names mapping'!$B$104:$R$133,MATCH(B140,'ei names mapping'!$A$104:$A$133,0),MATCH(G171,'ei names mapping'!$B$3:$R$3,0))</f>
        <v>kilogram</v>
      </c>
      <c r="F171" t="s">
        <v>89</v>
      </c>
      <c r="G171" t="s">
        <v>15</v>
      </c>
      <c r="H171" t="str">
        <f>INDEX('ei names mapping'!$B$71:$R$100,MATCH(B140,'ei names mapping'!$A$4:$A$33,0),MATCH(G171,'ei names mapping'!$B$3:$R$3,0))</f>
        <v>glider, for electric scooter</v>
      </c>
    </row>
    <row r="172" spans="1:8" x14ac:dyDescent="0.2">
      <c r="A172" t="str">
        <f>INDEX('ei names mapping'!$B$4:$R$33,MATCH(B140,'ei names mapping'!$A$4:$A$33,0),MATCH(G172,'ei names mapping'!$B$3:$R$3,0))</f>
        <v>Glider lightweighting</v>
      </c>
      <c r="B172" s="11">
        <f>INDEX('vehicles specifications'!$B$3:$CW$166,MATCH(B143,'vehicles specifications'!$A$3:$A$166,0),MATCH(G172,'vehicles specifications'!$B$2:$CW$2,0))*INDEX('ei names mapping'!$B$137:$BL$300,MATCH(B143,'ei names mapping'!$A$137:$A$300,0),MATCH(G172,'ei names mapping'!$B$136:$BL$136,0))</f>
        <v>5.8800000000000008</v>
      </c>
      <c r="C172" t="str">
        <f>INDEX('ei names mapping'!$B$38:$R$67,MATCH(B140,'ei names mapping'!$A$4:$A$33,0),MATCH(G172,'ei names mapping'!$B$3:$R$3,0))</f>
        <v>GLO</v>
      </c>
      <c r="D172" t="str">
        <f>INDEX('ei names mapping'!$B$104:$R$133,MATCH(B140,'ei names mapping'!$A$104:$A$133,0),MATCH(G172,'ei names mapping'!$B$3:$R$3,0))</f>
        <v>kilogram</v>
      </c>
      <c r="F172" t="s">
        <v>89</v>
      </c>
      <c r="G172" t="s">
        <v>14</v>
      </c>
      <c r="H172" t="str">
        <f>INDEX('ei names mapping'!$B$71:$R$100,MATCH(B140,'ei names mapping'!$A$4:$A$33,0),MATCH(G172,'ei names mapping'!$B$3:$R$3,0))</f>
        <v>Glider lightweighting</v>
      </c>
    </row>
    <row r="173" spans="1:8" x14ac:dyDescent="0.2">
      <c r="A173" t="str">
        <f>INDEX('ei names mapping'!$B$4:$R$33,MATCH(B140,'ei names mapping'!$A$4:$A$33,0),MATCH(G173,'ei names mapping'!$B$3:$R$3,0))</f>
        <v>market for glider, for electric scooter</v>
      </c>
      <c r="B173" s="11">
        <f>INDEX('vehicles specifications'!$B$3:$CW$166,MATCH(B143,'vehicles specifications'!$A$3:$A$166,0),MATCH(G173,'vehicles specifications'!$B$2:$CW$2,0))*INDEX('ei names mapping'!$B$137:$BL$300,MATCH(B143,'ei names mapping'!$A$137:$A$300,0),MATCH(G173,'ei names mapping'!$B$136:$BL$136,0))</f>
        <v>10</v>
      </c>
      <c r="C173" t="str">
        <f>INDEX('ei names mapping'!$B$38:$R$67,MATCH(B140,'ei names mapping'!$A$4:$A$33,0),MATCH(G173,'ei names mapping'!$B$3:$R$3,0))</f>
        <v>GLO</v>
      </c>
      <c r="D173" t="str">
        <f>INDEX('ei names mapping'!$B$104:$R$133,MATCH(B140,'ei names mapping'!$A$104:$A$133,0),MATCH(G173,'ei names mapping'!$B$3:$R$3,0))</f>
        <v>kilogram</v>
      </c>
      <c r="F173" t="s">
        <v>89</v>
      </c>
      <c r="G173" t="s">
        <v>16</v>
      </c>
      <c r="H173" t="str">
        <f>INDEX('ei names mapping'!$B$71:$R$100,MATCH(B140,'ei names mapping'!$A$4:$A$33,0),MATCH(G173,'ei names mapping'!$B$3:$R$3,0))</f>
        <v>glider, for electric scooter</v>
      </c>
    </row>
    <row r="174" spans="1:8" x14ac:dyDescent="0.2">
      <c r="A174" t="str">
        <f>INDEX('ei names mapping'!$B$4:$R$33,MATCH(B140,'ei names mapping'!$A$4:$A$33,0),MATCH(G174,'ei names mapping'!$B$3:$R$3,0))</f>
        <v>market for electric powertrain, for electric scooter</v>
      </c>
      <c r="B174" s="11">
        <f>INDEX('vehicles specifications'!$B$3:$CW$166,MATCH(B143,'vehicles specifications'!$A$3:$A$166,0),MATCH(G174,'vehicles specifications'!$B$2:$CW$2,0))*INDEX('ei names mapping'!$B$137:$BL$300,MATCH(B143,'ei names mapping'!$A$137:$A$300,0),MATCH(G174,'ei names mapping'!$B$136:$BL$136,0))</f>
        <v>16</v>
      </c>
      <c r="C174" t="str">
        <f>INDEX('ei names mapping'!$B$38:$R$67,MATCH(B140,'ei names mapping'!$A$4:$A$33,0),MATCH(G174,'ei names mapping'!$B$3:$R$3,0))</f>
        <v>GLO</v>
      </c>
      <c r="D174" t="str">
        <f>INDEX('ei names mapping'!$B$104:$R$133,MATCH(B140,'ei names mapping'!$A$104:$A$133,0),MATCH(G174,'ei names mapping'!$B$3:$R$3,0))</f>
        <v>kilogram</v>
      </c>
      <c r="F174" t="s">
        <v>89</v>
      </c>
      <c r="G174" t="s">
        <v>501</v>
      </c>
      <c r="H174" t="str">
        <f>INDEX('ei names mapping'!$B$71:$R$100,MATCH(B140,'ei names mapping'!$A$4:$A$33,0),MATCH(G174,'ei names mapping'!$B$3:$R$3,0))</f>
        <v>powertrain, for electric scooter</v>
      </c>
    </row>
    <row r="175" spans="1:8" x14ac:dyDescent="0.2">
      <c r="A175" t="s">
        <v>760</v>
      </c>
      <c r="B175" s="11">
        <f>INDEX('vehicles specifications'!$B$3:$CW$166,MATCH(B143,'vehicles specifications'!$A$3:$A$166,0),MATCH(G175,'vehicles specifications'!$B$2:$CW$2,0))*INDEX('ei names mapping'!$B$137:$BL$300,MATCH(B143,'ei names mapping'!$A$137:$A$300,0),MATCH(G175,'ei names mapping'!$B$136:$BL$136,0))</f>
        <v>21.6</v>
      </c>
      <c r="C175" t="str">
        <f>INDEX('ei names mapping'!$B$38:$R$67,MATCH(B140,'ei names mapping'!$A$4:$A$33,0),MATCH(G175,'ei names mapping'!$B$3:$R$3,0))</f>
        <v>GLO</v>
      </c>
      <c r="D175" t="str">
        <f>INDEX('ei names mapping'!$B$104:$R$133,MATCH(B140,'ei names mapping'!$A$104:$A$133,0),MATCH(G175,'ei names mapping'!$B$3:$R$3,0))</f>
        <v>kilogram</v>
      </c>
      <c r="F175" t="s">
        <v>89</v>
      </c>
      <c r="G175" t="s">
        <v>19</v>
      </c>
      <c r="H175" t="str">
        <f>INDEX('ei names mapping'!$B$71:$R$100,MATCH(B140,'ei names mapping'!$A$4:$A$33,0),MATCH(G175,'ei names mapping'!$B$3:$R$3,0))</f>
        <v>Battery cell</v>
      </c>
    </row>
    <row r="176" spans="1:8" x14ac:dyDescent="0.2">
      <c r="A176" t="str">
        <f>INDEX('ei names mapping'!$B$4:$R$33,MATCH(B140,'ei names mapping'!$A$4:$A$33,0),MATCH(G176,'ei names mapping'!$B$3:$R$3,0))</f>
        <v>Battery BoP</v>
      </c>
      <c r="B176" s="11">
        <f>INDEX('vehicles specifications'!$B$3:$CW$166,MATCH(B143,'vehicles specifications'!$A$3:$A$166,0),MATCH(G176,'vehicles specifications'!$B$2:$CW$2,0))*INDEX('ei names mapping'!$B$137:$BL$300,MATCH(B143,'ei names mapping'!$A$137:$A$300,0),MATCH(G176,'ei names mapping'!$B$136:$BL$136,0))</f>
        <v>6.48</v>
      </c>
      <c r="C176" t="str">
        <f>INDEX('ei names mapping'!$B$38:$R$67,MATCH(B140,'ei names mapping'!$A$4:$A$33,0),MATCH(G176,'ei names mapping'!$B$3:$R$3,0))</f>
        <v>GLO</v>
      </c>
      <c r="D176" t="str">
        <f>INDEX('ei names mapping'!$B$104:$R$133,MATCH(B140,'ei names mapping'!$A$104:$A$133,0),MATCH(G176,'ei names mapping'!$B$3:$R$3,0))</f>
        <v>kilogram</v>
      </c>
      <c r="F176" t="s">
        <v>89</v>
      </c>
      <c r="G176" t="s">
        <v>20</v>
      </c>
      <c r="H176" t="str">
        <f>INDEX('ei names mapping'!$B$71:$R$100,MATCH(B140,'ei names mapping'!$A$4:$A$33,0),MATCH(G176,'ei names mapping'!$B$3:$R$3,0))</f>
        <v>Battery BoP</v>
      </c>
    </row>
    <row r="177" spans="1:8" x14ac:dyDescent="0.2">
      <c r="A177" t="str">
        <f>INDEX('ei names mapping'!$B$4:$R$33,MATCH(B140,'ei names mapping'!$A$4:$A$33,0),MATCH(G177,'ei names mapping'!$B$3:$R$3,0))</f>
        <v>charging station, 3kW</v>
      </c>
      <c r="B177" s="11">
        <f>INDEX('vehicles specifications'!$B$3:$CW$166,MATCH(B143,'vehicles specifications'!$A$3:$A$166,0),MATCH(G177,'vehicles specifications'!$B$2:$CW$2,0))*INDEX('ei names mapping'!$B$137:$BL$300,MATCH(B143,'ei names mapping'!$A$137:$A$300,0),MATCH(G177,'ei names mapping'!$B$136:$BL$136,0))</f>
        <v>1</v>
      </c>
      <c r="C177" t="str">
        <f>INDEX('ei names mapping'!$B$38:$R$67,MATCH(B140,'ei names mapping'!$A$4:$A$33,0),MATCH(G177,'ei names mapping'!$B$3:$R$3,0))</f>
        <v>GLO</v>
      </c>
      <c r="D177" t="str">
        <f>INDEX('ei names mapping'!$B$104:$R$133,MATCH(B140,'ei names mapping'!$A$104:$A$133,0),MATCH(G177,'ei names mapping'!$B$3:$R$3,0))</f>
        <v>unit</v>
      </c>
      <c r="F177" t="s">
        <v>89</v>
      </c>
      <c r="G177" t="s">
        <v>52</v>
      </c>
      <c r="H177" t="str">
        <f>INDEX('ei names mapping'!$B$71:$R$100,MATCH(B140,'ei names mapping'!$A$4:$A$33,0),MATCH(G177,'ei names mapping'!$B$3:$R$3,0))</f>
        <v>charging station, 3kW</v>
      </c>
    </row>
    <row r="178" spans="1:8" x14ac:dyDescent="0.2">
      <c r="A178" t="str">
        <f>INDEX('ei names mapping'!$B$4:$R$33,MATCH(B140,'ei names mapping'!$A$4:$A$33,0),MATCH(G178,'ei names mapping'!$B$3:$R$3,0))</f>
        <v>manual dismantling of used electric scooter</v>
      </c>
      <c r="B178" s="11">
        <f>INDEX('vehicles specifications'!$B$3:$CW$166,MATCH(B143,'vehicles specifications'!$A$3:$A$166,0),MATCH(G178,'vehicles specifications'!$B$2:$CW$2,0))*INDEX('ei names mapping'!$B$137:$BL$300,MATCH(B143,'ei names mapping'!$A$137:$A$300,0),MATCH(G178,'ei names mapping'!$B$136:$BL$136,0))</f>
        <v>78.11999999999999</v>
      </c>
      <c r="C178" t="str">
        <f>INDEX('ei names mapping'!$B$38:$R$67,MATCH(B140,'ei names mapping'!$A$4:$A$33,0),MATCH(G178,'ei names mapping'!$B$3:$R$3,0))</f>
        <v>GLO</v>
      </c>
      <c r="D178" t="str">
        <f>INDEX('ei names mapping'!$B$104:$R$133,MATCH(B140,'ei names mapping'!$A$104:$A$133,0),MATCH(G178,'ei names mapping'!$B$3:$R$3,0))</f>
        <v>unit</v>
      </c>
      <c r="F178" t="s">
        <v>89</v>
      </c>
      <c r="G178" t="s">
        <v>144</v>
      </c>
      <c r="H178" t="str">
        <f>INDEX('ei names mapping'!$B$71:$R$100,MATCH(B140,'ei names mapping'!$A$4:$A$33,0),MATCH(G178,'ei names mapping'!$B$3:$R$3,0))</f>
        <v>manual dismantling of electric scooter</v>
      </c>
    </row>
    <row r="179" spans="1:8" x14ac:dyDescent="0.2">
      <c r="A179" t="str">
        <f>INDEX('ei names mapping'!$B$4:$R$33,MATCH(B140,'ei names mapping'!$A$4:$A$33,0),MATCH(G179,'ei names mapping'!$B$3:$R$3,0))</f>
        <v>manual dismantling of used electric scooter</v>
      </c>
      <c r="B179" s="11">
        <f>INDEX('vehicles specifications'!$B$3:$CW$166,MATCH(B143,'vehicles specifications'!$A$3:$A$166,0),MATCH(G179,'vehicles specifications'!$B$2:$CW$2,0))*INDEX('ei names mapping'!$B$137:$BL$300,MATCH(B143,'ei names mapping'!$A$137:$A$300,0),MATCH(G179,'ei names mapping'!$B$136:$BL$136,0))</f>
        <v>26</v>
      </c>
      <c r="C179" t="str">
        <f>INDEX('ei names mapping'!$B$38:$R$67,MATCH(B140,'ei names mapping'!$A$4:$A$33,0),MATCH(G179,'ei names mapping'!$B$3:$R$3,0))</f>
        <v>GLO</v>
      </c>
      <c r="D179" t="str">
        <f>INDEX('ei names mapping'!$B$104:$R$133,MATCH(B140,'ei names mapping'!$A$104:$A$133,0),MATCH(G179,'ei names mapping'!$B$3:$R$3,0))</f>
        <v>unit</v>
      </c>
      <c r="F179" t="s">
        <v>89</v>
      </c>
      <c r="G179" t="s">
        <v>145</v>
      </c>
      <c r="H179" t="str">
        <f>INDEX('ei names mapping'!$B$71:$R$100,MATCH(B140,'ei names mapping'!$A$4:$A$33,0),MATCH(G179,'ei names mapping'!$B$3:$R$3,0))</f>
        <v>manual dismantling of electric scooter</v>
      </c>
    </row>
    <row r="180" spans="1:8" x14ac:dyDescent="0.2">
      <c r="A180" t="str">
        <f>INDEX('ei names mapping'!$B$4:$R$33,MATCH(B140,'ei names mapping'!$A$4:$A$33,0),MATCH(G180,'ei names mapping'!$B$3:$R$3,0))</f>
        <v>market for used Li-ion battery</v>
      </c>
      <c r="B180" s="11">
        <f>INDEX('vehicles specifications'!$B$3:$CW$166,MATCH(B143,'vehicles specifications'!$A$3:$A$166,0),MATCH(G180,'vehicles specifications'!$B$2:$CW$2,0))*INDEX('ei names mapping'!$B$137:$BL$300,MATCH(B143,'ei names mapping'!$A$137:$A$300,0),MATCH(G180,'ei names mapping'!$B$136:$BL$136,0))</f>
        <v>-28.080000000000002</v>
      </c>
      <c r="C180" t="str">
        <f>INDEX('ei names mapping'!$B$38:$R$67,MATCH(B140,'ei names mapping'!$A$4:$A$33,0),MATCH(G180,'ei names mapping'!$B$3:$R$3,0))</f>
        <v>GLO</v>
      </c>
      <c r="D180" t="str">
        <f>INDEX('ei names mapping'!$B$104:$R$133,MATCH(B140,'ei names mapping'!$A$104:$A$133,0),MATCH(G180,'ei names mapping'!$B$3:$R$3,0))</f>
        <v>kilogram</v>
      </c>
      <c r="F180" t="s">
        <v>89</v>
      </c>
      <c r="G180" t="s">
        <v>146</v>
      </c>
      <c r="H180" t="str">
        <f>INDEX('ei names mapping'!$B$71:$R$100,MATCH(B140,'ei names mapping'!$A$4:$A$33,0),MATCH(G180,'ei names mapping'!$B$3:$R$3,0))</f>
        <v>used Li-ion battery</v>
      </c>
    </row>
    <row r="181" spans="1:8" x14ac:dyDescent="0.2">
      <c r="A181" s="13" t="s">
        <v>840</v>
      </c>
      <c r="B181">
        <f>(B153/1000)*B166</f>
        <v>132.19999999999999</v>
      </c>
      <c r="C181" t="s">
        <v>92</v>
      </c>
      <c r="D181" t="s">
        <v>233</v>
      </c>
      <c r="F181" t="s">
        <v>89</v>
      </c>
      <c r="H181" s="13" t="s">
        <v>841</v>
      </c>
    </row>
    <row r="182" spans="1:8" x14ac:dyDescent="0.2">
      <c r="A182" s="13" t="s">
        <v>441</v>
      </c>
      <c r="B182" s="2">
        <f>(B153/1000)*B165</f>
        <v>2101.9799999999996</v>
      </c>
      <c r="C182" t="s">
        <v>95</v>
      </c>
      <c r="D182" t="s">
        <v>233</v>
      </c>
      <c r="F182" t="s">
        <v>89</v>
      </c>
      <c r="H182" s="13" t="s">
        <v>441</v>
      </c>
    </row>
    <row r="183" spans="1:8" x14ac:dyDescent="0.2">
      <c r="B183" s="2"/>
    </row>
    <row r="184" spans="1:8" ht="16" x14ac:dyDescent="0.2">
      <c r="A184" s="10" t="s">
        <v>71</v>
      </c>
      <c r="B184" s="8" t="str">
        <f>"transport, "&amp;B186&amp;", "&amp;B201&amp;" battery, "&amp;B188</f>
        <v>transport, Scooter, electric, 4-11kW, NCA battery, 2020</v>
      </c>
    </row>
    <row r="185" spans="1:8" x14ac:dyDescent="0.2">
      <c r="A185" t="s">
        <v>72</v>
      </c>
      <c r="B185" t="s">
        <v>37</v>
      </c>
    </row>
    <row r="186" spans="1:8" x14ac:dyDescent="0.2">
      <c r="A186" t="s">
        <v>86</v>
      </c>
      <c r="B186" t="s">
        <v>569</v>
      </c>
    </row>
    <row r="187" spans="1:8" x14ac:dyDescent="0.2">
      <c r="A187" t="s">
        <v>87</v>
      </c>
    </row>
    <row r="188" spans="1:8" x14ac:dyDescent="0.2">
      <c r="A188" t="s">
        <v>88</v>
      </c>
      <c r="B188">
        <v>2020</v>
      </c>
    </row>
    <row r="189" spans="1:8" x14ac:dyDescent="0.2">
      <c r="A189" t="s">
        <v>126</v>
      </c>
      <c r="B189" t="str">
        <f>B186&amp;" - "&amp;B188&amp;" - "&amp;B201&amp;" - "&amp;B185</f>
        <v>Scooter, electric, 4-11kW - 2020 - NCA - CH</v>
      </c>
    </row>
    <row r="190" spans="1:8" x14ac:dyDescent="0.2">
      <c r="A190" t="s">
        <v>73</v>
      </c>
      <c r="B190" t="str">
        <f>"transport, "&amp;B186</f>
        <v>transport, Scooter, electric, 4-11kW</v>
      </c>
    </row>
    <row r="191" spans="1:8" x14ac:dyDescent="0.2">
      <c r="A191" t="s">
        <v>74</v>
      </c>
      <c r="B191" t="s">
        <v>75</v>
      </c>
    </row>
    <row r="192" spans="1:8" x14ac:dyDescent="0.2">
      <c r="A192" t="s">
        <v>76</v>
      </c>
      <c r="B192" t="s">
        <v>166</v>
      </c>
    </row>
    <row r="193" spans="1:2" x14ac:dyDescent="0.2">
      <c r="A193" t="s">
        <v>78</v>
      </c>
      <c r="B193" t="s">
        <v>1143</v>
      </c>
    </row>
    <row r="194" spans="1:2" x14ac:dyDescent="0.2">
      <c r="A194" t="s">
        <v>127</v>
      </c>
      <c r="B194">
        <f>INDEX('vehicles specifications'!$B$3:$CW$166,MATCH(B189,'vehicles specifications'!$A$3:$A$166,0),MATCH("Lifetime [km]",'vehicles specifications'!$B$2:$CW$2,0))</f>
        <v>30000</v>
      </c>
    </row>
    <row r="195" spans="1:2" x14ac:dyDescent="0.2">
      <c r="A195" t="s">
        <v>128</v>
      </c>
      <c r="B195">
        <f>INDEX('vehicles specifications'!$B$3:$CW$166,MATCH(B189,'vehicles specifications'!$A$3:$A$166,0),MATCH("Passengers [unit]",'vehicles specifications'!$B$2:$CW$2,0))</f>
        <v>1</v>
      </c>
    </row>
    <row r="196" spans="1:2" x14ac:dyDescent="0.2">
      <c r="A196" t="s">
        <v>129</v>
      </c>
      <c r="B196">
        <f>INDEX('vehicles specifications'!$B$3:$CW$166,MATCH(B189,'vehicles specifications'!$A$3:$A$166,0),MATCH("Servicing [unit]",'vehicles specifications'!$B$2:$CW$2,0))</f>
        <v>1.2</v>
      </c>
    </row>
    <row r="197" spans="1:2" x14ac:dyDescent="0.2">
      <c r="A197" t="s">
        <v>130</v>
      </c>
      <c r="B197">
        <f>INDEX('vehicles specifications'!$B$3:$CW$166,MATCH(B189,'vehicles specifications'!$A$3:$A$166,0),MATCH("Energy battery replacement [unit]",'vehicles specifications'!$B$2:$CW$2,0))</f>
        <v>1</v>
      </c>
    </row>
    <row r="198" spans="1:2" x14ac:dyDescent="0.2">
      <c r="A198" t="s">
        <v>131</v>
      </c>
      <c r="B198">
        <f>INDEX('vehicles specifications'!$B$3:$CW$166,MATCH(B189,'vehicles specifications'!$A$3:$A$166,0),MATCH("Annual kilometers [km]",'vehicles specifications'!$B$2:$CW$2,0))</f>
        <v>1870</v>
      </c>
    </row>
    <row r="199" spans="1:2" x14ac:dyDescent="0.2">
      <c r="A199" t="s">
        <v>132</v>
      </c>
      <c r="B199" s="2">
        <f>INDEX('vehicles specifications'!$B$3:$CW$166,MATCH(B189,'vehicles specifications'!$A$3:$A$166,0),MATCH("Curb mass [kg]",'vehicles specifications'!$B$2:$CW$2,0))</f>
        <v>128.65217391304347</v>
      </c>
    </row>
    <row r="200" spans="1:2" x14ac:dyDescent="0.2">
      <c r="A200" t="s">
        <v>133</v>
      </c>
      <c r="B200">
        <f>INDEX('vehicles specifications'!$B$3:$CW$166,MATCH(B189,'vehicles specifications'!$A$3:$A$166,0),MATCH("Power [kW]",'vehicles specifications'!$B$2:$CW$2,0))</f>
        <v>6.1</v>
      </c>
    </row>
    <row r="201" spans="1:2" x14ac:dyDescent="0.2">
      <c r="A201" t="s">
        <v>652</v>
      </c>
      <c r="B201" s="20" t="s">
        <v>45</v>
      </c>
    </row>
    <row r="202" spans="1:2" x14ac:dyDescent="0.2">
      <c r="A202" t="s">
        <v>134</v>
      </c>
      <c r="B202">
        <f>INDEX('vehicles specifications'!$B$3:$CW$166,MATCH(B189,'vehicles specifications'!$A$3:$A$166,0),MATCH("Energy battery mass [kg]",'vehicles specifications'!$B$2:$CW$2,0))</f>
        <v>18.652173913043477</v>
      </c>
    </row>
    <row r="203" spans="1:2" x14ac:dyDescent="0.2">
      <c r="A203" t="s">
        <v>135</v>
      </c>
      <c r="B203">
        <f>INDEX('vehicles specifications'!$B$3:$CW$166,MATCH(B189,'vehicles specifications'!$A$3:$A$166,0),MATCH("Electric energy stored [kWh]",'vehicles specifications'!$B$2:$CW$2,0))</f>
        <v>3.3</v>
      </c>
    </row>
    <row r="204" spans="1:2" x14ac:dyDescent="0.2">
      <c r="A204" t="s">
        <v>588</v>
      </c>
      <c r="B204">
        <f>INDEX('vehicles specifications'!$B$3:$CW$166,MATCH(B189,'vehicles specifications'!$A$3:$A$166,0),MATCH("Electric energy available [kWh]",'vehicles specifications'!$B$2:$CW$2,0))</f>
        <v>2.64</v>
      </c>
    </row>
    <row r="205" spans="1:2" x14ac:dyDescent="0.2">
      <c r="A205" t="s">
        <v>138</v>
      </c>
      <c r="B205" s="2">
        <f>INDEX('vehicles specifications'!$B$3:$CW$166,MATCH(B189,'vehicles specifications'!$A$3:$A$166,0),MATCH("Oxydation energy stored [kWh]",'vehicles specifications'!$B$2:$CW$2,0))</f>
        <v>0</v>
      </c>
    </row>
    <row r="206" spans="1:2" x14ac:dyDescent="0.2">
      <c r="A206" t="s">
        <v>139</v>
      </c>
      <c r="B206">
        <f>INDEX('vehicles specifications'!$B$3:$CW$166,MATCH(B189,'vehicles specifications'!$A$3:$A$166,0),MATCH("Fuel mass [kg]",'vehicles specifications'!$B$2:$CW$2,0))</f>
        <v>0</v>
      </c>
    </row>
    <row r="207" spans="1:2" x14ac:dyDescent="0.2">
      <c r="A207" t="s">
        <v>136</v>
      </c>
      <c r="B207" s="2">
        <f>INDEX('vehicles specifications'!$B$3:$CW$166,MATCH(B189,'vehicles specifications'!$A$3:$A$166,0),MATCH("Range [km]",'vehicles specifications'!$B$2:$CW$2,0))</f>
        <v>50.175550663414057</v>
      </c>
    </row>
    <row r="208" spans="1:2" x14ac:dyDescent="0.2">
      <c r="A208" t="s">
        <v>137</v>
      </c>
      <c r="B208" t="str">
        <f>INDEX('vehicles specifications'!$B$3:$CW$166,MATCH(B189,'vehicles specifications'!$A$3:$A$166,0),MATCH("Emission standard",'vehicles specifications'!$B$2:$CW$2,0))</f>
        <v>None</v>
      </c>
    </row>
    <row r="209" spans="1:8" x14ac:dyDescent="0.2">
      <c r="A209" t="s">
        <v>1174</v>
      </c>
      <c r="B209" s="6">
        <f>INDEX('vehicles specifications'!$B$3:$CW$166,MATCH(B189,'vehicles specifications'!$A$3:$A$166,0),MATCH("Lightweighting rate [%]",'vehicles specifications'!$B$2:$CW$2,0))</f>
        <v>0</v>
      </c>
    </row>
    <row r="210" spans="1:8" x14ac:dyDescent="0.2">
      <c r="A210" t="s">
        <v>83</v>
      </c>
      <c r="B210" t="str">
        <f>"Power: "&amp;B200&amp;" kW. Lifetime: "&amp;B194&amp;" km. Annual kilometers: "&amp;B198&amp;" km. Number of passengers: "&amp;B195&amp;". Curb mass: "&amp;ROUND(B199,1)&amp;" kg. Lightweighting of glider: "&amp;ROUND(B209*100,0)&amp;"%. Emission standard: "&amp;B208&amp;". Service visits throughout lifetime: "&amp;ROUND(B196,1)&amp;". Range: "&amp;ROUND(B207,0)&amp;" km. Battery capacity: "&amp;ROUND(B203,1)&amp;" kWh. Available battery capacity: "&amp;B204&amp;" kWh. Battery mass: "&amp;ROUND(B202,1)&amp; " kg. Battery replacement throughout lifetime: "&amp;ROUND(B197,1)&amp;". Fuel tank capacity: "&amp;ROUND(B205,1)&amp;" kWh. Fuel mass: "&amp;ROUND(B206,1)&amp;" kg. Documentation: "&amp;Readmefirst!$B$2&amp;", "&amp;Readmefirst!$B$3&amp;". "&amp;B193</f>
        <v>Power: 6.1 kW. Lifetime: 30000 km. Annual kilometers: 1870 km. Number of passengers: 1. Curb mass: 128.7 kg. Lightweighting of glider: 0%. Emission standard: None. Service visits throughout lifetime: 1.2. Range: 50 km. Battery capacity: 3.3 kWh. Available battery capacity: 2.64 kWh. Battery mass: 18.7 kg. Battery replacement throughout lifetime: 1. Fuel tank capacity: 0 kWh. Fuel mass: 0 kg. Documentation: Life-cycle inventories for on-road vehicles, Sacchi R. (PSI), Bauer C. (PSI), 2021. Sacchi R., Bauer C. Life cycle inventories for on-road vehicles. Paul Scherrer Institut, 2021.</v>
      </c>
    </row>
    <row r="211" spans="1:8" ht="16" x14ac:dyDescent="0.2">
      <c r="A211" s="10" t="s">
        <v>79</v>
      </c>
    </row>
    <row r="212" spans="1:8" x14ac:dyDescent="0.2">
      <c r="A212" t="s">
        <v>80</v>
      </c>
      <c r="B212" t="s">
        <v>81</v>
      </c>
      <c r="C212" t="s">
        <v>72</v>
      </c>
      <c r="D212" t="s">
        <v>76</v>
      </c>
      <c r="E212" t="s">
        <v>82</v>
      </c>
      <c r="F212" t="s">
        <v>74</v>
      </c>
      <c r="G212" t="s">
        <v>83</v>
      </c>
      <c r="H212" t="s">
        <v>73</v>
      </c>
    </row>
    <row r="213" spans="1:8" x14ac:dyDescent="0.2">
      <c r="A213" t="str">
        <f>B184</f>
        <v>transport, Scooter, electric, 4-11kW, NCA battery, 2020</v>
      </c>
      <c r="B213">
        <v>1</v>
      </c>
      <c r="C213" t="str">
        <f>B185</f>
        <v>CH</v>
      </c>
      <c r="D213" t="s">
        <v>166</v>
      </c>
      <c r="F213" t="s">
        <v>84</v>
      </c>
      <c r="G213" t="s">
        <v>85</v>
      </c>
      <c r="H213" t="str">
        <f>B190</f>
        <v>transport, Scooter, electric, 4-11kW</v>
      </c>
    </row>
    <row r="214" spans="1:8" x14ac:dyDescent="0.2">
      <c r="A214" t="str">
        <f>RIGHT(A213,LEN(A213)-11)</f>
        <v>Scooter, electric, 4-11kW, NCA battery, 2020</v>
      </c>
      <c r="B214" s="7">
        <f>1/B194</f>
        <v>3.3333333333333335E-5</v>
      </c>
      <c r="C214" t="str">
        <f>B185</f>
        <v>CH</v>
      </c>
      <c r="D214" t="s">
        <v>76</v>
      </c>
      <c r="F214" t="s">
        <v>89</v>
      </c>
      <c r="H214" t="str">
        <f>RIGHT(H213,LEN(H213)-11)</f>
        <v>Scooter, electric, 4-11kW</v>
      </c>
    </row>
    <row r="215" spans="1:8" x14ac:dyDescent="0.2">
      <c r="A215" t="str">
        <f>INDEX('ei names mapping'!$B$4:$R$33,MATCH(B186,'ei names mapping'!$A$4:$A$33,0),MATCH(G215,'ei names mapping'!$B$3:$R$3,0))</f>
        <v>road construction</v>
      </c>
      <c r="B215" s="7">
        <f>INDEX('vehicles specifications'!$B$3:$CW$166,MATCH(B189,'vehicles specifications'!$A$3:$A$166,0),MATCH(G215,'vehicles specifications'!$B$2:$CW$2,0))*INDEX('ei names mapping'!$B$137:$BL$300,MATCH(B189,'ei names mapping'!$A$137:$A$300,0),MATCH(G215,'ei names mapping'!$B$136:$BL$136,0))</f>
        <v>1.1150921739130435E-4</v>
      </c>
      <c r="C215" t="str">
        <f>INDEX('ei names mapping'!$B$38:$R$67,MATCH(B186,'ei names mapping'!$A$4:$A$33,0),MATCH(G215,'ei names mapping'!$B$3:$R$3,0))</f>
        <v>CH</v>
      </c>
      <c r="D215" t="str">
        <f>INDEX('ei names mapping'!$B$104:$BL$133,MATCH(B186,'ei names mapping'!$A$4:$A$33,0),MATCH(G215,'ei names mapping'!$B$3:$BL$3,0))</f>
        <v>meter-year</v>
      </c>
      <c r="F215" t="s">
        <v>89</v>
      </c>
      <c r="G215" t="s">
        <v>105</v>
      </c>
      <c r="H215" t="str">
        <f>INDEX('ei names mapping'!$B$71:$BL$100,MATCH(B186,'ei names mapping'!$A$4:$A$33,0),MATCH(G215,'ei names mapping'!$B$3:$BL$3,0))</f>
        <v>road</v>
      </c>
    </row>
    <row r="216" spans="1:8" x14ac:dyDescent="0.2">
      <c r="A216" t="str">
        <f>INDEX('ei names mapping'!$B$4:$R$33,MATCH(B186,'ei names mapping'!$A$4:$A$33,0),MATCH(G216,'ei names mapping'!$B$3:$R$3,0))</f>
        <v>road maintenance</v>
      </c>
      <c r="B216" s="7">
        <f>INDEX('vehicles specifications'!$B$3:$CW$166,MATCH(B189,'vehicles specifications'!$A$3:$A$166,0),MATCH(G216,'vehicles specifications'!$B$2:$CW$2,0))*INDEX('ei names mapping'!$B$137:$BL$300,MATCH(B189,'ei names mapping'!$A$137:$A$300,0),MATCH(G216,'ei names mapping'!$B$136:$BL$136,0))</f>
        <v>1.2899999999999999E-3</v>
      </c>
      <c r="C216" t="str">
        <f>INDEX('ei names mapping'!$B$38:$R$67,MATCH(B186,'ei names mapping'!$A$4:$A$33,0),MATCH(G216,'ei names mapping'!$B$3:$R$3,0))</f>
        <v>CH</v>
      </c>
      <c r="D216" t="str">
        <f>INDEX('ei names mapping'!$B$104:$BL$133,MATCH(B186,'ei names mapping'!$A$4:$A$33,0),MATCH(G216,'ei names mapping'!$B$3:$BL$3,0))</f>
        <v>meter-year</v>
      </c>
      <c r="F216" t="s">
        <v>89</v>
      </c>
      <c r="G216" t="s">
        <v>112</v>
      </c>
      <c r="H216" t="str">
        <f>INDEX('ei names mapping'!$B$71:$BL$100,MATCH(B186,'ei names mapping'!$A$4:$A$33,0),MATCH(G216,'ei names mapping'!$B$3:$BL$3,0))</f>
        <v>road maintenance</v>
      </c>
    </row>
    <row r="217" spans="1:8" x14ac:dyDescent="0.2">
      <c r="A217" t="str">
        <f>INDEX('ei names mapping'!$B$4:$R$33,MATCH(B186,'ei names mapping'!$A$4:$A$33,0),MATCH(G217,'ei names mapping'!$B$3:$R$3,0))</f>
        <v>market for electricity, low voltage</v>
      </c>
      <c r="B217" s="7">
        <f>INDEX('vehicles specifications'!$B$3:$CW$166,MATCH(B189,'vehicles specifications'!$A$3:$A$166,0),MATCH(G217,'vehicles specifications'!$B$2:$CW$2,0))*INDEX('ei names mapping'!$B$137:$BL$300,MATCH(B189,'ei names mapping'!$A$137:$A$300,0),MATCH(G217,'ei names mapping'!$B$136:$BL$136,0))</f>
        <v>5.7876793809010993E-2</v>
      </c>
      <c r="C217" t="str">
        <f>INDEX('ei names mapping'!$B$38:$R$67,MATCH($B$3,'ei names mapping'!$A$4:$A$33,0),MATCH(G217,'ei names mapping'!$B$3:$R$3,0))</f>
        <v>CH</v>
      </c>
      <c r="D217" t="str">
        <f>INDEX('ei names mapping'!$B$104:$R$133,MATCH($B$3,'ei names mapping'!$A$4:$A$33,0),MATCH(G217,'ei names mapping'!$B$3:$R$3,0))</f>
        <v>kilowatt hour</v>
      </c>
      <c r="F217" t="s">
        <v>89</v>
      </c>
      <c r="G217" t="s">
        <v>28</v>
      </c>
      <c r="H217" t="str">
        <f>INDEX('ei names mapping'!$B$71:$R$100,MATCH(B186,'ei names mapping'!$A$4:$A$33,0),MATCH(G217,'ei names mapping'!$B$3:$R$3,0))</f>
        <v>electricity, low voltage</v>
      </c>
    </row>
    <row r="218" spans="1:8" x14ac:dyDescent="0.2">
      <c r="A218" t="str">
        <f>INDEX('ei names mapping'!$B$4:$R$33,MATCH(B186,'ei names mapping'!$A$4:$A$33,0),MATCH(G218,'ei names mapping'!$B$3:$R$3,0))</f>
        <v>market for maintenance, electric scooter, without battery</v>
      </c>
      <c r="B218" s="7">
        <f>INDEX('vehicles specifications'!$B$3:$CW$166,MATCH(B189,'vehicles specifications'!$A$3:$A$166,0),MATCH(G218,'vehicles specifications'!$B$2:$CW$2,0))*INDEX('ei names mapping'!$B$137:$BL$300,MATCH(B189,'ei names mapping'!$A$137:$A$300,0),MATCH(G218,'ei names mapping'!$B$136:$BL$136,0))</f>
        <v>4.0000000000000003E-5</v>
      </c>
      <c r="C218" t="str">
        <f>INDEX('ei names mapping'!$B$38:$BL$67,MATCH(B186,'ei names mapping'!$A$4:$A$33,0),MATCH(G218,'ei names mapping'!$B$3:$BL$3,0))</f>
        <v>GLO</v>
      </c>
      <c r="D218" t="str">
        <f>INDEX('ei names mapping'!$B$104:$BL$133,MATCH(B186,'ei names mapping'!$A$4:$A$33,0),MATCH(G218,'ei names mapping'!$B$3:$BL$3,0))</f>
        <v>unit</v>
      </c>
      <c r="F218" t="s">
        <v>89</v>
      </c>
      <c r="G218" t="s">
        <v>118</v>
      </c>
      <c r="H218" t="str">
        <f>INDEX('ei names mapping'!$B$71:$BL$100,MATCH(B186,'ei names mapping'!$A$4:$A$33,0),MATCH(G218,'ei names mapping'!$B$3:$BL$3,0))</f>
        <v>maintenance, electric scooter, without battery</v>
      </c>
    </row>
    <row r="219" spans="1:8" x14ac:dyDescent="0.2">
      <c r="A219" t="str">
        <f>INDEX('ei names mapping'!$B$4:$BL$33,MATCH(B186,'ei names mapping'!$A$4:$A$33,0),MATCH(G219,'ei names mapping'!$B$3:$BL$3,0))</f>
        <v>treatment of road wear emissions, passenger car</v>
      </c>
      <c r="B219" s="7">
        <f>INDEX('vehicles specifications'!$B$3:$CW$166,MATCH(B189,'vehicles specifications'!$A$3:$A$166,0),MATCH(G219,'vehicles specifications'!$B$2:$CW$2,0))*INDEX('ei names mapping'!$B$137:$BL$300,MATCH(B189,'ei names mapping'!$A$137:$A$300,0),MATCH(G219,'ei names mapping'!$B$136:$BL$136,0))</f>
        <v>-7.505396868269776E-6</v>
      </c>
      <c r="C219" t="str">
        <f>INDEX('ei names mapping'!$B$38:$BL$67,MATCH(B186,'ei names mapping'!$A$4:$A$33,0),MATCH(G219,'ei names mapping'!$B$3:$BL$3,0))</f>
        <v>RER</v>
      </c>
      <c r="D219" t="str">
        <f>INDEX('ei names mapping'!$B$104:$BL$133,MATCH(B186,'ei names mapping'!$A$4:$A$33,0),MATCH(G219,'ei names mapping'!$B$3:$BL$3,0))</f>
        <v>kilogram</v>
      </c>
      <c r="F219" t="s">
        <v>89</v>
      </c>
      <c r="G219" t="s">
        <v>29</v>
      </c>
      <c r="H219" t="str">
        <f>INDEX('ei names mapping'!$B$71:$BL$100,MATCH(B186,'ei names mapping'!$A$4:$A$33,0),MATCH(G219,'ei names mapping'!$B$3:$BL$3,0))</f>
        <v>road wear emissions, passenger car</v>
      </c>
    </row>
    <row r="220" spans="1:8" x14ac:dyDescent="0.2">
      <c r="A220" t="str">
        <f>INDEX('ei names mapping'!$B$4:$BL$33,MATCH(B186,'ei names mapping'!$A$4:$A$33,0),MATCH(G220,'ei names mapping'!$B$3:$BL$3,0))</f>
        <v>treatment of tyre wear emissions, passenger car</v>
      </c>
      <c r="B220" s="7">
        <f>INDEX('vehicles specifications'!$B$3:$CW$166,MATCH(B189,'vehicles specifications'!$A$3:$A$166,0),MATCH(G220,'vehicles specifications'!$B$2:$CW$2,0))*INDEX('ei names mapping'!$B$137:$BL$300,MATCH(B189,'ei names mapping'!$A$137:$A$300,0),MATCH(G220,'ei names mapping'!$B$136:$BL$136,0))</f>
        <v>-5.7971677846537385E-6</v>
      </c>
      <c r="C220" t="str">
        <f>INDEX('ei names mapping'!$B$38:$BL$67,MATCH(B186,'ei names mapping'!$A$4:$A$33,0),MATCH(G220,'ei names mapping'!$B$3:$BL$3,0))</f>
        <v>RER</v>
      </c>
      <c r="D220" t="str">
        <f>INDEX('ei names mapping'!$B$104:$BL$133,MATCH(B186,'ei names mapping'!$A$4:$A$33,0),MATCH(G220,'ei names mapping'!$B$3:$BL$3,0))</f>
        <v>kilogram</v>
      </c>
      <c r="F220" t="s">
        <v>89</v>
      </c>
      <c r="G220" t="s">
        <v>30</v>
      </c>
      <c r="H220" t="str">
        <f>INDEX('ei names mapping'!$B$71:$BL$100,MATCH(B186,'ei names mapping'!$A$4:$A$33,0),MATCH(G220,'ei names mapping'!$B$3:$BL$3,0))</f>
        <v>tyre wear emissions, passenger car</v>
      </c>
    </row>
    <row r="221" spans="1:8" x14ac:dyDescent="0.2">
      <c r="A221" t="str">
        <f>INDEX('ei names mapping'!$B$4:$BL$33,MATCH(B186,'ei names mapping'!$A$4:$A$33,0),MATCH(G221,'ei names mapping'!$B$3:$BL$3,0))</f>
        <v>treatment of brake wear emissions, passenger car</v>
      </c>
      <c r="B221" s="7">
        <f>INDEX('vehicles specifications'!$B$3:$CW$166,MATCH(B189,'vehicles specifications'!$A$3:$A$166,0),MATCH(G221,'vehicles specifications'!$B$2:$CW$2,0))*INDEX('ei names mapping'!$B$137:$BL$300,MATCH(B189,'ei names mapping'!$A$137:$A$300,0),MATCH(G221,'ei names mapping'!$B$136:$BL$136,0))</f>
        <v>-4.1367441514580274E-6</v>
      </c>
      <c r="C221" t="str">
        <f>INDEX('ei names mapping'!$B$38:$BL$67,MATCH(B186,'ei names mapping'!$A$4:$A$33,0),MATCH(G221,'ei names mapping'!$B$3:$BL$3,0))</f>
        <v>RER</v>
      </c>
      <c r="D221" t="str">
        <f>INDEX('ei names mapping'!$B$104:$BL$133,MATCH(B186,'ei names mapping'!$A$4:$A$33,0),MATCH(G221,'ei names mapping'!$B$3:$BL$3,0))</f>
        <v>kilogram</v>
      </c>
      <c r="F221" t="s">
        <v>89</v>
      </c>
      <c r="G221" t="s">
        <v>31</v>
      </c>
      <c r="H221" t="str">
        <f>INDEX('ei names mapping'!$B$71:$BL$100,MATCH(B186,'ei names mapping'!$A$4:$A$33,0),MATCH(G221,'ei names mapping'!$B$3:$BL$3,0))</f>
        <v>brake wear emissions, passenger car</v>
      </c>
    </row>
    <row r="222" spans="1:8" x14ac:dyDescent="0.2">
      <c r="B222" s="6"/>
    </row>
    <row r="223" spans="1:8" ht="16" x14ac:dyDescent="0.2">
      <c r="A223" s="10" t="s">
        <v>71</v>
      </c>
      <c r="B223" s="8" t="str">
        <f>"transport, "&amp;B225&amp;", "&amp;B240&amp;" battery, "&amp;B227</f>
        <v>transport, Scooter, electric, 4-11kW, NCA battery, 2030</v>
      </c>
    </row>
    <row r="224" spans="1:8" x14ac:dyDescent="0.2">
      <c r="A224" t="s">
        <v>72</v>
      </c>
      <c r="B224" t="s">
        <v>37</v>
      </c>
    </row>
    <row r="225" spans="1:2" x14ac:dyDescent="0.2">
      <c r="A225" t="s">
        <v>86</v>
      </c>
      <c r="B225" t="s">
        <v>569</v>
      </c>
    </row>
    <row r="226" spans="1:2" x14ac:dyDescent="0.2">
      <c r="A226" t="s">
        <v>87</v>
      </c>
    </row>
    <row r="227" spans="1:2" x14ac:dyDescent="0.2">
      <c r="A227" t="s">
        <v>88</v>
      </c>
      <c r="B227">
        <v>2030</v>
      </c>
    </row>
    <row r="228" spans="1:2" x14ac:dyDescent="0.2">
      <c r="A228" t="s">
        <v>126</v>
      </c>
      <c r="B228" t="str">
        <f>B225&amp;" - "&amp;B227&amp;" - "&amp;B240&amp;" - "&amp;B224</f>
        <v>Scooter, electric, 4-11kW - 2030 - NCA - CH</v>
      </c>
    </row>
    <row r="229" spans="1:2" x14ac:dyDescent="0.2">
      <c r="A229" t="s">
        <v>73</v>
      </c>
      <c r="B229" t="str">
        <f>"transport, "&amp;B225</f>
        <v>transport, Scooter, electric, 4-11kW</v>
      </c>
    </row>
    <row r="230" spans="1:2" x14ac:dyDescent="0.2">
      <c r="A230" t="s">
        <v>74</v>
      </c>
      <c r="B230" t="s">
        <v>75</v>
      </c>
    </row>
    <row r="231" spans="1:2" x14ac:dyDescent="0.2">
      <c r="A231" t="s">
        <v>76</v>
      </c>
      <c r="B231" t="s">
        <v>166</v>
      </c>
    </row>
    <row r="232" spans="1:2" x14ac:dyDescent="0.2">
      <c r="A232" t="s">
        <v>78</v>
      </c>
      <c r="B232" t="s">
        <v>1143</v>
      </c>
    </row>
    <row r="233" spans="1:2" x14ac:dyDescent="0.2">
      <c r="A233" t="s">
        <v>127</v>
      </c>
      <c r="B233">
        <f>INDEX('vehicles specifications'!$B$3:$CW$166,MATCH(B228,'vehicles specifications'!$A$3:$A$166,0),MATCH("Lifetime [km]",'vehicles specifications'!$B$2:$CW$2,0))</f>
        <v>30000</v>
      </c>
    </row>
    <row r="234" spans="1:2" x14ac:dyDescent="0.2">
      <c r="A234" t="s">
        <v>128</v>
      </c>
      <c r="B234">
        <f>INDEX('vehicles specifications'!$B$3:$CW$166,MATCH(B228,'vehicles specifications'!$A$3:$A$166,0),MATCH("Passengers [unit]",'vehicles specifications'!$B$2:$CW$2,0))</f>
        <v>1</v>
      </c>
    </row>
    <row r="235" spans="1:2" x14ac:dyDescent="0.2">
      <c r="A235" t="s">
        <v>129</v>
      </c>
      <c r="B235">
        <f>INDEX('vehicles specifications'!$B$3:$CW$166,MATCH(B228,'vehicles specifications'!$A$3:$A$166,0),MATCH("Servicing [unit]",'vehicles specifications'!$B$2:$CW$2,0))</f>
        <v>1.2</v>
      </c>
    </row>
    <row r="236" spans="1:2" x14ac:dyDescent="0.2">
      <c r="A236" t="s">
        <v>130</v>
      </c>
      <c r="B236">
        <f>INDEX('vehicles specifications'!$B$3:$CW$166,MATCH(B228,'vehicles specifications'!$A$3:$A$166,0),MATCH("Energy battery replacement [unit]",'vehicles specifications'!$B$2:$CW$2,0))</f>
        <v>0.5</v>
      </c>
    </row>
    <row r="237" spans="1:2" x14ac:dyDescent="0.2">
      <c r="A237" t="s">
        <v>131</v>
      </c>
      <c r="B237">
        <f>INDEX('vehicles specifications'!$B$3:$CW$166,MATCH(B228,'vehicles specifications'!$A$3:$A$166,0),MATCH("Annual kilometers [km]",'vehicles specifications'!$B$2:$CW$2,0))</f>
        <v>1870</v>
      </c>
    </row>
    <row r="238" spans="1:2" x14ac:dyDescent="0.2">
      <c r="A238" t="s">
        <v>132</v>
      </c>
      <c r="B238" s="2">
        <f>INDEX('vehicles specifications'!$B$3:$CW$166,MATCH(B228,'vehicles specifications'!$A$3:$A$166,0),MATCH("Curb mass [kg]",'vehicles specifications'!$B$2:$CW$2,0))</f>
        <v>132.18</v>
      </c>
    </row>
    <row r="239" spans="1:2" x14ac:dyDescent="0.2">
      <c r="A239" t="s">
        <v>133</v>
      </c>
      <c r="B239">
        <f>INDEX('vehicles specifications'!$B$3:$CW$166,MATCH(B228,'vehicles specifications'!$A$3:$A$166,0),MATCH("Power [kW]",'vehicles specifications'!$B$2:$CW$2,0))</f>
        <v>6.1</v>
      </c>
    </row>
    <row r="240" spans="1:2" x14ac:dyDescent="0.2">
      <c r="A240" t="s">
        <v>652</v>
      </c>
      <c r="B240" s="20" t="s">
        <v>45</v>
      </c>
    </row>
    <row r="241" spans="1:8" x14ac:dyDescent="0.2">
      <c r="A241" t="s">
        <v>134</v>
      </c>
      <c r="B241">
        <f>INDEX('vehicles specifications'!$B$3:$CW$166,MATCH(B228,'vehicles specifications'!$A$3:$A$166,0),MATCH("Energy battery mass [kg]",'vehicles specifications'!$B$2:$CW$2,0))</f>
        <v>24.7</v>
      </c>
    </row>
    <row r="242" spans="1:8" x14ac:dyDescent="0.2">
      <c r="A242" t="s">
        <v>135</v>
      </c>
      <c r="B242">
        <f>INDEX('vehicles specifications'!$B$3:$CW$166,MATCH(B228,'vehicles specifications'!$A$3:$A$166,0),MATCH("Electric energy stored [kWh]",'vehicles specifications'!$B$2:$CW$2,0))</f>
        <v>5.7</v>
      </c>
    </row>
    <row r="243" spans="1:8" x14ac:dyDescent="0.2">
      <c r="A243" t="s">
        <v>588</v>
      </c>
      <c r="B243">
        <f>INDEX('vehicles specifications'!$B$3:$CW$166,MATCH(B228,'vehicles specifications'!$A$3:$A$166,0),MATCH("Electric energy available [kWh]",'vehicles specifications'!$B$2:$CW$2,0))</f>
        <v>4.5600000000000005</v>
      </c>
    </row>
    <row r="244" spans="1:8" x14ac:dyDescent="0.2">
      <c r="A244" t="s">
        <v>138</v>
      </c>
      <c r="B244" s="2">
        <f>INDEX('vehicles specifications'!$B$3:$CW$166,MATCH(B228,'vehicles specifications'!$A$3:$A$166,0),MATCH("Oxydation energy stored [kWh]",'vehicles specifications'!$B$2:$CW$2,0))</f>
        <v>0</v>
      </c>
    </row>
    <row r="245" spans="1:8" x14ac:dyDescent="0.2">
      <c r="A245" t="s">
        <v>139</v>
      </c>
      <c r="B245">
        <f>INDEX('vehicles specifications'!$B$3:$CW$166,MATCH(B228,'vehicles specifications'!$A$3:$A$166,0),MATCH("Fuel mass [kg]",'vehicles specifications'!$B$2:$CW$2,0))</f>
        <v>0</v>
      </c>
    </row>
    <row r="246" spans="1:8" x14ac:dyDescent="0.2">
      <c r="A246" t="s">
        <v>136</v>
      </c>
      <c r="B246" s="2">
        <f>INDEX('vehicles specifications'!$B$3:$CW$166,MATCH(B228,'vehicles specifications'!$A$3:$A$166,0),MATCH("Range [km]",'vehicles specifications'!$B$2:$CW$2,0))</f>
        <v>86.666860236806102</v>
      </c>
    </row>
    <row r="247" spans="1:8" x14ac:dyDescent="0.2">
      <c r="A247" t="s">
        <v>137</v>
      </c>
      <c r="B247" t="str">
        <f>INDEX('vehicles specifications'!$B$3:$CW$166,MATCH(B228,'vehicles specifications'!$A$3:$A$166,0),MATCH("Emission standard",'vehicles specifications'!$B$2:$CW$2,0))</f>
        <v>None</v>
      </c>
    </row>
    <row r="248" spans="1:8" x14ac:dyDescent="0.2">
      <c r="A248" t="s">
        <v>1174</v>
      </c>
      <c r="B248" s="6">
        <f>INDEX('vehicles specifications'!$B$3:$CW$166,MATCH(B228,'vehicles specifications'!$A$3:$A$166,0),MATCH("Lightweighting rate [%]",'vehicles specifications'!$B$2:$CW$2,0))</f>
        <v>0.03</v>
      </c>
    </row>
    <row r="249" spans="1:8" x14ac:dyDescent="0.2">
      <c r="A249" t="s">
        <v>83</v>
      </c>
      <c r="B249" t="str">
        <f>"Power: "&amp;B239&amp;" kW. Lifetime: "&amp;B233&amp;" km. Annual kilometers: "&amp;B237&amp;" km. Number of passengers: "&amp;B234&amp;". Curb mass: "&amp;ROUND(B238,1)&amp;" kg. Lightweighting of glider: "&amp;ROUND(B248*100,0)&amp;"%. Emission standard: "&amp;B247&amp;". Service visits throughout lifetime: "&amp;ROUND(B235,1)&amp;". Range: "&amp;ROUND(B246,0)&amp;" km. Battery capacity: "&amp;ROUND(B242,1)&amp;" kWh. Available battery capacity: "&amp;B243&amp;" kWh. Battery mass: "&amp;ROUND(B241,1)&amp; " kg. Battery replacement throughout lifetime: "&amp;ROUND(B236,1)&amp;". Fuel tank capacity: "&amp;ROUND(B244,1)&amp;" kWh. Fuel mass: "&amp;ROUND(B245,1)&amp;" kg. Documentation: "&amp;Readmefirst!$B$2&amp;", "&amp;Readmefirst!$B$3&amp;". "&amp;B232</f>
        <v>Power: 6.1 kW. Lifetime: 30000 km. Annual kilometers: 1870 km. Number of passengers: 1. Curb mass: 132.2 kg. Lightweighting of glider: 3%. Emission standard: None. Service visits throughout lifetime: 1.2. Range: 87 km. Battery capacity: 5.7 kWh. Available battery capacity: 4.56 kWh. Battery mass: 24.7 kg. Battery replacement throughout lifetime: 0.5. Fuel tank capacity: 0 kWh. Fuel mass: 0 kg. Documentation: Life-cycle inventories for on-road vehicles, Sacchi R. (PSI), Bauer C. (PSI), 2021. Sacchi R., Bauer C. Life cycle inventories for on-road vehicles. Paul Scherrer Institut, 2021.</v>
      </c>
    </row>
    <row r="250" spans="1:8" ht="16" x14ac:dyDescent="0.2">
      <c r="A250" s="10" t="s">
        <v>79</v>
      </c>
    </row>
    <row r="251" spans="1:8" x14ac:dyDescent="0.2">
      <c r="A251" t="s">
        <v>80</v>
      </c>
      <c r="B251" t="s">
        <v>81</v>
      </c>
      <c r="C251" t="s">
        <v>72</v>
      </c>
      <c r="D251" t="s">
        <v>76</v>
      </c>
      <c r="E251" t="s">
        <v>82</v>
      </c>
      <c r="F251" t="s">
        <v>74</v>
      </c>
      <c r="G251" t="s">
        <v>83</v>
      </c>
      <c r="H251" t="s">
        <v>73</v>
      </c>
    </row>
    <row r="252" spans="1:8" x14ac:dyDescent="0.2">
      <c r="A252" t="str">
        <f>B223</f>
        <v>transport, Scooter, electric, 4-11kW, NCA battery, 2030</v>
      </c>
      <c r="B252">
        <v>1</v>
      </c>
      <c r="C252" t="str">
        <f>B224</f>
        <v>CH</v>
      </c>
      <c r="D252" t="s">
        <v>166</v>
      </c>
      <c r="F252" t="s">
        <v>84</v>
      </c>
      <c r="G252" t="s">
        <v>85</v>
      </c>
      <c r="H252" t="str">
        <f>B229</f>
        <v>transport, Scooter, electric, 4-11kW</v>
      </c>
    </row>
    <row r="253" spans="1:8" x14ac:dyDescent="0.2">
      <c r="A253" t="str">
        <f>RIGHT(A252,LEN(A252)-11)</f>
        <v>Scooter, electric, 4-11kW, NCA battery, 2030</v>
      </c>
      <c r="B253" s="7">
        <f>1/B233</f>
        <v>3.3333333333333335E-5</v>
      </c>
      <c r="C253" t="str">
        <f>B224</f>
        <v>CH</v>
      </c>
      <c r="D253" t="s">
        <v>76</v>
      </c>
      <c r="F253" t="s">
        <v>89</v>
      </c>
      <c r="H253" t="str">
        <f>RIGHT(H252,LEN(H252)-11)</f>
        <v>Scooter, electric, 4-11kW</v>
      </c>
    </row>
    <row r="254" spans="1:8" x14ac:dyDescent="0.2">
      <c r="A254" t="str">
        <f>INDEX('ei names mapping'!$B$4:$R$33,MATCH(B225,'ei names mapping'!$A$4:$A$33,0),MATCH(G254,'ei names mapping'!$B$3:$R$3,0))</f>
        <v>road construction</v>
      </c>
      <c r="B254" s="7">
        <f>INDEX('vehicles specifications'!$B$3:$CW$166,MATCH(B228,'vehicles specifications'!$A$3:$A$166,0),MATCH(G254,'vehicles specifications'!$B$2:$CW$2,0))*INDEX('ei names mapping'!$B$137:$BL$300,MATCH(B228,'ei names mapping'!$A$137:$A$300,0),MATCH(G254,'ei names mapping'!$B$136:$BL$136,0))</f>
        <v>1.1340366E-4</v>
      </c>
      <c r="C254" t="str">
        <f>INDEX('ei names mapping'!$B$38:$R$67,MATCH(B225,'ei names mapping'!$A$4:$A$33,0),MATCH(G254,'ei names mapping'!$B$3:$R$3,0))</f>
        <v>CH</v>
      </c>
      <c r="D254" t="str">
        <f>INDEX('ei names mapping'!$B$104:$BL$133,MATCH(B225,'ei names mapping'!$A$4:$A$33,0),MATCH(G254,'ei names mapping'!$B$3:$BL$3,0))</f>
        <v>meter-year</v>
      </c>
      <c r="F254" t="s">
        <v>89</v>
      </c>
      <c r="G254" t="s">
        <v>105</v>
      </c>
      <c r="H254" t="str">
        <f>INDEX('ei names mapping'!$B$71:$BL$100,MATCH(B225,'ei names mapping'!$A$4:$A$33,0),MATCH(G254,'ei names mapping'!$B$3:$BL$3,0))</f>
        <v>road</v>
      </c>
    </row>
    <row r="255" spans="1:8" x14ac:dyDescent="0.2">
      <c r="A255" t="str">
        <f>INDEX('ei names mapping'!$B$4:$R$33,MATCH(B225,'ei names mapping'!$A$4:$A$33,0),MATCH(G255,'ei names mapping'!$B$3:$R$3,0))</f>
        <v>road maintenance</v>
      </c>
      <c r="B255" s="7">
        <f>INDEX('vehicles specifications'!$B$3:$CW$166,MATCH(B228,'vehicles specifications'!$A$3:$A$166,0),MATCH(G255,'vehicles specifications'!$B$2:$CW$2,0))*INDEX('ei names mapping'!$B$137:$BL$300,MATCH(B228,'ei names mapping'!$A$137:$A$300,0),MATCH(G255,'ei names mapping'!$B$136:$BL$136,0))</f>
        <v>1.2899999999999999E-3</v>
      </c>
      <c r="C255" t="str">
        <f>INDEX('ei names mapping'!$B$38:$R$67,MATCH(B225,'ei names mapping'!$A$4:$A$33,0),MATCH(G255,'ei names mapping'!$B$3:$R$3,0))</f>
        <v>CH</v>
      </c>
      <c r="D255" t="str">
        <f>INDEX('ei names mapping'!$B$104:$BL$133,MATCH(B225,'ei names mapping'!$A$4:$A$33,0),MATCH(G255,'ei names mapping'!$B$3:$BL$3,0))</f>
        <v>meter-year</v>
      </c>
      <c r="F255" t="s">
        <v>89</v>
      </c>
      <c r="G255" t="s">
        <v>112</v>
      </c>
      <c r="H255" t="str">
        <f>INDEX('ei names mapping'!$B$71:$BL$100,MATCH(B225,'ei names mapping'!$A$4:$A$33,0),MATCH(G255,'ei names mapping'!$B$3:$BL$3,0))</f>
        <v>road maintenance</v>
      </c>
    </row>
    <row r="256" spans="1:8" x14ac:dyDescent="0.2">
      <c r="A256" t="str">
        <f>INDEX('ei names mapping'!$B$4:$R$33,MATCH(B225,'ei names mapping'!$A$4:$A$33,0),MATCH(G256,'ei names mapping'!$B$3:$R$3,0))</f>
        <v>market for electricity, low voltage</v>
      </c>
      <c r="B256" s="7">
        <f>INDEX('vehicles specifications'!$B$3:$CW$166,MATCH(B228,'vehicles specifications'!$A$3:$A$166,0),MATCH(G256,'vehicles specifications'!$B$2:$CW$2,0))*INDEX('ei names mapping'!$B$137:$BL$300,MATCH(B228,'ei names mapping'!$A$137:$A$300,0),MATCH(G256,'ei names mapping'!$B$136:$BL$136,0))</f>
        <v>5.7876793809010993E-2</v>
      </c>
      <c r="C256" t="str">
        <f>INDEX('ei names mapping'!$B$38:$R$67,MATCH($B$3,'ei names mapping'!$A$4:$A$33,0),MATCH(G256,'ei names mapping'!$B$3:$R$3,0))</f>
        <v>CH</v>
      </c>
      <c r="D256" t="str">
        <f>INDEX('ei names mapping'!$B$104:$R$133,MATCH($B$3,'ei names mapping'!$A$4:$A$33,0),MATCH(G256,'ei names mapping'!$B$3:$R$3,0))</f>
        <v>kilowatt hour</v>
      </c>
      <c r="F256" t="s">
        <v>89</v>
      </c>
      <c r="G256" t="s">
        <v>28</v>
      </c>
      <c r="H256" t="str">
        <f>INDEX('ei names mapping'!$B$71:$R$100,MATCH(B225,'ei names mapping'!$A$4:$A$33,0),MATCH(G256,'ei names mapping'!$B$3:$R$3,0))</f>
        <v>electricity, low voltage</v>
      </c>
    </row>
    <row r="257" spans="1:8" x14ac:dyDescent="0.2">
      <c r="A257" t="str">
        <f>INDEX('ei names mapping'!$B$4:$R$33,MATCH(B225,'ei names mapping'!$A$4:$A$33,0),MATCH(G257,'ei names mapping'!$B$3:$R$3,0))</f>
        <v>market for maintenance, electric scooter, without battery</v>
      </c>
      <c r="B257" s="7">
        <f>INDEX('vehicles specifications'!$B$3:$CW$166,MATCH(B228,'vehicles specifications'!$A$3:$A$166,0),MATCH(G257,'vehicles specifications'!$B$2:$CW$2,0))*INDEX('ei names mapping'!$B$137:$BL$300,MATCH(B228,'ei names mapping'!$A$137:$A$300,0),MATCH(G257,'ei names mapping'!$B$136:$BL$136,0))</f>
        <v>4.0000000000000003E-5</v>
      </c>
      <c r="C257" t="str">
        <f>INDEX('ei names mapping'!$B$38:$BL$67,MATCH(B225,'ei names mapping'!$A$4:$A$33,0),MATCH(G257,'ei names mapping'!$B$3:$BL$3,0))</f>
        <v>GLO</v>
      </c>
      <c r="D257" t="str">
        <f>INDEX('ei names mapping'!$B$104:$BL$133,MATCH(B225,'ei names mapping'!$A$4:$A$33,0),MATCH(G257,'ei names mapping'!$B$3:$BL$3,0))</f>
        <v>unit</v>
      </c>
      <c r="F257" t="s">
        <v>89</v>
      </c>
      <c r="G257" t="s">
        <v>118</v>
      </c>
      <c r="H257" t="str">
        <f>INDEX('ei names mapping'!$B$71:$BL$100,MATCH(B225,'ei names mapping'!$A$4:$A$33,0),MATCH(G257,'ei names mapping'!$B$3:$BL$3,0))</f>
        <v>maintenance, electric scooter, without battery</v>
      </c>
    </row>
    <row r="258" spans="1:8" x14ac:dyDescent="0.2">
      <c r="A258" t="str">
        <f>INDEX('ei names mapping'!$B$4:$BL$33,MATCH(B225,'ei names mapping'!$A$4:$A$33,0),MATCH(G258,'ei names mapping'!$B$3:$BL$3,0))</f>
        <v>treatment of road wear emissions, passenger car</v>
      </c>
      <c r="B258" s="7">
        <f>INDEX('vehicles specifications'!$B$3:$CW$166,MATCH(B228,'vehicles specifications'!$A$3:$A$166,0),MATCH(G258,'vehicles specifications'!$B$2:$CW$2,0))*INDEX('ei names mapping'!$B$137:$BL$300,MATCH(B228,'ei names mapping'!$A$137:$A$300,0),MATCH(G258,'ei names mapping'!$B$136:$BL$136,0))</f>
        <v>-7.6064234663980656E-6</v>
      </c>
      <c r="C258" t="str">
        <f>INDEX('ei names mapping'!$B$38:$BL$67,MATCH(B225,'ei names mapping'!$A$4:$A$33,0),MATCH(G258,'ei names mapping'!$B$3:$BL$3,0))</f>
        <v>RER</v>
      </c>
      <c r="D258" t="str">
        <f>INDEX('ei names mapping'!$B$104:$BL$133,MATCH(B225,'ei names mapping'!$A$4:$A$33,0),MATCH(G258,'ei names mapping'!$B$3:$BL$3,0))</f>
        <v>kilogram</v>
      </c>
      <c r="F258" t="s">
        <v>89</v>
      </c>
      <c r="G258" t="s">
        <v>29</v>
      </c>
      <c r="H258" t="str">
        <f>INDEX('ei names mapping'!$B$71:$BL$100,MATCH(B225,'ei names mapping'!$A$4:$A$33,0),MATCH(G258,'ei names mapping'!$B$3:$BL$3,0))</f>
        <v>road wear emissions, passenger car</v>
      </c>
    </row>
    <row r="259" spans="1:8" x14ac:dyDescent="0.2">
      <c r="A259" t="str">
        <f>INDEX('ei names mapping'!$B$4:$BL$33,MATCH(B225,'ei names mapping'!$A$4:$A$33,0),MATCH(G259,'ei names mapping'!$B$3:$BL$3,0))</f>
        <v>treatment of tyre wear emissions, passenger car</v>
      </c>
      <c r="B259" s="7">
        <f>INDEX('vehicles specifications'!$B$3:$CW$166,MATCH(B228,'vehicles specifications'!$A$3:$A$166,0),MATCH(G259,'vehicles specifications'!$B$2:$CW$2,0))*INDEX('ei names mapping'!$B$137:$BL$300,MATCH(B228,'ei names mapping'!$A$137:$A$300,0),MATCH(G259,'ei names mapping'!$B$136:$BL$136,0))</f>
        <v>-5.8492445161006275E-6</v>
      </c>
      <c r="C259" t="str">
        <f>INDEX('ei names mapping'!$B$38:$BL$67,MATCH(B225,'ei names mapping'!$A$4:$A$33,0),MATCH(G259,'ei names mapping'!$B$3:$BL$3,0))</f>
        <v>RER</v>
      </c>
      <c r="D259" t="str">
        <f>INDEX('ei names mapping'!$B$104:$BL$133,MATCH(B225,'ei names mapping'!$A$4:$A$33,0),MATCH(G259,'ei names mapping'!$B$3:$BL$3,0))</f>
        <v>kilogram</v>
      </c>
      <c r="F259" t="s">
        <v>89</v>
      </c>
      <c r="G259" t="s">
        <v>30</v>
      </c>
      <c r="H259" t="str">
        <f>INDEX('ei names mapping'!$B$71:$BL$100,MATCH(B225,'ei names mapping'!$A$4:$A$33,0),MATCH(G259,'ei names mapping'!$B$3:$BL$3,0))</f>
        <v>tyre wear emissions, passenger car</v>
      </c>
    </row>
    <row r="260" spans="1:8" x14ac:dyDescent="0.2">
      <c r="A260" t="str">
        <f>INDEX('ei names mapping'!$B$4:$BL$33,MATCH(B225,'ei names mapping'!$A$4:$A$33,0),MATCH(G260,'ei names mapping'!$B$3:$BL$3,0))</f>
        <v>treatment of brake wear emissions, passenger car</v>
      </c>
      <c r="B260" s="7">
        <f>INDEX('vehicles specifications'!$B$3:$CW$166,MATCH(B228,'vehicles specifications'!$A$3:$A$166,0),MATCH(G260,'vehicles specifications'!$B$2:$CW$2,0))*INDEX('ei names mapping'!$B$137:$BL$300,MATCH(B228,'ei names mapping'!$A$137:$A$300,0),MATCH(G260,'ei names mapping'!$B$136:$BL$136,0))</f>
        <v>-4.1814794350148126E-6</v>
      </c>
      <c r="C260" t="str">
        <f>INDEX('ei names mapping'!$B$38:$BL$67,MATCH(B225,'ei names mapping'!$A$4:$A$33,0),MATCH(G260,'ei names mapping'!$B$3:$BL$3,0))</f>
        <v>RER</v>
      </c>
      <c r="D260" t="str">
        <f>INDEX('ei names mapping'!$B$104:$BL$133,MATCH(B225,'ei names mapping'!$A$4:$A$33,0),MATCH(G260,'ei names mapping'!$B$3:$BL$3,0))</f>
        <v>kilogram</v>
      </c>
      <c r="F260" t="s">
        <v>89</v>
      </c>
      <c r="G260" t="s">
        <v>31</v>
      </c>
      <c r="H260" t="str">
        <f>INDEX('ei names mapping'!$B$71:$BL$100,MATCH(B225,'ei names mapping'!$A$4:$A$33,0),MATCH(G260,'ei names mapping'!$B$3:$BL$3,0))</f>
        <v>brake wear emissions, passenger car</v>
      </c>
    </row>
    <row r="262" spans="1:8" ht="16" x14ac:dyDescent="0.2">
      <c r="A262" s="10" t="s">
        <v>71</v>
      </c>
      <c r="B262" s="8" t="str">
        <f>"transport, "&amp;B264&amp;", "&amp;B279&amp;" battery, "&amp;B266</f>
        <v>transport, Scooter, electric, 4-11kW, NCA battery, 2040</v>
      </c>
    </row>
    <row r="263" spans="1:8" x14ac:dyDescent="0.2">
      <c r="A263" t="s">
        <v>72</v>
      </c>
      <c r="B263" t="s">
        <v>37</v>
      </c>
    </row>
    <row r="264" spans="1:8" x14ac:dyDescent="0.2">
      <c r="A264" t="s">
        <v>86</v>
      </c>
      <c r="B264" t="s">
        <v>569</v>
      </c>
    </row>
    <row r="265" spans="1:8" x14ac:dyDescent="0.2">
      <c r="A265" t="s">
        <v>87</v>
      </c>
    </row>
    <row r="266" spans="1:8" x14ac:dyDescent="0.2">
      <c r="A266" t="s">
        <v>88</v>
      </c>
      <c r="B266">
        <v>2040</v>
      </c>
    </row>
    <row r="267" spans="1:8" x14ac:dyDescent="0.2">
      <c r="A267" t="s">
        <v>126</v>
      </c>
      <c r="B267" t="str">
        <f>B264&amp;" - "&amp;B266&amp;" - "&amp;B279&amp;" - "&amp;B263</f>
        <v>Scooter, electric, 4-11kW - 2040 - NCA - CH</v>
      </c>
    </row>
    <row r="268" spans="1:8" x14ac:dyDescent="0.2">
      <c r="A268" t="s">
        <v>73</v>
      </c>
      <c r="B268" t="str">
        <f>"transport, "&amp;B264</f>
        <v>transport, Scooter, electric, 4-11kW</v>
      </c>
    </row>
    <row r="269" spans="1:8" x14ac:dyDescent="0.2">
      <c r="A269" t="s">
        <v>74</v>
      </c>
      <c r="B269" t="s">
        <v>75</v>
      </c>
    </row>
    <row r="270" spans="1:8" x14ac:dyDescent="0.2">
      <c r="A270" t="s">
        <v>76</v>
      </c>
      <c r="B270" t="s">
        <v>166</v>
      </c>
    </row>
    <row r="271" spans="1:8" x14ac:dyDescent="0.2">
      <c r="A271" t="s">
        <v>78</v>
      </c>
      <c r="B271" t="s">
        <v>1143</v>
      </c>
    </row>
    <row r="272" spans="1:8" x14ac:dyDescent="0.2">
      <c r="A272" t="s">
        <v>127</v>
      </c>
      <c r="B272">
        <f>INDEX('vehicles specifications'!$B$3:$CW$166,MATCH(B267,'vehicles specifications'!$A$3:$A$166,0),MATCH("Lifetime [km]",'vehicles specifications'!$B$2:$CW$2,0))</f>
        <v>30000</v>
      </c>
    </row>
    <row r="273" spans="1:2" x14ac:dyDescent="0.2">
      <c r="A273" t="s">
        <v>128</v>
      </c>
      <c r="B273">
        <f>INDEX('vehicles specifications'!$B$3:$CW$166,MATCH(B267,'vehicles specifications'!$A$3:$A$166,0),MATCH("Passengers [unit]",'vehicles specifications'!$B$2:$CW$2,0))</f>
        <v>1</v>
      </c>
    </row>
    <row r="274" spans="1:2" x14ac:dyDescent="0.2">
      <c r="A274" t="s">
        <v>129</v>
      </c>
      <c r="B274">
        <f>INDEX('vehicles specifications'!$B$3:$CW$166,MATCH(B267,'vehicles specifications'!$A$3:$A$166,0),MATCH("Servicing [unit]",'vehicles specifications'!$B$2:$CW$2,0))</f>
        <v>1.2</v>
      </c>
    </row>
    <row r="275" spans="1:2" x14ac:dyDescent="0.2">
      <c r="A275" t="s">
        <v>130</v>
      </c>
      <c r="B275">
        <f>INDEX('vehicles specifications'!$B$3:$CW$166,MATCH(B267,'vehicles specifications'!$A$3:$A$166,0),MATCH("Energy battery replacement [unit]",'vehicles specifications'!$B$2:$CW$2,0))</f>
        <v>0.25</v>
      </c>
    </row>
    <row r="276" spans="1:2" x14ac:dyDescent="0.2">
      <c r="A276" t="s">
        <v>131</v>
      </c>
      <c r="B276">
        <f>INDEX('vehicles specifications'!$B$3:$CW$166,MATCH(B267,'vehicles specifications'!$A$3:$A$166,0),MATCH("Annual kilometers [km]",'vehicles specifications'!$B$2:$CW$2,0))</f>
        <v>1870</v>
      </c>
    </row>
    <row r="277" spans="1:2" x14ac:dyDescent="0.2">
      <c r="A277" t="s">
        <v>132</v>
      </c>
      <c r="B277" s="2">
        <f>INDEX('vehicles specifications'!$B$3:$CW$166,MATCH(B267,'vehicles specifications'!$A$3:$A$166,0),MATCH("Curb mass [kg]",'vehicles specifications'!$B$2:$CW$2,0))</f>
        <v>132.44999999999999</v>
      </c>
    </row>
    <row r="278" spans="1:2" x14ac:dyDescent="0.2">
      <c r="A278" t="s">
        <v>133</v>
      </c>
      <c r="B278">
        <f>INDEX('vehicles specifications'!$B$3:$CW$166,MATCH(B267,'vehicles specifications'!$A$3:$A$166,0),MATCH("Power [kW]",'vehicles specifications'!$B$2:$CW$2,0))</f>
        <v>6.1</v>
      </c>
    </row>
    <row r="279" spans="1:2" x14ac:dyDescent="0.2">
      <c r="A279" t="s">
        <v>652</v>
      </c>
      <c r="B279" s="20" t="s">
        <v>45</v>
      </c>
    </row>
    <row r="280" spans="1:2" x14ac:dyDescent="0.2">
      <c r="A280" t="s">
        <v>134</v>
      </c>
      <c r="B280">
        <f>INDEX('vehicles specifications'!$B$3:$CW$166,MATCH(B267,'vehicles specifications'!$A$3:$A$166,0),MATCH("Energy battery mass [kg]",'vehicles specifications'!$B$2:$CW$2,0))</f>
        <v>26.649999999999995</v>
      </c>
    </row>
    <row r="281" spans="1:2" x14ac:dyDescent="0.2">
      <c r="A281" t="s">
        <v>135</v>
      </c>
      <c r="B281">
        <f>INDEX('vehicles specifications'!$B$3:$CW$166,MATCH(B267,'vehicles specifications'!$A$3:$A$166,0),MATCH("Electric energy stored [kWh]",'vehicles specifications'!$B$2:$CW$2,0))</f>
        <v>8.1999999999999993</v>
      </c>
    </row>
    <row r="282" spans="1:2" x14ac:dyDescent="0.2">
      <c r="A282" t="s">
        <v>588</v>
      </c>
      <c r="B282">
        <f>INDEX('vehicles specifications'!$B$3:$CW$166,MATCH(B267,'vehicles specifications'!$A$3:$A$166,0),MATCH("Electric energy available [kWh]",'vehicles specifications'!$B$2:$CW$2,0))</f>
        <v>6.56</v>
      </c>
    </row>
    <row r="283" spans="1:2" x14ac:dyDescent="0.2">
      <c r="A283" t="s">
        <v>138</v>
      </c>
      <c r="B283" s="2">
        <f>INDEX('vehicles specifications'!$B$3:$CW$166,MATCH(B267,'vehicles specifications'!$A$3:$A$166,0),MATCH("Oxydation energy stored [kWh]",'vehicles specifications'!$B$2:$CW$2,0))</f>
        <v>0</v>
      </c>
    </row>
    <row r="284" spans="1:2" x14ac:dyDescent="0.2">
      <c r="A284" t="s">
        <v>139</v>
      </c>
      <c r="B284">
        <f>INDEX('vehicles specifications'!$B$3:$CW$166,MATCH(B267,'vehicles specifications'!$A$3:$A$166,0),MATCH("Fuel mass [kg]",'vehicles specifications'!$B$2:$CW$2,0))</f>
        <v>0</v>
      </c>
    </row>
    <row r="285" spans="1:2" x14ac:dyDescent="0.2">
      <c r="A285" t="s">
        <v>136</v>
      </c>
      <c r="B285" s="2">
        <f>INDEX('vehicles specifications'!$B$3:$CW$166,MATCH(B267,'vehicles specifications'!$A$3:$A$166,0),MATCH("Range [km]",'vehicles specifications'!$B$2:$CW$2,0))</f>
        <v>124.6786410424228</v>
      </c>
    </row>
    <row r="286" spans="1:2" x14ac:dyDescent="0.2">
      <c r="A286" t="s">
        <v>137</v>
      </c>
      <c r="B286" t="str">
        <f>INDEX('vehicles specifications'!$B$3:$CW$166,MATCH(B267,'vehicles specifications'!$A$3:$A$166,0),MATCH("Emission standard",'vehicles specifications'!$B$2:$CW$2,0))</f>
        <v>None</v>
      </c>
    </row>
    <row r="287" spans="1:2" x14ac:dyDescent="0.2">
      <c r="A287" t="s">
        <v>1174</v>
      </c>
      <c r="B287" s="6">
        <f>INDEX('vehicles specifications'!$B$3:$CW$166,MATCH(B267,'vehicles specifications'!$A$3:$A$166,0),MATCH("Lightweighting rate [%]",'vehicles specifications'!$B$2:$CW$2,0))</f>
        <v>0.05</v>
      </c>
    </row>
    <row r="288" spans="1:2" x14ac:dyDescent="0.2">
      <c r="A288" t="s">
        <v>83</v>
      </c>
      <c r="B288" t="str">
        <f>"Power: "&amp;B278&amp;" kW. Lifetime: "&amp;B272&amp;" km. Annual kilometers: "&amp;B276&amp;" km. Number of passengers: "&amp;B273&amp;". Curb mass: "&amp;ROUND(B277,1)&amp;" kg. Lightweighting of glider: "&amp;ROUND(B287*100,0)&amp;"%. Emission standard: "&amp;B286&amp;". Service visits throughout lifetime: "&amp;ROUND(B274,1)&amp;". Range: "&amp;ROUND(B285,0)&amp;" km. Battery capacity: "&amp;ROUND(B281,1)&amp;" kWh. Available battery capacity: "&amp;B282&amp;" kWh. Battery mass: "&amp;ROUND(B280,1)&amp; " kg. Battery replacement throughout lifetime: "&amp;ROUND(B275,1)&amp;". Fuel tank capacity: "&amp;ROUND(B283,1)&amp;" kWh. Fuel mass: "&amp;ROUND(B284,1)&amp;" kg. Documentation: "&amp;Readmefirst!$B$2&amp;", "&amp;Readmefirst!$B$3&amp;". "&amp;B271</f>
        <v>Power: 6.1 kW. Lifetime: 30000 km. Annual kilometers: 1870 km. Number of passengers: 1. Curb mass: 132.5 kg. Lightweighting of glider: 5%. Emission standard: None. Service visits throughout lifetime: 1.2. Range: 125 km. Battery capacity: 8.2 kWh. Available battery capacity: 6.56 kWh. Battery mass: 26.7 kg. Battery replacement throughout lifetime: 0.3. Fuel tank capacity: 0 kWh. Fuel mass: 0 kg. Documentation: Life-cycle inventories for on-road vehicles, Sacchi R. (PSI), Bauer C. (PSI), 2021. Sacchi R., Bauer C. Life cycle inventories for on-road vehicles. Paul Scherrer Institut, 2021.</v>
      </c>
    </row>
    <row r="289" spans="1:8" ht="16" x14ac:dyDescent="0.2">
      <c r="A289" s="10" t="s">
        <v>79</v>
      </c>
    </row>
    <row r="290" spans="1:8" x14ac:dyDescent="0.2">
      <c r="A290" t="s">
        <v>80</v>
      </c>
      <c r="B290" t="s">
        <v>81</v>
      </c>
      <c r="C290" t="s">
        <v>72</v>
      </c>
      <c r="D290" t="s">
        <v>76</v>
      </c>
      <c r="E290" t="s">
        <v>82</v>
      </c>
      <c r="F290" t="s">
        <v>74</v>
      </c>
      <c r="G290" t="s">
        <v>83</v>
      </c>
      <c r="H290" t="s">
        <v>73</v>
      </c>
    </row>
    <row r="291" spans="1:8" x14ac:dyDescent="0.2">
      <c r="A291" t="str">
        <f>B262</f>
        <v>transport, Scooter, electric, 4-11kW, NCA battery, 2040</v>
      </c>
      <c r="B291">
        <v>1</v>
      </c>
      <c r="C291" t="str">
        <f>B263</f>
        <v>CH</v>
      </c>
      <c r="D291" t="s">
        <v>166</v>
      </c>
      <c r="F291" t="s">
        <v>84</v>
      </c>
      <c r="G291" t="s">
        <v>85</v>
      </c>
      <c r="H291" t="str">
        <f>B268</f>
        <v>transport, Scooter, electric, 4-11kW</v>
      </c>
    </row>
    <row r="292" spans="1:8" x14ac:dyDescent="0.2">
      <c r="A292" t="str">
        <f>RIGHT(A291,LEN(A291)-11)</f>
        <v>Scooter, electric, 4-11kW, NCA battery, 2040</v>
      </c>
      <c r="B292" s="7">
        <f>1/B272</f>
        <v>3.3333333333333335E-5</v>
      </c>
      <c r="C292" t="str">
        <f>B263</f>
        <v>CH</v>
      </c>
      <c r="D292" t="s">
        <v>76</v>
      </c>
      <c r="F292" t="s">
        <v>89</v>
      </c>
      <c r="H292" t="str">
        <f>RIGHT(H291,LEN(H291)-11)</f>
        <v>Scooter, electric, 4-11kW</v>
      </c>
    </row>
    <row r="293" spans="1:8" x14ac:dyDescent="0.2">
      <c r="A293" t="str">
        <f>INDEX('ei names mapping'!$B$4:$R$33,MATCH(B264,'ei names mapping'!$A$4:$A$33,0),MATCH(G293,'ei names mapping'!$B$3:$R$3,0))</f>
        <v>road construction</v>
      </c>
      <c r="B293" s="7">
        <f>INDEX('vehicles specifications'!$B$3:$CW$166,MATCH(B267,'vehicles specifications'!$A$3:$A$166,0),MATCH(G293,'vehicles specifications'!$B$2:$CW$2,0))*INDEX('ei names mapping'!$B$137:$BL$300,MATCH(B267,'ei names mapping'!$A$137:$A$300,0),MATCH(G293,'ei names mapping'!$B$136:$BL$136,0))</f>
        <v>1.1354865E-4</v>
      </c>
      <c r="C293" t="str">
        <f>INDEX('ei names mapping'!$B$38:$R$67,MATCH(B264,'ei names mapping'!$A$4:$A$33,0),MATCH(G293,'ei names mapping'!$B$3:$R$3,0))</f>
        <v>CH</v>
      </c>
      <c r="D293" t="str">
        <f>INDEX('ei names mapping'!$B$104:$BL$133,MATCH(B264,'ei names mapping'!$A$4:$A$33,0),MATCH(G293,'ei names mapping'!$B$3:$BL$3,0))</f>
        <v>meter-year</v>
      </c>
      <c r="F293" t="s">
        <v>89</v>
      </c>
      <c r="G293" t="s">
        <v>105</v>
      </c>
      <c r="H293" t="str">
        <f>INDEX('ei names mapping'!$B$71:$BL$100,MATCH(B264,'ei names mapping'!$A$4:$A$33,0),MATCH(G293,'ei names mapping'!$B$3:$BL$3,0))</f>
        <v>road</v>
      </c>
    </row>
    <row r="294" spans="1:8" x14ac:dyDescent="0.2">
      <c r="A294" t="str">
        <f>INDEX('ei names mapping'!$B$4:$R$33,MATCH(B264,'ei names mapping'!$A$4:$A$33,0),MATCH(G294,'ei names mapping'!$B$3:$R$3,0))</f>
        <v>road maintenance</v>
      </c>
      <c r="B294" s="7">
        <f>INDEX('vehicles specifications'!$B$3:$CW$166,MATCH(B267,'vehicles specifications'!$A$3:$A$166,0),MATCH(G294,'vehicles specifications'!$B$2:$CW$2,0))*INDEX('ei names mapping'!$B$137:$BL$300,MATCH(B267,'ei names mapping'!$A$137:$A$300,0),MATCH(G294,'ei names mapping'!$B$136:$BL$136,0))</f>
        <v>1.2899999999999999E-3</v>
      </c>
      <c r="C294" t="str">
        <f>INDEX('ei names mapping'!$B$38:$R$67,MATCH(B264,'ei names mapping'!$A$4:$A$33,0),MATCH(G294,'ei names mapping'!$B$3:$R$3,0))</f>
        <v>CH</v>
      </c>
      <c r="D294" t="str">
        <f>INDEX('ei names mapping'!$B$104:$BL$133,MATCH(B264,'ei names mapping'!$A$4:$A$33,0),MATCH(G294,'ei names mapping'!$B$3:$BL$3,0))</f>
        <v>meter-year</v>
      </c>
      <c r="F294" t="s">
        <v>89</v>
      </c>
      <c r="G294" t="s">
        <v>112</v>
      </c>
      <c r="H294" t="str">
        <f>INDEX('ei names mapping'!$B$71:$BL$100,MATCH(B264,'ei names mapping'!$A$4:$A$33,0),MATCH(G294,'ei names mapping'!$B$3:$BL$3,0))</f>
        <v>road maintenance</v>
      </c>
    </row>
    <row r="295" spans="1:8" x14ac:dyDescent="0.2">
      <c r="A295" t="str">
        <f>INDEX('ei names mapping'!$B$4:$R$33,MATCH(B264,'ei names mapping'!$A$4:$A$33,0),MATCH(G295,'ei names mapping'!$B$3:$R$3,0))</f>
        <v>market for electricity, low voltage</v>
      </c>
      <c r="B295" s="7">
        <f>INDEX('vehicles specifications'!$B$3:$CW$166,MATCH(B267,'vehicles specifications'!$A$3:$A$166,0),MATCH(G295,'vehicles specifications'!$B$2:$CW$2,0))*INDEX('ei names mapping'!$B$137:$BL$300,MATCH(B267,'ei names mapping'!$A$137:$A$300,0),MATCH(G295,'ei names mapping'!$B$136:$BL$136,0))</f>
        <v>5.7876793809010993E-2</v>
      </c>
      <c r="C295" t="str">
        <f>INDEX('ei names mapping'!$B$38:$R$67,MATCH($B$3,'ei names mapping'!$A$4:$A$33,0),MATCH(G295,'ei names mapping'!$B$3:$R$3,0))</f>
        <v>CH</v>
      </c>
      <c r="D295" t="str">
        <f>INDEX('ei names mapping'!$B$104:$R$133,MATCH($B$3,'ei names mapping'!$A$4:$A$33,0),MATCH(G295,'ei names mapping'!$B$3:$R$3,0))</f>
        <v>kilowatt hour</v>
      </c>
      <c r="F295" t="s">
        <v>89</v>
      </c>
      <c r="G295" t="s">
        <v>28</v>
      </c>
      <c r="H295" t="str">
        <f>INDEX('ei names mapping'!$B$71:$R$100,MATCH(B264,'ei names mapping'!$A$4:$A$33,0),MATCH(G295,'ei names mapping'!$B$3:$R$3,0))</f>
        <v>electricity, low voltage</v>
      </c>
    </row>
    <row r="296" spans="1:8" x14ac:dyDescent="0.2">
      <c r="A296" t="str">
        <f>INDEX('ei names mapping'!$B$4:$R$33,MATCH(B264,'ei names mapping'!$A$4:$A$33,0),MATCH(G296,'ei names mapping'!$B$3:$R$3,0))</f>
        <v>market for maintenance, electric scooter, without battery</v>
      </c>
      <c r="B296" s="7">
        <f>INDEX('vehicles specifications'!$B$3:$CW$166,MATCH(B267,'vehicles specifications'!$A$3:$A$166,0),MATCH(G296,'vehicles specifications'!$B$2:$CW$2,0))*INDEX('ei names mapping'!$B$137:$BL$300,MATCH(B267,'ei names mapping'!$A$137:$A$300,0),MATCH(G296,'ei names mapping'!$B$136:$BL$136,0))</f>
        <v>4.0000000000000003E-5</v>
      </c>
      <c r="C296" t="str">
        <f>INDEX('ei names mapping'!$B$38:$BL$67,MATCH(B264,'ei names mapping'!$A$4:$A$33,0),MATCH(G296,'ei names mapping'!$B$3:$BL$3,0))</f>
        <v>GLO</v>
      </c>
      <c r="D296" t="str">
        <f>INDEX('ei names mapping'!$B$104:$BL$133,MATCH(B264,'ei names mapping'!$A$4:$A$33,0),MATCH(G296,'ei names mapping'!$B$3:$BL$3,0))</f>
        <v>unit</v>
      </c>
      <c r="F296" t="s">
        <v>89</v>
      </c>
      <c r="G296" t="s">
        <v>118</v>
      </c>
      <c r="H296" t="str">
        <f>INDEX('ei names mapping'!$B$71:$BL$100,MATCH(B264,'ei names mapping'!$A$4:$A$33,0),MATCH(G296,'ei names mapping'!$B$3:$BL$3,0))</f>
        <v>maintenance, electric scooter, without battery</v>
      </c>
    </row>
    <row r="297" spans="1:8" x14ac:dyDescent="0.2">
      <c r="A297" t="str">
        <f>INDEX('ei names mapping'!$B$4:$BL$33,MATCH(B264,'ei names mapping'!$A$4:$A$33,0),MATCH(G297,'ei names mapping'!$B$3:$BL$3,0))</f>
        <v>treatment of road wear emissions, passenger car</v>
      </c>
      <c r="B297" s="7">
        <f>INDEX('vehicles specifications'!$B$3:$CW$166,MATCH(B267,'vehicles specifications'!$A$3:$A$166,0),MATCH(G297,'vehicles specifications'!$B$2:$CW$2,0))*INDEX('ei names mapping'!$B$137:$BL$300,MATCH(B267,'ei names mapping'!$A$137:$A$300,0),MATCH(G297,'ei names mapping'!$B$136:$BL$136,0))</f>
        <v>-7.6141423582400934E-6</v>
      </c>
      <c r="C297" t="str">
        <f>INDEX('ei names mapping'!$B$38:$BL$67,MATCH(B264,'ei names mapping'!$A$4:$A$33,0),MATCH(G297,'ei names mapping'!$B$3:$BL$3,0))</f>
        <v>RER</v>
      </c>
      <c r="D297" t="str">
        <f>INDEX('ei names mapping'!$B$104:$BL$133,MATCH(B264,'ei names mapping'!$A$4:$A$33,0),MATCH(G297,'ei names mapping'!$B$3:$BL$3,0))</f>
        <v>kilogram</v>
      </c>
      <c r="F297" t="s">
        <v>89</v>
      </c>
      <c r="G297" t="s">
        <v>29</v>
      </c>
      <c r="H297" t="str">
        <f>INDEX('ei names mapping'!$B$71:$BL$100,MATCH(B264,'ei names mapping'!$A$4:$A$33,0),MATCH(G297,'ei names mapping'!$B$3:$BL$3,0))</f>
        <v>road wear emissions, passenger car</v>
      </c>
    </row>
    <row r="298" spans="1:8" x14ac:dyDescent="0.2">
      <c r="A298" t="str">
        <f>INDEX('ei names mapping'!$B$4:$BL$33,MATCH(B264,'ei names mapping'!$A$4:$A$33,0),MATCH(G298,'ei names mapping'!$B$3:$BL$3,0))</f>
        <v>treatment of tyre wear emissions, passenger car</v>
      </c>
      <c r="B298" s="7">
        <f>INDEX('vehicles specifications'!$B$3:$CW$166,MATCH(B267,'vehicles specifications'!$A$3:$A$166,0),MATCH(G298,'vehicles specifications'!$B$2:$CW$2,0))*INDEX('ei names mapping'!$B$137:$BL$300,MATCH(B267,'ei names mapping'!$A$137:$A$300,0),MATCH(G298,'ei names mapping'!$B$136:$BL$136,0))</f>
        <v>-5.8532039930709717E-6</v>
      </c>
      <c r="C298" t="str">
        <f>INDEX('ei names mapping'!$B$38:$BL$67,MATCH(B264,'ei names mapping'!$A$4:$A$33,0),MATCH(G298,'ei names mapping'!$B$3:$BL$3,0))</f>
        <v>RER</v>
      </c>
      <c r="D298" t="str">
        <f>INDEX('ei names mapping'!$B$104:$BL$133,MATCH(B264,'ei names mapping'!$A$4:$A$33,0),MATCH(G298,'ei names mapping'!$B$3:$BL$3,0))</f>
        <v>kilogram</v>
      </c>
      <c r="F298" t="s">
        <v>89</v>
      </c>
      <c r="G298" t="s">
        <v>30</v>
      </c>
      <c r="H298" t="str">
        <f>INDEX('ei names mapping'!$B$71:$BL$100,MATCH(B264,'ei names mapping'!$A$4:$A$33,0),MATCH(G298,'ei names mapping'!$B$3:$BL$3,0))</f>
        <v>tyre wear emissions, passenger car</v>
      </c>
    </row>
    <row r="299" spans="1:8" x14ac:dyDescent="0.2">
      <c r="A299" t="str">
        <f>INDEX('ei names mapping'!$B$4:$BL$33,MATCH(B264,'ei names mapping'!$A$4:$A$33,0),MATCH(G299,'ei names mapping'!$B$3:$BL$3,0))</f>
        <v>treatment of brake wear emissions, passenger car</v>
      </c>
      <c r="B299" s="7">
        <f>INDEX('vehicles specifications'!$B$3:$CW$166,MATCH(B267,'vehicles specifications'!$A$3:$A$166,0),MATCH(G299,'vehicles specifications'!$B$2:$CW$2,0))*INDEX('ei names mapping'!$B$137:$BL$300,MATCH(B267,'ei names mapping'!$A$137:$A$300,0),MATCH(G299,'ei names mapping'!$B$136:$BL$136,0))</f>
        <v>-4.1848872618450126E-6</v>
      </c>
      <c r="C299" t="str">
        <f>INDEX('ei names mapping'!$B$38:$BL$67,MATCH(B264,'ei names mapping'!$A$4:$A$33,0),MATCH(G299,'ei names mapping'!$B$3:$BL$3,0))</f>
        <v>RER</v>
      </c>
      <c r="D299" t="str">
        <f>INDEX('ei names mapping'!$B$104:$BL$133,MATCH(B264,'ei names mapping'!$A$4:$A$33,0),MATCH(G299,'ei names mapping'!$B$3:$BL$3,0))</f>
        <v>kilogram</v>
      </c>
      <c r="F299" t="s">
        <v>89</v>
      </c>
      <c r="G299" t="s">
        <v>31</v>
      </c>
      <c r="H299" t="str">
        <f>INDEX('ei names mapping'!$B$71:$BL$100,MATCH(B264,'ei names mapping'!$A$4:$A$33,0),MATCH(G299,'ei names mapping'!$B$3:$BL$3,0))</f>
        <v>brake wear emissions, passenger car</v>
      </c>
    </row>
    <row r="301" spans="1:8" ht="16" x14ac:dyDescent="0.2">
      <c r="A301" s="10" t="s">
        <v>71</v>
      </c>
      <c r="B301" s="8" t="str">
        <f>"transport, "&amp;B303&amp;", "&amp;B318&amp;" battery, "&amp;B305</f>
        <v>transport, Scooter, electric, 4-11kW, NCA battery, 2050</v>
      </c>
    </row>
    <row r="302" spans="1:8" x14ac:dyDescent="0.2">
      <c r="A302" t="s">
        <v>72</v>
      </c>
      <c r="B302" t="s">
        <v>37</v>
      </c>
    </row>
    <row r="303" spans="1:8" x14ac:dyDescent="0.2">
      <c r="A303" t="s">
        <v>86</v>
      </c>
      <c r="B303" t="s">
        <v>569</v>
      </c>
    </row>
    <row r="304" spans="1:8" x14ac:dyDescent="0.2">
      <c r="A304" t="s">
        <v>87</v>
      </c>
    </row>
    <row r="305" spans="1:2" x14ac:dyDescent="0.2">
      <c r="A305" t="s">
        <v>88</v>
      </c>
      <c r="B305">
        <v>2050</v>
      </c>
    </row>
    <row r="306" spans="1:2" x14ac:dyDescent="0.2">
      <c r="A306" t="s">
        <v>126</v>
      </c>
      <c r="B306" t="str">
        <f>B303&amp;" - "&amp;B305&amp;" - "&amp;B318&amp;" - "&amp;B302</f>
        <v>Scooter, electric, 4-11kW - 2050 - NCA - CH</v>
      </c>
    </row>
    <row r="307" spans="1:2" x14ac:dyDescent="0.2">
      <c r="A307" t="s">
        <v>73</v>
      </c>
      <c r="B307" t="str">
        <f>"transport, "&amp;B303</f>
        <v>transport, Scooter, electric, 4-11kW</v>
      </c>
    </row>
    <row r="308" spans="1:2" x14ac:dyDescent="0.2">
      <c r="A308" t="s">
        <v>74</v>
      </c>
      <c r="B308" t="s">
        <v>75</v>
      </c>
    </row>
    <row r="309" spans="1:2" x14ac:dyDescent="0.2">
      <c r="A309" t="s">
        <v>76</v>
      </c>
      <c r="B309" t="s">
        <v>166</v>
      </c>
    </row>
    <row r="310" spans="1:2" x14ac:dyDescent="0.2">
      <c r="A310" t="s">
        <v>78</v>
      </c>
      <c r="B310" t="s">
        <v>1143</v>
      </c>
    </row>
    <row r="311" spans="1:2" x14ac:dyDescent="0.2">
      <c r="A311" t="s">
        <v>127</v>
      </c>
      <c r="B311">
        <f>INDEX('vehicles specifications'!$B$3:$CW$166,MATCH(B306,'vehicles specifications'!$A$3:$A$166,0),MATCH("Lifetime [km]",'vehicles specifications'!$B$2:$CW$2,0))</f>
        <v>30000</v>
      </c>
    </row>
    <row r="312" spans="1:2" x14ac:dyDescent="0.2">
      <c r="A312" t="s">
        <v>128</v>
      </c>
      <c r="B312">
        <f>INDEX('vehicles specifications'!$B$3:$CW$166,MATCH(B306,'vehicles specifications'!$A$3:$A$166,0),MATCH("Passengers [unit]",'vehicles specifications'!$B$2:$CW$2,0))</f>
        <v>1</v>
      </c>
    </row>
    <row r="313" spans="1:2" x14ac:dyDescent="0.2">
      <c r="A313" t="s">
        <v>129</v>
      </c>
      <c r="B313">
        <f>INDEX('vehicles specifications'!$B$3:$CW$166,MATCH(B306,'vehicles specifications'!$A$3:$A$166,0),MATCH("Servicing [unit]",'vehicles specifications'!$B$2:$CW$2,0))</f>
        <v>1.2</v>
      </c>
    </row>
    <row r="314" spans="1:2" x14ac:dyDescent="0.2">
      <c r="A314" t="s">
        <v>130</v>
      </c>
      <c r="B314">
        <f>INDEX('vehicles specifications'!$B$3:$CW$166,MATCH(B306,'vehicles specifications'!$A$3:$A$166,0),MATCH("Energy battery replacement [unit]",'vehicles specifications'!$B$2:$CW$2,0))</f>
        <v>0</v>
      </c>
    </row>
    <row r="315" spans="1:2" x14ac:dyDescent="0.2">
      <c r="A315" t="s">
        <v>131</v>
      </c>
      <c r="B315">
        <f>INDEX('vehicles specifications'!$B$3:$CW$166,MATCH(B306,'vehicles specifications'!$A$3:$A$166,0),MATCH("Annual kilometers [km]",'vehicles specifications'!$B$2:$CW$2,0))</f>
        <v>1870</v>
      </c>
    </row>
    <row r="316" spans="1:2" x14ac:dyDescent="0.2">
      <c r="A316" t="s">
        <v>132</v>
      </c>
      <c r="B316" s="2">
        <f>INDEX('vehicles specifications'!$B$3:$CW$166,MATCH(B306,'vehicles specifications'!$A$3:$A$166,0),MATCH("Curb mass [kg]",'vehicles specifications'!$B$2:$CW$2,0))</f>
        <v>132.19999999999999</v>
      </c>
    </row>
    <row r="317" spans="1:2" x14ac:dyDescent="0.2">
      <c r="A317" t="s">
        <v>133</v>
      </c>
      <c r="B317">
        <f>INDEX('vehicles specifications'!$B$3:$CW$166,MATCH(B306,'vehicles specifications'!$A$3:$A$166,0),MATCH("Power [kW]",'vehicles specifications'!$B$2:$CW$2,0))</f>
        <v>6.1</v>
      </c>
    </row>
    <row r="318" spans="1:2" x14ac:dyDescent="0.2">
      <c r="A318" t="s">
        <v>652</v>
      </c>
      <c r="B318" s="20" t="s">
        <v>45</v>
      </c>
    </row>
    <row r="319" spans="1:2" x14ac:dyDescent="0.2">
      <c r="A319" t="s">
        <v>134</v>
      </c>
      <c r="B319">
        <f>INDEX('vehicles specifications'!$B$3:$CW$166,MATCH(B306,'vehicles specifications'!$A$3:$A$166,0),MATCH("Energy battery mass [kg]",'vehicles specifications'!$B$2:$CW$2,0))</f>
        <v>28.080000000000002</v>
      </c>
    </row>
    <row r="320" spans="1:2" x14ac:dyDescent="0.2">
      <c r="A320" t="s">
        <v>135</v>
      </c>
      <c r="B320">
        <f>INDEX('vehicles specifications'!$B$3:$CW$166,MATCH(B306,'vehicles specifications'!$A$3:$A$166,0),MATCH("Electric energy stored [kWh]",'vehicles specifications'!$B$2:$CW$2,0))</f>
        <v>10.8</v>
      </c>
    </row>
    <row r="321" spans="1:8" x14ac:dyDescent="0.2">
      <c r="A321" t="s">
        <v>588</v>
      </c>
      <c r="B321">
        <f>INDEX('vehicles specifications'!$B$3:$CW$166,MATCH(B306,'vehicles specifications'!$A$3:$A$166,0),MATCH("Electric energy available [kWh]",'vehicles specifications'!$B$2:$CW$2,0))</f>
        <v>8.64</v>
      </c>
    </row>
    <row r="322" spans="1:8" x14ac:dyDescent="0.2">
      <c r="A322" t="s">
        <v>138</v>
      </c>
      <c r="B322" s="2">
        <f>INDEX('vehicles specifications'!$B$3:$CW$166,MATCH(B306,'vehicles specifications'!$A$3:$A$166,0),MATCH("Oxydation energy stored [kWh]",'vehicles specifications'!$B$2:$CW$2,0))</f>
        <v>0</v>
      </c>
    </row>
    <row r="323" spans="1:8" x14ac:dyDescent="0.2">
      <c r="A323" t="s">
        <v>139</v>
      </c>
      <c r="B323">
        <f>INDEX('vehicles specifications'!$B$3:$CW$166,MATCH(B306,'vehicles specifications'!$A$3:$A$166,0),MATCH("Fuel mass [kg]",'vehicles specifications'!$B$2:$CW$2,0))</f>
        <v>0</v>
      </c>
    </row>
    <row r="324" spans="1:8" x14ac:dyDescent="0.2">
      <c r="A324" t="s">
        <v>136</v>
      </c>
      <c r="B324" s="2">
        <f>INDEX('vehicles specifications'!$B$3:$CW$166,MATCH(B306,'vehicles specifications'!$A$3:$A$166,0),MATCH("Range [km]",'vehicles specifications'!$B$2:$CW$2,0))</f>
        <v>164.21089308026419</v>
      </c>
    </row>
    <row r="325" spans="1:8" x14ac:dyDescent="0.2">
      <c r="A325" t="s">
        <v>137</v>
      </c>
      <c r="B325" t="str">
        <f>INDEX('vehicles specifications'!$B$3:$CW$166,MATCH(B306,'vehicles specifications'!$A$3:$A$166,0),MATCH("Emission standard",'vehicles specifications'!$B$2:$CW$2,0))</f>
        <v>None</v>
      </c>
    </row>
    <row r="326" spans="1:8" x14ac:dyDescent="0.2">
      <c r="A326" t="s">
        <v>1174</v>
      </c>
      <c r="B326" s="6">
        <f>INDEX('vehicles specifications'!$B$3:$CW$166,MATCH(B306,'vehicles specifications'!$A$3:$A$166,0),MATCH("Lightweighting rate [%]",'vehicles specifications'!$B$2:$CW$2,0))</f>
        <v>7.0000000000000007E-2</v>
      </c>
    </row>
    <row r="327" spans="1:8" x14ac:dyDescent="0.2">
      <c r="A327" t="s">
        <v>83</v>
      </c>
      <c r="B327" t="str">
        <f>"Power: "&amp;B317&amp;" kW. Lifetime: "&amp;B311&amp;" km. Annual kilometers: "&amp;B315&amp;" km. Number of passengers: "&amp;B312&amp;". Curb mass: "&amp;ROUND(B316,1)&amp;" kg. Lightweighting of glider: "&amp;ROUND(B326*100,0)&amp;"%. Emission standard: "&amp;B325&amp;". Service visits throughout lifetime: "&amp;ROUND(B313,1)&amp;". Range: "&amp;ROUND(B324,0)&amp;" km. Battery capacity: "&amp;ROUND(B320,1)&amp;" kWh. Available battery capacity: "&amp;B321&amp;" kWh. Battery mass: "&amp;ROUND(B319,1)&amp; " kg. Battery replacement throughout lifetime: "&amp;ROUND(B314,1)&amp;". Fuel tank capacity: "&amp;ROUND(B322,1)&amp;" kWh. Fuel mass: "&amp;ROUND(B323,1)&amp;" kg. Documentation: "&amp;Readmefirst!$B$2&amp;", "&amp;Readmefirst!$B$3&amp;". "&amp;B310</f>
        <v>Power: 6.1 kW. Lifetime: 30000 km. Annual kilometers: 1870 km. Number of passengers: 1. Curb mass: 132.2 kg. Lightweighting of glider: 7%. Emission standard: None. Service visits throughout lifetime: 1.2. Range: 164 km. Battery capacity: 10.8 kWh. Available battery capacity: 8.64 kWh. Battery mass: 28.1 kg. Battery replacement throughout lifetime: 0. Fuel tank capacity: 0 kWh. Fuel mass: 0 kg. Documentation: Life-cycle inventories for on-road vehicles, Sacchi R. (PSI), Bauer C. (PSI), 2021. Sacchi R., Bauer C. Life cycle inventories for on-road vehicles. Paul Scherrer Institut, 2021.</v>
      </c>
    </row>
    <row r="328" spans="1:8" ht="16" x14ac:dyDescent="0.2">
      <c r="A328" s="10" t="s">
        <v>79</v>
      </c>
    </row>
    <row r="329" spans="1:8" x14ac:dyDescent="0.2">
      <c r="A329" t="s">
        <v>80</v>
      </c>
      <c r="B329" t="s">
        <v>81</v>
      </c>
      <c r="C329" t="s">
        <v>72</v>
      </c>
      <c r="D329" t="s">
        <v>76</v>
      </c>
      <c r="E329" t="s">
        <v>82</v>
      </c>
      <c r="F329" t="s">
        <v>74</v>
      </c>
      <c r="G329" t="s">
        <v>83</v>
      </c>
      <c r="H329" t="s">
        <v>73</v>
      </c>
    </row>
    <row r="330" spans="1:8" x14ac:dyDescent="0.2">
      <c r="A330" t="str">
        <f>B301</f>
        <v>transport, Scooter, electric, 4-11kW, NCA battery, 2050</v>
      </c>
      <c r="B330">
        <v>1</v>
      </c>
      <c r="C330" t="str">
        <f>B302</f>
        <v>CH</v>
      </c>
      <c r="D330" t="s">
        <v>166</v>
      </c>
      <c r="F330" t="s">
        <v>84</v>
      </c>
      <c r="G330" t="s">
        <v>85</v>
      </c>
      <c r="H330" t="str">
        <f>B307</f>
        <v>transport, Scooter, electric, 4-11kW</v>
      </c>
    </row>
    <row r="331" spans="1:8" x14ac:dyDescent="0.2">
      <c r="A331" t="str">
        <f>RIGHT(A330,LEN(A330)-11)</f>
        <v>Scooter, electric, 4-11kW, NCA battery, 2050</v>
      </c>
      <c r="B331" s="7">
        <f>1/B311</f>
        <v>3.3333333333333335E-5</v>
      </c>
      <c r="C331" t="str">
        <f>B302</f>
        <v>CH</v>
      </c>
      <c r="D331" t="s">
        <v>76</v>
      </c>
      <c r="F331" t="s">
        <v>89</v>
      </c>
      <c r="H331" t="str">
        <f>RIGHT(H330,LEN(H330)-11)</f>
        <v>Scooter, electric, 4-11kW</v>
      </c>
    </row>
    <row r="332" spans="1:8" x14ac:dyDescent="0.2">
      <c r="A332" t="str">
        <f>INDEX('ei names mapping'!$B$4:$R$33,MATCH(B303,'ei names mapping'!$A$4:$A$33,0),MATCH(G332,'ei names mapping'!$B$3:$R$3,0))</f>
        <v>road construction</v>
      </c>
      <c r="B332" s="7">
        <f>INDEX('vehicles specifications'!$B$3:$CW$166,MATCH(B306,'vehicles specifications'!$A$3:$A$166,0),MATCH(G332,'vehicles specifications'!$B$2:$CW$2,0))*INDEX('ei names mapping'!$B$137:$BL$300,MATCH(B306,'ei names mapping'!$A$137:$A$300,0),MATCH(G332,'ei names mapping'!$B$136:$BL$136,0))</f>
        <v>1.134144E-4</v>
      </c>
      <c r="C332" t="str">
        <f>INDEX('ei names mapping'!$B$38:$R$67,MATCH(B303,'ei names mapping'!$A$4:$A$33,0),MATCH(G332,'ei names mapping'!$B$3:$R$3,0))</f>
        <v>CH</v>
      </c>
      <c r="D332" t="str">
        <f>INDEX('ei names mapping'!$B$104:$BL$133,MATCH(B303,'ei names mapping'!$A$4:$A$33,0),MATCH(G332,'ei names mapping'!$B$3:$BL$3,0))</f>
        <v>meter-year</v>
      </c>
      <c r="F332" t="s">
        <v>89</v>
      </c>
      <c r="G332" t="s">
        <v>105</v>
      </c>
      <c r="H332" t="str">
        <f>INDEX('ei names mapping'!$B$71:$BL$100,MATCH(B303,'ei names mapping'!$A$4:$A$33,0),MATCH(G332,'ei names mapping'!$B$3:$BL$3,0))</f>
        <v>road</v>
      </c>
    </row>
    <row r="333" spans="1:8" x14ac:dyDescent="0.2">
      <c r="A333" t="str">
        <f>INDEX('ei names mapping'!$B$4:$R$33,MATCH(B303,'ei names mapping'!$A$4:$A$33,0),MATCH(G333,'ei names mapping'!$B$3:$R$3,0))</f>
        <v>road maintenance</v>
      </c>
      <c r="B333" s="7">
        <f>INDEX('vehicles specifications'!$B$3:$CW$166,MATCH(B306,'vehicles specifications'!$A$3:$A$166,0),MATCH(G333,'vehicles specifications'!$B$2:$CW$2,0))*INDEX('ei names mapping'!$B$137:$BL$300,MATCH(B306,'ei names mapping'!$A$137:$A$300,0),MATCH(G333,'ei names mapping'!$B$136:$BL$136,0))</f>
        <v>1.2899999999999999E-3</v>
      </c>
      <c r="C333" t="str">
        <f>INDEX('ei names mapping'!$B$38:$R$67,MATCH(B303,'ei names mapping'!$A$4:$A$33,0),MATCH(G333,'ei names mapping'!$B$3:$R$3,0))</f>
        <v>CH</v>
      </c>
      <c r="D333" t="str">
        <f>INDEX('ei names mapping'!$B$104:$BL$133,MATCH(B303,'ei names mapping'!$A$4:$A$33,0),MATCH(G333,'ei names mapping'!$B$3:$BL$3,0))</f>
        <v>meter-year</v>
      </c>
      <c r="F333" t="s">
        <v>89</v>
      </c>
      <c r="G333" t="s">
        <v>112</v>
      </c>
      <c r="H333" t="str">
        <f>INDEX('ei names mapping'!$B$71:$BL$100,MATCH(B303,'ei names mapping'!$A$4:$A$33,0),MATCH(G333,'ei names mapping'!$B$3:$BL$3,0))</f>
        <v>road maintenance</v>
      </c>
    </row>
    <row r="334" spans="1:8" x14ac:dyDescent="0.2">
      <c r="A334" t="str">
        <f>INDEX('ei names mapping'!$B$4:$R$33,MATCH(B303,'ei names mapping'!$A$4:$A$33,0),MATCH(G334,'ei names mapping'!$B$3:$R$3,0))</f>
        <v>market for electricity, low voltage</v>
      </c>
      <c r="B334" s="7">
        <f>INDEX('vehicles specifications'!$B$3:$CW$166,MATCH(B306,'vehicles specifications'!$A$3:$A$166,0),MATCH(G334,'vehicles specifications'!$B$2:$CW$2,0))*INDEX('ei names mapping'!$B$137:$BL$300,MATCH(B306,'ei names mapping'!$A$137:$A$300,0),MATCH(G334,'ei names mapping'!$B$136:$BL$136,0))</f>
        <v>5.7876793809010993E-2</v>
      </c>
      <c r="C334" t="str">
        <f>INDEX('ei names mapping'!$B$38:$R$67,MATCH($B$3,'ei names mapping'!$A$4:$A$33,0),MATCH(G334,'ei names mapping'!$B$3:$R$3,0))</f>
        <v>CH</v>
      </c>
      <c r="D334" t="str">
        <f>INDEX('ei names mapping'!$B$104:$R$133,MATCH($B$3,'ei names mapping'!$A$4:$A$33,0),MATCH(G334,'ei names mapping'!$B$3:$R$3,0))</f>
        <v>kilowatt hour</v>
      </c>
      <c r="F334" t="s">
        <v>89</v>
      </c>
      <c r="G334" t="s">
        <v>28</v>
      </c>
      <c r="H334" t="str">
        <f>INDEX('ei names mapping'!$B$71:$R$100,MATCH(B303,'ei names mapping'!$A$4:$A$33,0),MATCH(G334,'ei names mapping'!$B$3:$R$3,0))</f>
        <v>electricity, low voltage</v>
      </c>
    </row>
    <row r="335" spans="1:8" x14ac:dyDescent="0.2">
      <c r="A335" t="str">
        <f>INDEX('ei names mapping'!$B$4:$R$33,MATCH(B303,'ei names mapping'!$A$4:$A$33,0),MATCH(G335,'ei names mapping'!$B$3:$R$3,0))</f>
        <v>market for maintenance, electric scooter, without battery</v>
      </c>
      <c r="B335" s="7">
        <f>INDEX('vehicles specifications'!$B$3:$CW$166,MATCH(B306,'vehicles specifications'!$A$3:$A$166,0),MATCH(G335,'vehicles specifications'!$B$2:$CW$2,0))*INDEX('ei names mapping'!$B$137:$BL$300,MATCH(B306,'ei names mapping'!$A$137:$A$300,0),MATCH(G335,'ei names mapping'!$B$136:$BL$136,0))</f>
        <v>4.0000000000000003E-5</v>
      </c>
      <c r="C335" t="str">
        <f>INDEX('ei names mapping'!$B$38:$BL$67,MATCH(B303,'ei names mapping'!$A$4:$A$33,0),MATCH(G335,'ei names mapping'!$B$3:$BL$3,0))</f>
        <v>GLO</v>
      </c>
      <c r="D335" t="str">
        <f>INDEX('ei names mapping'!$B$104:$BL$133,MATCH(B303,'ei names mapping'!$A$4:$A$33,0),MATCH(G335,'ei names mapping'!$B$3:$BL$3,0))</f>
        <v>unit</v>
      </c>
      <c r="F335" t="s">
        <v>89</v>
      </c>
      <c r="G335" t="s">
        <v>118</v>
      </c>
      <c r="H335" t="str">
        <f>INDEX('ei names mapping'!$B$71:$BL$100,MATCH(B303,'ei names mapping'!$A$4:$A$33,0),MATCH(G335,'ei names mapping'!$B$3:$BL$3,0))</f>
        <v>maintenance, electric scooter, without battery</v>
      </c>
    </row>
    <row r="336" spans="1:8" x14ac:dyDescent="0.2">
      <c r="A336" t="str">
        <f>INDEX('ei names mapping'!$B$4:$BL$33,MATCH(B303,'ei names mapping'!$A$4:$A$33,0),MATCH(G336,'ei names mapping'!$B$3:$BL$3,0))</f>
        <v>treatment of road wear emissions, passenger car</v>
      </c>
      <c r="B336" s="7">
        <f>INDEX('vehicles specifications'!$B$3:$CW$166,MATCH(B306,'vehicles specifications'!$A$3:$A$166,0),MATCH(G336,'vehicles specifications'!$B$2:$CW$2,0))*INDEX('ei names mapping'!$B$137:$BL$300,MATCH(B306,'ei names mapping'!$A$137:$A$300,0),MATCH(G336,'ei names mapping'!$B$136:$BL$136,0))</f>
        <v>-7.6069952996690376E-6</v>
      </c>
      <c r="C336" t="str">
        <f>INDEX('ei names mapping'!$B$38:$BL$67,MATCH(B303,'ei names mapping'!$A$4:$A$33,0),MATCH(G336,'ei names mapping'!$B$3:$BL$3,0))</f>
        <v>RER</v>
      </c>
      <c r="D336" t="str">
        <f>INDEX('ei names mapping'!$B$104:$BL$133,MATCH(B303,'ei names mapping'!$A$4:$A$33,0),MATCH(G336,'ei names mapping'!$B$3:$BL$3,0))</f>
        <v>kilogram</v>
      </c>
      <c r="F336" t="s">
        <v>89</v>
      </c>
      <c r="G336" t="s">
        <v>29</v>
      </c>
      <c r="H336" t="str">
        <f>INDEX('ei names mapping'!$B$71:$BL$100,MATCH(B303,'ei names mapping'!$A$4:$A$33,0),MATCH(G336,'ei names mapping'!$B$3:$BL$3,0))</f>
        <v>road wear emissions, passenger car</v>
      </c>
    </row>
    <row r="337" spans="1:8" x14ac:dyDescent="0.2">
      <c r="A337" t="str">
        <f>INDEX('ei names mapping'!$B$4:$BL$33,MATCH(B303,'ei names mapping'!$A$4:$A$33,0),MATCH(G337,'ei names mapping'!$B$3:$BL$3,0))</f>
        <v>treatment of tyre wear emissions, passenger car</v>
      </c>
      <c r="B337" s="7">
        <f>INDEX('vehicles specifications'!$B$3:$CW$166,MATCH(B306,'vehicles specifications'!$A$3:$A$166,0),MATCH(G337,'vehicles specifications'!$B$2:$CW$2,0))*INDEX('ei names mapping'!$B$137:$BL$300,MATCH(B306,'ei names mapping'!$A$137:$A$300,0),MATCH(G337,'ei names mapping'!$B$136:$BL$136,0))</f>
        <v>-5.8495379368429613E-6</v>
      </c>
      <c r="C337" t="str">
        <f>INDEX('ei names mapping'!$B$38:$BL$67,MATCH(B303,'ei names mapping'!$A$4:$A$33,0),MATCH(G337,'ei names mapping'!$B$3:$BL$3,0))</f>
        <v>RER</v>
      </c>
      <c r="D337" t="str">
        <f>INDEX('ei names mapping'!$B$104:$BL$133,MATCH(B303,'ei names mapping'!$A$4:$A$33,0),MATCH(G337,'ei names mapping'!$B$3:$BL$3,0))</f>
        <v>kilogram</v>
      </c>
      <c r="F337" t="s">
        <v>89</v>
      </c>
      <c r="G337" t="s">
        <v>30</v>
      </c>
      <c r="H337" t="str">
        <f>INDEX('ei names mapping'!$B$71:$BL$100,MATCH(B303,'ei names mapping'!$A$4:$A$33,0),MATCH(G337,'ei names mapping'!$B$3:$BL$3,0))</f>
        <v>tyre wear emissions, passenger car</v>
      </c>
    </row>
    <row r="338" spans="1:8" x14ac:dyDescent="0.2">
      <c r="A338" t="str">
        <f>INDEX('ei names mapping'!$B$4:$BL$33,MATCH(B303,'ei names mapping'!$A$4:$A$33,0),MATCH(G338,'ei names mapping'!$B$3:$BL$3,0))</f>
        <v>treatment of brake wear emissions, passenger car</v>
      </c>
      <c r="B338" s="7">
        <f>INDEX('vehicles specifications'!$B$3:$CW$166,MATCH(B306,'vehicles specifications'!$A$3:$A$166,0),MATCH(G338,'vehicles specifications'!$B$2:$CW$2,0))*INDEX('ei names mapping'!$B$137:$BL$300,MATCH(B306,'ei names mapping'!$A$137:$A$300,0),MATCH(G338,'ei names mapping'!$B$136:$BL$136,0))</f>
        <v>-4.1817319436640074E-6</v>
      </c>
      <c r="C338" t="str">
        <f>INDEX('ei names mapping'!$B$38:$BL$67,MATCH(B303,'ei names mapping'!$A$4:$A$33,0),MATCH(G338,'ei names mapping'!$B$3:$BL$3,0))</f>
        <v>RER</v>
      </c>
      <c r="D338" t="str">
        <f>INDEX('ei names mapping'!$B$104:$BL$133,MATCH(B303,'ei names mapping'!$A$4:$A$33,0),MATCH(G338,'ei names mapping'!$B$3:$BL$3,0))</f>
        <v>kilogram</v>
      </c>
      <c r="F338" t="s">
        <v>89</v>
      </c>
      <c r="G338" t="s">
        <v>31</v>
      </c>
      <c r="H338" t="str">
        <f>INDEX('ei names mapping'!$B$71:$BL$100,MATCH(B303,'ei names mapping'!$A$4:$A$33,0),MATCH(G338,'ei names mapping'!$B$3:$BL$3,0))</f>
        <v>brake wear emissions, passenger car</v>
      </c>
    </row>
  </sheetData>
  <pageMargins left="0.7" right="0.7" top="0.75" bottom="0.75" header="0.3" footer="0.3"/>
  <pageSetup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759"/>
  <sheetViews>
    <sheetView topLeftCell="A236" workbookViewId="0">
      <selection activeCell="F171" sqref="F171"/>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Moped, gasoline, &lt;4kW, EURO-3, 2006</v>
      </c>
    </row>
    <row r="2" spans="1:2" x14ac:dyDescent="0.2">
      <c r="A2" t="s">
        <v>72</v>
      </c>
      <c r="B2" t="s">
        <v>37</v>
      </c>
    </row>
    <row r="3" spans="1:2" x14ac:dyDescent="0.2">
      <c r="A3" t="s">
        <v>86</v>
      </c>
      <c r="B3" t="s">
        <v>579</v>
      </c>
    </row>
    <row r="4" spans="1:2" x14ac:dyDescent="0.2">
      <c r="A4" t="s">
        <v>87</v>
      </c>
    </row>
    <row r="5" spans="1:2" x14ac:dyDescent="0.2">
      <c r="A5" t="s">
        <v>88</v>
      </c>
      <c r="B5">
        <v>2006</v>
      </c>
    </row>
    <row r="6" spans="1:2" x14ac:dyDescent="0.2">
      <c r="A6" t="s">
        <v>126</v>
      </c>
      <c r="B6" t="str">
        <f>B3&amp;" - "&amp;B5&amp;" - "&amp;B2</f>
        <v>Moped, gasoline, &lt;4kW, EURO-3 - 2006 - CH</v>
      </c>
    </row>
    <row r="7" spans="1:2" x14ac:dyDescent="0.2">
      <c r="A7" t="s">
        <v>73</v>
      </c>
      <c r="B7" t="str">
        <f>B3</f>
        <v>Moped, gasoline, &lt;4kW, EURO-3</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1570</v>
      </c>
    </row>
    <row r="16" spans="1:2" x14ac:dyDescent="0.2">
      <c r="A16" t="s">
        <v>132</v>
      </c>
      <c r="B16" s="2">
        <f>INDEX('vehicles specifications'!$B$3:$CW$166,MATCH(B6,'vehicles specifications'!$A$3:$A$166,0),MATCH("Curb mass [kg]",'vehicles specifications'!$B$2:$CW$2,0))</f>
        <v>65.098124999999996</v>
      </c>
    </row>
    <row r="17" spans="1:8" x14ac:dyDescent="0.2">
      <c r="A17" t="s">
        <v>133</v>
      </c>
      <c r="B17">
        <f>INDEX('vehicles specifications'!$B$3:$CW$166,MATCH(B6,'vehicles specifications'!$A$3:$A$166,0),MATCH("Power [kW]",'vehicles specifications'!$B$2:$CW$2,0))</f>
        <v>2.5</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s="2">
        <f>INDEX('vehicles specifications'!$B$3:$CW$166,MATCH(B6,'vehicles specifications'!$A$3:$A$166,0),MATCH("Oxydation energy stored [kWh]",'vehicles specifications'!$B$2:$CW$2,0))</f>
        <v>62.125</v>
      </c>
    </row>
    <row r="21" spans="1:8" x14ac:dyDescent="0.2">
      <c r="A21" t="s">
        <v>139</v>
      </c>
      <c r="B21">
        <f>INDEX('vehicles specifications'!$B$3:$CW$166,MATCH(B6,'vehicles specifications'!$A$3:$A$166,0),MATCH("Fuel mass [kg]",'vehicles specifications'!$B$2:$CW$2,0))</f>
        <v>5.25</v>
      </c>
    </row>
    <row r="22" spans="1:8" x14ac:dyDescent="0.2">
      <c r="A22" t="s">
        <v>136</v>
      </c>
      <c r="B22" s="2">
        <f>INDEX('vehicles specifications'!$B$3:$CW$166,MATCH(B6,'vehicles specifications'!$A$3:$A$166,0),MATCH("Range [km]",'vehicles specifications'!$B$2:$CW$2,0))</f>
        <v>266.4078995516374</v>
      </c>
    </row>
    <row r="23" spans="1:8" x14ac:dyDescent="0.2">
      <c r="A23" t="s">
        <v>137</v>
      </c>
      <c r="B23" t="str">
        <f>INDEX('vehicles specifications'!$B$3:$CW$166,MATCH(B6,'vehicles specifications'!$A$3:$A$166,0),MATCH("Emission standard",'vehicles specifications'!$B$2:$CW$2,0))</f>
        <v>EURO-3</v>
      </c>
    </row>
    <row r="24" spans="1:8" x14ac:dyDescent="0.2">
      <c r="A24" t="s">
        <v>1174</v>
      </c>
      <c r="B24" s="6">
        <f>INDEX('vehicles specifications'!$B$3:$CW$166,MATCH(B6,'vehicles specifications'!$A$3:$A$166,0),MATCH("Lightweighting rate [%]",'vehicles specifications'!$B$2:$CW$2,0))</f>
        <v>-0.05</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Moped, gasoline, &lt;4kW, EURO-3, 2006</v>
      </c>
      <c r="B31">
        <v>1</v>
      </c>
      <c r="C31" t="str">
        <f>B2</f>
        <v>CH</v>
      </c>
      <c r="D31" t="str">
        <f>B9</f>
        <v>unit</v>
      </c>
      <c r="F31" t="s">
        <v>84</v>
      </c>
      <c r="G31" t="s">
        <v>85</v>
      </c>
      <c r="H31" t="str">
        <f>B3</f>
        <v>Moped, gasoline, &lt;4kW, EURO-3</v>
      </c>
    </row>
    <row r="32" spans="1:8" x14ac:dyDescent="0.2">
      <c r="A32" t="str">
        <f>INDEX('ei names mapping'!$B$4:$R$33,MATCH(B3,'ei names mapping'!$A$4:$A$33,0),MATCH(G32,'ei names mapping'!$B$3:$R$3,0))</f>
        <v>motor scooter production</v>
      </c>
      <c r="B32" s="11">
        <f>INDEX('vehicles specifications'!$B$3:$CW$166,MATCH(B6,'vehicles specifications'!$A$3:$A$166,0),MATCH(G32,'vehicles specifications'!$B$2:$CW$2,0))*INDEX('ei names mapping'!$B$137:$BL$300,MATCH(B6,'ei names mapping'!$A$137:$A$300,0),MATCH(G32,'ei names mapping'!$B$136:$BL$136,0))</f>
        <v>0.46625</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motor scooter, 50 cubic cm engine</v>
      </c>
    </row>
    <row r="33" spans="1:8" x14ac:dyDescent="0.2">
      <c r="A33" t="str">
        <f>INDEX('ei names mapping'!$B$4:$R$33,MATCH(B3,'ei names mapping'!$A$4:$A$33,0),MATCH(G33,'ei names mapping'!$B$3:$R$3,0))</f>
        <v>motor scooter production</v>
      </c>
      <c r="B33" s="11">
        <f>INDEX('vehicles specifications'!$B$3:$CW$166,MATCH(B6,'vehicles specifications'!$A$3:$A$166,0),MATCH(G33,'vehicles specifications'!$B$2:$CW$2,0))*INDEX('ei names mapping'!$B$137:$BL$300,MATCH(B6,'ei names mapping'!$A$137:$A$300,0),MATCH(G33,'ei names mapping'!$B$136:$BL$136,0))</f>
        <v>0.16666666666666669</v>
      </c>
      <c r="C33" t="str">
        <f>INDEX('ei names mapping'!$B$38:$R$67,MATCH(B3,'ei names mapping'!$A$4:$A$33,0),MATCH(G33,'ei names mapping'!$B$3:$R$3,0))</f>
        <v>RER</v>
      </c>
      <c r="D33" t="str">
        <f>INDEX('ei names mapping'!$B$104:$R$133,MATCH(B3,'ei names mapping'!$A$104:$A$133,0),MATCH(G33,'ei names mapping'!$B$3:$R$3,0))</f>
        <v>unit</v>
      </c>
      <c r="F33" t="s">
        <v>89</v>
      </c>
      <c r="G33" t="s">
        <v>16</v>
      </c>
      <c r="H33" t="str">
        <f>INDEX('ei names mapping'!$B$71:$R$100,MATCH(B3,'ei names mapping'!$A$4:$A$33,0),MATCH(G33,'ei names mapping'!$B$3:$R$3,0))</f>
        <v>motor scooter, 50 cubic cm engine</v>
      </c>
    </row>
    <row r="34" spans="1:8" x14ac:dyDescent="0.2">
      <c r="A34" t="str">
        <f>INDEX('ei names mapping'!$B$4:$R$33,MATCH(B3,'ei names mapping'!$A$4:$A$33,0),MATCH(G34,'ei names mapping'!$B$3:$R$3,0))</f>
        <v>polyethylene production, high density, granulate</v>
      </c>
      <c r="B34" s="11">
        <f>INDEX('vehicles specifications'!$B$3:$CW$166,MATCH(B6,'vehicles specifications'!$A$3:$A$166,0),MATCH(G34,'vehicles specifications'!$B$2:$CW$2,0))*INDEX('ei names mapping'!$B$137:$BL$300,MATCH(B6,'ei names mapping'!$A$137:$A$300,0),MATCH(G34,'ei names mapping'!$B$136:$BL$136,0))</f>
        <v>0.78749999999999998</v>
      </c>
      <c r="C34" t="str">
        <f>INDEX('ei names mapping'!$B$38:$R$67,MATCH(B3,'ei names mapping'!$A$4:$A$33,0),MATCH(G34,'ei names mapping'!$B$3:$R$3,0))</f>
        <v>RER</v>
      </c>
      <c r="D34" t="str">
        <f>INDEX('ei names mapping'!$B$104:$R$133,MATCH(B3,'ei names mapping'!$A$104:$A$133,0),MATCH(G34,'ei names mapping'!$B$3:$R$3,0))</f>
        <v>kilogram</v>
      </c>
      <c r="F34" t="s">
        <v>89</v>
      </c>
      <c r="G34" t="s">
        <v>24</v>
      </c>
      <c r="H34" t="str">
        <f>INDEX('ei names mapping'!$B$71:$R$100,MATCH(B3,'ei names mapping'!$A$4:$A$33,0),MATCH(G34,'ei names mapping'!$B$3:$R$3,0))</f>
        <v>polyethylene, high density, granulate</v>
      </c>
    </row>
    <row r="35" spans="1:8" x14ac:dyDescent="0.2">
      <c r="A35" s="13" t="s">
        <v>840</v>
      </c>
      <c r="B35">
        <f>(B16/1000)*B27</f>
        <v>65.098124999999996</v>
      </c>
      <c r="C35" t="s">
        <v>92</v>
      </c>
      <c r="D35" t="s">
        <v>233</v>
      </c>
      <c r="F35" t="s">
        <v>89</v>
      </c>
      <c r="H35" s="13" t="s">
        <v>841</v>
      </c>
    </row>
    <row r="36" spans="1:8" x14ac:dyDescent="0.2">
      <c r="A36" s="13" t="s">
        <v>441</v>
      </c>
      <c r="B36" s="2">
        <f>(B16/1000)*B26</f>
        <v>1035.0601875</v>
      </c>
      <c r="C36" t="s">
        <v>95</v>
      </c>
      <c r="D36" t="s">
        <v>233</v>
      </c>
      <c r="F36" t="s">
        <v>89</v>
      </c>
      <c r="H36" s="13" t="s">
        <v>441</v>
      </c>
    </row>
    <row r="37" spans="1:8" x14ac:dyDescent="0.2">
      <c r="B37" s="11"/>
    </row>
    <row r="38" spans="1:8" ht="16" x14ac:dyDescent="0.2">
      <c r="A38" s="10" t="s">
        <v>71</v>
      </c>
      <c r="B38" s="8" t="str">
        <f>B40&amp;", "&amp;B42</f>
        <v>Moped, gasoline, &lt;4kW, EURO-4, 2016</v>
      </c>
    </row>
    <row r="39" spans="1:8" x14ac:dyDescent="0.2">
      <c r="A39" t="s">
        <v>72</v>
      </c>
      <c r="B39" t="s">
        <v>37</v>
      </c>
    </row>
    <row r="40" spans="1:8" x14ac:dyDescent="0.2">
      <c r="A40" t="s">
        <v>86</v>
      </c>
      <c r="B40" t="s">
        <v>580</v>
      </c>
    </row>
    <row r="41" spans="1:8" x14ac:dyDescent="0.2">
      <c r="A41" t="s">
        <v>87</v>
      </c>
    </row>
    <row r="42" spans="1:8" x14ac:dyDescent="0.2">
      <c r="A42" t="s">
        <v>88</v>
      </c>
      <c r="B42">
        <v>2016</v>
      </c>
    </row>
    <row r="43" spans="1:8" x14ac:dyDescent="0.2">
      <c r="A43" t="s">
        <v>126</v>
      </c>
      <c r="B43" t="str">
        <f>B40&amp;" - "&amp;B42&amp;" - "&amp;B39</f>
        <v>Moped, gasoline, &lt;4kW, EURO-4 - 2016 - CH</v>
      </c>
    </row>
    <row r="44" spans="1:8" x14ac:dyDescent="0.2">
      <c r="A44" t="s">
        <v>73</v>
      </c>
      <c r="B44" t="str">
        <f>B40</f>
        <v>Moped, gasoline, &lt;4kW, EURO-4</v>
      </c>
    </row>
    <row r="45" spans="1:8" x14ac:dyDescent="0.2">
      <c r="A45" t="s">
        <v>74</v>
      </c>
      <c r="B45" t="s">
        <v>75</v>
      </c>
    </row>
    <row r="46" spans="1:8" x14ac:dyDescent="0.2">
      <c r="A46" t="s">
        <v>76</v>
      </c>
      <c r="B46" t="s">
        <v>76</v>
      </c>
    </row>
    <row r="47" spans="1:8" x14ac:dyDescent="0.2">
      <c r="A47" t="s">
        <v>78</v>
      </c>
      <c r="B47" t="s">
        <v>1143</v>
      </c>
    </row>
    <row r="48" spans="1:8" x14ac:dyDescent="0.2">
      <c r="A48" t="s">
        <v>127</v>
      </c>
      <c r="B48">
        <f>INDEX('vehicles specifications'!$B$3:$CW$166,MATCH(B43,'vehicles specifications'!$A$3:$A$166,0),MATCH("Lifetime [km]",'vehicles specifications'!$B$2:$CW$2,0))</f>
        <v>25000</v>
      </c>
    </row>
    <row r="49" spans="1:2" x14ac:dyDescent="0.2">
      <c r="A49" t="s">
        <v>128</v>
      </c>
      <c r="B49">
        <f>INDEX('vehicles specifications'!$B$3:$CW$166,MATCH(B43,'vehicles specifications'!$A$3:$A$166,0),MATCH("Passengers [unit]",'vehicles specifications'!$B$2:$CW$2,0))</f>
        <v>1</v>
      </c>
    </row>
    <row r="50" spans="1:2" x14ac:dyDescent="0.2">
      <c r="A50" t="s">
        <v>129</v>
      </c>
      <c r="B50">
        <f>INDEX('vehicles specifications'!$B$3:$CW$166,MATCH(B43,'vehicles specifications'!$A$3:$A$166,0),MATCH("Servicing [unit]",'vehicles specifications'!$B$2:$CW$2,0))</f>
        <v>1</v>
      </c>
    </row>
    <row r="51" spans="1:2" x14ac:dyDescent="0.2">
      <c r="A51" t="s">
        <v>130</v>
      </c>
      <c r="B51">
        <f>INDEX('vehicles specifications'!$B$3:$CW$166,MATCH(B43,'vehicles specifications'!$A$3:$A$166,0),MATCH("Energy battery replacement [unit]",'vehicles specifications'!$B$2:$CW$2,0))</f>
        <v>0</v>
      </c>
    </row>
    <row r="52" spans="1:2" x14ac:dyDescent="0.2">
      <c r="A52" t="s">
        <v>131</v>
      </c>
      <c r="B52">
        <f>INDEX('vehicles specifications'!$B$3:$CW$166,MATCH(B43,'vehicles specifications'!$A$3:$A$166,0),MATCH("Annual kilometers [km]",'vehicles specifications'!$B$2:$CW$2,0))</f>
        <v>1570</v>
      </c>
    </row>
    <row r="53" spans="1:2" x14ac:dyDescent="0.2">
      <c r="A53" t="s">
        <v>132</v>
      </c>
      <c r="B53" s="2">
        <f>INDEX('vehicles specifications'!$B$3:$CW$166,MATCH(B43,'vehicles specifications'!$A$3:$A$166,0),MATCH("Curb mass [kg]",'vehicles specifications'!$B$2:$CW$2,0))</f>
        <v>63.83925</v>
      </c>
    </row>
    <row r="54" spans="1:2" x14ac:dyDescent="0.2">
      <c r="A54" t="s">
        <v>133</v>
      </c>
      <c r="B54">
        <f>INDEX('vehicles specifications'!$B$3:$CW$166,MATCH(B43,'vehicles specifications'!$A$3:$A$166,0),MATCH("Power [kW]",'vehicles specifications'!$B$2:$CW$2,0))</f>
        <v>2.5</v>
      </c>
    </row>
    <row r="55" spans="1:2" x14ac:dyDescent="0.2">
      <c r="A55" t="s">
        <v>134</v>
      </c>
      <c r="B55" t="str">
        <f>INDEX('vehicles specifications'!$B$3:$CW$166,MATCH(B43,'vehicles specifications'!$A$3:$A$166,0),MATCH("Energy battery mass [kg]",'vehicles specifications'!$B$2:$CW$2,0))</f>
        <v/>
      </c>
    </row>
    <row r="56" spans="1:2" x14ac:dyDescent="0.2">
      <c r="A56" t="s">
        <v>135</v>
      </c>
      <c r="B56">
        <f>INDEX('vehicles specifications'!$B$3:$CW$166,MATCH(B43,'vehicles specifications'!$A$3:$A$166,0),MATCH("Electric energy available [kWh]",'vehicles specifications'!$B$2:$CW$2,0))</f>
        <v>0</v>
      </c>
    </row>
    <row r="57" spans="1:2" x14ac:dyDescent="0.2">
      <c r="A57" t="s">
        <v>138</v>
      </c>
      <c r="B57" s="2">
        <f>INDEX('vehicles specifications'!$B$3:$CW$166,MATCH(B43,'vehicles specifications'!$A$3:$A$166,0),MATCH("Oxydation energy stored [kWh]",'vehicles specifications'!$B$2:$CW$2,0))</f>
        <v>62.125</v>
      </c>
    </row>
    <row r="58" spans="1:2" x14ac:dyDescent="0.2">
      <c r="A58" t="s">
        <v>139</v>
      </c>
      <c r="B58">
        <f>INDEX('vehicles specifications'!$B$3:$CW$166,MATCH(B43,'vehicles specifications'!$A$3:$A$166,0),MATCH("Fuel mass [kg]",'vehicles specifications'!$B$2:$CW$2,0))</f>
        <v>5.25</v>
      </c>
    </row>
    <row r="59" spans="1:2" x14ac:dyDescent="0.2">
      <c r="A59" t="s">
        <v>136</v>
      </c>
      <c r="B59" s="2">
        <f>INDEX('vehicles specifications'!$B$3:$CW$166,MATCH(B43,'vehicles specifications'!$A$3:$A$166,0),MATCH("Range [km]",'vehicles specifications'!$B$2:$CW$2,0))</f>
        <v>269.07197854715383</v>
      </c>
    </row>
    <row r="60" spans="1:2" x14ac:dyDescent="0.2">
      <c r="A60" t="s">
        <v>137</v>
      </c>
      <c r="B60" t="str">
        <f>INDEX('vehicles specifications'!$B$3:$CW$166,MATCH(B43,'vehicles specifications'!$A$3:$A$166,0),MATCH("Emission standard",'vehicles specifications'!$B$2:$CW$2,0))</f>
        <v>EURO-4</v>
      </c>
    </row>
    <row r="61" spans="1:2" x14ac:dyDescent="0.2">
      <c r="A61" t="s">
        <v>1174</v>
      </c>
      <c r="B61" s="6">
        <f>INDEX('vehicles specifications'!$B$3:$CW$166,MATCH(B43,'vehicles specifications'!$A$3:$A$166,0),MATCH("Lightweighting rate [%]",'vehicles specifications'!$B$2:$CW$2,0))</f>
        <v>-0.02</v>
      </c>
    </row>
    <row r="62" spans="1:2" x14ac:dyDescent="0.2">
      <c r="A62" t="s">
        <v>485</v>
      </c>
      <c r="B62" s="6" t="s">
        <v>486</v>
      </c>
    </row>
    <row r="63" spans="1:2" x14ac:dyDescent="0.2">
      <c r="A63" t="s">
        <v>487</v>
      </c>
      <c r="B63" s="2">
        <v>15900</v>
      </c>
    </row>
    <row r="64" spans="1:2" x14ac:dyDescent="0.2">
      <c r="A64" t="s">
        <v>488</v>
      </c>
      <c r="B64" s="2">
        <v>1000</v>
      </c>
    </row>
    <row r="65" spans="1:8" x14ac:dyDescent="0.2">
      <c r="A65" t="s">
        <v>83</v>
      </c>
      <c r="B65" t="str">
        <f>"Power: "&amp;B54&amp;" kW. Lifetime: "&amp;B48&amp;" km. Annual kilometers: "&amp;ROUND(B52,0)&amp;" km. Number of passengers: "&amp;ROUND(B49,1)&amp;". Curb mass: "&amp;ROUND(B53,1)&amp;" kg. Lightweighting of glider: "&amp;ROUND(B61*100,0)&amp;"%. Emission standard: "&amp;B60&amp;". Service visits throughout lifetime: "&amp;ROUND(B50,1)&amp;". Range: "&amp;ROUND(B59,0)&amp;" km. Fuel tank capacity: "&amp;ROUND(B57,1)&amp;" kWh. Fuel mass: "&amp;ROUND(B58,1)&amp;" kg. Origin of manufacture: "&amp;B62&amp;". Shipping distance: "&amp;B63&amp;" km. Lorry distribution distance: "&amp;B64&amp;" km. Documentation: "&amp;Readmefirst!$B$2&amp;", "&amp;Readmefirst!$B$3&amp;". "&amp;B47</f>
        <v>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tr">
        <f>B38</f>
        <v>Moped, gasoline, &lt;4kW, EURO-4, 2016</v>
      </c>
      <c r="B68">
        <v>1</v>
      </c>
      <c r="C68" t="str">
        <f>B39</f>
        <v>CH</v>
      </c>
      <c r="D68" t="str">
        <f>B46</f>
        <v>unit</v>
      </c>
      <c r="F68" t="s">
        <v>84</v>
      </c>
      <c r="G68" t="s">
        <v>85</v>
      </c>
      <c r="H68" t="str">
        <f>B40</f>
        <v>Moped, gasoline, &lt;4kW, EURO-4</v>
      </c>
    </row>
    <row r="69" spans="1:8" x14ac:dyDescent="0.2">
      <c r="A69" t="str">
        <f>INDEX('ei names mapping'!$B$4:$R$33,MATCH(B40,'ei names mapping'!$A$4:$A$33,0),MATCH(G69,'ei names mapping'!$B$3:$R$3,0))</f>
        <v>motor scooter production</v>
      </c>
      <c r="B69" s="11">
        <f>INDEX('vehicles specifications'!$B$3:$CW$166,MATCH(B43,'vehicles specifications'!$A$3:$A$166,0),MATCH(G69,'vehicles specifications'!$B$2:$CW$2,0))*INDEX('ei names mapping'!$B$137:$BL$300,MATCH(B43,'ei names mapping'!$A$137:$A$300,0),MATCH(G69,'ei names mapping'!$B$136:$BL$136,0))</f>
        <v>0.46625</v>
      </c>
      <c r="C69" t="str">
        <f>INDEX('ei names mapping'!$B$38:$R$67,MATCH(B40,'ei names mapping'!$A$4:$A$33,0),MATCH(G69,'ei names mapping'!$B$3:$R$3,0))</f>
        <v>RER</v>
      </c>
      <c r="D69" t="str">
        <f>INDEX('ei names mapping'!$B$104:$R$133,MATCH(B40,'ei names mapping'!$A$104:$A$133,0),MATCH(G69,'ei names mapping'!$B$3:$R$3,0))</f>
        <v>unit</v>
      </c>
      <c r="F69" t="s">
        <v>89</v>
      </c>
      <c r="G69" t="s">
        <v>15</v>
      </c>
      <c r="H69" t="str">
        <f>INDEX('ei names mapping'!$B$71:$R$100,MATCH(B40,'ei names mapping'!$A$4:$A$33,0),MATCH(G69,'ei names mapping'!$B$3:$R$3,0))</f>
        <v>motor scooter, 50 cubic cm engine</v>
      </c>
    </row>
    <row r="70" spans="1:8" x14ac:dyDescent="0.2">
      <c r="A70" t="str">
        <f>INDEX('ei names mapping'!$B$4:$R$33,MATCH(B40,'ei names mapping'!$A$4:$A$33,0),MATCH(G70,'ei names mapping'!$B$3:$R$3,0))</f>
        <v>motor scooter production</v>
      </c>
      <c r="B70" s="11">
        <f>INDEX('vehicles specifications'!$B$3:$CW$166,MATCH(B43,'vehicles specifications'!$A$3:$A$166,0),MATCH(G70,'vehicles specifications'!$B$2:$CW$2,0))*INDEX('ei names mapping'!$B$137:$BL$300,MATCH(B43,'ei names mapping'!$A$137:$A$300,0),MATCH(G70,'ei names mapping'!$B$136:$BL$136,0))</f>
        <v>0.16666666666666669</v>
      </c>
      <c r="C70" t="str">
        <f>INDEX('ei names mapping'!$B$38:$R$67,MATCH(B40,'ei names mapping'!$A$4:$A$33,0),MATCH(G70,'ei names mapping'!$B$3:$R$3,0))</f>
        <v>RER</v>
      </c>
      <c r="D70" t="str">
        <f>INDEX('ei names mapping'!$B$104:$R$133,MATCH(B40,'ei names mapping'!$A$104:$A$133,0),MATCH(G70,'ei names mapping'!$B$3:$R$3,0))</f>
        <v>unit</v>
      </c>
      <c r="F70" t="s">
        <v>89</v>
      </c>
      <c r="G70" t="s">
        <v>16</v>
      </c>
      <c r="H70" t="str">
        <f>INDEX('ei names mapping'!$B$71:$R$100,MATCH(B40,'ei names mapping'!$A$4:$A$33,0),MATCH(G70,'ei names mapping'!$B$3:$R$3,0))</f>
        <v>motor scooter, 50 cubic cm engine</v>
      </c>
    </row>
    <row r="71" spans="1:8" x14ac:dyDescent="0.2">
      <c r="A71" t="str">
        <f>INDEX('ei names mapping'!$B$4:$R$33,MATCH(B40,'ei names mapping'!$A$4:$A$33,0),MATCH(G71,'ei names mapping'!$B$3:$R$3,0))</f>
        <v>polyethylene production, high density, granulate</v>
      </c>
      <c r="B71" s="11">
        <f>INDEX('vehicles specifications'!$B$3:$CW$166,MATCH(B43,'vehicles specifications'!$A$3:$A$166,0),MATCH(G71,'vehicles specifications'!$B$2:$CW$2,0))*INDEX('ei names mapping'!$B$137:$BL$300,MATCH(B43,'ei names mapping'!$A$137:$A$300,0),MATCH(G71,'ei names mapping'!$B$136:$BL$136,0))</f>
        <v>0.78749999999999998</v>
      </c>
      <c r="C71" t="str">
        <f>INDEX('ei names mapping'!$B$38:$R$67,MATCH(B40,'ei names mapping'!$A$4:$A$33,0),MATCH(G71,'ei names mapping'!$B$3:$R$3,0))</f>
        <v>RER</v>
      </c>
      <c r="D71" t="str">
        <f>INDEX('ei names mapping'!$B$104:$R$133,MATCH(B40,'ei names mapping'!$A$104:$A$133,0),MATCH(G71,'ei names mapping'!$B$3:$R$3,0))</f>
        <v>kilogram</v>
      </c>
      <c r="F71" t="s">
        <v>89</v>
      </c>
      <c r="G71" t="s">
        <v>24</v>
      </c>
      <c r="H71" t="str">
        <f>INDEX('ei names mapping'!$B$71:$R$100,MATCH(B40,'ei names mapping'!$A$4:$A$33,0),MATCH(G71,'ei names mapping'!$B$3:$R$3,0))</f>
        <v>polyethylene, high density, granulate</v>
      </c>
    </row>
    <row r="72" spans="1:8" x14ac:dyDescent="0.2">
      <c r="A72" s="13" t="s">
        <v>840</v>
      </c>
      <c r="B72">
        <f>(B53/1000)*B64</f>
        <v>63.83925</v>
      </c>
      <c r="C72" t="s">
        <v>92</v>
      </c>
      <c r="D72" t="s">
        <v>233</v>
      </c>
      <c r="F72" t="s">
        <v>89</v>
      </c>
      <c r="H72" s="13" t="s">
        <v>841</v>
      </c>
    </row>
    <row r="73" spans="1:8" x14ac:dyDescent="0.2">
      <c r="A73" s="13" t="s">
        <v>441</v>
      </c>
      <c r="B73" s="2">
        <f>(B53/1000)*B63</f>
        <v>1015.044075</v>
      </c>
      <c r="C73" t="s">
        <v>95</v>
      </c>
      <c r="D73" t="s">
        <v>233</v>
      </c>
      <c r="F73" t="s">
        <v>89</v>
      </c>
      <c r="H73" s="13" t="s">
        <v>441</v>
      </c>
    </row>
    <row r="75" spans="1:8" ht="16" x14ac:dyDescent="0.2">
      <c r="A75" s="10" t="s">
        <v>71</v>
      </c>
      <c r="B75" s="8" t="str">
        <f>B77&amp;", "&amp;B79</f>
        <v>Moped, gasoline, &lt;4kW, EURO-5, 2020</v>
      </c>
    </row>
    <row r="76" spans="1:8" x14ac:dyDescent="0.2">
      <c r="A76" t="s">
        <v>72</v>
      </c>
      <c r="B76" t="s">
        <v>37</v>
      </c>
    </row>
    <row r="77" spans="1:8" x14ac:dyDescent="0.2">
      <c r="A77" t="s">
        <v>86</v>
      </c>
      <c r="B77" t="s">
        <v>581</v>
      </c>
    </row>
    <row r="78" spans="1:8" x14ac:dyDescent="0.2">
      <c r="A78" t="s">
        <v>87</v>
      </c>
    </row>
    <row r="79" spans="1:8" x14ac:dyDescent="0.2">
      <c r="A79" t="s">
        <v>88</v>
      </c>
      <c r="B79">
        <v>2020</v>
      </c>
    </row>
    <row r="80" spans="1:8" x14ac:dyDescent="0.2">
      <c r="A80" t="s">
        <v>126</v>
      </c>
      <c r="B80" t="str">
        <f>B77&amp;" - "&amp;B79&amp;" - "&amp;B76</f>
        <v>Moped, gasoline, &lt;4kW, EURO-5 - 2020 - CH</v>
      </c>
    </row>
    <row r="81" spans="1:2" x14ac:dyDescent="0.2">
      <c r="A81" t="s">
        <v>73</v>
      </c>
      <c r="B81" t="str">
        <f>B77</f>
        <v>Moped, gasoline, &lt;4kW, EURO-5</v>
      </c>
    </row>
    <row r="82" spans="1:2" x14ac:dyDescent="0.2">
      <c r="A82" t="s">
        <v>74</v>
      </c>
      <c r="B82" t="s">
        <v>75</v>
      </c>
    </row>
    <row r="83" spans="1:2" x14ac:dyDescent="0.2">
      <c r="A83" t="s">
        <v>76</v>
      </c>
      <c r="B83" t="s">
        <v>76</v>
      </c>
    </row>
    <row r="84" spans="1:2" x14ac:dyDescent="0.2">
      <c r="A84" t="s">
        <v>78</v>
      </c>
      <c r="B84" t="s">
        <v>1143</v>
      </c>
    </row>
    <row r="85" spans="1:2" x14ac:dyDescent="0.2">
      <c r="A85" t="s">
        <v>127</v>
      </c>
      <c r="B85">
        <f>INDEX('vehicles specifications'!$B$3:$CW$166,MATCH(B80,'vehicles specifications'!$A$3:$A$166,0),MATCH("Lifetime [km]",'vehicles specifications'!$B$2:$CW$2,0))</f>
        <v>25000</v>
      </c>
    </row>
    <row r="86" spans="1:2" x14ac:dyDescent="0.2">
      <c r="A86" t="s">
        <v>128</v>
      </c>
      <c r="B86">
        <f>INDEX('vehicles specifications'!$B$3:$CW$166,MATCH(B80,'vehicles specifications'!$A$3:$A$166,0),MATCH("Passengers [unit]",'vehicles specifications'!$B$2:$CW$2,0))</f>
        <v>1</v>
      </c>
    </row>
    <row r="87" spans="1:2" x14ac:dyDescent="0.2">
      <c r="A87" t="s">
        <v>129</v>
      </c>
      <c r="B87">
        <f>INDEX('vehicles specifications'!$B$3:$CW$166,MATCH(B80,'vehicles specifications'!$A$3:$A$166,0),MATCH("Servicing [unit]",'vehicles specifications'!$B$2:$CW$2,0))</f>
        <v>1</v>
      </c>
    </row>
    <row r="88" spans="1:2" x14ac:dyDescent="0.2">
      <c r="A88" t="s">
        <v>130</v>
      </c>
      <c r="B88">
        <f>INDEX('vehicles specifications'!$B$3:$CW$166,MATCH(B80,'vehicles specifications'!$A$3:$A$166,0),MATCH("Energy battery replacement [unit]",'vehicles specifications'!$B$2:$CW$2,0))</f>
        <v>0</v>
      </c>
    </row>
    <row r="89" spans="1:2" x14ac:dyDescent="0.2">
      <c r="A89" t="s">
        <v>131</v>
      </c>
      <c r="B89">
        <f>INDEX('vehicles specifications'!$B$3:$CW$166,MATCH(B80,'vehicles specifications'!$A$3:$A$166,0),MATCH("Annual kilometers [km]",'vehicles specifications'!$B$2:$CW$2,0))</f>
        <v>1570</v>
      </c>
    </row>
    <row r="90" spans="1:2" x14ac:dyDescent="0.2">
      <c r="A90" t="s">
        <v>132</v>
      </c>
      <c r="B90" s="2">
        <f>INDEX('vehicles specifications'!$B$3:$CW$166,MATCH(B80,'vehicles specifications'!$A$3:$A$166,0),MATCH("Curb mass [kg]",'vehicles specifications'!$B$2:$CW$2,0))</f>
        <v>63</v>
      </c>
    </row>
    <row r="91" spans="1:2" x14ac:dyDescent="0.2">
      <c r="A91" t="s">
        <v>133</v>
      </c>
      <c r="B91">
        <f>INDEX('vehicles specifications'!$B$3:$CW$166,MATCH(B80,'vehicles specifications'!$A$3:$A$166,0),MATCH("Power [kW]",'vehicles specifications'!$B$2:$CW$2,0))</f>
        <v>2.5</v>
      </c>
    </row>
    <row r="92" spans="1:2" x14ac:dyDescent="0.2">
      <c r="A92" t="s">
        <v>134</v>
      </c>
      <c r="B92" t="str">
        <f>INDEX('vehicles specifications'!$B$3:$CW$166,MATCH(B80,'vehicles specifications'!$A$3:$A$166,0),MATCH("Energy battery mass [kg]",'vehicles specifications'!$B$2:$CW$2,0))</f>
        <v/>
      </c>
    </row>
    <row r="93" spans="1:2" x14ac:dyDescent="0.2">
      <c r="A93" t="s">
        <v>135</v>
      </c>
      <c r="B93">
        <f>INDEX('vehicles specifications'!$B$3:$CW$166,MATCH(B80,'vehicles specifications'!$A$3:$A$166,0),MATCH("Electric energy available [kWh]",'vehicles specifications'!$B$2:$CW$2,0))</f>
        <v>0</v>
      </c>
    </row>
    <row r="94" spans="1:2" x14ac:dyDescent="0.2">
      <c r="A94" t="s">
        <v>138</v>
      </c>
      <c r="B94" s="2">
        <f>INDEX('vehicles specifications'!$B$3:$CW$166,MATCH(B80,'vehicles specifications'!$A$3:$A$166,0),MATCH("Oxydation energy stored [kWh]",'vehicles specifications'!$B$2:$CW$2,0))</f>
        <v>62.125</v>
      </c>
    </row>
    <row r="95" spans="1:2" x14ac:dyDescent="0.2">
      <c r="A95" t="s">
        <v>139</v>
      </c>
      <c r="B95">
        <f>INDEX('vehicles specifications'!$B$3:$CW$166,MATCH(B80,'vehicles specifications'!$A$3:$A$166,0),MATCH("Fuel mass [kg]",'vehicles specifications'!$B$2:$CW$2,0))</f>
        <v>5.25</v>
      </c>
    </row>
    <row r="96" spans="1:2" x14ac:dyDescent="0.2">
      <c r="A96" t="s">
        <v>136</v>
      </c>
      <c r="B96" s="2">
        <f>INDEX('vehicles specifications'!$B$3:$CW$166,MATCH(B80,'vehicles specifications'!$A$3:$A$166,0),MATCH("Range [km]",'vehicles specifications'!$B$2:$CW$2,0))</f>
        <v>271.78987732035739</v>
      </c>
    </row>
    <row r="97" spans="1:8" x14ac:dyDescent="0.2">
      <c r="A97" t="s">
        <v>137</v>
      </c>
      <c r="B97" t="str">
        <f>INDEX('vehicles specifications'!$B$3:$CW$166,MATCH(B80,'vehicles specifications'!$A$3:$A$166,0),MATCH("Emission standard",'vehicles specifications'!$B$2:$CW$2,0))</f>
        <v>EURO-5</v>
      </c>
    </row>
    <row r="98" spans="1:8" x14ac:dyDescent="0.2">
      <c r="A98" t="s">
        <v>1174</v>
      </c>
      <c r="B98" s="6">
        <f>INDEX('vehicles specifications'!$B$3:$CW$166,MATCH(B80,'vehicles specifications'!$A$3:$A$166,0),MATCH("Lightweighting rate [%]",'vehicles specifications'!$B$2:$CW$2,0))</f>
        <v>0</v>
      </c>
    </row>
    <row r="99" spans="1:8" x14ac:dyDescent="0.2">
      <c r="A99" t="s">
        <v>485</v>
      </c>
      <c r="B99" s="6" t="s">
        <v>486</v>
      </c>
    </row>
    <row r="100" spans="1:8" x14ac:dyDescent="0.2">
      <c r="A100" t="s">
        <v>487</v>
      </c>
      <c r="B100" s="2">
        <v>15900</v>
      </c>
    </row>
    <row r="101" spans="1:8" x14ac:dyDescent="0.2">
      <c r="A101" t="s">
        <v>488</v>
      </c>
      <c r="B101" s="2">
        <v>1000</v>
      </c>
    </row>
    <row r="102" spans="1:8" x14ac:dyDescent="0.2">
      <c r="A102" t="s">
        <v>83</v>
      </c>
      <c r="B102" t="str">
        <f>"Power: "&amp;B91&amp;" kW. Lifetime: "&amp;B85&amp;" km. Annual kilometers: "&amp;ROUND(B89,0)&amp;" km. Number of passengers: "&amp;ROUND(B86,1)&amp;". Curb mass: "&amp;ROUND(B90,1)&amp;" kg. Lightweighting of glider: "&amp;ROUND(B98*100,0)&amp;"%. Emission standard: "&amp;B97&amp;". Service visits throughout lifetime: "&amp;ROUND(B87,1)&amp;". Range: "&amp;ROUND(B96,0)&amp;" km. Fuel tank capacity: "&amp;ROUND(B94,1)&amp;" kWh. Fuel mass: "&amp;ROUND(B95,1)&amp;" kg. Origin of manufacture: "&amp;B99&amp;". Shipping distance: "&amp;B100&amp;" km. Lorry distribution distance: "&amp;B101&amp;" km. Documentation: "&amp;Readmefirst!$B$2&amp;", "&amp;Readmefirst!$B$3&amp;". "&amp;B84</f>
        <v>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tr">
        <f>B75</f>
        <v>Moped, gasoline, &lt;4kW, EURO-5, 2020</v>
      </c>
      <c r="B105">
        <v>1</v>
      </c>
      <c r="C105" t="str">
        <f>B76</f>
        <v>CH</v>
      </c>
      <c r="D105" t="str">
        <f>B83</f>
        <v>unit</v>
      </c>
      <c r="F105" t="s">
        <v>84</v>
      </c>
      <c r="G105" t="s">
        <v>85</v>
      </c>
      <c r="H105" t="str">
        <f>B77</f>
        <v>Moped, gasoline, &lt;4kW, EURO-5</v>
      </c>
    </row>
    <row r="106" spans="1:8" x14ac:dyDescent="0.2">
      <c r="A106" t="str">
        <f>INDEX('ei names mapping'!$B$4:$R$33,MATCH(B77,'ei names mapping'!$A$4:$A$33,0),MATCH(G106,'ei names mapping'!$B$3:$R$3,0))</f>
        <v>motor scooter production</v>
      </c>
      <c r="B106" s="11">
        <f>INDEX('vehicles specifications'!$B$3:$CW$166,MATCH(B80,'vehicles specifications'!$A$3:$A$166,0),MATCH(G106,'vehicles specifications'!$B$2:$CW$2,0))*INDEX('ei names mapping'!$B$137:$BL$300,MATCH(B80,'ei names mapping'!$A$137:$A$300,0),MATCH(G106,'ei names mapping'!$B$136:$BL$136,0))</f>
        <v>0.46625</v>
      </c>
      <c r="C106" t="str">
        <f>INDEX('ei names mapping'!$B$38:$R$67,MATCH(B77,'ei names mapping'!$A$4:$A$33,0),MATCH(G106,'ei names mapping'!$B$3:$R$3,0))</f>
        <v>RER</v>
      </c>
      <c r="D106" t="str">
        <f>INDEX('ei names mapping'!$B$104:$R$133,MATCH(B77,'ei names mapping'!$A$104:$A$133,0),MATCH(G106,'ei names mapping'!$B$3:$R$3,0))</f>
        <v>unit</v>
      </c>
      <c r="F106" t="s">
        <v>89</v>
      </c>
      <c r="G106" t="s">
        <v>15</v>
      </c>
      <c r="H106" t="str">
        <f>INDEX('ei names mapping'!$B$71:$R$100,MATCH(B77,'ei names mapping'!$A$4:$A$33,0),MATCH(G106,'ei names mapping'!$B$3:$R$3,0))</f>
        <v>motor scooter, 50 cubic cm engine</v>
      </c>
    </row>
    <row r="107" spans="1:8" x14ac:dyDescent="0.2">
      <c r="A107" t="str">
        <f>INDEX('ei names mapping'!$B$4:$R$33,MATCH(B77,'ei names mapping'!$A$4:$A$33,0),MATCH(G107,'ei names mapping'!$B$3:$R$3,0))</f>
        <v>motor scooter production</v>
      </c>
      <c r="B107" s="11">
        <f>INDEX('vehicles specifications'!$B$3:$CW$166,MATCH(B80,'vehicles specifications'!$A$3:$A$166,0),MATCH(G107,'vehicles specifications'!$B$2:$CW$2,0))*INDEX('ei names mapping'!$B$137:$BL$300,MATCH(B80,'ei names mapping'!$A$137:$A$300,0),MATCH(G107,'ei names mapping'!$B$136:$BL$136,0))</f>
        <v>0.16666666666666669</v>
      </c>
      <c r="C107" t="str">
        <f>INDEX('ei names mapping'!$B$38:$R$67,MATCH(B77,'ei names mapping'!$A$4:$A$33,0),MATCH(G107,'ei names mapping'!$B$3:$R$3,0))</f>
        <v>RER</v>
      </c>
      <c r="D107" t="str">
        <f>INDEX('ei names mapping'!$B$104:$R$133,MATCH(B77,'ei names mapping'!$A$104:$A$133,0),MATCH(G107,'ei names mapping'!$B$3:$R$3,0))</f>
        <v>unit</v>
      </c>
      <c r="F107" t="s">
        <v>89</v>
      </c>
      <c r="G107" t="s">
        <v>16</v>
      </c>
      <c r="H107" t="str">
        <f>INDEX('ei names mapping'!$B$71:$R$100,MATCH(B77,'ei names mapping'!$A$4:$A$33,0),MATCH(G107,'ei names mapping'!$B$3:$R$3,0))</f>
        <v>motor scooter, 50 cubic cm engine</v>
      </c>
    </row>
    <row r="108" spans="1:8" x14ac:dyDescent="0.2">
      <c r="A108" t="str">
        <f>INDEX('ei names mapping'!$B$4:$R$33,MATCH(B77,'ei names mapping'!$A$4:$A$33,0),MATCH(G108,'ei names mapping'!$B$3:$R$3,0))</f>
        <v>Glider lightweighting</v>
      </c>
      <c r="B108" s="11">
        <f>INDEX('vehicles specifications'!$B$3:$CW$166,MATCH(B80,'vehicles specifications'!$A$3:$A$166,0),MATCH(G108,'vehicles specifications'!$B$2:$CW$2,0))*INDEX('ei names mapping'!$B$137:$BL$300,MATCH(B80,'ei names mapping'!$A$137:$A$300,0),MATCH(G108,'ei names mapping'!$B$136:$BL$136,0))</f>
        <v>0</v>
      </c>
      <c r="C108" t="str">
        <f>INDEX('ei names mapping'!$B$38:$R$67,MATCH(B77,'ei names mapping'!$A$4:$A$33,0),MATCH(G108,'ei names mapping'!$B$3:$R$3,0))</f>
        <v>GLO</v>
      </c>
      <c r="D108" t="str">
        <f>INDEX('ei names mapping'!$B$104:$R$133,MATCH(B77,'ei names mapping'!$A$104:$A$133,0),MATCH(G108,'ei names mapping'!$B$3:$R$3,0))</f>
        <v>kilogram</v>
      </c>
      <c r="F108" t="s">
        <v>89</v>
      </c>
      <c r="G108" t="s">
        <v>14</v>
      </c>
      <c r="H108" t="str">
        <f>INDEX('ei names mapping'!$B$71:$R$100,MATCH(B77,'ei names mapping'!$A$4:$A$33,0),MATCH(G108,'ei names mapping'!$B$3:$R$3,0))</f>
        <v>Glider lightweighting</v>
      </c>
    </row>
    <row r="109" spans="1:8" x14ac:dyDescent="0.2">
      <c r="A109" t="str">
        <f>INDEX('ei names mapping'!$B$4:$R$33,MATCH(B77,'ei names mapping'!$A$4:$A$33,0),MATCH(G109,'ei names mapping'!$B$3:$R$3,0))</f>
        <v>polyethylene production, high density, granulate</v>
      </c>
      <c r="B109" s="11">
        <f>INDEX('vehicles specifications'!$B$3:$CW$166,MATCH(B80,'vehicles specifications'!$A$3:$A$166,0),MATCH(G109,'vehicles specifications'!$B$2:$CW$2,0))*INDEX('ei names mapping'!$B$137:$BL$300,MATCH(B80,'ei names mapping'!$A$137:$A$300,0),MATCH(G109,'ei names mapping'!$B$136:$BL$136,0))</f>
        <v>0.78749999999999998</v>
      </c>
      <c r="C109" t="str">
        <f>INDEX('ei names mapping'!$B$38:$R$67,MATCH(B77,'ei names mapping'!$A$4:$A$33,0),MATCH(G109,'ei names mapping'!$B$3:$R$3,0))</f>
        <v>RER</v>
      </c>
      <c r="D109" t="str">
        <f>INDEX('ei names mapping'!$B$104:$R$133,MATCH(B77,'ei names mapping'!$A$104:$A$133,0),MATCH(G109,'ei names mapping'!$B$3:$R$3,0))</f>
        <v>kilogram</v>
      </c>
      <c r="F109" t="s">
        <v>89</v>
      </c>
      <c r="G109" t="s">
        <v>24</v>
      </c>
      <c r="H109" t="str">
        <f>INDEX('ei names mapping'!$B$71:$R$100,MATCH(B77,'ei names mapping'!$A$4:$A$33,0),MATCH(G109,'ei names mapping'!$B$3:$R$3,0))</f>
        <v>polyethylene, high density, granulate</v>
      </c>
    </row>
    <row r="110" spans="1:8" x14ac:dyDescent="0.2">
      <c r="A110" s="13" t="s">
        <v>840</v>
      </c>
      <c r="B110">
        <f>(B90/1000)*B101</f>
        <v>63</v>
      </c>
      <c r="C110" t="s">
        <v>92</v>
      </c>
      <c r="D110" t="s">
        <v>233</v>
      </c>
      <c r="F110" t="s">
        <v>89</v>
      </c>
      <c r="H110" s="13" t="s">
        <v>841</v>
      </c>
    </row>
    <row r="111" spans="1:8" x14ac:dyDescent="0.2">
      <c r="A111" s="13" t="s">
        <v>441</v>
      </c>
      <c r="B111" s="2">
        <f>(B90/1000)*B100</f>
        <v>1001.7</v>
      </c>
      <c r="C111" t="s">
        <v>95</v>
      </c>
      <c r="D111" t="s">
        <v>233</v>
      </c>
      <c r="F111" t="s">
        <v>89</v>
      </c>
      <c r="H111" s="13" t="s">
        <v>441</v>
      </c>
    </row>
    <row r="113" spans="1:2" ht="16" x14ac:dyDescent="0.2">
      <c r="A113" s="10" t="s">
        <v>71</v>
      </c>
      <c r="B113" s="8" t="str">
        <f>B115&amp;", "&amp;B117</f>
        <v>Moped, gasoline, &lt;4kW, EURO-5, 2030</v>
      </c>
    </row>
    <row r="114" spans="1:2" x14ac:dyDescent="0.2">
      <c r="A114" t="s">
        <v>72</v>
      </c>
      <c r="B114" t="s">
        <v>37</v>
      </c>
    </row>
    <row r="115" spans="1:2" x14ac:dyDescent="0.2">
      <c r="A115" t="s">
        <v>86</v>
      </c>
      <c r="B115" t="s">
        <v>581</v>
      </c>
    </row>
    <row r="116" spans="1:2" x14ac:dyDescent="0.2">
      <c r="A116" t="s">
        <v>87</v>
      </c>
    </row>
    <row r="117" spans="1:2" x14ac:dyDescent="0.2">
      <c r="A117" t="s">
        <v>88</v>
      </c>
      <c r="B117">
        <v>2030</v>
      </c>
    </row>
    <row r="118" spans="1:2" x14ac:dyDescent="0.2">
      <c r="A118" t="s">
        <v>126</v>
      </c>
      <c r="B118" t="str">
        <f>B115&amp;" - "&amp;B117&amp;" - "&amp;B114</f>
        <v>Moped, gasoline, &lt;4kW, EURO-5 - 2030 - CH</v>
      </c>
    </row>
    <row r="119" spans="1:2" x14ac:dyDescent="0.2">
      <c r="A119" t="s">
        <v>73</v>
      </c>
      <c r="B119" t="str">
        <f>B115</f>
        <v>Moped, gasoline, &lt;4kW, EURO-5</v>
      </c>
    </row>
    <row r="120" spans="1:2" x14ac:dyDescent="0.2">
      <c r="A120" t="s">
        <v>74</v>
      </c>
      <c r="B120" t="s">
        <v>75</v>
      </c>
    </row>
    <row r="121" spans="1:2" x14ac:dyDescent="0.2">
      <c r="A121" t="s">
        <v>76</v>
      </c>
      <c r="B121" t="s">
        <v>76</v>
      </c>
    </row>
    <row r="122" spans="1:2" x14ac:dyDescent="0.2">
      <c r="A122" t="s">
        <v>78</v>
      </c>
      <c r="B122" t="s">
        <v>1143</v>
      </c>
    </row>
    <row r="123" spans="1:2" x14ac:dyDescent="0.2">
      <c r="A123" t="s">
        <v>127</v>
      </c>
      <c r="B123">
        <f>INDEX('vehicles specifications'!$B$3:$CW$166,MATCH(B118,'vehicles specifications'!$A$3:$A$166,0),MATCH("Lifetime [km]",'vehicles specifications'!$B$2:$CW$2,0))</f>
        <v>25000</v>
      </c>
    </row>
    <row r="124" spans="1:2" x14ac:dyDescent="0.2">
      <c r="A124" t="s">
        <v>128</v>
      </c>
      <c r="B124">
        <f>INDEX('vehicles specifications'!$B$3:$CW$166,MATCH(B118,'vehicles specifications'!$A$3:$A$166,0),MATCH("Passengers [unit]",'vehicles specifications'!$B$2:$CW$2,0))</f>
        <v>1</v>
      </c>
    </row>
    <row r="125" spans="1:2" x14ac:dyDescent="0.2">
      <c r="A125" t="s">
        <v>129</v>
      </c>
      <c r="B125">
        <f>INDEX('vehicles specifications'!$B$3:$CW$166,MATCH(B118,'vehicles specifications'!$A$3:$A$166,0),MATCH("Servicing [unit]",'vehicles specifications'!$B$2:$CW$2,0))</f>
        <v>1</v>
      </c>
    </row>
    <row r="126" spans="1:2" x14ac:dyDescent="0.2">
      <c r="A126" t="s">
        <v>130</v>
      </c>
      <c r="B126">
        <f>INDEX('vehicles specifications'!$B$3:$CW$166,MATCH(B118,'vehicles specifications'!$A$3:$A$166,0),MATCH("Energy battery replacement [unit]",'vehicles specifications'!$B$2:$CW$2,0))</f>
        <v>0</v>
      </c>
    </row>
    <row r="127" spans="1:2" x14ac:dyDescent="0.2">
      <c r="A127" t="s">
        <v>131</v>
      </c>
      <c r="B127">
        <f>INDEX('vehicles specifications'!$B$3:$CW$166,MATCH(B118,'vehicles specifications'!$A$3:$A$166,0),MATCH("Annual kilometers [km]",'vehicles specifications'!$B$2:$CW$2,0))</f>
        <v>1570</v>
      </c>
    </row>
    <row r="128" spans="1:2" x14ac:dyDescent="0.2">
      <c r="A128" t="s">
        <v>132</v>
      </c>
      <c r="B128" s="2">
        <f>INDEX('vehicles specifications'!$B$3:$CW$166,MATCH(B118,'vehicles specifications'!$A$3:$A$166,0),MATCH("Curb mass [kg]",'vehicles specifications'!$B$2:$CW$2,0))</f>
        <v>61.729124999999996</v>
      </c>
    </row>
    <row r="129" spans="1:8" x14ac:dyDescent="0.2">
      <c r="A129" t="s">
        <v>133</v>
      </c>
      <c r="B129">
        <f>INDEX('vehicles specifications'!$B$3:$CW$166,MATCH(B118,'vehicles specifications'!$A$3:$A$166,0),MATCH("Power [kW]",'vehicles specifications'!$B$2:$CW$2,0))</f>
        <v>2.5</v>
      </c>
    </row>
    <row r="130" spans="1:8" x14ac:dyDescent="0.2">
      <c r="A130" t="s">
        <v>134</v>
      </c>
      <c r="B130" t="str">
        <f>INDEX('vehicles specifications'!$B$3:$CW$166,MATCH(B118,'vehicles specifications'!$A$3:$A$166,0),MATCH("Energy battery mass [kg]",'vehicles specifications'!$B$2:$CW$2,0))</f>
        <v/>
      </c>
    </row>
    <row r="131" spans="1:8" x14ac:dyDescent="0.2">
      <c r="A131" t="s">
        <v>135</v>
      </c>
      <c r="B131">
        <f>INDEX('vehicles specifications'!$B$3:$CW$166,MATCH(B118,'vehicles specifications'!$A$3:$A$166,0),MATCH("Electric energy available [kWh]",'vehicles specifications'!$B$2:$CW$2,0))</f>
        <v>0</v>
      </c>
    </row>
    <row r="132" spans="1:8" x14ac:dyDescent="0.2">
      <c r="A132" t="s">
        <v>138</v>
      </c>
      <c r="B132" s="2">
        <f>INDEX('vehicles specifications'!$B$3:$CW$166,MATCH(B118,'vehicles specifications'!$A$3:$A$166,0),MATCH("Oxydation energy stored [kWh]",'vehicles specifications'!$B$2:$CW$2,0))</f>
        <v>62.125</v>
      </c>
    </row>
    <row r="133" spans="1:8" x14ac:dyDescent="0.2">
      <c r="A133" t="s">
        <v>139</v>
      </c>
      <c r="B133">
        <f>INDEX('vehicles specifications'!$B$3:$CW$166,MATCH(B118,'vehicles specifications'!$A$3:$A$166,0),MATCH("Fuel mass [kg]",'vehicles specifications'!$B$2:$CW$2,0))</f>
        <v>5.25</v>
      </c>
    </row>
    <row r="134" spans="1:8" x14ac:dyDescent="0.2">
      <c r="A134" t="s">
        <v>136</v>
      </c>
      <c r="B134" s="2">
        <f>INDEX('vehicles specifications'!$B$3:$CW$166,MATCH(B118,'vehicles specifications'!$A$3:$A$166,0),MATCH("Range [km]",'vehicles specifications'!$B$2:$CW$2,0))</f>
        <v>274.5352296165226</v>
      </c>
    </row>
    <row r="135" spans="1:8" x14ac:dyDescent="0.2">
      <c r="A135" t="s">
        <v>137</v>
      </c>
      <c r="B135" t="str">
        <f>INDEX('vehicles specifications'!$B$3:$CW$166,MATCH(B118,'vehicles specifications'!$A$3:$A$166,0),MATCH("Emission standard",'vehicles specifications'!$B$2:$CW$2,0))</f>
        <v>EURO-5</v>
      </c>
    </row>
    <row r="136" spans="1:8" x14ac:dyDescent="0.2">
      <c r="A136" t="s">
        <v>1174</v>
      </c>
      <c r="B136" s="6">
        <f>INDEX('vehicles specifications'!$B$3:$CW$166,MATCH(B118,'vehicles specifications'!$A$3:$A$166,0),MATCH("Lightweighting rate [%]",'vehicles specifications'!$B$2:$CW$2,0))</f>
        <v>0.03</v>
      </c>
    </row>
    <row r="137" spans="1:8" x14ac:dyDescent="0.2">
      <c r="A137" t="s">
        <v>485</v>
      </c>
      <c r="B137" s="6" t="s">
        <v>486</v>
      </c>
    </row>
    <row r="138" spans="1:8" x14ac:dyDescent="0.2">
      <c r="A138" t="s">
        <v>487</v>
      </c>
      <c r="B138" s="2">
        <v>15900</v>
      </c>
    </row>
    <row r="139" spans="1:8" x14ac:dyDescent="0.2">
      <c r="A139" t="s">
        <v>488</v>
      </c>
      <c r="B139" s="2">
        <v>1000</v>
      </c>
    </row>
    <row r="140" spans="1:8" x14ac:dyDescent="0.2">
      <c r="A140" t="s">
        <v>83</v>
      </c>
      <c r="B140" t="str">
        <f>"Power: "&amp;B129&amp;" kW. Lifetime: "&amp;B123&amp;" km. Annual kilometers: "&amp;ROUND(B127,0)&amp;" km. Number of passengers: "&amp;ROUND(B124,1)&amp;". Curb mass: "&amp;ROUND(B128,1)&amp;" kg. Lightweighting of glider: "&amp;ROUND(B136*100,0)&amp;"%. Emission standard: "&amp;B135&amp;". Service visits throughout lifetime: "&amp;ROUND(B125,1)&amp;". Range: "&amp;ROUND(B134,0)&amp;" km. Fuel tank capacity: "&amp;ROUND(B132,1)&amp;" kWh. Fuel mass: "&amp;ROUND(B133,1)&amp;" kg. Origin of manufacture: "&amp;B137&amp;". Shipping distance: "&amp;B138&amp;" km. Lorry distribution distance: "&amp;B139&amp;" km. Documentation: "&amp;Readmefirst!$B$2&amp;", "&amp;Readmefirst!$B$3&amp;". "&amp;B122</f>
        <v>Power: 2.5 kW. Lifetime: 25000 km. Annual kilometers: 1570 km. Number of passengers: 1. Curb mass: 61.7 kg. Lightweighting of glider: 3%. Emission standard: EURO-5. Service visits throughout lifetime: 1. Range: 275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tr">
        <f>B113</f>
        <v>Moped, gasoline, &lt;4kW, EURO-5, 2030</v>
      </c>
      <c r="B143">
        <v>1</v>
      </c>
      <c r="C143" t="str">
        <f>B114</f>
        <v>CH</v>
      </c>
      <c r="D143" t="str">
        <f>B121</f>
        <v>unit</v>
      </c>
      <c r="F143" t="s">
        <v>84</v>
      </c>
      <c r="G143" t="s">
        <v>85</v>
      </c>
      <c r="H143" t="str">
        <f>B115</f>
        <v>Moped, gasoline, &lt;4kW, EURO-5</v>
      </c>
    </row>
    <row r="144" spans="1:8" x14ac:dyDescent="0.2">
      <c r="A144" t="str">
        <f>INDEX('ei names mapping'!$B$4:$R$33,MATCH(B115,'ei names mapping'!$A$4:$A$33,0),MATCH(G144,'ei names mapping'!$B$3:$R$3,0))</f>
        <v>motor scooter production</v>
      </c>
      <c r="B144" s="11">
        <f>INDEX('vehicles specifications'!$B$3:$CW$166,MATCH(B118,'vehicles specifications'!$A$3:$A$166,0),MATCH(G144,'vehicles specifications'!$B$2:$CW$2,0))*INDEX('ei names mapping'!$B$137:$BL$300,MATCH(B118,'ei names mapping'!$A$137:$A$300,0),MATCH(G144,'ei names mapping'!$B$136:$BL$136,0))</f>
        <v>0.47069444444444442</v>
      </c>
      <c r="C144" t="str">
        <f>INDEX('ei names mapping'!$B$38:$R$67,MATCH(B115,'ei names mapping'!$A$4:$A$33,0),MATCH(G144,'ei names mapping'!$B$3:$R$3,0))</f>
        <v>RER</v>
      </c>
      <c r="D144" t="str">
        <f>INDEX('ei names mapping'!$B$104:$R$133,MATCH(B115,'ei names mapping'!$A$104:$A$133,0),MATCH(G144,'ei names mapping'!$B$3:$R$3,0))</f>
        <v>unit</v>
      </c>
      <c r="F144" t="s">
        <v>89</v>
      </c>
      <c r="G144" t="s">
        <v>15</v>
      </c>
      <c r="H144" t="str">
        <f>INDEX('ei names mapping'!$B$71:$R$100,MATCH(B115,'ei names mapping'!$A$4:$A$33,0),MATCH(G144,'ei names mapping'!$B$3:$R$3,0))</f>
        <v>motor scooter, 50 cubic cm engine</v>
      </c>
    </row>
    <row r="145" spans="1:8" x14ac:dyDescent="0.2">
      <c r="A145" t="str">
        <f>INDEX('ei names mapping'!$B$4:$R$33,MATCH(B115,'ei names mapping'!$A$4:$A$33,0),MATCH(G145,'ei names mapping'!$B$3:$R$3,0))</f>
        <v>motor scooter production</v>
      </c>
      <c r="B145" s="11">
        <f>INDEX('vehicles specifications'!$B$3:$CW$166,MATCH(B118,'vehicles specifications'!$A$3:$A$166,0),MATCH(G145,'vehicles specifications'!$B$2:$CW$2,0))*INDEX('ei names mapping'!$B$137:$BL$300,MATCH(B118,'ei names mapping'!$A$137:$A$300,0),MATCH(G145,'ei names mapping'!$B$136:$BL$136,0))</f>
        <v>0.16222222222222221</v>
      </c>
      <c r="C145" t="str">
        <f>INDEX('ei names mapping'!$B$38:$R$67,MATCH(B115,'ei names mapping'!$A$4:$A$33,0),MATCH(G145,'ei names mapping'!$B$3:$R$3,0))</f>
        <v>RER</v>
      </c>
      <c r="D145" t="str">
        <f>INDEX('ei names mapping'!$B$104:$R$133,MATCH(B115,'ei names mapping'!$A$104:$A$133,0),MATCH(G145,'ei names mapping'!$B$3:$R$3,0))</f>
        <v>unit</v>
      </c>
      <c r="F145" t="s">
        <v>89</v>
      </c>
      <c r="G145" t="s">
        <v>16</v>
      </c>
      <c r="H145" t="str">
        <f>INDEX('ei names mapping'!$B$71:$R$100,MATCH(B115,'ei names mapping'!$A$4:$A$33,0),MATCH(G145,'ei names mapping'!$B$3:$R$3,0))</f>
        <v>motor scooter, 50 cubic cm engine</v>
      </c>
    </row>
    <row r="146" spans="1:8" x14ac:dyDescent="0.2">
      <c r="A146" t="str">
        <f>INDEX('ei names mapping'!$B$4:$R$33,MATCH(B115,'ei names mapping'!$A$4:$A$33,0),MATCH(G146,'ei names mapping'!$B$3:$R$3,0))</f>
        <v>Glider lightweighting</v>
      </c>
      <c r="B146" s="11">
        <f>INDEX('vehicles specifications'!$B$3:$CW$166,MATCH(B118,'vehicles specifications'!$A$3:$A$166,0),MATCH(G146,'vehicles specifications'!$B$2:$CW$2,0))*INDEX('ei names mapping'!$B$137:$BL$300,MATCH(B118,'ei names mapping'!$A$137:$A$300,0),MATCH(G146,'ei names mapping'!$B$136:$BL$136,0))</f>
        <v>1.270875</v>
      </c>
      <c r="C146" t="str">
        <f>INDEX('ei names mapping'!$B$38:$R$67,MATCH(B115,'ei names mapping'!$A$4:$A$33,0),MATCH(G146,'ei names mapping'!$B$3:$R$3,0))</f>
        <v>GLO</v>
      </c>
      <c r="D146" t="str">
        <f>INDEX('ei names mapping'!$B$104:$R$133,MATCH(B115,'ei names mapping'!$A$104:$A$133,0),MATCH(G146,'ei names mapping'!$B$3:$R$3,0))</f>
        <v>kilogram</v>
      </c>
      <c r="F146" t="s">
        <v>89</v>
      </c>
      <c r="G146" t="s">
        <v>14</v>
      </c>
      <c r="H146" t="str">
        <f>INDEX('ei names mapping'!$B$71:$R$100,MATCH(B115,'ei names mapping'!$A$4:$A$33,0),MATCH(G146,'ei names mapping'!$B$3:$R$3,0))</f>
        <v>Glider lightweighting</v>
      </c>
    </row>
    <row r="147" spans="1:8" x14ac:dyDescent="0.2">
      <c r="A147" t="str">
        <f>INDEX('ei names mapping'!$B$4:$R$33,MATCH(B115,'ei names mapping'!$A$4:$A$33,0),MATCH(G147,'ei names mapping'!$B$3:$R$3,0))</f>
        <v>polyethylene production, high density, granulate</v>
      </c>
      <c r="B147" s="11">
        <f>INDEX('vehicles specifications'!$B$3:$CW$166,MATCH(B118,'vehicles specifications'!$A$3:$A$166,0),MATCH(G147,'vehicles specifications'!$B$2:$CW$2,0))*INDEX('ei names mapping'!$B$137:$BL$300,MATCH(B118,'ei names mapping'!$A$137:$A$300,0),MATCH(G147,'ei names mapping'!$B$136:$BL$136,0))</f>
        <v>0.78749999999999998</v>
      </c>
      <c r="C147" t="str">
        <f>INDEX('ei names mapping'!$B$38:$R$67,MATCH(B115,'ei names mapping'!$A$4:$A$33,0),MATCH(G147,'ei names mapping'!$B$3:$R$3,0))</f>
        <v>RER</v>
      </c>
      <c r="D147" t="str">
        <f>INDEX('ei names mapping'!$B$104:$R$133,MATCH(B115,'ei names mapping'!$A$104:$A$133,0),MATCH(G147,'ei names mapping'!$B$3:$R$3,0))</f>
        <v>kilogram</v>
      </c>
      <c r="F147" t="s">
        <v>89</v>
      </c>
      <c r="G147" t="s">
        <v>24</v>
      </c>
      <c r="H147" t="str">
        <f>INDEX('ei names mapping'!$B$71:$R$100,MATCH(B115,'ei names mapping'!$A$4:$A$33,0),MATCH(G147,'ei names mapping'!$B$3:$R$3,0))</f>
        <v>polyethylene, high density, granulate</v>
      </c>
    </row>
    <row r="148" spans="1:8" x14ac:dyDescent="0.2">
      <c r="A148" s="13" t="s">
        <v>840</v>
      </c>
      <c r="B148">
        <f>(B128/1000)*B139</f>
        <v>61.729124999999996</v>
      </c>
      <c r="C148" t="s">
        <v>92</v>
      </c>
      <c r="D148" t="s">
        <v>233</v>
      </c>
      <c r="F148" t="s">
        <v>89</v>
      </c>
      <c r="H148" s="13" t="s">
        <v>841</v>
      </c>
    </row>
    <row r="149" spans="1:8" x14ac:dyDescent="0.2">
      <c r="A149" s="13" t="s">
        <v>441</v>
      </c>
      <c r="B149" s="2">
        <f>(B128/1000)*B138</f>
        <v>981.49308749999989</v>
      </c>
      <c r="C149" t="s">
        <v>95</v>
      </c>
      <c r="D149" t="s">
        <v>233</v>
      </c>
      <c r="F149" t="s">
        <v>89</v>
      </c>
      <c r="H149" s="13" t="s">
        <v>441</v>
      </c>
    </row>
    <row r="151" spans="1:8" ht="16" x14ac:dyDescent="0.2">
      <c r="A151" s="10" t="s">
        <v>71</v>
      </c>
      <c r="B151" s="8" t="str">
        <f>B153&amp;", "&amp;B155</f>
        <v>Moped, gasoline, &lt;4kW, EURO-5, 2040</v>
      </c>
    </row>
    <row r="152" spans="1:8" x14ac:dyDescent="0.2">
      <c r="A152" t="s">
        <v>72</v>
      </c>
      <c r="B152" t="s">
        <v>37</v>
      </c>
    </row>
    <row r="153" spans="1:8" x14ac:dyDescent="0.2">
      <c r="A153" t="s">
        <v>86</v>
      </c>
      <c r="B153" t="s">
        <v>581</v>
      </c>
    </row>
    <row r="154" spans="1:8" x14ac:dyDescent="0.2">
      <c r="A154" t="s">
        <v>87</v>
      </c>
    </row>
    <row r="155" spans="1:8" x14ac:dyDescent="0.2">
      <c r="A155" t="s">
        <v>88</v>
      </c>
      <c r="B155">
        <v>2040</v>
      </c>
    </row>
    <row r="156" spans="1:8" x14ac:dyDescent="0.2">
      <c r="A156" t="s">
        <v>126</v>
      </c>
      <c r="B156" t="str">
        <f>B153&amp;" - "&amp;B155&amp;" - "&amp;B152</f>
        <v>Moped, gasoline, &lt;4kW, EURO-5 - 2040 - CH</v>
      </c>
    </row>
    <row r="157" spans="1:8" x14ac:dyDescent="0.2">
      <c r="A157" t="s">
        <v>73</v>
      </c>
      <c r="B157" t="str">
        <f>B153</f>
        <v>Moped, gasoline, &lt;4kW, EURO-5</v>
      </c>
    </row>
    <row r="158" spans="1:8" x14ac:dyDescent="0.2">
      <c r="A158" t="s">
        <v>74</v>
      </c>
      <c r="B158" t="s">
        <v>75</v>
      </c>
    </row>
    <row r="159" spans="1:8" x14ac:dyDescent="0.2">
      <c r="A159" t="s">
        <v>76</v>
      </c>
      <c r="B159" t="s">
        <v>76</v>
      </c>
    </row>
    <row r="160" spans="1:8" x14ac:dyDescent="0.2">
      <c r="A160" t="s">
        <v>78</v>
      </c>
      <c r="B160" t="s">
        <v>1143</v>
      </c>
    </row>
    <row r="161" spans="1:2" x14ac:dyDescent="0.2">
      <c r="A161" t="s">
        <v>127</v>
      </c>
      <c r="B161">
        <f>INDEX('vehicles specifications'!$B$3:$CW$166,MATCH(B156,'vehicles specifications'!$A$3:$A$166,0),MATCH("Lifetime [km]",'vehicles specifications'!$B$2:$CW$2,0))</f>
        <v>25000</v>
      </c>
    </row>
    <row r="162" spans="1:2" x14ac:dyDescent="0.2">
      <c r="A162" t="s">
        <v>128</v>
      </c>
      <c r="B162">
        <f>INDEX('vehicles specifications'!$B$3:$CW$166,MATCH(B156,'vehicles specifications'!$A$3:$A$166,0),MATCH("Passengers [unit]",'vehicles specifications'!$B$2:$CW$2,0))</f>
        <v>1</v>
      </c>
    </row>
    <row r="163" spans="1:2" x14ac:dyDescent="0.2">
      <c r="A163" t="s">
        <v>129</v>
      </c>
      <c r="B163">
        <f>INDEX('vehicles specifications'!$B$3:$CW$166,MATCH(B156,'vehicles specifications'!$A$3:$A$166,0),MATCH("Servicing [unit]",'vehicles specifications'!$B$2:$CW$2,0))</f>
        <v>1</v>
      </c>
    </row>
    <row r="164" spans="1:2" x14ac:dyDescent="0.2">
      <c r="A164" t="s">
        <v>130</v>
      </c>
      <c r="B164">
        <f>INDEX('vehicles specifications'!$B$3:$CW$166,MATCH(B156,'vehicles specifications'!$A$3:$A$166,0),MATCH("Energy battery replacement [unit]",'vehicles specifications'!$B$2:$CW$2,0))</f>
        <v>0</v>
      </c>
    </row>
    <row r="165" spans="1:2" x14ac:dyDescent="0.2">
      <c r="A165" t="s">
        <v>131</v>
      </c>
      <c r="B165">
        <f>INDEX('vehicles specifications'!$B$3:$CW$166,MATCH(B156,'vehicles specifications'!$A$3:$A$166,0),MATCH("Annual kilometers [km]",'vehicles specifications'!$B$2:$CW$2,0))</f>
        <v>1570</v>
      </c>
    </row>
    <row r="166" spans="1:2" x14ac:dyDescent="0.2">
      <c r="A166" t="s">
        <v>132</v>
      </c>
      <c r="B166" s="2">
        <f>INDEX('vehicles specifications'!$B$3:$CW$166,MATCH(B156,'vehicles specifications'!$A$3:$A$166,0),MATCH("Curb mass [kg]",'vehicles specifications'!$B$2:$CW$2,0))</f>
        <v>60.856874999999995</v>
      </c>
    </row>
    <row r="167" spans="1:2" x14ac:dyDescent="0.2">
      <c r="A167" t="s">
        <v>133</v>
      </c>
      <c r="B167">
        <f>INDEX('vehicles specifications'!$B$3:$CW$166,MATCH(B156,'vehicles specifications'!$A$3:$A$166,0),MATCH("Power [kW]",'vehicles specifications'!$B$2:$CW$2,0))</f>
        <v>2.5</v>
      </c>
    </row>
    <row r="168" spans="1:2" x14ac:dyDescent="0.2">
      <c r="A168" t="s">
        <v>134</v>
      </c>
      <c r="B168" t="str">
        <f>INDEX('vehicles specifications'!$B$3:$CW$166,MATCH(B156,'vehicles specifications'!$A$3:$A$166,0),MATCH("Energy battery mass [kg]",'vehicles specifications'!$B$2:$CW$2,0))</f>
        <v/>
      </c>
    </row>
    <row r="169" spans="1:2" x14ac:dyDescent="0.2">
      <c r="A169" t="s">
        <v>135</v>
      </c>
      <c r="B169">
        <f>INDEX('vehicles specifications'!$B$3:$CW$166,MATCH(B156,'vehicles specifications'!$A$3:$A$166,0),MATCH("Electric energy available [kWh]",'vehicles specifications'!$B$2:$CW$2,0))</f>
        <v>0</v>
      </c>
    </row>
    <row r="170" spans="1:2" x14ac:dyDescent="0.2">
      <c r="A170" t="s">
        <v>138</v>
      </c>
      <c r="B170" s="2">
        <f>INDEX('vehicles specifications'!$B$3:$CW$166,MATCH(B156,'vehicles specifications'!$A$3:$A$166,0),MATCH("Oxydation energy stored [kWh]",'vehicles specifications'!$B$2:$CW$2,0))</f>
        <v>62.125</v>
      </c>
    </row>
    <row r="171" spans="1:2" x14ac:dyDescent="0.2">
      <c r="A171" t="s">
        <v>139</v>
      </c>
      <c r="B171">
        <f>INDEX('vehicles specifications'!$B$3:$CW$166,MATCH(B156,'vehicles specifications'!$A$3:$A$166,0),MATCH("Fuel mass [kg]",'vehicles specifications'!$B$2:$CW$2,0))</f>
        <v>5.25</v>
      </c>
    </row>
    <row r="172" spans="1:2" x14ac:dyDescent="0.2">
      <c r="A172" t="s">
        <v>136</v>
      </c>
      <c r="B172" s="2">
        <f>INDEX('vehicles specifications'!$B$3:$CW$166,MATCH(B156,'vehicles specifications'!$A$3:$A$166,0),MATCH("Range [km]",'vehicles specifications'!$B$2:$CW$2,0))</f>
        <v>277.30831274396223</v>
      </c>
    </row>
    <row r="173" spans="1:2" x14ac:dyDescent="0.2">
      <c r="A173" t="s">
        <v>137</v>
      </c>
      <c r="B173" t="str">
        <f>INDEX('vehicles specifications'!$B$3:$CW$166,MATCH(B156,'vehicles specifications'!$A$3:$A$166,0),MATCH("Emission standard",'vehicles specifications'!$B$2:$CW$2,0))</f>
        <v>EURO-5</v>
      </c>
    </row>
    <row r="174" spans="1:2" x14ac:dyDescent="0.2">
      <c r="A174" t="s">
        <v>1174</v>
      </c>
      <c r="B174" s="6">
        <f>INDEX('vehicles specifications'!$B$3:$CW$166,MATCH(B156,'vehicles specifications'!$A$3:$A$166,0),MATCH("Lightweighting rate [%]",'vehicles specifications'!$B$2:$CW$2,0))</f>
        <v>0.05</v>
      </c>
    </row>
    <row r="175" spans="1:2" x14ac:dyDescent="0.2">
      <c r="A175" t="s">
        <v>485</v>
      </c>
      <c r="B175" s="6" t="s">
        <v>486</v>
      </c>
    </row>
    <row r="176" spans="1:2" x14ac:dyDescent="0.2">
      <c r="A176" t="s">
        <v>487</v>
      </c>
      <c r="B176" s="2">
        <v>15900</v>
      </c>
    </row>
    <row r="177" spans="1:8" x14ac:dyDescent="0.2">
      <c r="A177" t="s">
        <v>488</v>
      </c>
      <c r="B177" s="2">
        <v>1000</v>
      </c>
    </row>
    <row r="178" spans="1:8" x14ac:dyDescent="0.2">
      <c r="A178" t="s">
        <v>83</v>
      </c>
      <c r="B178" t="str">
        <f>"Power: "&amp;B167&amp;" kW. Lifetime: "&amp;B161&amp;" km. Annual kilometers: "&amp;ROUND(B165,0)&amp;" km. Number of passengers: "&amp;ROUND(B162,1)&amp;". Curb mass: "&amp;ROUND(B166,1)&amp;" kg. Lightweighting of glider: "&amp;ROUND(B174*100,0)&amp;"%. Emission standard: "&amp;B173&amp;". Service visits throughout lifetime: "&amp;ROUND(B163,1)&amp;". Range: "&amp;ROUND(B172,0)&amp;" km. Fuel tank capacity: "&amp;ROUND(B170,1)&amp;" kWh. Fuel mass: "&amp;ROUND(B171,1)&amp;" kg. Origin of manufacture: "&amp;B175&amp;". Shipping distance: "&amp;B176&amp;" km. Lorry distribution distance: "&amp;B177&amp;" km. Documentation: "&amp;Readmefirst!$B$2&amp;", "&amp;Readmefirst!$B$3&amp;". "&amp;B160</f>
        <v>Power: 2.5 kW. Lifetime: 25000 km. Annual kilometers: 1570 km. Number of passengers: 1. Curb mass: 60.9 kg. Lightweighting of glider: 5%. Emission standard: EURO-5. Service visits throughout lifetime: 1. Range: 277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79" spans="1:8" ht="16" x14ac:dyDescent="0.2">
      <c r="A179" s="10" t="s">
        <v>79</v>
      </c>
    </row>
    <row r="180" spans="1:8" x14ac:dyDescent="0.2">
      <c r="A180" t="s">
        <v>80</v>
      </c>
      <c r="B180" t="s">
        <v>81</v>
      </c>
      <c r="C180" t="s">
        <v>72</v>
      </c>
      <c r="D180" t="s">
        <v>76</v>
      </c>
      <c r="E180" t="s">
        <v>82</v>
      </c>
      <c r="F180" t="s">
        <v>74</v>
      </c>
      <c r="G180" t="s">
        <v>83</v>
      </c>
      <c r="H180" t="s">
        <v>73</v>
      </c>
    </row>
    <row r="181" spans="1:8" x14ac:dyDescent="0.2">
      <c r="A181" t="str">
        <f>B151</f>
        <v>Moped, gasoline, &lt;4kW, EURO-5, 2040</v>
      </c>
      <c r="B181">
        <v>1</v>
      </c>
      <c r="C181" t="str">
        <f>B152</f>
        <v>CH</v>
      </c>
      <c r="D181" t="str">
        <f>B159</f>
        <v>unit</v>
      </c>
      <c r="F181" t="s">
        <v>84</v>
      </c>
      <c r="G181" t="s">
        <v>85</v>
      </c>
      <c r="H181" t="str">
        <f>B153</f>
        <v>Moped, gasoline, &lt;4kW, EURO-5</v>
      </c>
    </row>
    <row r="182" spans="1:8" x14ac:dyDescent="0.2">
      <c r="A182" t="str">
        <f>INDEX('ei names mapping'!$B$4:$R$33,MATCH(B153,'ei names mapping'!$A$4:$A$33,0),MATCH(G182,'ei names mapping'!$B$3:$R$3,0))</f>
        <v>motor scooter production</v>
      </c>
      <c r="B182" s="11">
        <f>INDEX('vehicles specifications'!$B$3:$CW$166,MATCH(B156,'vehicles specifications'!$A$3:$A$166,0),MATCH(G182,'vehicles specifications'!$B$2:$CW$2,0))*INDEX('ei names mapping'!$B$137:$BL$300,MATCH(B156,'ei names mapping'!$A$137:$A$300,0),MATCH(G182,'ei names mapping'!$B$136:$BL$136,0))</f>
        <v>0.47625000000000001</v>
      </c>
      <c r="C182" t="str">
        <f>INDEX('ei names mapping'!$B$38:$R$67,MATCH(B153,'ei names mapping'!$A$4:$A$33,0),MATCH(G182,'ei names mapping'!$B$3:$R$3,0))</f>
        <v>RER</v>
      </c>
      <c r="D182" t="str">
        <f>INDEX('ei names mapping'!$B$104:$R$133,MATCH(B153,'ei names mapping'!$A$104:$A$133,0),MATCH(G182,'ei names mapping'!$B$3:$R$3,0))</f>
        <v>unit</v>
      </c>
      <c r="F182" t="s">
        <v>89</v>
      </c>
      <c r="G182" t="s">
        <v>15</v>
      </c>
      <c r="H182" t="str">
        <f>INDEX('ei names mapping'!$B$71:$R$100,MATCH(B153,'ei names mapping'!$A$4:$A$33,0),MATCH(G182,'ei names mapping'!$B$3:$R$3,0))</f>
        <v>motor scooter, 50 cubic cm engine</v>
      </c>
    </row>
    <row r="183" spans="1:8" x14ac:dyDescent="0.2">
      <c r="A183" t="str">
        <f>INDEX('ei names mapping'!$B$4:$R$33,MATCH(B153,'ei names mapping'!$A$4:$A$33,0),MATCH(G183,'ei names mapping'!$B$3:$R$3,0))</f>
        <v>motor scooter production</v>
      </c>
      <c r="B183" s="11">
        <f>INDEX('vehicles specifications'!$B$3:$CW$166,MATCH(B156,'vehicles specifications'!$A$3:$A$166,0),MATCH(G183,'vehicles specifications'!$B$2:$CW$2,0))*INDEX('ei names mapping'!$B$137:$BL$300,MATCH(B156,'ei names mapping'!$A$137:$A$300,0),MATCH(G183,'ei names mapping'!$B$136:$BL$136,0))</f>
        <v>0.15666666666666668</v>
      </c>
      <c r="C183" t="str">
        <f>INDEX('ei names mapping'!$B$38:$R$67,MATCH(B153,'ei names mapping'!$A$4:$A$33,0),MATCH(G183,'ei names mapping'!$B$3:$R$3,0))</f>
        <v>RER</v>
      </c>
      <c r="D183" t="str">
        <f>INDEX('ei names mapping'!$B$104:$R$133,MATCH(B153,'ei names mapping'!$A$104:$A$133,0),MATCH(G183,'ei names mapping'!$B$3:$R$3,0))</f>
        <v>unit</v>
      </c>
      <c r="F183" t="s">
        <v>89</v>
      </c>
      <c r="G183" t="s">
        <v>16</v>
      </c>
      <c r="H183" t="str">
        <f>INDEX('ei names mapping'!$B$71:$R$100,MATCH(B153,'ei names mapping'!$A$4:$A$33,0),MATCH(G183,'ei names mapping'!$B$3:$R$3,0))</f>
        <v>motor scooter, 50 cubic cm engine</v>
      </c>
    </row>
    <row r="184" spans="1:8" x14ac:dyDescent="0.2">
      <c r="A184" t="str">
        <f>INDEX('ei names mapping'!$B$4:$R$33,MATCH(B153,'ei names mapping'!$A$4:$A$33,0),MATCH(G184,'ei names mapping'!$B$3:$R$3,0))</f>
        <v>Glider lightweighting</v>
      </c>
      <c r="B184" s="11">
        <f>INDEX('vehicles specifications'!$B$3:$CW$166,MATCH(B156,'vehicles specifications'!$A$3:$A$166,0),MATCH(G184,'vehicles specifications'!$B$2:$CW$2,0))*INDEX('ei names mapping'!$B$137:$BL$300,MATCH(B156,'ei names mapping'!$A$137:$A$300,0),MATCH(G184,'ei names mapping'!$B$136:$BL$136,0))</f>
        <v>2.1431249999999999</v>
      </c>
      <c r="C184" t="str">
        <f>INDEX('ei names mapping'!$B$38:$R$67,MATCH(B153,'ei names mapping'!$A$4:$A$33,0),MATCH(G184,'ei names mapping'!$B$3:$R$3,0))</f>
        <v>GLO</v>
      </c>
      <c r="D184" t="str">
        <f>INDEX('ei names mapping'!$B$104:$R$133,MATCH(B153,'ei names mapping'!$A$104:$A$133,0),MATCH(G184,'ei names mapping'!$B$3:$R$3,0))</f>
        <v>kilogram</v>
      </c>
      <c r="F184" t="s">
        <v>89</v>
      </c>
      <c r="G184" t="s">
        <v>14</v>
      </c>
      <c r="H184" t="str">
        <f>INDEX('ei names mapping'!$B$71:$R$100,MATCH(B153,'ei names mapping'!$A$4:$A$33,0),MATCH(G184,'ei names mapping'!$B$3:$R$3,0))</f>
        <v>Glider lightweighting</v>
      </c>
    </row>
    <row r="185" spans="1:8" x14ac:dyDescent="0.2">
      <c r="A185" t="str">
        <f>INDEX('ei names mapping'!$B$4:$R$33,MATCH(B153,'ei names mapping'!$A$4:$A$33,0),MATCH(G185,'ei names mapping'!$B$3:$R$3,0))</f>
        <v>polyethylene production, high density, granulate</v>
      </c>
      <c r="B185" s="11">
        <f>INDEX('vehicles specifications'!$B$3:$CW$166,MATCH(B156,'vehicles specifications'!$A$3:$A$166,0),MATCH(G185,'vehicles specifications'!$B$2:$CW$2,0))*INDEX('ei names mapping'!$B$137:$BL$300,MATCH(B156,'ei names mapping'!$A$137:$A$300,0),MATCH(G185,'ei names mapping'!$B$136:$BL$136,0))</f>
        <v>0.78749999999999998</v>
      </c>
      <c r="C185" t="str">
        <f>INDEX('ei names mapping'!$B$38:$R$67,MATCH(B153,'ei names mapping'!$A$4:$A$33,0),MATCH(G185,'ei names mapping'!$B$3:$R$3,0))</f>
        <v>RER</v>
      </c>
      <c r="D185" t="str">
        <f>INDEX('ei names mapping'!$B$104:$R$133,MATCH(B153,'ei names mapping'!$A$104:$A$133,0),MATCH(G185,'ei names mapping'!$B$3:$R$3,0))</f>
        <v>kilogram</v>
      </c>
      <c r="F185" t="s">
        <v>89</v>
      </c>
      <c r="G185" t="s">
        <v>24</v>
      </c>
      <c r="H185" t="str">
        <f>INDEX('ei names mapping'!$B$71:$R$100,MATCH(B153,'ei names mapping'!$A$4:$A$33,0),MATCH(G185,'ei names mapping'!$B$3:$R$3,0))</f>
        <v>polyethylene, high density, granulate</v>
      </c>
    </row>
    <row r="186" spans="1:8" x14ac:dyDescent="0.2">
      <c r="A186" s="13" t="s">
        <v>840</v>
      </c>
      <c r="B186">
        <f>(B166/1000)*B177</f>
        <v>60.856874999999995</v>
      </c>
      <c r="C186" t="s">
        <v>92</v>
      </c>
      <c r="D186" t="s">
        <v>233</v>
      </c>
      <c r="F186" t="s">
        <v>89</v>
      </c>
      <c r="H186" s="13" t="s">
        <v>841</v>
      </c>
    </row>
    <row r="187" spans="1:8" x14ac:dyDescent="0.2">
      <c r="A187" s="13" t="s">
        <v>441</v>
      </c>
      <c r="B187" s="2">
        <f>(B166/1000)*B176</f>
        <v>967.62431249999997</v>
      </c>
      <c r="C187" t="s">
        <v>95</v>
      </c>
      <c r="D187" t="s">
        <v>233</v>
      </c>
      <c r="F187" t="s">
        <v>89</v>
      </c>
      <c r="H187" s="13" t="s">
        <v>441</v>
      </c>
    </row>
    <row r="189" spans="1:8" ht="16" x14ac:dyDescent="0.2">
      <c r="A189" s="10" t="s">
        <v>71</v>
      </c>
      <c r="B189" s="8" t="str">
        <f>B191&amp;", "&amp;B193</f>
        <v>Moped, gasoline, &lt;4kW, EURO-5, 2050</v>
      </c>
    </row>
    <row r="190" spans="1:8" x14ac:dyDescent="0.2">
      <c r="A190" t="s">
        <v>72</v>
      </c>
      <c r="B190" t="s">
        <v>37</v>
      </c>
    </row>
    <row r="191" spans="1:8" x14ac:dyDescent="0.2">
      <c r="A191" t="s">
        <v>86</v>
      </c>
      <c r="B191" t="s">
        <v>581</v>
      </c>
    </row>
    <row r="192" spans="1:8" x14ac:dyDescent="0.2">
      <c r="A192" t="s">
        <v>87</v>
      </c>
    </row>
    <row r="193" spans="1:2" x14ac:dyDescent="0.2">
      <c r="A193" t="s">
        <v>88</v>
      </c>
      <c r="B193">
        <v>2050</v>
      </c>
    </row>
    <row r="194" spans="1:2" x14ac:dyDescent="0.2">
      <c r="A194" t="s">
        <v>126</v>
      </c>
      <c r="B194" t="str">
        <f>B191&amp;" - "&amp;B193&amp;" - "&amp;B190</f>
        <v>Moped, gasoline, &lt;4kW, EURO-5 - 2050 - CH</v>
      </c>
    </row>
    <row r="195" spans="1:2" x14ac:dyDescent="0.2">
      <c r="A195" t="s">
        <v>73</v>
      </c>
      <c r="B195" t="str">
        <f>B191</f>
        <v>Moped, gasoline, &lt;4kW, EURO-5</v>
      </c>
    </row>
    <row r="196" spans="1:2" x14ac:dyDescent="0.2">
      <c r="A196" t="s">
        <v>74</v>
      </c>
      <c r="B196" t="s">
        <v>75</v>
      </c>
    </row>
    <row r="197" spans="1:2" x14ac:dyDescent="0.2">
      <c r="A197" t="s">
        <v>76</v>
      </c>
      <c r="B197" t="s">
        <v>76</v>
      </c>
    </row>
    <row r="198" spans="1:2" x14ac:dyDescent="0.2">
      <c r="A198" t="s">
        <v>78</v>
      </c>
      <c r="B198" t="s">
        <v>1143</v>
      </c>
    </row>
    <row r="199" spans="1:2" x14ac:dyDescent="0.2">
      <c r="A199" t="s">
        <v>127</v>
      </c>
      <c r="B199">
        <f>INDEX('vehicles specifications'!$B$3:$CW$166,MATCH(B194,'vehicles specifications'!$A$3:$A$166,0),MATCH("Lifetime [km]",'vehicles specifications'!$B$2:$CW$2,0))</f>
        <v>25000</v>
      </c>
    </row>
    <row r="200" spans="1:2" x14ac:dyDescent="0.2">
      <c r="A200" t="s">
        <v>128</v>
      </c>
      <c r="B200">
        <f>INDEX('vehicles specifications'!$B$3:$CW$166,MATCH(B194,'vehicles specifications'!$A$3:$A$166,0),MATCH("Passengers [unit]",'vehicles specifications'!$B$2:$CW$2,0))</f>
        <v>1</v>
      </c>
    </row>
    <row r="201" spans="1:2" x14ac:dyDescent="0.2">
      <c r="A201" t="s">
        <v>129</v>
      </c>
      <c r="B201">
        <f>INDEX('vehicles specifications'!$B$3:$CW$166,MATCH(B194,'vehicles specifications'!$A$3:$A$166,0),MATCH("Servicing [unit]",'vehicles specifications'!$B$2:$CW$2,0))</f>
        <v>1</v>
      </c>
    </row>
    <row r="202" spans="1:2" x14ac:dyDescent="0.2">
      <c r="A202" t="s">
        <v>130</v>
      </c>
      <c r="B202">
        <f>INDEX('vehicles specifications'!$B$3:$CW$166,MATCH(B194,'vehicles specifications'!$A$3:$A$166,0),MATCH("Energy battery replacement [unit]",'vehicles specifications'!$B$2:$CW$2,0))</f>
        <v>0</v>
      </c>
    </row>
    <row r="203" spans="1:2" x14ac:dyDescent="0.2">
      <c r="A203" t="s">
        <v>131</v>
      </c>
      <c r="B203">
        <f>INDEX('vehicles specifications'!$B$3:$CW$166,MATCH(B194,'vehicles specifications'!$A$3:$A$166,0),MATCH("Annual kilometers [km]",'vehicles specifications'!$B$2:$CW$2,0))</f>
        <v>1570</v>
      </c>
    </row>
    <row r="204" spans="1:2" x14ac:dyDescent="0.2">
      <c r="A204" t="s">
        <v>132</v>
      </c>
      <c r="B204" s="2">
        <f>INDEX('vehicles specifications'!$B$3:$CW$166,MATCH(B194,'vehicles specifications'!$A$3:$A$166,0),MATCH("Curb mass [kg]",'vehicles specifications'!$B$2:$CW$2,0))</f>
        <v>59.971624999999996</v>
      </c>
    </row>
    <row r="205" spans="1:2" x14ac:dyDescent="0.2">
      <c r="A205" t="s">
        <v>133</v>
      </c>
      <c r="B205">
        <f>INDEX('vehicles specifications'!$B$3:$CW$166,MATCH(B194,'vehicles specifications'!$A$3:$A$166,0),MATCH("Power [kW]",'vehicles specifications'!$B$2:$CW$2,0))</f>
        <v>2.5</v>
      </c>
    </row>
    <row r="206" spans="1:2" x14ac:dyDescent="0.2">
      <c r="A206" t="s">
        <v>134</v>
      </c>
      <c r="B206" t="str">
        <f>INDEX('vehicles specifications'!$B$3:$CW$166,MATCH(B194,'vehicles specifications'!$A$3:$A$166,0),MATCH("Energy battery mass [kg]",'vehicles specifications'!$B$2:$CW$2,0))</f>
        <v/>
      </c>
    </row>
    <row r="207" spans="1:2" x14ac:dyDescent="0.2">
      <c r="A207" t="s">
        <v>135</v>
      </c>
      <c r="B207">
        <f>INDEX('vehicles specifications'!$B$3:$CW$166,MATCH(B194,'vehicles specifications'!$A$3:$A$166,0),MATCH("Electric energy available [kWh]",'vehicles specifications'!$B$2:$CW$2,0))</f>
        <v>0</v>
      </c>
    </row>
    <row r="208" spans="1:2" x14ac:dyDescent="0.2">
      <c r="A208" t="s">
        <v>138</v>
      </c>
      <c r="B208" s="2">
        <f>INDEX('vehicles specifications'!$B$3:$CW$166,MATCH(B194,'vehicles specifications'!$A$3:$A$166,0),MATCH("Oxydation energy stored [kWh]",'vehicles specifications'!$B$2:$CW$2,0))</f>
        <v>62.125</v>
      </c>
    </row>
    <row r="209" spans="1:8" x14ac:dyDescent="0.2">
      <c r="A209" t="s">
        <v>139</v>
      </c>
      <c r="B209">
        <f>INDEX('vehicles specifications'!$B$3:$CW$166,MATCH(B194,'vehicles specifications'!$A$3:$A$166,0),MATCH("Fuel mass [kg]",'vehicles specifications'!$B$2:$CW$2,0))</f>
        <v>5.25</v>
      </c>
    </row>
    <row r="210" spans="1:8" x14ac:dyDescent="0.2">
      <c r="A210" t="s">
        <v>136</v>
      </c>
      <c r="B210" s="2">
        <f>INDEX('vehicles specifications'!$B$3:$CW$166,MATCH(B194,'vehicles specifications'!$A$3:$A$166,0),MATCH("Range [km]",'vehicles specifications'!$B$2:$CW$2,0))</f>
        <v>280.10940681208302</v>
      </c>
    </row>
    <row r="211" spans="1:8" x14ac:dyDescent="0.2">
      <c r="A211" t="s">
        <v>137</v>
      </c>
      <c r="B211" t="str">
        <f>INDEX('vehicles specifications'!$B$3:$CW$166,MATCH(B194,'vehicles specifications'!$A$3:$A$166,0),MATCH("Emission standard",'vehicles specifications'!$B$2:$CW$2,0))</f>
        <v>EURO-5</v>
      </c>
    </row>
    <row r="212" spans="1:8" x14ac:dyDescent="0.2">
      <c r="A212" t="s">
        <v>1174</v>
      </c>
      <c r="B212" s="6">
        <f>INDEX('vehicles specifications'!$B$3:$CW$166,MATCH(B194,'vehicles specifications'!$A$3:$A$166,0),MATCH("Lightweighting rate [%]",'vehicles specifications'!$B$2:$CW$2,0))</f>
        <v>7.0000000000000007E-2</v>
      </c>
    </row>
    <row r="213" spans="1:8" x14ac:dyDescent="0.2">
      <c r="A213" t="s">
        <v>485</v>
      </c>
      <c r="B213" s="6" t="s">
        <v>486</v>
      </c>
    </row>
    <row r="214" spans="1:8" x14ac:dyDescent="0.2">
      <c r="A214" t="s">
        <v>487</v>
      </c>
      <c r="B214" s="2">
        <v>15900</v>
      </c>
    </row>
    <row r="215" spans="1:8" x14ac:dyDescent="0.2">
      <c r="A215" t="s">
        <v>488</v>
      </c>
      <c r="B215" s="2">
        <v>1000</v>
      </c>
    </row>
    <row r="216" spans="1:8" x14ac:dyDescent="0.2">
      <c r="A216" t="s">
        <v>83</v>
      </c>
      <c r="B216" t="str">
        <f>"Power: "&amp;B205&amp;" kW. Lifetime: "&amp;B199&amp;" km. Annual kilometers: "&amp;ROUND(B203,0)&amp;" km. Number of passengers: "&amp;ROUND(B200,1)&amp;". Curb mass: "&amp;ROUND(B204,1)&amp;" kg. Lightweighting of glider: "&amp;ROUND(B212*100,0)&amp;"%. Emission standard: "&amp;B211&amp;". Service visits throughout lifetime: "&amp;ROUND(B201,1)&amp;". Range: "&amp;ROUND(B210,0)&amp;" km. Fuel tank capacity: "&amp;ROUND(B208,1)&amp;" kWh. Fuel mass: "&amp;ROUND(B209,1)&amp;" kg. Origin of manufacture: "&amp;B213&amp;". Shipping distance: "&amp;B214&amp;" km. Lorry distribution distance: "&amp;B215&amp;" km. Documentation: "&amp;Readmefirst!$B$2&amp;", "&amp;Readmefirst!$B$3&amp;". "&amp;B198</f>
        <v>Power: 2.5 kW. Lifetime: 25000 km. Annual kilometers: 1570 km. Number of passengers: 1. Curb mass: 60 kg. Lightweighting of glider: 7%. Emission standard: EURO-5. Service visits throughout lifetime: 1. Range: 280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17" spans="1:8" ht="16" x14ac:dyDescent="0.2">
      <c r="A217" s="10" t="s">
        <v>79</v>
      </c>
    </row>
    <row r="218" spans="1:8" x14ac:dyDescent="0.2">
      <c r="A218" t="s">
        <v>80</v>
      </c>
      <c r="B218" t="s">
        <v>81</v>
      </c>
      <c r="C218" t="s">
        <v>72</v>
      </c>
      <c r="D218" t="s">
        <v>76</v>
      </c>
      <c r="E218" t="s">
        <v>82</v>
      </c>
      <c r="F218" t="s">
        <v>74</v>
      </c>
      <c r="G218" t="s">
        <v>83</v>
      </c>
      <c r="H218" t="s">
        <v>73</v>
      </c>
    </row>
    <row r="219" spans="1:8" x14ac:dyDescent="0.2">
      <c r="A219" t="str">
        <f>B189</f>
        <v>Moped, gasoline, &lt;4kW, EURO-5, 2050</v>
      </c>
      <c r="B219">
        <v>1</v>
      </c>
      <c r="C219" t="str">
        <f>B190</f>
        <v>CH</v>
      </c>
      <c r="D219" t="str">
        <f>B197</f>
        <v>unit</v>
      </c>
      <c r="F219" t="s">
        <v>84</v>
      </c>
      <c r="G219" t="s">
        <v>85</v>
      </c>
      <c r="H219" t="str">
        <f>B191</f>
        <v>Moped, gasoline, &lt;4kW, EURO-5</v>
      </c>
    </row>
    <row r="220" spans="1:8" x14ac:dyDescent="0.2">
      <c r="A220" t="str">
        <f>INDEX('ei names mapping'!$B$4:$R$33,MATCH(B191,'ei names mapping'!$A$4:$A$33,0),MATCH(G220,'ei names mapping'!$B$3:$R$3,0))</f>
        <v>motor scooter production</v>
      </c>
      <c r="B220" s="11">
        <f>INDEX('vehicles specifications'!$B$3:$CW$166,MATCH(B194,'vehicles specifications'!$A$3:$A$166,0),MATCH(G220,'vehicles specifications'!$B$2:$CW$2,0))*INDEX('ei names mapping'!$B$137:$BL$300,MATCH(B194,'ei names mapping'!$A$137:$A$300,0),MATCH(G220,'ei names mapping'!$B$136:$BL$136,0))</f>
        <v>0.48069444444444448</v>
      </c>
      <c r="C220" t="str">
        <f>INDEX('ei names mapping'!$B$38:$R$67,MATCH(B191,'ei names mapping'!$A$4:$A$33,0),MATCH(G220,'ei names mapping'!$B$3:$R$3,0))</f>
        <v>RER</v>
      </c>
      <c r="D220" t="str">
        <f>INDEX('ei names mapping'!$B$104:$R$133,MATCH(B191,'ei names mapping'!$A$104:$A$133,0),MATCH(G220,'ei names mapping'!$B$3:$R$3,0))</f>
        <v>unit</v>
      </c>
      <c r="F220" t="s">
        <v>89</v>
      </c>
      <c r="G220" t="s">
        <v>15</v>
      </c>
      <c r="H220" t="str">
        <f>INDEX('ei names mapping'!$B$71:$R$100,MATCH(B191,'ei names mapping'!$A$4:$A$33,0),MATCH(G220,'ei names mapping'!$B$3:$R$3,0))</f>
        <v>motor scooter, 50 cubic cm engine</v>
      </c>
    </row>
    <row r="221" spans="1:8" x14ac:dyDescent="0.2">
      <c r="A221" t="str">
        <f>INDEX('ei names mapping'!$B$4:$R$33,MATCH(B191,'ei names mapping'!$A$4:$A$33,0),MATCH(G221,'ei names mapping'!$B$3:$R$3,0))</f>
        <v>motor scooter production</v>
      </c>
      <c r="B221" s="11">
        <f>INDEX('vehicles specifications'!$B$3:$CW$166,MATCH(B194,'vehicles specifications'!$A$3:$A$166,0),MATCH(G221,'vehicles specifications'!$B$2:$CW$2,0))*INDEX('ei names mapping'!$B$137:$BL$300,MATCH(B194,'ei names mapping'!$A$137:$A$300,0),MATCH(G221,'ei names mapping'!$B$136:$BL$136,0))</f>
        <v>0.15222222222222223</v>
      </c>
      <c r="C221" t="str">
        <f>INDEX('ei names mapping'!$B$38:$R$67,MATCH(B191,'ei names mapping'!$A$4:$A$33,0),MATCH(G221,'ei names mapping'!$B$3:$R$3,0))</f>
        <v>RER</v>
      </c>
      <c r="D221" t="str">
        <f>INDEX('ei names mapping'!$B$104:$R$133,MATCH(B191,'ei names mapping'!$A$104:$A$133,0),MATCH(G221,'ei names mapping'!$B$3:$R$3,0))</f>
        <v>unit</v>
      </c>
      <c r="F221" t="s">
        <v>89</v>
      </c>
      <c r="G221" t="s">
        <v>16</v>
      </c>
      <c r="H221" t="str">
        <f>INDEX('ei names mapping'!$B$71:$R$100,MATCH(B191,'ei names mapping'!$A$4:$A$33,0),MATCH(G221,'ei names mapping'!$B$3:$R$3,0))</f>
        <v>motor scooter, 50 cubic cm engine</v>
      </c>
    </row>
    <row r="222" spans="1:8" x14ac:dyDescent="0.2">
      <c r="A222" t="str">
        <f>INDEX('ei names mapping'!$B$4:$R$33,MATCH(B191,'ei names mapping'!$A$4:$A$33,0),MATCH(G222,'ei names mapping'!$B$3:$R$3,0))</f>
        <v>Glider lightweighting</v>
      </c>
      <c r="B222" s="11">
        <f>INDEX('vehicles specifications'!$B$3:$CW$166,MATCH(B194,'vehicles specifications'!$A$3:$A$166,0),MATCH(G222,'vehicles specifications'!$B$2:$CW$2,0))*INDEX('ei names mapping'!$B$137:$BL$300,MATCH(B194,'ei names mapping'!$A$137:$A$300,0),MATCH(G222,'ei names mapping'!$B$136:$BL$136,0))</f>
        <v>3.0283750000000005</v>
      </c>
      <c r="C222" t="str">
        <f>INDEX('ei names mapping'!$B$38:$R$67,MATCH(B191,'ei names mapping'!$A$4:$A$33,0),MATCH(G222,'ei names mapping'!$B$3:$R$3,0))</f>
        <v>GLO</v>
      </c>
      <c r="D222" t="str">
        <f>INDEX('ei names mapping'!$B$104:$R$133,MATCH(B191,'ei names mapping'!$A$104:$A$133,0),MATCH(G222,'ei names mapping'!$B$3:$R$3,0))</f>
        <v>kilogram</v>
      </c>
      <c r="F222" t="s">
        <v>89</v>
      </c>
      <c r="G222" t="s">
        <v>14</v>
      </c>
      <c r="H222" t="str">
        <f>INDEX('ei names mapping'!$B$71:$R$100,MATCH(B191,'ei names mapping'!$A$4:$A$33,0),MATCH(G222,'ei names mapping'!$B$3:$R$3,0))</f>
        <v>Glider lightweighting</v>
      </c>
    </row>
    <row r="223" spans="1:8" x14ac:dyDescent="0.2">
      <c r="A223" t="str">
        <f>INDEX('ei names mapping'!$B$4:$R$33,MATCH(B191,'ei names mapping'!$A$4:$A$33,0),MATCH(G223,'ei names mapping'!$B$3:$R$3,0))</f>
        <v>polyethylene production, high density, granulate</v>
      </c>
      <c r="B223" s="11">
        <f>INDEX('vehicles specifications'!$B$3:$CW$166,MATCH(B194,'vehicles specifications'!$A$3:$A$166,0),MATCH(G223,'vehicles specifications'!$B$2:$CW$2,0))*INDEX('ei names mapping'!$B$137:$BL$300,MATCH(B194,'ei names mapping'!$A$137:$A$300,0),MATCH(G223,'ei names mapping'!$B$136:$BL$136,0))</f>
        <v>0.78749999999999998</v>
      </c>
      <c r="C223" t="str">
        <f>INDEX('ei names mapping'!$B$38:$R$67,MATCH(B191,'ei names mapping'!$A$4:$A$33,0),MATCH(G223,'ei names mapping'!$B$3:$R$3,0))</f>
        <v>RER</v>
      </c>
      <c r="D223" t="str">
        <f>INDEX('ei names mapping'!$B$104:$R$133,MATCH(B191,'ei names mapping'!$A$104:$A$133,0),MATCH(G223,'ei names mapping'!$B$3:$R$3,0))</f>
        <v>kilogram</v>
      </c>
      <c r="F223" t="s">
        <v>89</v>
      </c>
      <c r="G223" t="s">
        <v>24</v>
      </c>
      <c r="H223" t="str">
        <f>INDEX('ei names mapping'!$B$71:$R$100,MATCH(B191,'ei names mapping'!$A$4:$A$33,0),MATCH(G223,'ei names mapping'!$B$3:$R$3,0))</f>
        <v>polyethylene, high density, granulate</v>
      </c>
    </row>
    <row r="224" spans="1:8" x14ac:dyDescent="0.2">
      <c r="A224" s="13" t="s">
        <v>840</v>
      </c>
      <c r="B224">
        <f>(B204/1000)*B215</f>
        <v>59.971624999999996</v>
      </c>
      <c r="C224" t="s">
        <v>92</v>
      </c>
      <c r="D224" t="s">
        <v>233</v>
      </c>
      <c r="F224" t="s">
        <v>89</v>
      </c>
      <c r="H224" s="13" t="s">
        <v>841</v>
      </c>
    </row>
    <row r="225" spans="1:8" x14ac:dyDescent="0.2">
      <c r="A225" s="13" t="s">
        <v>441</v>
      </c>
      <c r="B225" s="2">
        <f>(B204/1000)*B214</f>
        <v>953.54883749999988</v>
      </c>
      <c r="C225" t="s">
        <v>95</v>
      </c>
      <c r="D225" t="s">
        <v>233</v>
      </c>
      <c r="F225" t="s">
        <v>89</v>
      </c>
      <c r="H225" s="13" t="s">
        <v>441</v>
      </c>
    </row>
    <row r="227" spans="1:8" ht="16" x14ac:dyDescent="0.2">
      <c r="A227" s="10" t="s">
        <v>71</v>
      </c>
      <c r="B227" s="8" t="str">
        <f>"transport, "&amp;B229&amp;", "&amp;B231</f>
        <v>transport, Moped, gasoline, &lt;4kW, EURO-3, 2006</v>
      </c>
    </row>
    <row r="228" spans="1:8" x14ac:dyDescent="0.2">
      <c r="A228" t="s">
        <v>72</v>
      </c>
      <c r="B228" t="s">
        <v>37</v>
      </c>
    </row>
    <row r="229" spans="1:8" x14ac:dyDescent="0.2">
      <c r="A229" t="s">
        <v>86</v>
      </c>
      <c r="B229" t="s">
        <v>579</v>
      </c>
    </row>
    <row r="230" spans="1:8" x14ac:dyDescent="0.2">
      <c r="A230" t="s">
        <v>87</v>
      </c>
    </row>
    <row r="231" spans="1:8" x14ac:dyDescent="0.2">
      <c r="A231" t="s">
        <v>88</v>
      </c>
      <c r="B231">
        <v>2006</v>
      </c>
    </row>
    <row r="232" spans="1:8" x14ac:dyDescent="0.2">
      <c r="A232" t="s">
        <v>126</v>
      </c>
      <c r="B232" t="str">
        <f>B229&amp;" - "&amp;B231&amp;" - "&amp;B228</f>
        <v>Moped, gasoline, &lt;4kW, EURO-3 - 2006 - CH</v>
      </c>
    </row>
    <row r="233" spans="1:8" x14ac:dyDescent="0.2">
      <c r="A233" t="s">
        <v>73</v>
      </c>
      <c r="B233" t="str">
        <f>"transport, "&amp;B229</f>
        <v>transport, Moped, gasoline, &lt;4kW, EURO-3</v>
      </c>
    </row>
    <row r="234" spans="1:8" x14ac:dyDescent="0.2">
      <c r="A234" t="s">
        <v>74</v>
      </c>
      <c r="B234" t="s">
        <v>75</v>
      </c>
    </row>
    <row r="235" spans="1:8" x14ac:dyDescent="0.2">
      <c r="A235" t="s">
        <v>76</v>
      </c>
      <c r="B235" t="s">
        <v>166</v>
      </c>
    </row>
    <row r="236" spans="1:8" x14ac:dyDescent="0.2">
      <c r="A236" t="s">
        <v>78</v>
      </c>
      <c r="B236" t="s">
        <v>1143</v>
      </c>
    </row>
    <row r="237" spans="1:8" x14ac:dyDescent="0.2">
      <c r="A237" t="s">
        <v>127</v>
      </c>
      <c r="B237">
        <f>INDEX('vehicles specifications'!$B$3:$CW$166,MATCH(B232,'vehicles specifications'!$A$3:$A$166,0),MATCH("Lifetime [km]",'vehicles specifications'!$B$2:$CW$2,0))</f>
        <v>25000</v>
      </c>
    </row>
    <row r="238" spans="1:8" x14ac:dyDescent="0.2">
      <c r="A238" t="s">
        <v>128</v>
      </c>
      <c r="B238">
        <f>INDEX('vehicles specifications'!$B$3:$CW$166,MATCH(B232,'vehicles specifications'!$A$3:$A$166,0),MATCH("Passengers [unit]",'vehicles specifications'!$B$2:$CW$2,0))</f>
        <v>1</v>
      </c>
    </row>
    <row r="239" spans="1:8" x14ac:dyDescent="0.2">
      <c r="A239" t="s">
        <v>129</v>
      </c>
      <c r="B239">
        <f>INDEX('vehicles specifications'!$B$3:$CW$166,MATCH(B232,'vehicles specifications'!$A$3:$A$166,0),MATCH("Servicing [unit]",'vehicles specifications'!$B$2:$CW$2,0))</f>
        <v>1</v>
      </c>
    </row>
    <row r="240" spans="1:8" x14ac:dyDescent="0.2">
      <c r="A240" t="s">
        <v>130</v>
      </c>
      <c r="B240">
        <f>INDEX('vehicles specifications'!$B$3:$CW$166,MATCH(B232,'vehicles specifications'!$A$3:$A$166,0),MATCH("Energy battery replacement [unit]",'vehicles specifications'!$B$2:$CW$2,0))</f>
        <v>0</v>
      </c>
    </row>
    <row r="241" spans="1:8" x14ac:dyDescent="0.2">
      <c r="A241" t="s">
        <v>131</v>
      </c>
      <c r="B241">
        <f>INDEX('vehicles specifications'!$B$3:$CW$166,MATCH(B232,'vehicles specifications'!$A$3:$A$166,0),MATCH("Annual kilometers [km]",'vehicles specifications'!$B$2:$CW$2,0))</f>
        <v>1570</v>
      </c>
    </row>
    <row r="242" spans="1:8" x14ac:dyDescent="0.2">
      <c r="A242" t="s">
        <v>132</v>
      </c>
      <c r="B242" s="2">
        <f>INDEX('vehicles specifications'!$B$3:$CW$166,MATCH(B232,'vehicles specifications'!$A$3:$A$166,0),MATCH("Curb mass [kg]",'vehicles specifications'!$B$2:$CW$2,0))</f>
        <v>65.098124999999996</v>
      </c>
    </row>
    <row r="243" spans="1:8" x14ac:dyDescent="0.2">
      <c r="A243" t="s">
        <v>133</v>
      </c>
      <c r="B243">
        <f>INDEX('vehicles specifications'!$B$3:$CW$166,MATCH(B232,'vehicles specifications'!$A$3:$A$166,0),MATCH("Power [kW]",'vehicles specifications'!$B$2:$CW$2,0))</f>
        <v>2.5</v>
      </c>
    </row>
    <row r="244" spans="1:8" x14ac:dyDescent="0.2">
      <c r="A244" t="s">
        <v>134</v>
      </c>
      <c r="B244" t="str">
        <f>INDEX('vehicles specifications'!$B$3:$CW$166,MATCH(B232,'vehicles specifications'!$A$3:$A$166,0),MATCH("Energy battery mass [kg]",'vehicles specifications'!$B$2:$CW$2,0))</f>
        <v/>
      </c>
    </row>
    <row r="245" spans="1:8" x14ac:dyDescent="0.2">
      <c r="A245" t="s">
        <v>135</v>
      </c>
      <c r="B245">
        <f>INDEX('vehicles specifications'!$B$3:$CW$166,MATCH(B232,'vehicles specifications'!$A$3:$A$166,0),MATCH("Electric energy available [kWh]",'vehicles specifications'!$B$2:$CW$2,0))</f>
        <v>0</v>
      </c>
    </row>
    <row r="246" spans="1:8" x14ac:dyDescent="0.2">
      <c r="A246" t="s">
        <v>138</v>
      </c>
      <c r="B246" s="2">
        <f>INDEX('vehicles specifications'!$B$3:$CW$166,MATCH(B232,'vehicles specifications'!$A$3:$A$166,0),MATCH("Oxydation energy stored [kWh]",'vehicles specifications'!$B$2:$CW$2,0))</f>
        <v>62.125</v>
      </c>
    </row>
    <row r="247" spans="1:8" x14ac:dyDescent="0.2">
      <c r="A247" t="s">
        <v>139</v>
      </c>
      <c r="B247">
        <f>INDEX('vehicles specifications'!$B$3:$CW$166,MATCH(B232,'vehicles specifications'!$A$3:$A$166,0),MATCH("Fuel mass [kg]",'vehicles specifications'!$B$2:$CW$2,0))</f>
        <v>5.25</v>
      </c>
    </row>
    <row r="248" spans="1:8" x14ac:dyDescent="0.2">
      <c r="A248" t="s">
        <v>136</v>
      </c>
      <c r="B248" s="2">
        <f>INDEX('vehicles specifications'!$B$3:$CW$166,MATCH(B232,'vehicles specifications'!$A$3:$A$166,0),MATCH("Range [km]",'vehicles specifications'!$B$2:$CW$2,0))</f>
        <v>266.4078995516374</v>
      </c>
    </row>
    <row r="249" spans="1:8" x14ac:dyDescent="0.2">
      <c r="A249" t="s">
        <v>137</v>
      </c>
      <c r="B249" t="str">
        <f>INDEX('vehicles specifications'!$B$3:$CW$166,MATCH(B232,'vehicles specifications'!$A$3:$A$166,0),MATCH("Emission standard",'vehicles specifications'!$B$2:$CW$2,0))</f>
        <v>EURO-3</v>
      </c>
    </row>
    <row r="250" spans="1:8" x14ac:dyDescent="0.2">
      <c r="A250" t="s">
        <v>1174</v>
      </c>
      <c r="B250" s="6">
        <f>INDEX('vehicles specifications'!$B$3:$CW$166,MATCH(B232,'vehicles specifications'!$A$3:$A$166,0),MATCH("Lightweighting rate [%]",'vehicles specifications'!$B$2:$CW$2,0))</f>
        <v>-0.05</v>
      </c>
    </row>
    <row r="251" spans="1:8" x14ac:dyDescent="0.2">
      <c r="A251" t="s">
        <v>83</v>
      </c>
      <c r="B251" t="str">
        <f>"Power: "&amp;B243&amp;" kW. Lifetime: "&amp;B237&amp;" km. Annual kilometers: "&amp;B241&amp;" km. Number of passengers: "&amp;B238&amp;". Curb mass: "&amp;ROUND(B242,1)&amp;" kg. Lightweighting of glider: "&amp;ROUND(B250*100,0)&amp;"%. Emission standard: "&amp;B249&amp;". Service visits throughout lifetime: "&amp;ROUND(B239,1)&amp;". Range: "&amp;ROUND(B248,0)&amp;" km.  Fuel tank capacity: "&amp;ROUND(B246,1)&amp;" kWh. Fuel mass: "&amp;ROUND(B247,1)&amp;" kg. Documentation: "&amp;Readmefirst!$B$2&amp;", "&amp;Readmefirst!$B$3&amp;". "&amp;B236</f>
        <v>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v>
      </c>
    </row>
    <row r="252" spans="1:8" ht="16" x14ac:dyDescent="0.2">
      <c r="A252" s="10" t="s">
        <v>79</v>
      </c>
    </row>
    <row r="253" spans="1:8" x14ac:dyDescent="0.2">
      <c r="A253" t="s">
        <v>80</v>
      </c>
      <c r="B253" t="s">
        <v>81</v>
      </c>
      <c r="C253" t="s">
        <v>72</v>
      </c>
      <c r="D253" t="s">
        <v>76</v>
      </c>
      <c r="E253" t="s">
        <v>82</v>
      </c>
      <c r="F253" t="s">
        <v>74</v>
      </c>
      <c r="G253" t="s">
        <v>83</v>
      </c>
      <c r="H253" t="s">
        <v>73</v>
      </c>
    </row>
    <row r="254" spans="1:8" x14ac:dyDescent="0.2">
      <c r="A254" t="str">
        <f>B227</f>
        <v>transport, Moped, gasoline, &lt;4kW, EURO-3, 2006</v>
      </c>
      <c r="B254">
        <v>1</v>
      </c>
      <c r="C254" t="str">
        <f>B228</f>
        <v>CH</v>
      </c>
      <c r="D254" t="s">
        <v>166</v>
      </c>
      <c r="F254" t="s">
        <v>84</v>
      </c>
      <c r="G254" t="s">
        <v>85</v>
      </c>
      <c r="H254" t="str">
        <f>B233</f>
        <v>transport, Moped, gasoline, &lt;4kW, EURO-3</v>
      </c>
    </row>
    <row r="255" spans="1:8" x14ac:dyDescent="0.2">
      <c r="A255" t="str">
        <f>RIGHT(A254,LEN(A254)-11)</f>
        <v>Moped, gasoline, &lt;4kW, EURO-3, 2006</v>
      </c>
      <c r="B255" s="7">
        <f>1/B237</f>
        <v>4.0000000000000003E-5</v>
      </c>
      <c r="C255" t="str">
        <f>B228</f>
        <v>CH</v>
      </c>
      <c r="D255" t="s">
        <v>76</v>
      </c>
      <c r="F255" t="s">
        <v>89</v>
      </c>
      <c r="H255" t="str">
        <f>RIGHT(H254,LEN(H254)-11)</f>
        <v>Moped, gasoline, &lt;4kW, EURO-3</v>
      </c>
    </row>
    <row r="256" spans="1:8" x14ac:dyDescent="0.2">
      <c r="A256" t="str">
        <f>INDEX('ei names mapping'!$B$4:$R$33,MATCH(B229,'ei names mapping'!$A$4:$A$33,0),MATCH(G256,'ei names mapping'!$B$3:$R$3,0))</f>
        <v>road construction</v>
      </c>
      <c r="B256" s="7">
        <f>INDEX('vehicles specifications'!$B$3:$CW$166,MATCH(B232,'vehicles specifications'!$A$3:$A$166,0),MATCH(G256,'vehicles specifications'!$B$2:$CW$2,0))*INDEX('ei names mapping'!$B$137:$BL$300,MATCH(B232,'ei names mapping'!$A$137:$A$300,0),MATCH(G256,'ei names mapping'!$B$136:$BL$136,0))</f>
        <v>7.6306693124999993E-5</v>
      </c>
      <c r="C256" t="str">
        <f>INDEX('ei names mapping'!$B$38:$R$67,MATCH(B229,'ei names mapping'!$A$4:$A$33,0),MATCH(G256,'ei names mapping'!$B$3:$R$3,0))</f>
        <v>CH</v>
      </c>
      <c r="D256" t="str">
        <f>INDEX('ei names mapping'!$B$104:$BL$133,MATCH(B229,'ei names mapping'!$A$4:$A$33,0),MATCH(G256,'ei names mapping'!$B$3:$BL$3,0))</f>
        <v>meter-year</v>
      </c>
      <c r="F256" t="s">
        <v>89</v>
      </c>
      <c r="G256" t="s">
        <v>105</v>
      </c>
      <c r="H256" t="str">
        <f>INDEX('ei names mapping'!$B$71:$BL$100,MATCH(B229,'ei names mapping'!$A$4:$A$33,0),MATCH(G256,'ei names mapping'!$B$3:$BL$3,0))</f>
        <v>road</v>
      </c>
    </row>
    <row r="257" spans="1:8" x14ac:dyDescent="0.2">
      <c r="A257" t="str">
        <f>INDEX('ei names mapping'!$B$4:$R$33,MATCH(B229,'ei names mapping'!$A$4:$A$33,0),MATCH(G257,'ei names mapping'!$B$3:$R$3,0))</f>
        <v>road maintenance</v>
      </c>
      <c r="B257" s="7">
        <f>INDEX('vehicles specifications'!$B$3:$CW$166,MATCH(B232,'vehicles specifications'!$A$3:$A$166,0),MATCH(G257,'vehicles specifications'!$B$2:$CW$2,0))*INDEX('ei names mapping'!$B$137:$BL$300,MATCH(B232,'ei names mapping'!$A$137:$A$300,0),MATCH(G257,'ei names mapping'!$B$136:$BL$136,0))</f>
        <v>1.2899999999999999E-3</v>
      </c>
      <c r="C257" t="str">
        <f>INDEX('ei names mapping'!$B$38:$R$67,MATCH(B229,'ei names mapping'!$A$4:$A$33,0),MATCH(G257,'ei names mapping'!$B$3:$R$3,0))</f>
        <v>CH</v>
      </c>
      <c r="D257" t="str">
        <f>INDEX('ei names mapping'!$B$104:$BL$133,MATCH(B229,'ei names mapping'!$A$104:$A$133,0),MATCH(G257,'ei names mapping'!$B$3:$BL$3,0))</f>
        <v>meter-year</v>
      </c>
      <c r="F257" t="s">
        <v>89</v>
      </c>
      <c r="G257" t="s">
        <v>112</v>
      </c>
      <c r="H257" t="str">
        <f>INDEX('ei names mapping'!$B$71:$BL$100,MATCH(B229,'ei names mapping'!$A$4:$A$33,0),MATCH(G257,'ei names mapping'!$B$3:$BL$3,0))</f>
        <v>road maintenance</v>
      </c>
    </row>
    <row r="258" spans="1:8" x14ac:dyDescent="0.2">
      <c r="A258" t="str">
        <f>INDEX('ei names mapping'!$B$4:$R$33,MATCH(B229,'ei names mapping'!$A$4:$A$33,0),MATCH(G258,'ei names mapping'!$B$3:$R$3,0))</f>
        <v>maintenance, motor scooter</v>
      </c>
      <c r="B258" s="7">
        <f>INDEX('vehicles specifications'!$B$3:$CW$166,MATCH(B232,'vehicles specifications'!$A$3:$A$166,0),MATCH(G258,'vehicles specifications'!$B$2:$CW$2,0))*INDEX('ei names mapping'!$B$137:$BL$300,MATCH(B232,'ei names mapping'!$A$137:$A$300,0),MATCH(G258,'ei names mapping'!$B$136:$BL$136,0))</f>
        <v>4.0000000000000003E-5</v>
      </c>
      <c r="C258" t="str">
        <f>INDEX('ei names mapping'!$B$38:$BL$67,MATCH(B229,'ei names mapping'!$A$4:$A$33,0),MATCH(G258,'ei names mapping'!$B$3:$BL$3,0))</f>
        <v>CH</v>
      </c>
      <c r="D258" t="str">
        <f>INDEX('ei names mapping'!$B$104:$BL$133,MATCH(B229,'ei names mapping'!$A$4:$A$33,0),MATCH(G258,'ei names mapping'!$B$3:$BL$3,0))</f>
        <v>unit</v>
      </c>
      <c r="F258" t="s">
        <v>89</v>
      </c>
      <c r="G258" t="s">
        <v>118</v>
      </c>
      <c r="H258" t="str">
        <f>INDEX('ei names mapping'!$B$71:$BL$100,MATCH(B229,'ei names mapping'!$A$4:$A$33,0),MATCH(G258,'ei names mapping'!$B$3:$BL$3,0))</f>
        <v>maintenance, motor scooter</v>
      </c>
    </row>
    <row r="259" spans="1:8" x14ac:dyDescent="0.2">
      <c r="A259" t="str">
        <f>INDEX('ei names mapping'!$B$4:$R$33,MATCH(B229,'ei names mapping'!$A$4:$A$33,0),MATCH(G259,'ei names mapping'!$B$3:$R$3,0))</f>
        <v>petrol blending for two-stroke engines</v>
      </c>
      <c r="B259" s="7">
        <f>INDEX('vehicles specifications'!$B$3:$CW$166,MATCH(B232,'vehicles specifications'!$A$3:$A$166,0),MATCH(G259,'vehicles specifications'!$B$2:$CW$2,0))*INDEX('ei names mapping'!$B$137:$BL$300,MATCH(B232,'ei names mapping'!$A$137:$A$300,0),MATCH(G259,'ei names mapping'!$B$136:$BL$136,0))</f>
        <v>1.9706622847279347E-2</v>
      </c>
      <c r="C259" t="str">
        <f>INDEX('ei names mapping'!$B$38:$BL$67,MATCH(B229,'ei names mapping'!$A$4:$A$33,0),MATCH(G259,'ei names mapping'!$B$3:$BL$3,0))</f>
        <v>CH</v>
      </c>
      <c r="D259" t="str">
        <f>INDEX('ei names mapping'!$B$104:$BL$133,MATCH(B229,'ei names mapping'!$A$4:$A$33,0),MATCH(G259,'ei names mapping'!$B$3:$BL$3,0))</f>
        <v>kilogram</v>
      </c>
      <c r="F259" t="s">
        <v>89</v>
      </c>
      <c r="G259" t="s">
        <v>27</v>
      </c>
      <c r="H259" t="str">
        <f>INDEX('ei names mapping'!$B$71:$BL$100,MATCH(B229,'ei names mapping'!$A$4:$A$33,0),MATCH(G259,'ei names mapping'!$B$3:$BL$3,0))</f>
        <v>petrol, two-stroke blend</v>
      </c>
    </row>
    <row r="260" spans="1:8" x14ac:dyDescent="0.2">
      <c r="A260" t="str">
        <f>INDEX('ei names mapping'!$B$4:$BL$33,MATCH(B229,'ei names mapping'!$A$4:$A$33,0),MATCH(G260,'ei names mapping'!$B$3:$BL$3,0))</f>
        <v>Carbon dioxide, fossil</v>
      </c>
      <c r="B260" s="7">
        <f>INDEX('vehicles specifications'!$B$3:$CW$166,MATCH(B232,'vehicles specifications'!$A$3:$A$166,0),MATCH(G260,'vehicles specifications'!$B$2:$CW$2,0))*INDEX('ei names mapping'!$B$137:$BL$300,MATCH(B232,'ei names mapping'!$A$137:$A$300,0),MATCH(G260,'ei names mapping'!$B$136:$BL$136,0))</f>
        <v>6.1878795740457154E-2</v>
      </c>
      <c r="D260" t="str">
        <f>INDEX('ei names mapping'!$B$104:$BL$133,MATCH(B229,'ei names mapping'!$A$4:$A$33,0),MATCH(G260,'ei names mapping'!$B$3:$BL$3,0))</f>
        <v>kilogram</v>
      </c>
      <c r="E260" t="str">
        <f>INDEX('ei names mapping'!$B$305:$BL$335,MATCH(B229,'ei names mapping'!$A$4:$A$33,0),MATCH(G260,'ei names mapping'!$B$3:$BL$3,0))</f>
        <v>air::urban air close to ground</v>
      </c>
      <c r="F260" t="s">
        <v>167</v>
      </c>
      <c r="G260" t="s">
        <v>66</v>
      </c>
    </row>
    <row r="261" spans="1:8" x14ac:dyDescent="0.2">
      <c r="A261" t="str">
        <f>INDEX('ei names mapping'!$B$4:$BL$33,MATCH(B229,'ei names mapping'!$A$4:$A$33,0),MATCH(G261,'ei names mapping'!$B$3:$BL$3,0))</f>
        <v>Sulfur dioxide</v>
      </c>
      <c r="B261" s="7">
        <f>INDEX('vehicles specifications'!$B$3:$CW$166,MATCH(B232,'vehicles specifications'!$A$3:$A$166,0),MATCH(G261,'vehicles specifications'!$B$2:$CW$2,0))*INDEX('ei names mapping'!$B$137:$BL$300,MATCH(B232,'ei names mapping'!$A$137:$A$300,0),MATCH(G261,'ei names mapping'!$B$136:$BL$136,0))</f>
        <v>3.1530596555646953E-7</v>
      </c>
      <c r="D261" t="str">
        <f>INDEX('ei names mapping'!$B$104:$BL$133,MATCH(B229,'ei names mapping'!$A$4:$A$33,0),MATCH(G261,'ei names mapping'!$B$3:$BL$3,0))</f>
        <v>kilogram</v>
      </c>
      <c r="E261" t="str">
        <f>INDEX('ei names mapping'!$B$305:$BL$335,MATCH(B229,'ei names mapping'!$A$4:$A$33,0),MATCH(G261,'ei names mapping'!$B$3:$BL$3,0))</f>
        <v>air::urban air close to ground</v>
      </c>
      <c r="F261" t="s">
        <v>167</v>
      </c>
      <c r="G261" t="s">
        <v>67</v>
      </c>
    </row>
    <row r="262" spans="1:8" x14ac:dyDescent="0.2">
      <c r="A262" t="str">
        <f>INDEX('ei names mapping'!$B$4:$BL$33,MATCH(B229,'ei names mapping'!$A$4:$A$33,0),MATCH(G262,'ei names mapping'!$B$3:$BL$3,0))</f>
        <v>Benzene</v>
      </c>
      <c r="B262" s="7">
        <f>INDEX('vehicles specifications'!$B$3:$CW$166,MATCH(B232,'vehicles specifications'!$A$3:$A$166,0),MATCH(G262,'vehicles specifications'!$B$2:$CW$2,0))*INDEX('ei names mapping'!$B$137:$BL$300,MATCH(B232,'ei names mapping'!$A$137:$A$300,0),MATCH(G262,'ei names mapping'!$B$136:$BL$136,0))</f>
        <v>1.0310040666120319E-4</v>
      </c>
      <c r="D262" t="str">
        <f>INDEX('ei names mapping'!$B$104:$BL$133,MATCH(B229,'ei names mapping'!$A$4:$A$33,0),MATCH(G262,'ei names mapping'!$B$3:$BL$3,0))</f>
        <v>kilogram</v>
      </c>
      <c r="E262" t="str">
        <f>INDEX('ei names mapping'!$B$305:$BL$335,MATCH(B229,'ei names mapping'!$A$4:$A$33,0),MATCH(G262,'ei names mapping'!$B$3:$BL$3,0))</f>
        <v>air::urban air close to ground</v>
      </c>
      <c r="F262" t="s">
        <v>167</v>
      </c>
      <c r="G262" t="s">
        <v>55</v>
      </c>
    </row>
    <row r="263" spans="1:8" x14ac:dyDescent="0.2">
      <c r="A263" t="str">
        <f>INDEX('ei names mapping'!$B$4:$BL$33,MATCH(B229,'ei names mapping'!$A$4:$A$33,0),MATCH(G263,'ei names mapping'!$B$3:$BL$3,0))</f>
        <v>Methane, fossil</v>
      </c>
      <c r="B263" s="7">
        <f>INDEX('vehicles specifications'!$B$3:$CW$166,MATCH(B232,'vehicles specifications'!$A$3:$A$166,0),MATCH(G263,'vehicles specifications'!$B$2:$CW$2,0))*INDEX('ei names mapping'!$B$137:$BL$300,MATCH(B232,'ei names mapping'!$A$137:$A$300,0),MATCH(G263,'ei names mapping'!$B$136:$BL$136,0))</f>
        <v>2.2338843798195468E-5</v>
      </c>
      <c r="D263" t="str">
        <f>INDEX('ei names mapping'!$B$104:$BL$133,MATCH(B229,'ei names mapping'!$A$4:$A$33,0),MATCH(G263,'ei names mapping'!$B$3:$BL$3,0))</f>
        <v>kilogram</v>
      </c>
      <c r="E263" t="str">
        <f>INDEX('ei names mapping'!$B$305:$BL$335,MATCH(B229,'ei names mapping'!$A$4:$A$33,0),MATCH(G263,'ei names mapping'!$B$3:$BL$3,0))</f>
        <v>air::urban air close to ground</v>
      </c>
      <c r="F263" t="s">
        <v>167</v>
      </c>
      <c r="G263" t="s">
        <v>56</v>
      </c>
    </row>
    <row r="264" spans="1:8" x14ac:dyDescent="0.2">
      <c r="A264" t="str">
        <f>INDEX('ei names mapping'!$B$4:$BL$33,MATCH(B229,'ei names mapping'!$A$4:$A$33,0),MATCH(G264,'ei names mapping'!$B$3:$BL$3,0))</f>
        <v>Carbon monoxide, fossil</v>
      </c>
      <c r="B264" s="7">
        <f>INDEX('vehicles specifications'!$B$3:$CW$166,MATCH(B232,'vehicles specifications'!$A$3:$A$166,0),MATCH(G264,'vehicles specifications'!$B$2:$CW$2,0))*INDEX('ei names mapping'!$B$137:$BL$300,MATCH(B232,'ei names mapping'!$A$137:$A$300,0),MATCH(G264,'ei names mapping'!$B$136:$BL$136,0))</f>
        <v>3.277971259693117E-3</v>
      </c>
      <c r="D264" t="str">
        <f>INDEX('ei names mapping'!$B$104:$BL$133,MATCH(B229,'ei names mapping'!$A$4:$A$33,0),MATCH(G264,'ei names mapping'!$B$3:$BL$3,0))</f>
        <v>kilogram</v>
      </c>
      <c r="E264" t="str">
        <f>INDEX('ei names mapping'!$B$305:$BL$335,MATCH(B229,'ei names mapping'!$A$4:$A$33,0),MATCH(G264,'ei names mapping'!$B$3:$BL$3,0))</f>
        <v>air::urban air close to ground</v>
      </c>
      <c r="F264" t="s">
        <v>167</v>
      </c>
      <c r="G264" t="s">
        <v>57</v>
      </c>
    </row>
    <row r="265" spans="1:8" x14ac:dyDescent="0.2">
      <c r="A265" t="str">
        <f>INDEX('ei names mapping'!$B$4:$BL$33,MATCH(B229,'ei names mapping'!$A$4:$A$33,0),MATCH(G265,'ei names mapping'!$B$3:$BL$3,0))</f>
        <v>Dinitrogen monoxide</v>
      </c>
      <c r="B265" s="7">
        <f>INDEX('vehicles specifications'!$B$3:$CW$166,MATCH(B232,'vehicles specifications'!$A$3:$A$166,0),MATCH(G265,'vehicles specifications'!$B$2:$CW$2,0))*INDEX('ei names mapping'!$B$137:$BL$300,MATCH(B232,'ei names mapping'!$A$137:$A$300,0),MATCH(G265,'ei names mapping'!$B$136:$BL$136,0))</f>
        <v>1.1333761439977408E-6</v>
      </c>
      <c r="D265" t="str">
        <f>INDEX('ei names mapping'!$B$104:$BL$133,MATCH(B229,'ei names mapping'!$A$4:$A$33,0),MATCH(G265,'ei names mapping'!$B$3:$BL$3,0))</f>
        <v>kilogram</v>
      </c>
      <c r="E265" t="str">
        <f>INDEX('ei names mapping'!$B$305:$BL$335,MATCH(B229,'ei names mapping'!$A$4:$A$33,0),MATCH(G265,'ei names mapping'!$B$3:$BL$3,0))</f>
        <v>air::urban air close to ground</v>
      </c>
      <c r="F265" t="s">
        <v>167</v>
      </c>
      <c r="G265" t="s">
        <v>58</v>
      </c>
    </row>
    <row r="266" spans="1:8" x14ac:dyDescent="0.2">
      <c r="A266" t="str">
        <f>INDEX('ei names mapping'!$B$4:$BL$33,MATCH(B229,'ei names mapping'!$A$4:$A$33,0),MATCH(G266,'ei names mapping'!$B$3:$BL$3,0))</f>
        <v>Ammonia</v>
      </c>
      <c r="B266" s="7">
        <f>INDEX('vehicles specifications'!$B$3:$CW$166,MATCH(B232,'vehicles specifications'!$A$3:$A$166,0),MATCH(G266,'vehicles specifications'!$B$2:$CW$2,0))*INDEX('ei names mapping'!$B$137:$BL$300,MATCH(B232,'ei names mapping'!$A$137:$A$300,0),MATCH(G266,'ei names mapping'!$B$136:$BL$136,0))</f>
        <v>1.1333761439977408E-6</v>
      </c>
      <c r="D266" t="str">
        <f>INDEX('ei names mapping'!$B$104:$BL$133,MATCH(B229,'ei names mapping'!$A$4:$A$33,0),MATCH(G266,'ei names mapping'!$B$3:$BL$3,0))</f>
        <v>kilogram</v>
      </c>
      <c r="E266" t="str">
        <f>INDEX('ei names mapping'!$B$305:$BL$335,MATCH(B229,'ei names mapping'!$A$4:$A$33,0),MATCH(G266,'ei names mapping'!$B$3:$BL$3,0))</f>
        <v>air::urban air close to ground</v>
      </c>
      <c r="F266" t="s">
        <v>167</v>
      </c>
      <c r="G266" t="s">
        <v>59</v>
      </c>
    </row>
    <row r="267" spans="1:8" x14ac:dyDescent="0.2">
      <c r="A267" t="str">
        <f>INDEX('ei names mapping'!$B$4:$BL$33,MATCH(B229,'ei names mapping'!$A$4:$A$33,0),MATCH(G267,'ei names mapping'!$B$3:$BL$3,0))</f>
        <v>Nitrogen oxides</v>
      </c>
      <c r="B267" s="7">
        <f>INDEX('vehicles specifications'!$B$3:$CW$166,MATCH(B232,'vehicles specifications'!$A$3:$A$166,0),MATCH(G267,'vehicles specifications'!$B$2:$CW$2,0))*INDEX('ei names mapping'!$B$137:$BL$300,MATCH(B232,'ei names mapping'!$A$137:$A$300,0),MATCH(G267,'ei names mapping'!$B$136:$BL$136,0))</f>
        <v>3.7393687755796559E-4</v>
      </c>
      <c r="D267" t="str">
        <f>INDEX('ei names mapping'!$B$104:$BL$133,MATCH(B229,'ei names mapping'!$A$4:$A$33,0),MATCH(G267,'ei names mapping'!$B$3:$BL$3,0))</f>
        <v>kilogram</v>
      </c>
      <c r="E267" t="str">
        <f>INDEX('ei names mapping'!$B$305:$BL$335,MATCH(B229,'ei names mapping'!$A$4:$A$33,0),MATCH(G267,'ei names mapping'!$B$3:$BL$3,0))</f>
        <v>air::urban air close to ground</v>
      </c>
      <c r="F267" t="s">
        <v>167</v>
      </c>
      <c r="G267" t="s">
        <v>60</v>
      </c>
    </row>
    <row r="268" spans="1:8" x14ac:dyDescent="0.2">
      <c r="A268" t="str">
        <f>INDEX('ei names mapping'!$B$4:$BL$33,MATCH(B229,'ei names mapping'!$A$4:$A$33,0),MATCH(G268,'ei names mapping'!$B$3:$BL$3,0))</f>
        <v>Particulates, &lt; 2.5 um</v>
      </c>
      <c r="B268" s="7">
        <f>INDEX('vehicles specifications'!$B$3:$CW$166,MATCH(B$232,'vehicles specifications'!$A$3:$A$166,0),MATCH(G268,'vehicles specifications'!$B$2:$CW$2,0))*INDEX('ei names mapping'!$B$137:$BL$300,MATCH(B$232,'ei names mapping'!$A$137:$A$300,0),MATCH(G268,'ei names mapping'!$B$136:$BL$136,0))</f>
        <v>1.1713745554585587E-5</v>
      </c>
      <c r="D268" t="str">
        <f>INDEX('ei names mapping'!$B$104:$BL$133,MATCH(B229,'ei names mapping'!$A$4:$A$33,0),MATCH(G268,'ei names mapping'!$B$3:$BL$3,0))</f>
        <v>kilogram</v>
      </c>
      <c r="E268" t="str">
        <f>INDEX('ei names mapping'!$B$305:$BL$335,MATCH(B229,'ei names mapping'!$A$4:$A$33,0),MATCH(G268,'ei names mapping'!$B$3:$BL$3,0))</f>
        <v>air::urban air close to ground</v>
      </c>
      <c r="F268" t="s">
        <v>167</v>
      </c>
      <c r="G268" t="s">
        <v>62</v>
      </c>
    </row>
    <row r="269" spans="1:8" x14ac:dyDescent="0.2">
      <c r="A269" t="str">
        <f>INDEX('ei names mapping'!$B$4:$BL$33,MATCH(B$229,'ei names mapping'!$A$4:$A$33,0),MATCH(G269,'ei names mapping'!$B$3:$BL$3,0))</f>
        <v>NMVOC, non-methane volatile organic compounds, unspecified origin</v>
      </c>
      <c r="B269" s="7">
        <f>INDEX('vehicles specifications'!$B$3:$CW$166,MATCH(B$232,'vehicles specifications'!$A$3:$A$166,0),MATCH(G269,'vehicles specifications'!$B$2:$CW$2,0))*INDEX('ei names mapping'!$B$137:$BL$300,MATCH(B$232,'ei names mapping'!$A$137:$A$300,0),MATCH(G269,'ei names mapping'!$B$136:$BL$136,0))</f>
        <v>8.3141932216628021E-4</v>
      </c>
      <c r="D269" t="str">
        <f>INDEX('ei names mapping'!$B$104:$BL$133,MATCH(B$229,'ei names mapping'!$A$4:$A$33,0),MATCH(G269,'ei names mapping'!$B$3:$BL$3,0))</f>
        <v>kilogram</v>
      </c>
      <c r="E269" t="str">
        <f>INDEX('ei names mapping'!$B$305:$BL$335,MATCH(B$229,'ei names mapping'!$A$4:$A$33,0),MATCH(G269,'ei names mapping'!$B$3:$BL$3,0))</f>
        <v>air::urban air close to ground</v>
      </c>
      <c r="F269" t="s">
        <v>167</v>
      </c>
      <c r="G269" t="s">
        <v>593</v>
      </c>
    </row>
    <row r="270" spans="1:8" x14ac:dyDescent="0.2">
      <c r="A270" t="str">
        <f>INDEX('ei names mapping'!$B$4:$BL$33,MATCH(B$229,'ei names mapping'!$A$4:$A$33,0),MATCH(G270,'ei names mapping'!$B$3:$BL$3,0))</f>
        <v>Ethane</v>
      </c>
      <c r="B270" s="7">
        <f>INDEX('vehicles specifications'!$B$3:$CW$166,MATCH(B$232,'vehicles specifications'!$A$3:$A$166,0),MATCH(G270,'vehicles specifications'!$B$2:$CW$2,0))*INDEX('ei names mapping'!$B$137:$BL$300,MATCH(B$232,'ei names mapping'!$A$137:$A$300,0),MATCH(G270,'ei names mapping'!$B$136:$BL$136,0))</f>
        <v>5.8625721434801813E-5</v>
      </c>
      <c r="D270" t="str">
        <f>INDEX('ei names mapping'!$B$104:$BL$133,MATCH(B$229,'ei names mapping'!$A$4:$A$33,0),MATCH(G270,'ei names mapping'!$B$3:$BL$3,0))</f>
        <v>kilogram</v>
      </c>
      <c r="E270" t="str">
        <f>INDEX('ei names mapping'!$B$305:$BL$335,MATCH(B$229,'ei names mapping'!$A$4:$A$33,0),MATCH(G270,'ei names mapping'!$B$3:$BL$3,0))</f>
        <v>air::urban air close to ground</v>
      </c>
      <c r="F270" t="s">
        <v>167</v>
      </c>
      <c r="G270" t="s">
        <v>541</v>
      </c>
    </row>
    <row r="271" spans="1:8" x14ac:dyDescent="0.2">
      <c r="A271" t="str">
        <f>INDEX('ei names mapping'!$B$4:$BL$33,MATCH(B$229,'ei names mapping'!$A$4:$A$33,0),MATCH(G271,'ei names mapping'!$B$3:$BL$3,0))</f>
        <v>Propane</v>
      </c>
      <c r="B271" s="7">
        <f>INDEX('vehicles specifications'!$B$3:$CW$166,MATCH(B$232,'vehicles specifications'!$A$3:$A$166,0),MATCH(G271,'vehicles specifications'!$B$2:$CW$2,0))*INDEX('ei names mapping'!$B$137:$BL$300,MATCH(B$232,'ei names mapping'!$A$137:$A$300,0),MATCH(G271,'ei names mapping'!$B$136:$BL$136,0))</f>
        <v>1.1945679916182187E-5</v>
      </c>
      <c r="D271" t="str">
        <f>INDEX('ei names mapping'!$B$104:$BL$133,MATCH(B$229,'ei names mapping'!$A$4:$A$33,0),MATCH(G271,'ei names mapping'!$B$3:$BL$3,0))</f>
        <v>kilogram</v>
      </c>
      <c r="E271" t="str">
        <f>INDEX('ei names mapping'!$B$305:$BL$335,MATCH(B$229,'ei names mapping'!$A$4:$A$33,0),MATCH(G271,'ei names mapping'!$B$3:$BL$3,0))</f>
        <v>air::urban air close to ground</v>
      </c>
      <c r="F271" t="s">
        <v>167</v>
      </c>
      <c r="G271" t="s">
        <v>542</v>
      </c>
    </row>
    <row r="272" spans="1:8" x14ac:dyDescent="0.2">
      <c r="A272" t="str">
        <f>INDEX('ei names mapping'!$B$4:$BL$33,MATCH(B$229,'ei names mapping'!$A$4:$A$33,0),MATCH(G272,'ei names mapping'!$B$3:$BL$3,0))</f>
        <v>Butane</v>
      </c>
      <c r="B272" s="7">
        <f>INDEX('vehicles specifications'!$B$3:$CW$166,MATCH(B$232,'vehicles specifications'!$A$3:$A$166,0),MATCH(G272,'vehicles specifications'!$B$2:$CW$2,0))*INDEX('ei names mapping'!$B$137:$BL$300,MATCH(B$232,'ei names mapping'!$A$137:$A$300,0),MATCH(G272,'ei names mapping'!$B$136:$BL$136,0))</f>
        <v>9.6300558093530248E-5</v>
      </c>
      <c r="D272" t="str">
        <f>INDEX('ei names mapping'!$B$104:$BL$133,MATCH(B$229,'ei names mapping'!$A$4:$A$33,0),MATCH(G272,'ei names mapping'!$B$3:$BL$3,0))</f>
        <v>kilogram</v>
      </c>
      <c r="E272" t="str">
        <f>INDEX('ei names mapping'!$B$305:$BL$335,MATCH(B$229,'ei names mapping'!$A$4:$A$33,0),MATCH(G272,'ei names mapping'!$B$3:$BL$3,0))</f>
        <v>air::urban air close to ground</v>
      </c>
      <c r="F272" t="s">
        <v>167</v>
      </c>
      <c r="G272" t="s">
        <v>543</v>
      </c>
    </row>
    <row r="273" spans="1:7" x14ac:dyDescent="0.2">
      <c r="A273" t="str">
        <f>INDEX('ei names mapping'!$B$4:$BL$33,MATCH(B$229,'ei names mapping'!$A$4:$A$33,0),MATCH(G273,'ei names mapping'!$B$3:$BL$3,0))</f>
        <v>Pentane</v>
      </c>
      <c r="B273" s="7">
        <f>INDEX('vehicles specifications'!$B$3:$CW$166,MATCH(B$232,'vehicles specifications'!$A$3:$A$166,0),MATCH(G273,'vehicles specifications'!$B$2:$CW$2,0))*INDEX('ei names mapping'!$B$137:$BL$300,MATCH(B$232,'ei names mapping'!$A$137:$A$300,0),MATCH(G273,'ei names mapping'!$B$136:$BL$136,0))</f>
        <v>3.9512633568910311E-5</v>
      </c>
      <c r="D273" t="str">
        <f>INDEX('ei names mapping'!$B$104:$BL$133,MATCH(B$229,'ei names mapping'!$A$4:$A$33,0),MATCH(G273,'ei names mapping'!$B$3:$BL$3,0))</f>
        <v>kilogram</v>
      </c>
      <c r="E273" t="str">
        <f>INDEX('ei names mapping'!$B$305:$BL$335,MATCH(B$229,'ei names mapping'!$A$4:$A$33,0),MATCH(G273,'ei names mapping'!$B$3:$BL$3,0))</f>
        <v>air::urban air close to ground</v>
      </c>
      <c r="F273" t="s">
        <v>167</v>
      </c>
      <c r="G273" t="s">
        <v>544</v>
      </c>
    </row>
    <row r="274" spans="1:7" x14ac:dyDescent="0.2">
      <c r="A274" t="str">
        <f>INDEX('ei names mapping'!$B$4:$BL$33,MATCH(B$229,'ei names mapping'!$A$4:$A$33,0),MATCH(G274,'ei names mapping'!$B$3:$BL$3,0))</f>
        <v>Hexane</v>
      </c>
      <c r="B274" s="7">
        <f>INDEX('vehicles specifications'!$B$3:$CW$166,MATCH(B$232,'vehicles specifications'!$A$3:$A$166,0),MATCH(G274,'vehicles specifications'!$B$2:$CW$2,0))*INDEX('ei names mapping'!$B$137:$BL$300,MATCH(B$232,'ei names mapping'!$A$137:$A$300,0),MATCH(G274,'ei names mapping'!$B$136:$BL$136,0))</f>
        <v>2.9588530253928191E-5</v>
      </c>
      <c r="D274" t="str">
        <f>INDEX('ei names mapping'!$B$104:$BL$133,MATCH(B$229,'ei names mapping'!$A$4:$A$33,0),MATCH(G274,'ei names mapping'!$B$3:$BL$3,0))</f>
        <v>kilogram</v>
      </c>
      <c r="E274" t="str">
        <f>INDEX('ei names mapping'!$B$305:$BL$335,MATCH(B$229,'ei names mapping'!$A$4:$A$33,0),MATCH(G274,'ei names mapping'!$B$3:$BL$3,0))</f>
        <v>air::urban air close to ground</v>
      </c>
      <c r="F274" t="s">
        <v>167</v>
      </c>
      <c r="G274" t="s">
        <v>545</v>
      </c>
    </row>
    <row r="275" spans="1:7" x14ac:dyDescent="0.2">
      <c r="A275" t="str">
        <f>INDEX('ei names mapping'!$B$4:$BL$33,MATCH(B$229,'ei names mapping'!$A$4:$A$33,0),MATCH(G275,'ei names mapping'!$B$3:$BL$3,0))</f>
        <v>Cyclohexane</v>
      </c>
      <c r="B275" s="7">
        <f>INDEX('vehicles specifications'!$B$3:$CW$166,MATCH(B$232,'vehicles specifications'!$A$3:$A$166,0),MATCH(G275,'vehicles specifications'!$B$2:$CW$2,0))*INDEX('ei names mapping'!$B$137:$BL$300,MATCH(B$232,'ei names mapping'!$A$137:$A$300,0),MATCH(G275,'ei names mapping'!$B$136:$BL$136,0))</f>
        <v>2.0950884776073375E-5</v>
      </c>
      <c r="D275" t="str">
        <f>INDEX('ei names mapping'!$B$104:$BL$133,MATCH(B$229,'ei names mapping'!$A$4:$A$33,0),MATCH(G275,'ei names mapping'!$B$3:$BL$3,0))</f>
        <v>kilogram</v>
      </c>
      <c r="E275" t="str">
        <f>INDEX('ei names mapping'!$B$305:$BL$335,MATCH(B$229,'ei names mapping'!$A$4:$A$33,0),MATCH(G275,'ei names mapping'!$B$3:$BL$3,0))</f>
        <v>air::urban air close to ground</v>
      </c>
      <c r="F275" t="s">
        <v>167</v>
      </c>
      <c r="G275" t="s">
        <v>546</v>
      </c>
    </row>
    <row r="276" spans="1:7" x14ac:dyDescent="0.2">
      <c r="A276" t="str">
        <f>INDEX('ei names mapping'!$B$4:$BL$33,MATCH(B$229,'ei names mapping'!$A$4:$A$33,0),MATCH(G276,'ei names mapping'!$B$3:$BL$3,0))</f>
        <v>Heptane</v>
      </c>
      <c r="B276" s="7">
        <f>INDEX('vehicles specifications'!$B$3:$CW$166,MATCH(B$232,'vehicles specifications'!$A$3:$A$166,0),MATCH(G276,'vehicles specifications'!$B$2:$CW$2,0))*INDEX('ei names mapping'!$B$137:$BL$300,MATCH(B$232,'ei names mapping'!$A$137:$A$300,0),MATCH(G276,'ei names mapping'!$B$136:$BL$136,0))</f>
        <v>1.3599697135345875E-5</v>
      </c>
      <c r="D276" t="str">
        <f>INDEX('ei names mapping'!$B$104:$BL$133,MATCH(B$229,'ei names mapping'!$A$4:$A$33,0),MATCH(G276,'ei names mapping'!$B$3:$BL$3,0))</f>
        <v>kilogram</v>
      </c>
      <c r="E276" t="str">
        <f>INDEX('ei names mapping'!$B$305:$BL$335,MATCH(B$229,'ei names mapping'!$A$4:$A$33,0),MATCH(G276,'ei names mapping'!$B$3:$BL$3,0))</f>
        <v>air::urban air close to ground</v>
      </c>
      <c r="F276" t="s">
        <v>167</v>
      </c>
      <c r="G276" t="s">
        <v>547</v>
      </c>
    </row>
    <row r="277" spans="1:7" x14ac:dyDescent="0.2">
      <c r="A277" t="str">
        <f>INDEX('ei names mapping'!$B$4:$BL$33,MATCH(B$229,'ei names mapping'!$A$4:$A$33,0),MATCH(G277,'ei names mapping'!$B$3:$BL$3,0))</f>
        <v>Ethene</v>
      </c>
      <c r="B277" s="7">
        <f>INDEX('vehicles specifications'!$B$3:$CW$166,MATCH(B$232,'vehicles specifications'!$A$3:$A$166,0),MATCH(G277,'vehicles specifications'!$B$2:$CW$2,0))*INDEX('ei names mapping'!$B$137:$BL$300,MATCH(B$232,'ei names mapping'!$A$137:$A$300,0),MATCH(G277,'ei names mapping'!$B$136:$BL$136,0))</f>
        <v>1.3415917444327687E-4</v>
      </c>
      <c r="D277" t="str">
        <f>INDEX('ei names mapping'!$B$104:$BL$133,MATCH(B$229,'ei names mapping'!$A$4:$A$33,0),MATCH(G277,'ei names mapping'!$B$3:$BL$3,0))</f>
        <v>kilogram</v>
      </c>
      <c r="E277" t="str">
        <f>INDEX('ei names mapping'!$B$305:$BL$335,MATCH(B$229,'ei names mapping'!$A$4:$A$33,0),MATCH(G277,'ei names mapping'!$B$3:$BL$3,0))</f>
        <v>air::urban air close to ground</v>
      </c>
      <c r="F277" t="s">
        <v>167</v>
      </c>
      <c r="G277" t="s">
        <v>548</v>
      </c>
    </row>
    <row r="278" spans="1:7" x14ac:dyDescent="0.2">
      <c r="A278" t="str">
        <f>INDEX('ei names mapping'!$B$4:$BL$33,MATCH(B$229,'ei names mapping'!$A$4:$A$33,0),MATCH(G278,'ei names mapping'!$B$3:$BL$3,0))</f>
        <v>Propene</v>
      </c>
      <c r="B278" s="7">
        <f>INDEX('vehicles specifications'!$B$3:$CW$166,MATCH(B$232,'vehicles specifications'!$A$3:$A$166,0),MATCH(G278,'vehicles specifications'!$B$2:$CW$2,0))*INDEX('ei names mapping'!$B$137:$BL$300,MATCH(B$232,'ei names mapping'!$A$137:$A$300,0),MATCH(G278,'ei names mapping'!$B$136:$BL$136,0))</f>
        <v>7.0203841968947625E-5</v>
      </c>
      <c r="D278" t="str">
        <f>INDEX('ei names mapping'!$B$104:$BL$133,MATCH(B$229,'ei names mapping'!$A$4:$A$33,0),MATCH(G278,'ei names mapping'!$B$3:$BL$3,0))</f>
        <v>kilogram</v>
      </c>
      <c r="E278" t="str">
        <f>INDEX('ei names mapping'!$B$305:$BL$335,MATCH(B$229,'ei names mapping'!$A$4:$A$33,0),MATCH(G278,'ei names mapping'!$B$3:$BL$3,0))</f>
        <v>air::urban air close to ground</v>
      </c>
      <c r="F278" t="s">
        <v>167</v>
      </c>
      <c r="G278" t="s">
        <v>549</v>
      </c>
    </row>
    <row r="279" spans="1:7" x14ac:dyDescent="0.2">
      <c r="A279" t="str">
        <f>INDEX('ei names mapping'!$B$4:$BL$33,MATCH(B$229,'ei names mapping'!$A$4:$A$33,0),MATCH(G279,'ei names mapping'!$B$3:$BL$3,0))</f>
        <v>1-Pentene</v>
      </c>
      <c r="B279" s="7">
        <f>INDEX('vehicles specifications'!$B$3:$CW$166,MATCH(B$232,'vehicles specifications'!$A$3:$A$166,0),MATCH(G279,'vehicles specifications'!$B$2:$CW$2,0))*INDEX('ei names mapping'!$B$137:$BL$300,MATCH(B$232,'ei names mapping'!$A$137:$A$300,0),MATCH(G279,'ei names mapping'!$B$136:$BL$136,0))</f>
        <v>2.0215766012000624E-6</v>
      </c>
      <c r="D279" t="str">
        <f>INDEX('ei names mapping'!$B$104:$BL$133,MATCH(B$229,'ei names mapping'!$A$4:$A$33,0),MATCH(G279,'ei names mapping'!$B$3:$BL$3,0))</f>
        <v>kilogram</v>
      </c>
      <c r="E279" t="str">
        <f>INDEX('ei names mapping'!$B$305:$BL$335,MATCH(B$229,'ei names mapping'!$A$4:$A$33,0),MATCH(G279,'ei names mapping'!$B$3:$BL$3,0))</f>
        <v>air::urban air close to ground</v>
      </c>
      <c r="F279" t="s">
        <v>167</v>
      </c>
      <c r="G279" t="s">
        <v>550</v>
      </c>
    </row>
    <row r="280" spans="1:7" x14ac:dyDescent="0.2">
      <c r="A280" t="str">
        <f>INDEX('ei names mapping'!$B$4:$BL$33,MATCH(B$229,'ei names mapping'!$A$4:$A$33,0),MATCH(G280,'ei names mapping'!$B$3:$BL$3,0))</f>
        <v>Toluene</v>
      </c>
      <c r="B280" s="7">
        <f>INDEX('vehicles specifications'!$B$3:$CW$166,MATCH(B$232,'vehicles specifications'!$A$3:$A$166,0),MATCH(G280,'vehicles specifications'!$B$2:$CW$2,0))*INDEX('ei names mapping'!$B$137:$BL$300,MATCH(B$232,'ei names mapping'!$A$137:$A$300,0),MATCH(G280,'ei names mapping'!$B$136:$BL$136,0))</f>
        <v>2.0179010073796986E-4</v>
      </c>
      <c r="D280" t="str">
        <f>INDEX('ei names mapping'!$B$104:$BL$133,MATCH(B$229,'ei names mapping'!$A$4:$A$33,0),MATCH(G280,'ei names mapping'!$B$3:$BL$3,0))</f>
        <v>kilogram</v>
      </c>
      <c r="E280" t="str">
        <f>INDEX('ei names mapping'!$B$305:$BL$335,MATCH(B$229,'ei names mapping'!$A$4:$A$33,0),MATCH(G280,'ei names mapping'!$B$3:$BL$3,0))</f>
        <v>air::urban air close to ground</v>
      </c>
      <c r="F280" t="s">
        <v>167</v>
      </c>
      <c r="G280" t="s">
        <v>551</v>
      </c>
    </row>
    <row r="281" spans="1:7" x14ac:dyDescent="0.2">
      <c r="A281" t="str">
        <f>INDEX('ei names mapping'!$B$4:$BL$33,MATCH(B$229,'ei names mapping'!$A$4:$A$33,0),MATCH(G281,'ei names mapping'!$B$3:$BL$3,0))</f>
        <v>m-Xylene</v>
      </c>
      <c r="B281" s="7">
        <f>INDEX('vehicles specifications'!$B$3:$CW$166,MATCH(B$232,'vehicles specifications'!$A$3:$A$166,0),MATCH(G281,'vehicles specifications'!$B$2:$CW$2,0))*INDEX('ei names mapping'!$B$137:$BL$300,MATCH(B$232,'ei names mapping'!$A$137:$A$300,0),MATCH(G281,'ei names mapping'!$B$136:$BL$136,0))</f>
        <v>9.9792372222875822E-5</v>
      </c>
      <c r="D281" t="str">
        <f>INDEX('ei names mapping'!$B$104:$BL$133,MATCH(B$229,'ei names mapping'!$A$4:$A$33,0),MATCH(G281,'ei names mapping'!$B$3:$BL$3,0))</f>
        <v>kilogram</v>
      </c>
      <c r="E281" t="str">
        <f>INDEX('ei names mapping'!$B$305:$BL$335,MATCH(B$229,'ei names mapping'!$A$4:$A$33,0),MATCH(G281,'ei names mapping'!$B$3:$BL$3,0))</f>
        <v>air::urban air close to ground</v>
      </c>
      <c r="F281" t="s">
        <v>167</v>
      </c>
      <c r="G281" t="s">
        <v>552</v>
      </c>
    </row>
    <row r="282" spans="1:7" x14ac:dyDescent="0.2">
      <c r="A282" t="str">
        <f>INDEX('ei names mapping'!$B$4:$BL$33,MATCH(B$229,'ei names mapping'!$A$4:$A$33,0),MATCH(G282,'ei names mapping'!$B$3:$BL$3,0))</f>
        <v>o-Xylene</v>
      </c>
      <c r="B282" s="7">
        <f>INDEX('vehicles specifications'!$B$3:$CW$166,MATCH(B$232,'vehicles specifications'!$A$3:$A$166,0),MATCH(G282,'vehicles specifications'!$B$2:$CW$2,0))*INDEX('ei names mapping'!$B$137:$BL$300,MATCH(B$232,'ei names mapping'!$A$137:$A$300,0),MATCH(G282,'ei names mapping'!$B$136:$BL$136,0))</f>
        <v>4.1534210170110372E-5</v>
      </c>
      <c r="D282" t="str">
        <f>INDEX('ei names mapping'!$B$104:$BL$133,MATCH(B$229,'ei names mapping'!$A$4:$A$33,0),MATCH(G282,'ei names mapping'!$B$3:$BL$3,0))</f>
        <v>kilogram</v>
      </c>
      <c r="E282" t="str">
        <f>INDEX('ei names mapping'!$B$305:$BL$335,MATCH(B$229,'ei names mapping'!$A$4:$A$33,0),MATCH(G282,'ei names mapping'!$B$3:$BL$3,0))</f>
        <v>air::urban air close to ground</v>
      </c>
      <c r="F282" t="s">
        <v>167</v>
      </c>
      <c r="G282" t="s">
        <v>553</v>
      </c>
    </row>
    <row r="283" spans="1:7" x14ac:dyDescent="0.2">
      <c r="A283" t="str">
        <f>INDEX('ei names mapping'!$B$4:$BL$33,MATCH(B$229,'ei names mapping'!$A$4:$A$33,0),MATCH(G283,'ei names mapping'!$B$3:$BL$3,0))</f>
        <v>Formaldehyde</v>
      </c>
      <c r="B283" s="7">
        <f>INDEX('vehicles specifications'!$B$3:$CW$166,MATCH(B$232,'vehicles specifications'!$A$3:$A$166,0),MATCH(G283,'vehicles specifications'!$B$2:$CW$2,0))*INDEX('ei names mapping'!$B$137:$BL$300,MATCH(B$232,'ei names mapping'!$A$137:$A$300,0),MATCH(G283,'ei names mapping'!$B$136:$BL$136,0))</f>
        <v>3.1242547473091882E-5</v>
      </c>
      <c r="D283" t="str">
        <f>INDEX('ei names mapping'!$B$104:$BL$133,MATCH(B$229,'ei names mapping'!$A$4:$A$33,0),MATCH(G283,'ei names mapping'!$B$3:$BL$3,0))</f>
        <v>kilogram</v>
      </c>
      <c r="E283" t="str">
        <f>INDEX('ei names mapping'!$B$305:$BL$335,MATCH(B$229,'ei names mapping'!$A$4:$A$33,0),MATCH(G283,'ei names mapping'!$B$3:$BL$3,0))</f>
        <v>air::urban air close to ground</v>
      </c>
      <c r="F283" t="s">
        <v>167</v>
      </c>
      <c r="G283" t="s">
        <v>554</v>
      </c>
    </row>
    <row r="284" spans="1:7" x14ac:dyDescent="0.2">
      <c r="A284" t="str">
        <f>INDEX('ei names mapping'!$B$4:$BL$33,MATCH(B$229,'ei names mapping'!$A$4:$A$33,0),MATCH(G284,'ei names mapping'!$B$3:$BL$3,0))</f>
        <v>Acetaldehyde</v>
      </c>
      <c r="B284" s="7">
        <f>INDEX('vehicles specifications'!$B$3:$CW$166,MATCH(B$232,'vehicles specifications'!$A$3:$A$166,0),MATCH(G284,'vehicles specifications'!$B$2:$CW$2,0))*INDEX('ei names mapping'!$B$137:$BL$300,MATCH(B$232,'ei names mapping'!$A$137:$A$300,0),MATCH(G284,'ei names mapping'!$B$136:$BL$136,0))</f>
        <v>1.3783476826364063E-5</v>
      </c>
      <c r="D284" t="str">
        <f>INDEX('ei names mapping'!$B$104:$BL$133,MATCH(B$229,'ei names mapping'!$A$4:$A$33,0),MATCH(G284,'ei names mapping'!$B$3:$BL$3,0))</f>
        <v>kilogram</v>
      </c>
      <c r="E284" t="str">
        <f>INDEX('ei names mapping'!$B$305:$BL$335,MATCH(B$229,'ei names mapping'!$A$4:$A$33,0),MATCH(G284,'ei names mapping'!$B$3:$BL$3,0))</f>
        <v>air::urban air close to ground</v>
      </c>
      <c r="F284" t="s">
        <v>167</v>
      </c>
      <c r="G284" t="s">
        <v>555</v>
      </c>
    </row>
    <row r="285" spans="1:7" x14ac:dyDescent="0.2">
      <c r="A285" t="str">
        <f>INDEX('ei names mapping'!$B$4:$BL$33,MATCH(B$229,'ei names mapping'!$A$4:$A$33,0),MATCH(G285,'ei names mapping'!$B$3:$BL$3,0))</f>
        <v>Benzaldehyde</v>
      </c>
      <c r="B285" s="7">
        <f>INDEX('vehicles specifications'!$B$3:$CW$166,MATCH(B$232,'vehicles specifications'!$A$3:$A$166,0),MATCH(G285,'vehicles specifications'!$B$2:$CW$2,0))*INDEX('ei names mapping'!$B$137:$BL$300,MATCH(B$232,'ei names mapping'!$A$137:$A$300,0),MATCH(G285,'ei names mapping'!$B$136:$BL$136,0))</f>
        <v>4.0431532024001248E-6</v>
      </c>
      <c r="D285" t="str">
        <f>INDEX('ei names mapping'!$B$104:$BL$133,MATCH(B$229,'ei names mapping'!$A$4:$A$33,0),MATCH(G285,'ei names mapping'!$B$3:$BL$3,0))</f>
        <v>kilogram</v>
      </c>
      <c r="E285" t="str">
        <f>INDEX('ei names mapping'!$B$305:$BL$335,MATCH(B$229,'ei names mapping'!$A$4:$A$33,0),MATCH(G285,'ei names mapping'!$B$3:$BL$3,0))</f>
        <v>air::urban air close to ground</v>
      </c>
      <c r="F285" t="s">
        <v>167</v>
      </c>
      <c r="G285" t="s">
        <v>556</v>
      </c>
    </row>
    <row r="286" spans="1:7" x14ac:dyDescent="0.2">
      <c r="A286" t="str">
        <f>INDEX('ei names mapping'!$B$4:$BL$33,MATCH(B$229,'ei names mapping'!$A$4:$A$33,0),MATCH(G286,'ei names mapping'!$B$3:$BL$3,0))</f>
        <v>Acetone</v>
      </c>
      <c r="B286" s="7">
        <f>INDEX('vehicles specifications'!$B$3:$CW$166,MATCH(B$232,'vehicles specifications'!$A$3:$A$166,0),MATCH(G286,'vehicles specifications'!$B$2:$CW$2,0))*INDEX('ei names mapping'!$B$137:$BL$300,MATCH(B$232,'ei names mapping'!$A$137:$A$300,0),MATCH(G286,'ei names mapping'!$B$136:$BL$136,0))</f>
        <v>1.1210561152109439E-5</v>
      </c>
      <c r="D286" t="str">
        <f>INDEX('ei names mapping'!$B$104:$BL$133,MATCH(B$229,'ei names mapping'!$A$4:$A$33,0),MATCH(G286,'ei names mapping'!$B$3:$BL$3,0))</f>
        <v>kilogram</v>
      </c>
      <c r="E286" t="str">
        <f>INDEX('ei names mapping'!$B$305:$BL$335,MATCH(B$229,'ei names mapping'!$A$4:$A$33,0),MATCH(G286,'ei names mapping'!$B$3:$BL$3,0))</f>
        <v>air::urban air close to ground</v>
      </c>
      <c r="F286" t="s">
        <v>167</v>
      </c>
      <c r="G286" t="s">
        <v>557</v>
      </c>
    </row>
    <row r="287" spans="1:7" x14ac:dyDescent="0.2">
      <c r="A287" t="str">
        <f>INDEX('ei names mapping'!$B$4:$BL$33,MATCH(B$229,'ei names mapping'!$A$4:$A$33,0),MATCH(G287,'ei names mapping'!$B$3:$BL$3,0))</f>
        <v>Methyl ethyl ketone</v>
      </c>
      <c r="B287" s="7">
        <f>INDEX('vehicles specifications'!$B$3:$CW$166,MATCH(B$232,'vehicles specifications'!$A$3:$A$166,0),MATCH(G287,'vehicles specifications'!$B$2:$CW$2,0))*INDEX('ei names mapping'!$B$137:$BL$300,MATCH(B$232,'ei names mapping'!$A$137:$A$300,0),MATCH(G287,'ei names mapping'!$B$136:$BL$136,0))</f>
        <v>9.1889845509093757E-7</v>
      </c>
      <c r="D287" t="str">
        <f>INDEX('ei names mapping'!$B$104:$BL$133,MATCH(B$229,'ei names mapping'!$A$4:$A$33,0),MATCH(G287,'ei names mapping'!$B$3:$BL$3,0))</f>
        <v>kilogram</v>
      </c>
      <c r="E287" t="str">
        <f>INDEX('ei names mapping'!$B$305:$BL$335,MATCH(B$229,'ei names mapping'!$A$4:$A$33,0),MATCH(G287,'ei names mapping'!$B$3:$BL$3,0))</f>
        <v>air::urban air close to ground</v>
      </c>
      <c r="F287" t="s">
        <v>167</v>
      </c>
      <c r="G287" t="s">
        <v>560</v>
      </c>
    </row>
    <row r="288" spans="1:7" x14ac:dyDescent="0.2">
      <c r="A288" t="str">
        <f>INDEX('ei names mapping'!$B$4:$BL$33,MATCH(B$229,'ei names mapping'!$A$4:$A$33,0),MATCH(G288,'ei names mapping'!$B$3:$BL$3,0))</f>
        <v>Acrolein</v>
      </c>
      <c r="B288" s="7">
        <f>INDEX('vehicles specifications'!$B$3:$CW$166,MATCH(B$232,'vehicles specifications'!$A$3:$A$166,0),MATCH(G288,'vehicles specifications'!$B$2:$CW$2,0))*INDEX('ei names mapping'!$B$137:$BL$300,MATCH(B$232,'ei names mapping'!$A$137:$A$300,0),MATCH(G288,'ei names mapping'!$B$136:$BL$136,0))</f>
        <v>3.4918141293455624E-6</v>
      </c>
      <c r="D288" t="str">
        <f>INDEX('ei names mapping'!$B$104:$BL$133,MATCH(B$229,'ei names mapping'!$A$4:$A$33,0),MATCH(G288,'ei names mapping'!$B$3:$BL$3,0))</f>
        <v>kilogram</v>
      </c>
      <c r="E288" t="str">
        <f>INDEX('ei names mapping'!$B$305:$BL$335,MATCH(B$229,'ei names mapping'!$A$4:$A$33,0),MATCH(G288,'ei names mapping'!$B$3:$BL$3,0))</f>
        <v>air::urban air close to ground</v>
      </c>
      <c r="F288" t="s">
        <v>167</v>
      </c>
      <c r="G288" t="s">
        <v>558</v>
      </c>
    </row>
    <row r="289" spans="1:8" x14ac:dyDescent="0.2">
      <c r="A289" t="str">
        <f>INDEX('ei names mapping'!$B$4:$BL$33,MATCH(B$229,'ei names mapping'!$A$4:$A$33,0),MATCH(G289,'ei names mapping'!$B$3:$BL$3,0))</f>
        <v>Styrene</v>
      </c>
      <c r="B289" s="7">
        <f>INDEX('vehicles specifications'!$B$3:$CW$166,MATCH(B$232,'vehicles specifications'!$A$3:$A$166,0),MATCH(G289,'vehicles specifications'!$B$2:$CW$2,0))*INDEX('ei names mapping'!$B$137:$BL$300,MATCH(B$232,'ei names mapping'!$A$137:$A$300,0),MATCH(G289,'ei names mapping'!$B$136:$BL$136,0))</f>
        <v>1.8561748792836937E-5</v>
      </c>
      <c r="D289" t="str">
        <f>INDEX('ei names mapping'!$B$104:$BL$133,MATCH(B$229,'ei names mapping'!$A$4:$A$33,0),MATCH(G289,'ei names mapping'!$B$3:$BL$3,0))</f>
        <v>kilogram</v>
      </c>
      <c r="E289" t="str">
        <f>INDEX('ei names mapping'!$B$305:$BL$335,MATCH(B$229,'ei names mapping'!$A$4:$A$33,0),MATCH(G289,'ei names mapping'!$B$3:$BL$3,0))</f>
        <v>air::urban air close to ground</v>
      </c>
      <c r="F289" t="s">
        <v>167</v>
      </c>
      <c r="G289" t="s">
        <v>559</v>
      </c>
    </row>
    <row r="290" spans="1:8" x14ac:dyDescent="0.2">
      <c r="A290" t="str">
        <f>INDEX('ei names mapping'!$B$4:$BL$33,MATCH(B$229,'ei names mapping'!$A$4:$A$33,0),MATCH(G290,'ei names mapping'!$B$3:$BL$3,0))</f>
        <v>PAH, polycyclic aromatic hydrocarbons</v>
      </c>
      <c r="B290" s="7">
        <f>INDEX('vehicles specifications'!$B$3:$CW$166,MATCH(B$232,'vehicles specifications'!$A$3:$A$166,0),MATCH(G290,'vehicles specifications'!$B$2:$CW$2,0))*INDEX('ei names mapping'!$B$137:$BL$300,MATCH(B$232,'ei names mapping'!$A$137:$A$300,0),MATCH(G290,'ei names mapping'!$B$136:$BL$136,0))</f>
        <v>6.8740409973258097E-10</v>
      </c>
      <c r="D290" t="str">
        <f>INDEX('ei names mapping'!$B$104:$BL$133,MATCH(B$229,'ei names mapping'!$A$4:$A$33,0),MATCH(G290,'ei names mapping'!$B$3:$BL$3,0))</f>
        <v>kilogram</v>
      </c>
      <c r="E290" t="str">
        <f>INDEX('ei names mapping'!$B$305:$BL$335,MATCH(B$229,'ei names mapping'!$A$4:$A$33,0),MATCH(G290,'ei names mapping'!$B$3:$BL$3,0))</f>
        <v>air::urban air close to ground</v>
      </c>
      <c r="F290" t="s">
        <v>167</v>
      </c>
      <c r="G290" t="s">
        <v>561</v>
      </c>
    </row>
    <row r="291" spans="1:8" x14ac:dyDescent="0.2">
      <c r="A291" t="str">
        <f>INDEX('ei names mapping'!$B$4:$BL$33,MATCH(B$229,'ei names mapping'!$A$4:$A$33,0),MATCH(G291,'ei names mapping'!$B$3:$BL$3,0))</f>
        <v>Arsenic</v>
      </c>
      <c r="B291" s="7">
        <f>INDEX('vehicles specifications'!$B$3:$CW$166,MATCH(B$232,'vehicles specifications'!$A$3:$A$166,0),MATCH(G291,'vehicles specifications'!$B$2:$CW$2,0))*INDEX('ei names mapping'!$B$137:$BL$300,MATCH(B$232,'ei names mapping'!$A$137:$A$300,0),MATCH(G291,'ei names mapping'!$B$136:$BL$136,0))</f>
        <v>5.9258974114877665E-12</v>
      </c>
      <c r="D291" t="str">
        <f>INDEX('ei names mapping'!$B$104:$BL$133,MATCH(B$229,'ei names mapping'!$A$4:$A$33,0),MATCH(G291,'ei names mapping'!$B$3:$BL$3,0))</f>
        <v>kilogram</v>
      </c>
      <c r="E291" t="str">
        <f>INDEX('ei names mapping'!$B$305:$BL$335,MATCH(B$229,'ei names mapping'!$A$4:$A$33,0),MATCH(G291,'ei names mapping'!$B$3:$BL$3,0))</f>
        <v>air::urban air close to ground</v>
      </c>
      <c r="F291" t="s">
        <v>167</v>
      </c>
      <c r="G291" t="s">
        <v>562</v>
      </c>
    </row>
    <row r="292" spans="1:8" x14ac:dyDescent="0.2">
      <c r="A292" t="str">
        <f>INDEX('ei names mapping'!$B$4:$BL$33,MATCH(B$229,'ei names mapping'!$A$4:$A$33,0),MATCH(G292,'ei names mapping'!$B$3:$BL$3,0))</f>
        <v>Selenium</v>
      </c>
      <c r="B292" s="7">
        <f>INDEX('vehicles specifications'!$B$3:$CW$166,MATCH(B$232,'vehicles specifications'!$A$3:$A$166,0),MATCH(G292,'vehicles specifications'!$B$2:$CW$2,0))*INDEX('ei names mapping'!$B$137:$BL$300,MATCH(B$232,'ei names mapping'!$A$137:$A$300,0),MATCH(G292,'ei names mapping'!$B$136:$BL$136,0))</f>
        <v>3.9505982743251777E-12</v>
      </c>
      <c r="D292" t="str">
        <f>INDEX('ei names mapping'!$B$104:$BL$133,MATCH(B$229,'ei names mapping'!$A$4:$A$33,0),MATCH(G292,'ei names mapping'!$B$3:$BL$3,0))</f>
        <v>kilogram</v>
      </c>
      <c r="E292" t="str">
        <f>INDEX('ei names mapping'!$B$305:$BL$335,MATCH(B$229,'ei names mapping'!$A$4:$A$33,0),MATCH(G292,'ei names mapping'!$B$3:$BL$3,0))</f>
        <v>air::urban air close to ground</v>
      </c>
      <c r="F292" t="s">
        <v>167</v>
      </c>
      <c r="G292" t="s">
        <v>563</v>
      </c>
    </row>
    <row r="293" spans="1:8" x14ac:dyDescent="0.2">
      <c r="A293" t="str">
        <f>INDEX('ei names mapping'!$B$4:$BL$33,MATCH(B$229,'ei names mapping'!$A$4:$A$33,0),MATCH(G293,'ei names mapping'!$B$3:$BL$3,0))</f>
        <v>Zinc</v>
      </c>
      <c r="B293" s="7">
        <f>INDEX('vehicles specifications'!$B$3:$CW$166,MATCH(B$232,'vehicles specifications'!$A$3:$A$166,0),MATCH(G293,'vehicles specifications'!$B$2:$CW$2,0))*INDEX('ei names mapping'!$B$137:$BL$300,MATCH(B$232,'ei names mapping'!$A$137:$A$300,0),MATCH(G293,'ei names mapping'!$B$136:$BL$136,0))</f>
        <v>4.2666461362711927E-8</v>
      </c>
      <c r="D293" t="str">
        <f>INDEX('ei names mapping'!$B$104:$BL$133,MATCH(B$229,'ei names mapping'!$A$4:$A$33,0),MATCH(G293,'ei names mapping'!$B$3:$BL$3,0))</f>
        <v>kilogram</v>
      </c>
      <c r="E293" t="str">
        <f>INDEX('ei names mapping'!$B$305:$BL$335,MATCH(B$229,'ei names mapping'!$A$4:$A$33,0),MATCH(G293,'ei names mapping'!$B$3:$BL$3,0))</f>
        <v>air::urban air close to ground</v>
      </c>
      <c r="F293" t="s">
        <v>167</v>
      </c>
      <c r="G293" t="s">
        <v>564</v>
      </c>
    </row>
    <row r="294" spans="1:8" x14ac:dyDescent="0.2">
      <c r="A294" t="str">
        <f>INDEX('ei names mapping'!$B$4:$BL$33,MATCH(B$229,'ei names mapping'!$A$4:$A$33,0),MATCH(G294,'ei names mapping'!$B$3:$BL$3,0))</f>
        <v>Copper</v>
      </c>
      <c r="B294" s="7">
        <f>INDEX('vehicles specifications'!$B$3:$CW$166,MATCH(B$232,'vehicles specifications'!$A$3:$A$166,0),MATCH(G294,'vehicles specifications'!$B$2:$CW$2,0))*INDEX('ei names mapping'!$B$137:$BL$300,MATCH(B$232,'ei names mapping'!$A$137:$A$300,0),MATCH(G294,'ei names mapping'!$B$136:$BL$136,0))</f>
        <v>8.2962563760828726E-10</v>
      </c>
      <c r="D294" t="str">
        <f>INDEX('ei names mapping'!$B$104:$BL$133,MATCH(B$229,'ei names mapping'!$A$4:$A$33,0),MATCH(G294,'ei names mapping'!$B$3:$BL$3,0))</f>
        <v>kilogram</v>
      </c>
      <c r="E294" t="str">
        <f>INDEX('ei names mapping'!$B$305:$BL$335,MATCH(B$229,'ei names mapping'!$A$4:$A$33,0),MATCH(G294,'ei names mapping'!$B$3:$BL$3,0))</f>
        <v>air::urban air close to ground</v>
      </c>
      <c r="F294" t="s">
        <v>167</v>
      </c>
      <c r="G294" t="s">
        <v>522</v>
      </c>
    </row>
    <row r="295" spans="1:8" x14ac:dyDescent="0.2">
      <c r="A295" t="str">
        <f>INDEX('ei names mapping'!$B$4:$BL$33,MATCH(B$229,'ei names mapping'!$A$4:$A$33,0),MATCH(G295,'ei names mapping'!$B$3:$BL$3,0))</f>
        <v>Nickel</v>
      </c>
      <c r="B295" s="7">
        <f>INDEX('vehicles specifications'!$B$3:$CW$166,MATCH(B$232,'vehicles specifications'!$A$3:$A$166,0),MATCH(G295,'vehicles specifications'!$B$2:$CW$2,0))*INDEX('ei names mapping'!$B$137:$BL$300,MATCH(B$232,'ei names mapping'!$A$137:$A$300,0),MATCH(G295,'ei names mapping'!$B$136:$BL$136,0))</f>
        <v>2.5678888783113659E-10</v>
      </c>
      <c r="D295" t="str">
        <f>INDEX('ei names mapping'!$B$104:$BL$133,MATCH(B$229,'ei names mapping'!$A$4:$A$33,0),MATCH(G295,'ei names mapping'!$B$3:$BL$3,0))</f>
        <v>kilogram</v>
      </c>
      <c r="E295" t="str">
        <f>INDEX('ei names mapping'!$B$305:$BL$335,MATCH(B$229,'ei names mapping'!$A$4:$A$33,0),MATCH(G295,'ei names mapping'!$B$3:$BL$3,0))</f>
        <v>air::urban air close to ground</v>
      </c>
      <c r="F295" t="s">
        <v>167</v>
      </c>
      <c r="G295" t="s">
        <v>524</v>
      </c>
    </row>
    <row r="296" spans="1:8" x14ac:dyDescent="0.2">
      <c r="A296" t="str">
        <f>INDEX('ei names mapping'!$B$4:$BL$33,MATCH(B$229,'ei names mapping'!$A$4:$A$33,0),MATCH(G296,'ei names mapping'!$B$3:$BL$3,0))</f>
        <v>Chromium</v>
      </c>
      <c r="B296" s="7">
        <f>INDEX('vehicles specifications'!$B$3:$CW$166,MATCH(B$232,'vehicles specifications'!$A$3:$A$166,0),MATCH(G296,'vehicles specifications'!$B$2:$CW$2,0))*INDEX('ei names mapping'!$B$137:$BL$300,MATCH(B$232,'ei names mapping'!$A$137:$A$300,0),MATCH(G296,'ei names mapping'!$B$136:$BL$136,0))</f>
        <v>3.1604786194601424E-10</v>
      </c>
      <c r="D296" t="str">
        <f>INDEX('ei names mapping'!$B$104:$BL$133,MATCH(B$229,'ei names mapping'!$A$4:$A$33,0),MATCH(G296,'ei names mapping'!$B$3:$BL$3,0))</f>
        <v>kilogram</v>
      </c>
      <c r="E296" t="str">
        <f>INDEX('ei names mapping'!$B$305:$BL$335,MATCH(B$229,'ei names mapping'!$A$4:$A$33,0),MATCH(G296,'ei names mapping'!$B$3:$BL$3,0))</f>
        <v>air::urban air close to ground</v>
      </c>
      <c r="F296" t="s">
        <v>167</v>
      </c>
      <c r="G296" t="s">
        <v>523</v>
      </c>
    </row>
    <row r="297" spans="1:8" x14ac:dyDescent="0.2">
      <c r="A297" t="str">
        <f>INDEX('ei names mapping'!$B$4:$BL$33,MATCH(B$229,'ei names mapping'!$A$4:$A$33,0),MATCH(G297,'ei names mapping'!$B$3:$BL$3,0))</f>
        <v>Chromium VI</v>
      </c>
      <c r="B297" s="7">
        <f>INDEX('vehicles specifications'!$B$3:$CW$166,MATCH(B$232,'vehicles specifications'!$A$3:$A$166,0),MATCH(G297,'vehicles specifications'!$B$2:$CW$2,0))*INDEX('ei names mapping'!$B$137:$BL$300,MATCH(B$232,'ei names mapping'!$A$137:$A$300,0),MATCH(G297,'ei names mapping'!$B$136:$BL$136,0))</f>
        <v>6.3209572389202838E-13</v>
      </c>
      <c r="D297" t="str">
        <f>INDEX('ei names mapping'!$B$104:$BL$133,MATCH(B$229,'ei names mapping'!$A$4:$A$33,0),MATCH(G297,'ei names mapping'!$B$3:$BL$3,0))</f>
        <v>kilogram</v>
      </c>
      <c r="E297" t="str">
        <f>INDEX('ei names mapping'!$B$305:$BL$335,MATCH(B$229,'ei names mapping'!$A$4:$A$33,0),MATCH(G297,'ei names mapping'!$B$3:$BL$3,0))</f>
        <v>air::urban air close to ground</v>
      </c>
      <c r="F297" t="s">
        <v>167</v>
      </c>
      <c r="G297" t="s">
        <v>567</v>
      </c>
    </row>
    <row r="298" spans="1:8" x14ac:dyDescent="0.2">
      <c r="A298" t="str">
        <f>INDEX('ei names mapping'!$B$4:$BL$33,MATCH(B$229,'ei names mapping'!$A$4:$A$33,0),MATCH(G298,'ei names mapping'!$B$3:$BL$3,0))</f>
        <v>Mercury</v>
      </c>
      <c r="B298" s="7">
        <f>INDEX('vehicles specifications'!$B$3:$CW$166,MATCH(B$232,'vehicles specifications'!$A$3:$A$166,0),MATCH(G298,'vehicles specifications'!$B$2:$CW$2,0))*INDEX('ei names mapping'!$B$137:$BL$300,MATCH(B$232,'ei names mapping'!$A$137:$A$300,0),MATCH(G298,'ei names mapping'!$B$136:$BL$136,0))</f>
        <v>1.7185102493314524E-10</v>
      </c>
      <c r="D298" t="str">
        <f>INDEX('ei names mapping'!$B$104:$BL$133,MATCH(B$229,'ei names mapping'!$A$4:$A$33,0),MATCH(G298,'ei names mapping'!$B$3:$BL$3,0))</f>
        <v>kilogram</v>
      </c>
      <c r="E298" t="str">
        <f>INDEX('ei names mapping'!$B$305:$BL$335,MATCH(B$229,'ei names mapping'!$A$4:$A$33,0),MATCH(G298,'ei names mapping'!$B$3:$BL$3,0))</f>
        <v>air::urban air close to ground</v>
      </c>
      <c r="F298" t="s">
        <v>167</v>
      </c>
      <c r="G298" t="s">
        <v>565</v>
      </c>
    </row>
    <row r="299" spans="1:8" x14ac:dyDescent="0.2">
      <c r="A299" t="str">
        <f>INDEX('ei names mapping'!$B$4:$BL$33,MATCH(B$229,'ei names mapping'!$A$4:$A$33,0),MATCH(G299,'ei names mapping'!$B$3:$BL$3,0))</f>
        <v>Cadmium</v>
      </c>
      <c r="B299" s="7">
        <f>INDEX('vehicles specifications'!$B$3:$CW$166,MATCH(B$232,'vehicles specifications'!$A$3:$A$166,0),MATCH(G299,'vehicles specifications'!$B$2:$CW$2,0))*INDEX('ei names mapping'!$B$137:$BL$300,MATCH(B$232,'ei names mapping'!$A$137:$A$300,0),MATCH(G299,'ei names mapping'!$B$136:$BL$136,0))</f>
        <v>2.1333230681355966E-10</v>
      </c>
      <c r="D299" t="str">
        <f>INDEX('ei names mapping'!$B$104:$BL$133,MATCH(B$229,'ei names mapping'!$A$4:$A$33,0),MATCH(G299,'ei names mapping'!$B$3:$BL$3,0))</f>
        <v>kilogram</v>
      </c>
      <c r="E299" t="str">
        <f>INDEX('ei names mapping'!$B$305:$BL$335,MATCH(B$229,'ei names mapping'!$A$4:$A$33,0),MATCH(G299,'ei names mapping'!$B$3:$BL$3,0))</f>
        <v>air::urban air close to ground</v>
      </c>
      <c r="F299" t="s">
        <v>167</v>
      </c>
      <c r="G299" t="s">
        <v>566</v>
      </c>
    </row>
    <row r="300" spans="1:8" x14ac:dyDescent="0.2">
      <c r="A300" t="str">
        <f>INDEX('ei names mapping'!$B$4:$BL$33,MATCH(B229,'ei names mapping'!$A$4:$A$33,0),MATCH(G300,'ei names mapping'!$B$3:$BL$3,0))</f>
        <v>treatment of road wear emissions, passenger car</v>
      </c>
      <c r="B300" s="7">
        <f>INDEX('vehicles specifications'!$B$3:$CW$166,MATCH(B232,'vehicles specifications'!$A$3:$A$166,0),MATCH(G300,'vehicles specifications'!$B$2:$CW$2,0))*INDEX('ei names mapping'!$B$137:$BL$300,MATCH(B232,'ei names mapping'!$A$137:$A$300,0),MATCH(G300,'ei names mapping'!$B$136:$BL$136,0))</f>
        <v>-5.5602526913109987E-6</v>
      </c>
      <c r="C300" t="str">
        <f>INDEX('ei names mapping'!$B$38:$BL$67,MATCH(B229,'ei names mapping'!$A$4:$A$33,0),MATCH(G300,'ei names mapping'!$B$3:$BL$3,0))</f>
        <v>RER</v>
      </c>
      <c r="D300" t="str">
        <f>INDEX('ei names mapping'!$B$104:$BL$133,MATCH(B229,'ei names mapping'!$A$4:$A$33,0),MATCH(G300,'ei names mapping'!$B$3:$BL$3,0))</f>
        <v>kilogram</v>
      </c>
      <c r="F300" t="s">
        <v>89</v>
      </c>
      <c r="G300" t="s">
        <v>29</v>
      </c>
      <c r="H300" t="str">
        <f>INDEX('ei names mapping'!$B$71:$BL$100,MATCH(B229,'ei names mapping'!$A$4:$A$33,0),MATCH(G300,'ei names mapping'!$B$3:$BL$3,0))</f>
        <v>road wear emissions, passenger car</v>
      </c>
    </row>
    <row r="301" spans="1:8" x14ac:dyDescent="0.2">
      <c r="A301" t="str">
        <f>INDEX('ei names mapping'!$B$4:$BL$33,MATCH(B229,'ei names mapping'!$A$4:$A$33,0),MATCH(G301,'ei names mapping'!$B$3:$BL$3,0))</f>
        <v>treatment of tyre wear emissions, passenger car</v>
      </c>
      <c r="B301" s="7">
        <f>INDEX('vehicles specifications'!$B$3:$CW$166,MATCH(B232,'vehicles specifications'!$A$3:$A$166,0),MATCH(G301,'vehicles specifications'!$B$2:$CW$2,0))*INDEX('ei names mapping'!$B$137:$BL$300,MATCH(B232,'ei names mapping'!$A$137:$A$300,0),MATCH(G301,'ei names mapping'!$B$136:$BL$136,0))</f>
        <v>-4.6954824543521508E-6</v>
      </c>
      <c r="C301" t="str">
        <f>INDEX('ei names mapping'!$B$38:$BL$67,MATCH(B229,'ei names mapping'!$A$4:$A$33,0),MATCH(G301,'ei names mapping'!$B$3:$BL$3,0))</f>
        <v>RER</v>
      </c>
      <c r="D301" t="str">
        <f>INDEX('ei names mapping'!$B$104:$BL$133,MATCH(B229,'ei names mapping'!$A$4:$A$33,0),MATCH(G301,'ei names mapping'!$B$3:$BL$3,0))</f>
        <v>kilogram</v>
      </c>
      <c r="F301" t="s">
        <v>89</v>
      </c>
      <c r="G301" t="s">
        <v>30</v>
      </c>
      <c r="H301" t="str">
        <f>INDEX('ei names mapping'!$B$71:$BL$100,MATCH(B229,'ei names mapping'!$A$4:$A$33,0),MATCH(G301,'ei names mapping'!$B$3:$BL$3,0))</f>
        <v>tyre wear emissions, passenger car</v>
      </c>
    </row>
    <row r="302" spans="1:8" x14ac:dyDescent="0.2">
      <c r="A302" t="str">
        <f>INDEX('ei names mapping'!$B$4:$BL$33,MATCH(B229,'ei names mapping'!$A$4:$A$33,0),MATCH(G302,'ei names mapping'!$B$3:$BL$3,0))</f>
        <v>treatment of brake wear emissions, passenger car</v>
      </c>
      <c r="B302" s="7">
        <f>INDEX('vehicles specifications'!$B$3:$CW$166,MATCH(B232,'vehicles specifications'!$A$3:$A$166,0),MATCH(G302,'vehicles specifications'!$B$2:$CW$2,0))*INDEX('ei names mapping'!$B$137:$BL$300,MATCH(B232,'ei names mapping'!$A$137:$A$300,0),MATCH(G302,'ei names mapping'!$B$136:$BL$136,0))</f>
        <v>-3.2264697142314886E-6</v>
      </c>
      <c r="C302" t="str">
        <f>INDEX('ei names mapping'!$B$38:$BL$67,MATCH(B229,'ei names mapping'!$A$4:$A$33,0),MATCH(G302,'ei names mapping'!$B$3:$BL$3,0))</f>
        <v>RER</v>
      </c>
      <c r="D302" t="str">
        <f>INDEX('ei names mapping'!$B$104:$BL$133,MATCH(B229,'ei names mapping'!$A$4:$A$33,0),MATCH(G302,'ei names mapping'!$B$3:$BL$3,0))</f>
        <v>kilogram</v>
      </c>
      <c r="F302" t="s">
        <v>89</v>
      </c>
      <c r="G302" t="s">
        <v>31</v>
      </c>
      <c r="H302" t="str">
        <f>INDEX('ei names mapping'!$B$71:$BL$100,MATCH(B229,'ei names mapping'!$A$4:$A$33,0),MATCH(G302,'ei names mapping'!$B$3:$BL$3,0))</f>
        <v>brake wear emissions, passenger car</v>
      </c>
    </row>
    <row r="304" spans="1:8" ht="16" x14ac:dyDescent="0.2">
      <c r="A304" s="10" t="s">
        <v>71</v>
      </c>
      <c r="B304" s="8" t="str">
        <f>"transport, "&amp;B306&amp;", "&amp;B308</f>
        <v>transport, Moped, gasoline, &lt;4kW, EURO-4, 2016</v>
      </c>
    </row>
    <row r="305" spans="1:2" x14ac:dyDescent="0.2">
      <c r="A305" t="s">
        <v>72</v>
      </c>
      <c r="B305" t="s">
        <v>37</v>
      </c>
    </row>
    <row r="306" spans="1:2" x14ac:dyDescent="0.2">
      <c r="A306" t="s">
        <v>86</v>
      </c>
      <c r="B306" t="s">
        <v>580</v>
      </c>
    </row>
    <row r="307" spans="1:2" x14ac:dyDescent="0.2">
      <c r="A307" t="s">
        <v>87</v>
      </c>
    </row>
    <row r="308" spans="1:2" x14ac:dyDescent="0.2">
      <c r="A308" t="s">
        <v>88</v>
      </c>
      <c r="B308">
        <v>2016</v>
      </c>
    </row>
    <row r="309" spans="1:2" x14ac:dyDescent="0.2">
      <c r="A309" t="s">
        <v>126</v>
      </c>
      <c r="B309" t="str">
        <f>B306&amp;" - "&amp;B308&amp;" - "&amp;B305</f>
        <v>Moped, gasoline, &lt;4kW, EURO-4 - 2016 - CH</v>
      </c>
    </row>
    <row r="310" spans="1:2" x14ac:dyDescent="0.2">
      <c r="A310" t="s">
        <v>73</v>
      </c>
      <c r="B310" t="str">
        <f>"transport, "&amp;B306</f>
        <v>transport, Moped, gasoline, &lt;4kW, EURO-4</v>
      </c>
    </row>
    <row r="311" spans="1:2" x14ac:dyDescent="0.2">
      <c r="A311" t="s">
        <v>74</v>
      </c>
      <c r="B311" t="s">
        <v>75</v>
      </c>
    </row>
    <row r="312" spans="1:2" x14ac:dyDescent="0.2">
      <c r="A312" t="s">
        <v>76</v>
      </c>
      <c r="B312" t="s">
        <v>166</v>
      </c>
    </row>
    <row r="313" spans="1:2" x14ac:dyDescent="0.2">
      <c r="A313" t="s">
        <v>78</v>
      </c>
      <c r="B313" t="s">
        <v>1143</v>
      </c>
    </row>
    <row r="314" spans="1:2" x14ac:dyDescent="0.2">
      <c r="A314" t="s">
        <v>127</v>
      </c>
      <c r="B314">
        <f>INDEX('vehicles specifications'!$B$3:$CW$166,MATCH(B309,'vehicles specifications'!$A$3:$A$166,0),MATCH("Lifetime [km]",'vehicles specifications'!$B$2:$CW$2,0))</f>
        <v>25000</v>
      </c>
    </row>
    <row r="315" spans="1:2" x14ac:dyDescent="0.2">
      <c r="A315" t="s">
        <v>128</v>
      </c>
      <c r="B315">
        <f>INDEX('vehicles specifications'!$B$3:$CW$166,MATCH(B309,'vehicles specifications'!$A$3:$A$166,0),MATCH("Passengers [unit]",'vehicles specifications'!$B$2:$CW$2,0))</f>
        <v>1</v>
      </c>
    </row>
    <row r="316" spans="1:2" x14ac:dyDescent="0.2">
      <c r="A316" t="s">
        <v>129</v>
      </c>
      <c r="B316">
        <f>INDEX('vehicles specifications'!$B$3:$CW$166,MATCH(B309,'vehicles specifications'!$A$3:$A$166,0),MATCH("Servicing [unit]",'vehicles specifications'!$B$2:$CW$2,0))</f>
        <v>1</v>
      </c>
    </row>
    <row r="317" spans="1:2" x14ac:dyDescent="0.2">
      <c r="A317" t="s">
        <v>130</v>
      </c>
      <c r="B317">
        <f>INDEX('vehicles specifications'!$B$3:$CW$166,MATCH(B309,'vehicles specifications'!$A$3:$A$166,0),MATCH("Energy battery replacement [unit]",'vehicles specifications'!$B$2:$CW$2,0))</f>
        <v>0</v>
      </c>
    </row>
    <row r="318" spans="1:2" x14ac:dyDescent="0.2">
      <c r="A318" t="s">
        <v>131</v>
      </c>
      <c r="B318">
        <f>INDEX('vehicles specifications'!$B$3:$CW$166,MATCH(B309,'vehicles specifications'!$A$3:$A$166,0),MATCH("Annual kilometers [km]",'vehicles specifications'!$B$2:$CW$2,0))</f>
        <v>1570</v>
      </c>
    </row>
    <row r="319" spans="1:2" x14ac:dyDescent="0.2">
      <c r="A319" t="s">
        <v>132</v>
      </c>
      <c r="B319" s="2">
        <f>INDEX('vehicles specifications'!$B$3:$CW$166,MATCH(B309,'vehicles specifications'!$A$3:$A$166,0),MATCH("Curb mass [kg]",'vehicles specifications'!$B$2:$CW$2,0))</f>
        <v>63.83925</v>
      </c>
    </row>
    <row r="320" spans="1:2" x14ac:dyDescent="0.2">
      <c r="A320" t="s">
        <v>133</v>
      </c>
      <c r="B320">
        <f>INDEX('vehicles specifications'!$B$3:$CW$166,MATCH(B309,'vehicles specifications'!$A$3:$A$166,0),MATCH("Power [kW]",'vehicles specifications'!$B$2:$CW$2,0))</f>
        <v>2.5</v>
      </c>
    </row>
    <row r="321" spans="1:8" x14ac:dyDescent="0.2">
      <c r="A321" t="s">
        <v>134</v>
      </c>
      <c r="B321" t="str">
        <f>INDEX('vehicles specifications'!$B$3:$CW$166,MATCH(B309,'vehicles specifications'!$A$3:$A$166,0),MATCH("Energy battery mass [kg]",'vehicles specifications'!$B$2:$CW$2,0))</f>
        <v/>
      </c>
    </row>
    <row r="322" spans="1:8" x14ac:dyDescent="0.2">
      <c r="A322" t="s">
        <v>135</v>
      </c>
      <c r="B322">
        <f>INDEX('vehicles specifications'!$B$3:$CW$166,MATCH(B309,'vehicles specifications'!$A$3:$A$166,0),MATCH("Electric energy available [kWh]",'vehicles specifications'!$B$2:$CW$2,0))</f>
        <v>0</v>
      </c>
    </row>
    <row r="323" spans="1:8" x14ac:dyDescent="0.2">
      <c r="A323" t="s">
        <v>138</v>
      </c>
      <c r="B323" s="2">
        <f>INDEX('vehicles specifications'!$B$3:$CW$166,MATCH(B309,'vehicles specifications'!$A$3:$A$166,0),MATCH("Oxydation energy stored [kWh]",'vehicles specifications'!$B$2:$CW$2,0))</f>
        <v>62.125</v>
      </c>
    </row>
    <row r="324" spans="1:8" x14ac:dyDescent="0.2">
      <c r="A324" t="s">
        <v>139</v>
      </c>
      <c r="B324">
        <f>INDEX('vehicles specifications'!$B$3:$CW$166,MATCH(B309,'vehicles specifications'!$A$3:$A$166,0),MATCH("Fuel mass [kg]",'vehicles specifications'!$B$2:$CW$2,0))</f>
        <v>5.25</v>
      </c>
    </row>
    <row r="325" spans="1:8" x14ac:dyDescent="0.2">
      <c r="A325" t="s">
        <v>136</v>
      </c>
      <c r="B325" s="2">
        <f>INDEX('vehicles specifications'!$B$3:$CW$166,MATCH(B309,'vehicles specifications'!$A$3:$A$166,0),MATCH("Range [km]",'vehicles specifications'!$B$2:$CW$2,0))</f>
        <v>269.07197854715383</v>
      </c>
    </row>
    <row r="326" spans="1:8" x14ac:dyDescent="0.2">
      <c r="A326" t="s">
        <v>137</v>
      </c>
      <c r="B326" t="str">
        <f>INDEX('vehicles specifications'!$B$3:$CW$166,MATCH(B309,'vehicles specifications'!$A$3:$A$166,0),MATCH("Emission standard",'vehicles specifications'!$B$2:$CW$2,0))</f>
        <v>EURO-4</v>
      </c>
    </row>
    <row r="327" spans="1:8" x14ac:dyDescent="0.2">
      <c r="A327" t="s">
        <v>1174</v>
      </c>
      <c r="B327" s="6">
        <f>INDEX('vehicles specifications'!$B$3:$CW$166,MATCH(B309,'vehicles specifications'!$A$3:$A$166,0),MATCH("Lightweighting rate [%]",'vehicles specifications'!$B$2:$CW$2,0))</f>
        <v>-0.02</v>
      </c>
    </row>
    <row r="328" spans="1:8" x14ac:dyDescent="0.2">
      <c r="A328" t="s">
        <v>83</v>
      </c>
      <c r="B328" t="str">
        <f>"Power: "&amp;B320&amp;" kW. Lifetime: "&amp;B314&amp;" km. Annual kilometers: "&amp;B318&amp;" km. Number of passengers: "&amp;B315&amp;". Curb mass: "&amp;ROUND(B319,1)&amp;" kg. Lightweighting of glider: "&amp;ROUND(B327*100,0)&amp;"%. Emission standard: "&amp;B326&amp;". Service visits throughout lifetime: "&amp;ROUND(B316,1)&amp;". Range: "&amp;ROUND(B325,0)&amp;" km.  Fuel tank capacity: "&amp;ROUND(B323,1)&amp;" kWh. Fuel mass: "&amp;ROUND(B324,1)&amp;" kg. Documentation: "&amp;Readmefirst!$B$2&amp;", "&amp;Readmefirst!$B$3&amp;". "&amp;B313</f>
        <v>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v>
      </c>
    </row>
    <row r="329" spans="1:8" ht="16" x14ac:dyDescent="0.2">
      <c r="A329" s="10" t="s">
        <v>79</v>
      </c>
    </row>
    <row r="330" spans="1:8" x14ac:dyDescent="0.2">
      <c r="A330" t="s">
        <v>80</v>
      </c>
      <c r="B330" t="s">
        <v>81</v>
      </c>
      <c r="C330" t="s">
        <v>72</v>
      </c>
      <c r="D330" t="s">
        <v>76</v>
      </c>
      <c r="E330" t="s">
        <v>82</v>
      </c>
      <c r="F330" t="s">
        <v>74</v>
      </c>
      <c r="G330" t="s">
        <v>83</v>
      </c>
      <c r="H330" t="s">
        <v>73</v>
      </c>
    </row>
    <row r="331" spans="1:8" x14ac:dyDescent="0.2">
      <c r="A331" t="str">
        <f>B304</f>
        <v>transport, Moped, gasoline, &lt;4kW, EURO-4, 2016</v>
      </c>
      <c r="B331">
        <v>1</v>
      </c>
      <c r="C331" t="str">
        <f>B305</f>
        <v>CH</v>
      </c>
      <c r="D331" t="s">
        <v>166</v>
      </c>
      <c r="F331" t="s">
        <v>84</v>
      </c>
      <c r="G331" t="s">
        <v>85</v>
      </c>
      <c r="H331" t="str">
        <f>B310</f>
        <v>transport, Moped, gasoline, &lt;4kW, EURO-4</v>
      </c>
    </row>
    <row r="332" spans="1:8" x14ac:dyDescent="0.2">
      <c r="A332" t="str">
        <f>RIGHT(A331,LEN(A331)-11)</f>
        <v>Moped, gasoline, &lt;4kW, EURO-4, 2016</v>
      </c>
      <c r="B332" s="7">
        <f>1/B314</f>
        <v>4.0000000000000003E-5</v>
      </c>
      <c r="C332" t="str">
        <f>B305</f>
        <v>CH</v>
      </c>
      <c r="D332" t="s">
        <v>76</v>
      </c>
      <c r="F332" t="s">
        <v>89</v>
      </c>
      <c r="H332" t="str">
        <f>RIGHT(H331,LEN(H331)-11)</f>
        <v>Moped, gasoline, &lt;4kW, EURO-4</v>
      </c>
    </row>
    <row r="333" spans="1:8" x14ac:dyDescent="0.2">
      <c r="A333" t="str">
        <f>INDEX('ei names mapping'!$B$4:$R$33,MATCH(B306,'ei names mapping'!$A$4:$A$33,0),MATCH(G333,'ei names mapping'!$B$3:$R$3,0))</f>
        <v>road construction</v>
      </c>
      <c r="B333" s="7">
        <f>INDEX('vehicles specifications'!$B$3:$CW$166,MATCH(B309,'vehicles specifications'!$A$3:$A$166,0),MATCH(G333,'vehicles specifications'!$B$2:$CW$2,0))*INDEX('ei names mapping'!$B$137:$BL$300,MATCH(B309,'ei names mapping'!$A$137:$A$300,0),MATCH(G333,'ei names mapping'!$B$136:$BL$136,0))</f>
        <v>7.5630677249999997E-5</v>
      </c>
      <c r="C333" t="str">
        <f>INDEX('ei names mapping'!$B$38:$R$67,MATCH(B306,'ei names mapping'!$A$4:$A$33,0),MATCH(G333,'ei names mapping'!$B$3:$R$3,0))</f>
        <v>CH</v>
      </c>
      <c r="D333" t="str">
        <f>INDEX('ei names mapping'!$B$104:$BL$133,MATCH(B306,'ei names mapping'!$A$4:$A$33,0),MATCH(G333,'ei names mapping'!$B$3:$BL$3,0))</f>
        <v>meter-year</v>
      </c>
      <c r="F333" t="s">
        <v>89</v>
      </c>
      <c r="G333" t="s">
        <v>105</v>
      </c>
      <c r="H333" t="str">
        <f>INDEX('ei names mapping'!$B$71:$BL$100,MATCH(B306,'ei names mapping'!$A$4:$A$33,0),MATCH(G333,'ei names mapping'!$B$3:$BL$3,0))</f>
        <v>road</v>
      </c>
    </row>
    <row r="334" spans="1:8" x14ac:dyDescent="0.2">
      <c r="A334" t="str">
        <f>INDEX('ei names mapping'!$B$4:$R$33,MATCH(B306,'ei names mapping'!$A$4:$A$33,0),MATCH(G334,'ei names mapping'!$B$3:$R$3,0))</f>
        <v>road maintenance</v>
      </c>
      <c r="B334" s="7">
        <f>INDEX('vehicles specifications'!$B$3:$CW$166,MATCH(B309,'vehicles specifications'!$A$3:$A$166,0),MATCH(G334,'vehicles specifications'!$B$2:$CW$2,0))*INDEX('ei names mapping'!$B$137:$BL$300,MATCH(B309,'ei names mapping'!$A$137:$A$300,0),MATCH(G334,'ei names mapping'!$B$136:$BL$136,0))</f>
        <v>1.2899999999999999E-3</v>
      </c>
      <c r="C334" t="str">
        <f>INDEX('ei names mapping'!$B$38:$R$67,MATCH(B306,'ei names mapping'!$A$4:$A$33,0),MATCH(G334,'ei names mapping'!$B$3:$R$3,0))</f>
        <v>CH</v>
      </c>
      <c r="D334" t="str">
        <f>INDEX('ei names mapping'!$B$104:$BL$133,MATCH(B306,'ei names mapping'!$A$4:$A$33,0),MATCH(G334,'ei names mapping'!$B$3:$BL$3,0))</f>
        <v>meter-year</v>
      </c>
      <c r="F334" t="s">
        <v>89</v>
      </c>
      <c r="G334" t="s">
        <v>112</v>
      </c>
      <c r="H334" t="str">
        <f>INDEX('ei names mapping'!$B$71:$BL$100,MATCH(B306,'ei names mapping'!$A$4:$A$33,0),MATCH(G334,'ei names mapping'!$B$3:$BL$3,0))</f>
        <v>road maintenance</v>
      </c>
    </row>
    <row r="335" spans="1:8" x14ac:dyDescent="0.2">
      <c r="A335" t="str">
        <f>INDEX('ei names mapping'!$B$4:$R$33,MATCH(B306,'ei names mapping'!$A$4:$A$33,0),MATCH(G335,'ei names mapping'!$B$3:$R$3,0))</f>
        <v>maintenance, motor scooter</v>
      </c>
      <c r="B335" s="7">
        <f>INDEX('vehicles specifications'!$B$3:$CW$166,MATCH(B309,'vehicles specifications'!$A$3:$A$166,0),MATCH(G335,'vehicles specifications'!$B$2:$CW$2,0))*INDEX('ei names mapping'!$B$137:$BL$300,MATCH(B309,'ei names mapping'!$A$137:$A$300,0),MATCH(G335,'ei names mapping'!$B$136:$BL$136,0))</f>
        <v>4.0000000000000003E-5</v>
      </c>
      <c r="C335" t="str">
        <f>INDEX('ei names mapping'!$B$38:$BL$67,MATCH(B306,'ei names mapping'!$A$4:$A$33,0),MATCH(G335,'ei names mapping'!$B$3:$BL$3,0))</f>
        <v>CH</v>
      </c>
      <c r="D335" t="str">
        <f>INDEX('ei names mapping'!$B$104:$BL$133,MATCH(B306,'ei names mapping'!$A$4:$A$33,0),MATCH(G335,'ei names mapping'!$B$3:$BL$3,0))</f>
        <v>unit</v>
      </c>
      <c r="F335" t="s">
        <v>89</v>
      </c>
      <c r="G335" t="s">
        <v>118</v>
      </c>
      <c r="H335" t="str">
        <f>INDEX('ei names mapping'!$B$71:$BL$100,MATCH(B306,'ei names mapping'!$A$4:$A$33,0),MATCH(G335,'ei names mapping'!$B$3:$BL$3,0))</f>
        <v>maintenance, motor scooter</v>
      </c>
    </row>
    <row r="336" spans="1:8" x14ac:dyDescent="0.2">
      <c r="A336" t="str">
        <f>INDEX('ei names mapping'!$B$4:$R$33,MATCH(B306,'ei names mapping'!$A$4:$A$33,0),MATCH(G336,'ei names mapping'!$B$3:$R$3,0))</f>
        <v>petrol blending for two-stroke engines</v>
      </c>
      <c r="B336" s="7">
        <f>INDEX('vehicles specifications'!$B$3:$CW$166,MATCH(B309,'vehicles specifications'!$A$3:$A$166,0),MATCH(G336,'vehicles specifications'!$B$2:$CW$2,0))*INDEX('ei names mapping'!$B$137:$BL$300,MATCH(B309,'ei names mapping'!$A$137:$A$300,0),MATCH(G336,'ei names mapping'!$B$136:$BL$136,0))</f>
        <v>1.9511507769583512E-2</v>
      </c>
      <c r="C336" t="str">
        <f>INDEX('ei names mapping'!$B$38:$BL$67,MATCH(B306,'ei names mapping'!$A$4:$A$33,0),MATCH(G336,'ei names mapping'!$B$3:$BL$3,0))</f>
        <v>CH</v>
      </c>
      <c r="D336" t="str">
        <f>INDEX('ei names mapping'!$B$104:$BL$133,MATCH(B306,'ei names mapping'!$A$4:$A$33,0),MATCH(G336,'ei names mapping'!$B$3:$BL$3,0))</f>
        <v>kilogram</v>
      </c>
      <c r="F336" t="s">
        <v>89</v>
      </c>
      <c r="G336" t="s">
        <v>27</v>
      </c>
      <c r="H336" t="str">
        <f>INDEX('ei names mapping'!$B$71:$BL$100,MATCH(B306,'ei names mapping'!$A$4:$A$33,0),MATCH(G336,'ei names mapping'!$B$3:$BL$3,0))</f>
        <v>petrol, two-stroke blend</v>
      </c>
    </row>
    <row r="337" spans="1:7" x14ac:dyDescent="0.2">
      <c r="A337" t="str">
        <f>INDEX('ei names mapping'!$B$4:$BL$33,MATCH(B306,'ei names mapping'!$A$4:$A$33,0),MATCH(G337,'ei names mapping'!$B$3:$BL$3,0))</f>
        <v>Carbon dioxide, fossil</v>
      </c>
      <c r="B337" s="7">
        <f>INDEX('vehicles specifications'!$B$3:$CW$166,MATCH(B309,'vehicles specifications'!$A$3:$A$166,0),MATCH(G337,'vehicles specifications'!$B$2:$CW$2,0))*INDEX('ei names mapping'!$B$137:$BL$300,MATCH(B309,'ei names mapping'!$A$137:$A$300,0),MATCH(G337,'ei names mapping'!$B$136:$BL$136,0))</f>
        <v>6.1266134396492228E-2</v>
      </c>
      <c r="D337" t="str">
        <f>INDEX('ei names mapping'!$B$104:$BL$133,MATCH(B306,'ei names mapping'!$A$4:$A$33,0),MATCH(G337,'ei names mapping'!$B$3:$BL$3,0))</f>
        <v>kilogram</v>
      </c>
      <c r="E337" t="str">
        <f>INDEX('ei names mapping'!$B$305:$BL$335,MATCH(B306,'ei names mapping'!$A$4:$A$33,0),MATCH(G337,'ei names mapping'!$B$3:$BL$3,0))</f>
        <v>air::urban air close to ground</v>
      </c>
      <c r="F337" t="s">
        <v>167</v>
      </c>
      <c r="G337" t="s">
        <v>66</v>
      </c>
    </row>
    <row r="338" spans="1:7" x14ac:dyDescent="0.2">
      <c r="A338" t="str">
        <f>INDEX('ei names mapping'!$B$4:$BL$33,MATCH(B306,'ei names mapping'!$A$4:$A$33,0),MATCH(G338,'ei names mapping'!$B$3:$BL$3,0))</f>
        <v>Sulfur dioxide</v>
      </c>
      <c r="B338" s="7">
        <f>INDEX('vehicles specifications'!$B$3:$CW$166,MATCH(B309,'vehicles specifications'!$A$3:$A$166,0),MATCH(G338,'vehicles specifications'!$B$2:$CW$2,0))*INDEX('ei names mapping'!$B$137:$BL$300,MATCH(B309,'ei names mapping'!$A$137:$A$300,0),MATCH(G338,'ei names mapping'!$B$136:$BL$136,0))</f>
        <v>3.1218412431333619E-7</v>
      </c>
      <c r="D338" t="str">
        <f>INDEX('ei names mapping'!$B$104:$BL$133,MATCH(B306,'ei names mapping'!$A$4:$A$33,0),MATCH(G338,'ei names mapping'!$B$3:$BL$3,0))</f>
        <v>kilogram</v>
      </c>
      <c r="E338" t="str">
        <f>INDEX('ei names mapping'!$B$305:$BL$335,MATCH(B306,'ei names mapping'!$A$4:$A$33,0),MATCH(G338,'ei names mapping'!$B$3:$BL$3,0))</f>
        <v>air::urban air close to ground</v>
      </c>
      <c r="F338" t="s">
        <v>167</v>
      </c>
      <c r="G338" t="s">
        <v>67</v>
      </c>
    </row>
    <row r="339" spans="1:7" x14ac:dyDescent="0.2">
      <c r="A339" t="str">
        <f>INDEX('ei names mapping'!$B$4:$BL$33,MATCH(B306,'ei names mapping'!$A$4:$A$33,0),MATCH(G339,'ei names mapping'!$B$3:$BL$3,0))</f>
        <v>Benzene</v>
      </c>
      <c r="B339" s="7">
        <f>INDEX('vehicles specifications'!$B$3:$CW$166,MATCH(B309,'vehicles specifications'!$A$3:$A$166,0),MATCH(G339,'vehicles specifications'!$B$2:$CW$2,0))*INDEX('ei names mapping'!$B$137:$BL$300,MATCH(B309,'ei names mapping'!$A$137:$A$300,0),MATCH(G339,'ei names mapping'!$B$136:$BL$136,0))</f>
        <v>5.0538174149900782E-5</v>
      </c>
      <c r="D339" t="str">
        <f>INDEX('ei names mapping'!$B$104:$BL$133,MATCH(B306,'ei names mapping'!$A$4:$A$33,0),MATCH(G339,'ei names mapping'!$B$3:$BL$3,0))</f>
        <v>kilogram</v>
      </c>
      <c r="E339" t="str">
        <f>INDEX('ei names mapping'!$B$305:$BL$335,MATCH(B306,'ei names mapping'!$A$4:$A$33,0),MATCH(G339,'ei names mapping'!$B$3:$BL$3,0))</f>
        <v>air::urban air close to ground</v>
      </c>
      <c r="F339" t="s">
        <v>167</v>
      </c>
      <c r="G339" t="s">
        <v>55</v>
      </c>
    </row>
    <row r="340" spans="1:7" x14ac:dyDescent="0.2">
      <c r="A340" t="str">
        <f>INDEX('ei names mapping'!$B$4:$BL$33,MATCH(B306,'ei names mapping'!$A$4:$A$33,0),MATCH(G340,'ei names mapping'!$B$3:$BL$3,0))</f>
        <v>Methane, fossil</v>
      </c>
      <c r="B340" s="7">
        <f>INDEX('vehicles specifications'!$B$3:$CW$166,MATCH(B309,'vehicles specifications'!$A$3:$A$166,0),MATCH(G340,'vehicles specifications'!$B$2:$CW$2,0))*INDEX('ei names mapping'!$B$137:$BL$300,MATCH(B309,'ei names mapping'!$A$137:$A$300,0),MATCH(G340,'ei names mapping'!$B$136:$BL$136,0))</f>
        <v>2.2915507072459244E-5</v>
      </c>
      <c r="D340" t="str">
        <f>INDEX('ei names mapping'!$B$104:$BL$133,MATCH(B306,'ei names mapping'!$A$4:$A$33,0),MATCH(G340,'ei names mapping'!$B$3:$BL$3,0))</f>
        <v>kilogram</v>
      </c>
      <c r="E340" t="str">
        <f>INDEX('ei names mapping'!$B$305:$BL$335,MATCH(B306,'ei names mapping'!$A$4:$A$33,0),MATCH(G340,'ei names mapping'!$B$3:$BL$3,0))</f>
        <v>air::urban air close to ground</v>
      </c>
      <c r="F340" t="s">
        <v>167</v>
      </c>
      <c r="G340" t="s">
        <v>56</v>
      </c>
    </row>
    <row r="341" spans="1:7" x14ac:dyDescent="0.2">
      <c r="A341" t="str">
        <f>INDEX('ei names mapping'!$B$4:$BL$33,MATCH(B306,'ei names mapping'!$A$4:$A$33,0),MATCH(G341,'ei names mapping'!$B$3:$BL$3,0))</f>
        <v>Carbon monoxide, fossil</v>
      </c>
      <c r="B341" s="7">
        <f>INDEX('vehicles specifications'!$B$3:$CW$166,MATCH(B309,'vehicles specifications'!$A$3:$A$166,0),MATCH(G341,'vehicles specifications'!$B$2:$CW$2,0))*INDEX('ei names mapping'!$B$137:$BL$300,MATCH(B309,'ei names mapping'!$A$137:$A$300,0),MATCH(G341,'ei names mapping'!$B$136:$BL$136,0))</f>
        <v>2.4230819782310601E-3</v>
      </c>
      <c r="D341" t="str">
        <f>INDEX('ei names mapping'!$B$104:$BL$133,MATCH(B306,'ei names mapping'!$A$4:$A$33,0),MATCH(G341,'ei names mapping'!$B$3:$BL$3,0))</f>
        <v>kilogram</v>
      </c>
      <c r="E341" t="str">
        <f>INDEX('ei names mapping'!$B$305:$BL$335,MATCH(B306,'ei names mapping'!$A$4:$A$33,0),MATCH(G341,'ei names mapping'!$B$3:$BL$3,0))</f>
        <v>air::urban air close to ground</v>
      </c>
      <c r="F341" t="s">
        <v>167</v>
      </c>
      <c r="G341" t="s">
        <v>57</v>
      </c>
    </row>
    <row r="342" spans="1:7" x14ac:dyDescent="0.2">
      <c r="A342" t="str">
        <f>INDEX('ei names mapping'!$B$4:$BL$33,MATCH(B306,'ei names mapping'!$A$4:$A$33,0),MATCH(G342,'ei names mapping'!$B$3:$BL$3,0))</f>
        <v>Dinitrogen monoxide</v>
      </c>
      <c r="B342" s="7">
        <f>INDEX('vehicles specifications'!$B$3:$CW$166,MATCH(B309,'vehicles specifications'!$A$3:$A$166,0),MATCH(G342,'vehicles specifications'!$B$2:$CW$2,0))*INDEX('ei names mapping'!$B$137:$BL$300,MATCH(B309,'ei names mapping'!$A$137:$A$300,0),MATCH(G342,'ei names mapping'!$B$136:$BL$136,0))</f>
        <v>1.1626335399522705E-6</v>
      </c>
      <c r="D342" t="str">
        <f>INDEX('ei names mapping'!$B$104:$BL$133,MATCH(B306,'ei names mapping'!$A$4:$A$33,0),MATCH(G342,'ei names mapping'!$B$3:$BL$3,0))</f>
        <v>kilogram</v>
      </c>
      <c r="E342" t="str">
        <f>INDEX('ei names mapping'!$B$305:$BL$335,MATCH(B306,'ei names mapping'!$A$4:$A$33,0),MATCH(G342,'ei names mapping'!$B$3:$BL$3,0))</f>
        <v>air::urban air close to ground</v>
      </c>
      <c r="F342" t="s">
        <v>167</v>
      </c>
      <c r="G342" t="s">
        <v>58</v>
      </c>
    </row>
    <row r="343" spans="1:7" x14ac:dyDescent="0.2">
      <c r="A343" t="str">
        <f>INDEX('ei names mapping'!$B$4:$BL$33,MATCH(B306,'ei names mapping'!$A$4:$A$33,0),MATCH(G343,'ei names mapping'!$B$3:$BL$3,0))</f>
        <v>Ammonia</v>
      </c>
      <c r="B343" s="7">
        <f>INDEX('vehicles specifications'!$B$3:$CW$166,MATCH(B309,'vehicles specifications'!$A$3:$A$166,0),MATCH(G343,'vehicles specifications'!$B$2:$CW$2,0))*INDEX('ei names mapping'!$B$137:$BL$300,MATCH(B309,'ei names mapping'!$A$137:$A$300,0),MATCH(G343,'ei names mapping'!$B$136:$BL$136,0))</f>
        <v>1.1626335399522705E-6</v>
      </c>
      <c r="D343" t="str">
        <f>INDEX('ei names mapping'!$B$104:$BL$133,MATCH(B306,'ei names mapping'!$A$4:$A$33,0),MATCH(G343,'ei names mapping'!$B$3:$BL$3,0))</f>
        <v>kilogram</v>
      </c>
      <c r="E343" t="str">
        <f>INDEX('ei names mapping'!$B$305:$BL$335,MATCH(B306,'ei names mapping'!$A$4:$A$33,0),MATCH(G343,'ei names mapping'!$B$3:$BL$3,0))</f>
        <v>air::urban air close to ground</v>
      </c>
      <c r="F343" t="s">
        <v>167</v>
      </c>
      <c r="G343" t="s">
        <v>59</v>
      </c>
    </row>
    <row r="344" spans="1:7" x14ac:dyDescent="0.2">
      <c r="A344" t="str">
        <f>INDEX('ei names mapping'!$B$4:$BL$33,MATCH(B306,'ei names mapping'!$A$4:$A$33,0),MATCH(G344,'ei names mapping'!$B$3:$BL$3,0))</f>
        <v>Nitrogen oxides</v>
      </c>
      <c r="B344" s="7">
        <f>INDEX('vehicles specifications'!$B$3:$CW$166,MATCH(B309,'vehicles specifications'!$A$3:$A$166,0),MATCH(G344,'vehicles specifications'!$B$2:$CW$2,0))*INDEX('ei names mapping'!$B$137:$BL$300,MATCH(B309,'ei names mapping'!$A$137:$A$300,0),MATCH(G344,'ei names mapping'!$B$136:$BL$136,0))</f>
        <v>8.7186713305431907E-5</v>
      </c>
      <c r="D344" t="str">
        <f>INDEX('ei names mapping'!$B$104:$BL$133,MATCH(B306,'ei names mapping'!$A$4:$A$33,0),MATCH(G344,'ei names mapping'!$B$3:$BL$3,0))</f>
        <v>kilogram</v>
      </c>
      <c r="E344" t="str">
        <f>INDEX('ei names mapping'!$B$305:$BL$335,MATCH(B306,'ei names mapping'!$A$4:$A$33,0),MATCH(G344,'ei names mapping'!$B$3:$BL$3,0))</f>
        <v>air::urban air close to ground</v>
      </c>
      <c r="F344" t="s">
        <v>167</v>
      </c>
      <c r="G344" t="s">
        <v>60</v>
      </c>
    </row>
    <row r="345" spans="1:7" x14ac:dyDescent="0.2">
      <c r="A345" t="str">
        <f>INDEX('ei names mapping'!$B$4:$BL$33,MATCH(B306,'ei names mapping'!$A$4:$A$33,0),MATCH(G345,'ei names mapping'!$B$3:$BL$3,0))</f>
        <v>Particulates, &lt; 2.5 um</v>
      </c>
      <c r="B345" s="7">
        <f>INDEX('vehicles specifications'!$B$3:$CW$166,MATCH(B$309,'vehicles specifications'!$A$3:$A$166,0),MATCH(G345,'vehicles specifications'!$B$2:$CW$2,0))*INDEX('ei names mapping'!$B$137:$BL$300,MATCH(B$309,'ei names mapping'!$A$137:$A$300,0),MATCH(G345,'ei names mapping'!$B$136:$BL$136,0))</f>
        <v>6.6770044199458891E-6</v>
      </c>
      <c r="D345" t="str">
        <f>INDEX('ei names mapping'!$B$104:$BL$133,MATCH(B306,'ei names mapping'!$A$4:$A$33,0),MATCH(G345,'ei names mapping'!$B$3:$BL$3,0))</f>
        <v>kilogram</v>
      </c>
      <c r="E345" t="str">
        <f>INDEX('ei names mapping'!$B$305:$BL$335,MATCH(B306,'ei names mapping'!$A$4:$A$33,0),MATCH(G345,'ei names mapping'!$B$3:$BL$3,0))</f>
        <v>air::urban air close to ground</v>
      </c>
      <c r="F345" t="s">
        <v>167</v>
      </c>
      <c r="G345" t="s">
        <v>62</v>
      </c>
    </row>
    <row r="346" spans="1:7" x14ac:dyDescent="0.2">
      <c r="A346" t="str">
        <f>INDEX('ei names mapping'!$B$4:$BL$33,MATCH(B$229,'ei names mapping'!$A$4:$A$33,0),MATCH(G346,'ei names mapping'!$B$3:$BL$3,0))</f>
        <v>NMVOC, non-methane volatile organic compounds, unspecified origin</v>
      </c>
      <c r="B346" s="7">
        <f>INDEX('vehicles specifications'!$B$3:$CW$166,MATCH(B$309,'vehicles specifications'!$A$3:$A$166,0),MATCH(G346,'vehicles specifications'!$B$2:$CW$2,0))*INDEX('ei names mapping'!$B$137:$BL$300,MATCH(B$309,'ei names mapping'!$A$137:$A$300,0),MATCH(G346,'ei names mapping'!$B$136:$BL$136,0))</f>
        <v>4.0754848458850478E-4</v>
      </c>
      <c r="D346" t="str">
        <f>INDEX('ei names mapping'!$B$104:$BL$133,MATCH(B$229,'ei names mapping'!$A$4:$A$33,0),MATCH(G346,'ei names mapping'!$B$3:$BL$3,0))</f>
        <v>kilogram</v>
      </c>
      <c r="E346" t="str">
        <f>INDEX('ei names mapping'!$B$305:$BL$335,MATCH(B$229,'ei names mapping'!$A$4:$A$33,0),MATCH(G346,'ei names mapping'!$B$3:$BL$3,0))</f>
        <v>air::urban air close to ground</v>
      </c>
      <c r="F346" t="s">
        <v>167</v>
      </c>
      <c r="G346" t="s">
        <v>593</v>
      </c>
    </row>
    <row r="347" spans="1:7" x14ac:dyDescent="0.2">
      <c r="A347" t="str">
        <f>INDEX('ei names mapping'!$B$4:$BL$33,MATCH(B$229,'ei names mapping'!$A$4:$A$33,0),MATCH(G347,'ei names mapping'!$B$3:$BL$3,0))</f>
        <v>Ethane</v>
      </c>
      <c r="B347" s="7">
        <f>INDEX('vehicles specifications'!$B$3:$CW$166,MATCH(B$309,'vehicles specifications'!$A$3:$A$166,0),MATCH(G347,'vehicles specifications'!$B$2:$CW$2,0))*INDEX('ei names mapping'!$B$137:$BL$300,MATCH(B$309,'ei names mapping'!$A$137:$A$300,0),MATCH(G347,'ei names mapping'!$B$136:$BL$136,0))</f>
        <v>2.873739314406123E-5</v>
      </c>
      <c r="D347" t="str">
        <f>INDEX('ei names mapping'!$B$104:$BL$133,MATCH(B$229,'ei names mapping'!$A$4:$A$33,0),MATCH(G347,'ei names mapping'!$B$3:$BL$3,0))</f>
        <v>kilogram</v>
      </c>
      <c r="E347" t="str">
        <f>INDEX('ei names mapping'!$B$305:$BL$335,MATCH(B$229,'ei names mapping'!$A$4:$A$33,0),MATCH(G347,'ei names mapping'!$B$3:$BL$3,0))</f>
        <v>air::urban air close to ground</v>
      </c>
      <c r="F347" t="s">
        <v>167</v>
      </c>
      <c r="G347" t="s">
        <v>541</v>
      </c>
    </row>
    <row r="348" spans="1:7" x14ac:dyDescent="0.2">
      <c r="A348" t="str">
        <f>INDEX('ei names mapping'!$B$4:$BL$33,MATCH(B$229,'ei names mapping'!$A$4:$A$33,0),MATCH(G348,'ei names mapping'!$B$3:$BL$3,0))</f>
        <v>Propane</v>
      </c>
      <c r="B348" s="7">
        <f>INDEX('vehicles specifications'!$B$3:$CW$166,MATCH(B$309,'vehicles specifications'!$A$3:$A$166,0),MATCH(G348,'vehicles specifications'!$B$2:$CW$2,0))*INDEX('ei names mapping'!$B$137:$BL$300,MATCH(B$309,'ei names mapping'!$A$137:$A$300,0),MATCH(G348,'ei names mapping'!$B$136:$BL$136,0))</f>
        <v>5.8555816751221947E-6</v>
      </c>
      <c r="D348" t="str">
        <f>INDEX('ei names mapping'!$B$104:$BL$133,MATCH(B$229,'ei names mapping'!$A$4:$A$33,0),MATCH(G348,'ei names mapping'!$B$3:$BL$3,0))</f>
        <v>kilogram</v>
      </c>
      <c r="E348" t="str">
        <f>INDEX('ei names mapping'!$B$305:$BL$335,MATCH(B$229,'ei names mapping'!$A$4:$A$33,0),MATCH(G348,'ei names mapping'!$B$3:$BL$3,0))</f>
        <v>air::urban air close to ground</v>
      </c>
      <c r="F348" t="s">
        <v>167</v>
      </c>
      <c r="G348" t="s">
        <v>542</v>
      </c>
    </row>
    <row r="349" spans="1:7" x14ac:dyDescent="0.2">
      <c r="A349" t="str">
        <f>INDEX('ei names mapping'!$B$4:$BL$33,MATCH(B$229,'ei names mapping'!$A$4:$A$33,0),MATCH(G349,'ei names mapping'!$B$3:$BL$3,0))</f>
        <v>Butane</v>
      </c>
      <c r="B349" s="7">
        <f>INDEX('vehicles specifications'!$B$3:$CW$166,MATCH(B$309,'vehicles specifications'!$A$3:$A$166,0),MATCH(G349,'vehicles specifications'!$B$2:$CW$2,0))*INDEX('ei names mapping'!$B$137:$BL$300,MATCH(B$309,'ei names mapping'!$A$137:$A$300,0),MATCH(G349,'ei names mapping'!$B$136:$BL$136,0))</f>
        <v>4.7204996888677385E-5</v>
      </c>
      <c r="D349" t="str">
        <f>INDEX('ei names mapping'!$B$104:$BL$133,MATCH(B$229,'ei names mapping'!$A$4:$A$33,0),MATCH(G349,'ei names mapping'!$B$3:$BL$3,0))</f>
        <v>kilogram</v>
      </c>
      <c r="E349" t="str">
        <f>INDEX('ei names mapping'!$B$305:$BL$335,MATCH(B$229,'ei names mapping'!$A$4:$A$33,0),MATCH(G349,'ei names mapping'!$B$3:$BL$3,0))</f>
        <v>air::urban air close to ground</v>
      </c>
      <c r="F349" t="s">
        <v>167</v>
      </c>
      <c r="G349" t="s">
        <v>543</v>
      </c>
    </row>
    <row r="350" spans="1:7" x14ac:dyDescent="0.2">
      <c r="A350" t="str">
        <f>INDEX('ei names mapping'!$B$4:$BL$33,MATCH(B$229,'ei names mapping'!$A$4:$A$33,0),MATCH(G350,'ei names mapping'!$B$3:$BL$3,0))</f>
        <v>Pentane</v>
      </c>
      <c r="B350" s="7">
        <f>INDEX('vehicles specifications'!$B$3:$CW$166,MATCH(B$309,'vehicles specifications'!$A$3:$A$166,0),MATCH(G350,'vehicles specifications'!$B$2:$CW$2,0))*INDEX('ei names mapping'!$B$137:$BL$300,MATCH(B$309,'ei names mapping'!$A$137:$A$300,0),MATCH(G350,'ei names mapping'!$B$136:$BL$136,0))</f>
        <v>1.936846246386572E-5</v>
      </c>
      <c r="D350" t="str">
        <f>INDEX('ei names mapping'!$B$104:$BL$133,MATCH(B$229,'ei names mapping'!$A$4:$A$33,0),MATCH(G350,'ei names mapping'!$B$3:$BL$3,0))</f>
        <v>kilogram</v>
      </c>
      <c r="E350" t="str">
        <f>INDEX('ei names mapping'!$B$305:$BL$335,MATCH(B$229,'ei names mapping'!$A$4:$A$33,0),MATCH(G350,'ei names mapping'!$B$3:$BL$3,0))</f>
        <v>air::urban air close to ground</v>
      </c>
      <c r="F350" t="s">
        <v>167</v>
      </c>
      <c r="G350" t="s">
        <v>544</v>
      </c>
    </row>
    <row r="351" spans="1:7" x14ac:dyDescent="0.2">
      <c r="A351" t="str">
        <f>INDEX('ei names mapping'!$B$4:$BL$33,MATCH(B$229,'ei names mapping'!$A$4:$A$33,0),MATCH(G351,'ei names mapping'!$B$3:$BL$3,0))</f>
        <v>Hexane</v>
      </c>
      <c r="B351" s="7">
        <f>INDEX('vehicles specifications'!$B$3:$CW$166,MATCH(B$309,'vehicles specifications'!$A$3:$A$166,0),MATCH(G351,'vehicles specifications'!$B$2:$CW$2,0))*INDEX('ei names mapping'!$B$137:$BL$300,MATCH(B$309,'ei names mapping'!$A$137:$A$300,0),MATCH(G351,'ei names mapping'!$B$136:$BL$136,0))</f>
        <v>1.4503825379918051E-5</v>
      </c>
      <c r="D351" t="str">
        <f>INDEX('ei names mapping'!$B$104:$BL$133,MATCH(B$229,'ei names mapping'!$A$4:$A$33,0),MATCH(G351,'ei names mapping'!$B$3:$BL$3,0))</f>
        <v>kilogram</v>
      </c>
      <c r="E351" t="str">
        <f>INDEX('ei names mapping'!$B$305:$BL$335,MATCH(B$229,'ei names mapping'!$A$4:$A$33,0),MATCH(G351,'ei names mapping'!$B$3:$BL$3,0))</f>
        <v>air::urban air close to ground</v>
      </c>
      <c r="F351" t="s">
        <v>167</v>
      </c>
      <c r="G351" t="s">
        <v>545</v>
      </c>
    </row>
    <row r="352" spans="1:7" x14ac:dyDescent="0.2">
      <c r="A352" t="str">
        <f>INDEX('ei names mapping'!$B$4:$BL$33,MATCH(B$229,'ei names mapping'!$A$4:$A$33,0),MATCH(G352,'ei names mapping'!$B$3:$BL$3,0))</f>
        <v>Cyclohexane</v>
      </c>
      <c r="B352" s="7">
        <f>INDEX('vehicles specifications'!$B$3:$CW$166,MATCH(B$309,'vehicles specifications'!$A$3:$A$166,0),MATCH(G352,'vehicles specifications'!$B$2:$CW$2,0))*INDEX('ei names mapping'!$B$137:$BL$300,MATCH(B$309,'ei names mapping'!$A$137:$A$300,0),MATCH(G352,'ei names mapping'!$B$136:$BL$136,0))</f>
        <v>1.0269789399445079E-5</v>
      </c>
      <c r="D352" t="str">
        <f>INDEX('ei names mapping'!$B$104:$BL$133,MATCH(B$229,'ei names mapping'!$A$4:$A$33,0),MATCH(G352,'ei names mapping'!$B$3:$BL$3,0))</f>
        <v>kilogram</v>
      </c>
      <c r="E352" t="str">
        <f>INDEX('ei names mapping'!$B$305:$BL$335,MATCH(B$229,'ei names mapping'!$A$4:$A$33,0),MATCH(G352,'ei names mapping'!$B$3:$BL$3,0))</f>
        <v>air::urban air close to ground</v>
      </c>
      <c r="F352" t="s">
        <v>167</v>
      </c>
      <c r="G352" t="s">
        <v>546</v>
      </c>
    </row>
    <row r="353" spans="1:7" x14ac:dyDescent="0.2">
      <c r="A353" t="str">
        <f>INDEX('ei names mapping'!$B$4:$BL$33,MATCH(B$229,'ei names mapping'!$A$4:$A$33,0),MATCH(G353,'ei names mapping'!$B$3:$BL$3,0))</f>
        <v>Heptane</v>
      </c>
      <c r="B353" s="7">
        <f>INDEX('vehicles specifications'!$B$3:$CW$166,MATCH(B$309,'vehicles specifications'!$A$3:$A$166,0),MATCH(G353,'vehicles specifications'!$B$2:$CW$2,0))*INDEX('ei names mapping'!$B$137:$BL$300,MATCH(B$309,'ei names mapping'!$A$137:$A$300,0),MATCH(G353,'ei names mapping'!$B$136:$BL$136,0))</f>
        <v>6.6663545224468059E-6</v>
      </c>
      <c r="D353" t="str">
        <f>INDEX('ei names mapping'!$B$104:$BL$133,MATCH(B$229,'ei names mapping'!$A$4:$A$33,0),MATCH(G353,'ei names mapping'!$B$3:$BL$3,0))</f>
        <v>kilogram</v>
      </c>
      <c r="E353" t="str">
        <f>INDEX('ei names mapping'!$B$305:$BL$335,MATCH(B$229,'ei names mapping'!$A$4:$A$33,0),MATCH(G353,'ei names mapping'!$B$3:$BL$3,0))</f>
        <v>air::urban air close to ground</v>
      </c>
      <c r="F353" t="s">
        <v>167</v>
      </c>
      <c r="G353" t="s">
        <v>547</v>
      </c>
    </row>
    <row r="354" spans="1:7" x14ac:dyDescent="0.2">
      <c r="A354" t="str">
        <f>INDEX('ei names mapping'!$B$4:$BL$33,MATCH(B$229,'ei names mapping'!$A$4:$A$33,0),MATCH(G354,'ei names mapping'!$B$3:$BL$3,0))</f>
        <v>Ethene</v>
      </c>
      <c r="B354" s="7">
        <f>INDEX('vehicles specifications'!$B$3:$CW$166,MATCH(B$309,'vehicles specifications'!$A$3:$A$166,0),MATCH(G354,'vehicles specifications'!$B$2:$CW$2,0))*INDEX('ei names mapping'!$B$137:$BL$300,MATCH(B$309,'ei names mapping'!$A$137:$A$300,0),MATCH(G354,'ei names mapping'!$B$136:$BL$136,0))</f>
        <v>6.5762686505218488E-5</v>
      </c>
      <c r="D354" t="str">
        <f>INDEX('ei names mapping'!$B$104:$BL$133,MATCH(B$229,'ei names mapping'!$A$4:$A$33,0),MATCH(G354,'ei names mapping'!$B$3:$BL$3,0))</f>
        <v>kilogram</v>
      </c>
      <c r="E354" t="str">
        <f>INDEX('ei names mapping'!$B$305:$BL$335,MATCH(B$229,'ei names mapping'!$A$4:$A$33,0),MATCH(G354,'ei names mapping'!$B$3:$BL$3,0))</f>
        <v>air::urban air close to ground</v>
      </c>
      <c r="F354" t="s">
        <v>167</v>
      </c>
      <c r="G354" t="s">
        <v>548</v>
      </c>
    </row>
    <row r="355" spans="1:7" x14ac:dyDescent="0.2">
      <c r="A355" t="str">
        <f>INDEX('ei names mapping'!$B$4:$BL$33,MATCH(B$229,'ei names mapping'!$A$4:$A$33,0),MATCH(G355,'ei names mapping'!$B$3:$BL$3,0))</f>
        <v>Propene</v>
      </c>
      <c r="B355" s="7">
        <f>INDEX('vehicles specifications'!$B$3:$CW$166,MATCH(B$309,'vehicles specifications'!$A$3:$A$166,0),MATCH(G355,'vehicles specifications'!$B$2:$CW$2,0))*INDEX('ei names mapping'!$B$137:$BL$300,MATCH(B$309,'ei names mapping'!$A$137:$A$300,0),MATCH(G355,'ei names mapping'!$B$136:$BL$136,0))</f>
        <v>3.441280307533351E-5</v>
      </c>
      <c r="D355" t="str">
        <f>INDEX('ei names mapping'!$B$104:$BL$133,MATCH(B$229,'ei names mapping'!$A$4:$A$33,0),MATCH(G355,'ei names mapping'!$B$3:$BL$3,0))</f>
        <v>kilogram</v>
      </c>
      <c r="E355" t="str">
        <f>INDEX('ei names mapping'!$B$305:$BL$335,MATCH(B$229,'ei names mapping'!$A$4:$A$33,0),MATCH(G355,'ei names mapping'!$B$3:$BL$3,0))</f>
        <v>air::urban air close to ground</v>
      </c>
      <c r="F355" t="s">
        <v>167</v>
      </c>
      <c r="G355" t="s">
        <v>549</v>
      </c>
    </row>
    <row r="356" spans="1:7" x14ac:dyDescent="0.2">
      <c r="A356" t="str">
        <f>INDEX('ei names mapping'!$B$4:$BL$33,MATCH(B$229,'ei names mapping'!$A$4:$A$33,0),MATCH(G356,'ei names mapping'!$B$3:$BL$3,0))</f>
        <v>1-Pentene</v>
      </c>
      <c r="B356" s="7">
        <f>INDEX('vehicles specifications'!$B$3:$CW$166,MATCH(B$309,'vehicles specifications'!$A$3:$A$166,0),MATCH(G356,'vehicles specifications'!$B$2:$CW$2,0))*INDEX('ei names mapping'!$B$137:$BL$300,MATCH(B$309,'ei names mapping'!$A$137:$A$300,0),MATCH(G356,'ei names mapping'!$B$136:$BL$136,0))</f>
        <v>9.9094459117452519E-7</v>
      </c>
      <c r="D356" t="str">
        <f>INDEX('ei names mapping'!$B$104:$BL$133,MATCH(B$229,'ei names mapping'!$A$4:$A$33,0),MATCH(G356,'ei names mapping'!$B$3:$BL$3,0))</f>
        <v>kilogram</v>
      </c>
      <c r="E356" t="str">
        <f>INDEX('ei names mapping'!$B$305:$BL$335,MATCH(B$229,'ei names mapping'!$A$4:$A$33,0),MATCH(G356,'ei names mapping'!$B$3:$BL$3,0))</f>
        <v>air::urban air close to ground</v>
      </c>
      <c r="F356" t="s">
        <v>167</v>
      </c>
      <c r="G356" t="s">
        <v>550</v>
      </c>
    </row>
    <row r="357" spans="1:7" x14ac:dyDescent="0.2">
      <c r="A357" t="str">
        <f>INDEX('ei names mapping'!$B$4:$BL$33,MATCH(B$229,'ei names mapping'!$A$4:$A$33,0),MATCH(G357,'ei names mapping'!$B$3:$BL$3,0))</f>
        <v>Toluene</v>
      </c>
      <c r="B357" s="7">
        <f>INDEX('vehicles specifications'!$B$3:$CW$166,MATCH(B$309,'vehicles specifications'!$A$3:$A$166,0),MATCH(G357,'vehicles specifications'!$B$2:$CW$2,0))*INDEX('ei names mapping'!$B$137:$BL$300,MATCH(B$309,'ei names mapping'!$A$137:$A$300,0),MATCH(G357,'ei names mapping'!$B$136:$BL$136,0))</f>
        <v>9.8914287373602611E-5</v>
      </c>
      <c r="D357" t="str">
        <f>INDEX('ei names mapping'!$B$104:$BL$133,MATCH(B$229,'ei names mapping'!$A$4:$A$33,0),MATCH(G357,'ei names mapping'!$B$3:$BL$3,0))</f>
        <v>kilogram</v>
      </c>
      <c r="E357" t="str">
        <f>INDEX('ei names mapping'!$B$305:$BL$335,MATCH(B$229,'ei names mapping'!$A$4:$A$33,0),MATCH(G357,'ei names mapping'!$B$3:$BL$3,0))</f>
        <v>air::urban air close to ground</v>
      </c>
      <c r="F357" t="s">
        <v>167</v>
      </c>
      <c r="G357" t="s">
        <v>551</v>
      </c>
    </row>
    <row r="358" spans="1:7" x14ac:dyDescent="0.2">
      <c r="A358" t="str">
        <f>INDEX('ei names mapping'!$B$4:$BL$33,MATCH(B$229,'ei names mapping'!$A$4:$A$33,0),MATCH(G358,'ei names mapping'!$B$3:$BL$3,0))</f>
        <v>m-Xylene</v>
      </c>
      <c r="B358" s="7">
        <f>INDEX('vehicles specifications'!$B$3:$CW$166,MATCH(B$309,'vehicles specifications'!$A$3:$A$166,0),MATCH(G358,'vehicles specifications'!$B$2:$CW$2,0))*INDEX('ei names mapping'!$B$137:$BL$300,MATCH(B$309,'ei names mapping'!$A$137:$A$300,0),MATCH(G358,'ei names mapping'!$B$136:$BL$136,0))</f>
        <v>4.8916628455251568E-5</v>
      </c>
      <c r="D358" t="str">
        <f>INDEX('ei names mapping'!$B$104:$BL$133,MATCH(B$229,'ei names mapping'!$A$4:$A$33,0),MATCH(G358,'ei names mapping'!$B$3:$BL$3,0))</f>
        <v>kilogram</v>
      </c>
      <c r="E358" t="str">
        <f>INDEX('ei names mapping'!$B$305:$BL$335,MATCH(B$229,'ei names mapping'!$A$4:$A$33,0),MATCH(G358,'ei names mapping'!$B$3:$BL$3,0))</f>
        <v>air::urban air close to ground</v>
      </c>
      <c r="F358" t="s">
        <v>167</v>
      </c>
      <c r="G358" t="s">
        <v>552</v>
      </c>
    </row>
    <row r="359" spans="1:7" x14ac:dyDescent="0.2">
      <c r="A359" t="str">
        <f>INDEX('ei names mapping'!$B$4:$BL$33,MATCH(B$229,'ei names mapping'!$A$4:$A$33,0),MATCH(G359,'ei names mapping'!$B$3:$BL$3,0))</f>
        <v>o-Xylene</v>
      </c>
      <c r="B359" s="7">
        <f>INDEX('vehicles specifications'!$B$3:$CW$166,MATCH(B$309,'vehicles specifications'!$A$3:$A$166,0),MATCH(G359,'vehicles specifications'!$B$2:$CW$2,0))*INDEX('ei names mapping'!$B$137:$BL$300,MATCH(B$309,'ei names mapping'!$A$137:$A$300,0),MATCH(G359,'ei names mapping'!$B$136:$BL$136,0))</f>
        <v>2.0359407055040244E-5</v>
      </c>
      <c r="D359" t="str">
        <f>INDEX('ei names mapping'!$B$104:$BL$133,MATCH(B$229,'ei names mapping'!$A$4:$A$33,0),MATCH(G359,'ei names mapping'!$B$3:$BL$3,0))</f>
        <v>kilogram</v>
      </c>
      <c r="E359" t="str">
        <f>INDEX('ei names mapping'!$B$305:$BL$335,MATCH(B$229,'ei names mapping'!$A$4:$A$33,0),MATCH(G359,'ei names mapping'!$B$3:$BL$3,0))</f>
        <v>air::urban air close to ground</v>
      </c>
      <c r="F359" t="s">
        <v>167</v>
      </c>
      <c r="G359" t="s">
        <v>553</v>
      </c>
    </row>
    <row r="360" spans="1:7" x14ac:dyDescent="0.2">
      <c r="A360" t="str">
        <f>INDEX('ei names mapping'!$B$4:$BL$33,MATCH(B$229,'ei names mapping'!$A$4:$A$33,0),MATCH(G360,'ei names mapping'!$B$3:$BL$3,0))</f>
        <v>Formaldehyde</v>
      </c>
      <c r="B360" s="7">
        <f>INDEX('vehicles specifications'!$B$3:$CW$166,MATCH(B$309,'vehicles specifications'!$A$3:$A$166,0),MATCH(G360,'vehicles specifications'!$B$2:$CW$2,0))*INDEX('ei names mapping'!$B$137:$BL$300,MATCH(B$309,'ei names mapping'!$A$137:$A$300,0),MATCH(G360,'ei names mapping'!$B$136:$BL$136,0))</f>
        <v>1.5314598227242665E-5</v>
      </c>
      <c r="D360" t="str">
        <f>INDEX('ei names mapping'!$B$104:$BL$133,MATCH(B$229,'ei names mapping'!$A$4:$A$33,0),MATCH(G360,'ei names mapping'!$B$3:$BL$3,0))</f>
        <v>kilogram</v>
      </c>
      <c r="E360" t="str">
        <f>INDEX('ei names mapping'!$B$305:$BL$335,MATCH(B$229,'ei names mapping'!$A$4:$A$33,0),MATCH(G360,'ei names mapping'!$B$3:$BL$3,0))</f>
        <v>air::urban air close to ground</v>
      </c>
      <c r="F360" t="s">
        <v>167</v>
      </c>
      <c r="G360" t="s">
        <v>554</v>
      </c>
    </row>
    <row r="361" spans="1:7" x14ac:dyDescent="0.2">
      <c r="A361" t="str">
        <f>INDEX('ei names mapping'!$B$4:$BL$33,MATCH(B$229,'ei names mapping'!$A$4:$A$33,0),MATCH(G361,'ei names mapping'!$B$3:$BL$3,0))</f>
        <v>Acetaldehyde</v>
      </c>
      <c r="B361" s="7">
        <f>INDEX('vehicles specifications'!$B$3:$CW$166,MATCH(B$309,'vehicles specifications'!$A$3:$A$166,0),MATCH(G361,'vehicles specifications'!$B$2:$CW$2,0))*INDEX('ei names mapping'!$B$137:$BL$300,MATCH(B$309,'ei names mapping'!$A$137:$A$300,0),MATCH(G361,'ei names mapping'!$B$136:$BL$136,0))</f>
        <v>6.7564403943717619E-6</v>
      </c>
      <c r="D361" t="str">
        <f>INDEX('ei names mapping'!$B$104:$BL$133,MATCH(B$229,'ei names mapping'!$A$4:$A$33,0),MATCH(G361,'ei names mapping'!$B$3:$BL$3,0))</f>
        <v>kilogram</v>
      </c>
      <c r="E361" t="str">
        <f>INDEX('ei names mapping'!$B$305:$BL$335,MATCH(B$229,'ei names mapping'!$A$4:$A$33,0),MATCH(G361,'ei names mapping'!$B$3:$BL$3,0))</f>
        <v>air::urban air close to ground</v>
      </c>
      <c r="F361" t="s">
        <v>167</v>
      </c>
      <c r="G361" t="s">
        <v>555</v>
      </c>
    </row>
    <row r="362" spans="1:7" x14ac:dyDescent="0.2">
      <c r="A362" t="str">
        <f>INDEX('ei names mapping'!$B$4:$BL$33,MATCH(B$229,'ei names mapping'!$A$4:$A$33,0),MATCH(G362,'ei names mapping'!$B$3:$BL$3,0))</f>
        <v>Benzaldehyde</v>
      </c>
      <c r="B362" s="7">
        <f>INDEX('vehicles specifications'!$B$3:$CW$166,MATCH(B$309,'vehicles specifications'!$A$3:$A$166,0),MATCH(G362,'vehicles specifications'!$B$2:$CW$2,0))*INDEX('ei names mapping'!$B$137:$BL$300,MATCH(B$309,'ei names mapping'!$A$137:$A$300,0),MATCH(G362,'ei names mapping'!$B$136:$BL$136,0))</f>
        <v>1.9818891823490504E-6</v>
      </c>
      <c r="D362" t="str">
        <f>INDEX('ei names mapping'!$B$104:$BL$133,MATCH(B$229,'ei names mapping'!$A$4:$A$33,0),MATCH(G362,'ei names mapping'!$B$3:$BL$3,0))</f>
        <v>kilogram</v>
      </c>
      <c r="E362" t="str">
        <f>INDEX('ei names mapping'!$B$305:$BL$335,MATCH(B$229,'ei names mapping'!$A$4:$A$33,0),MATCH(G362,'ei names mapping'!$B$3:$BL$3,0))</f>
        <v>air::urban air close to ground</v>
      </c>
      <c r="F362" t="s">
        <v>167</v>
      </c>
      <c r="G362" t="s">
        <v>556</v>
      </c>
    </row>
    <row r="363" spans="1:7" x14ac:dyDescent="0.2">
      <c r="A363" t="str">
        <f>INDEX('ei names mapping'!$B$4:$BL$33,MATCH(B$229,'ei names mapping'!$A$4:$A$33,0),MATCH(G363,'ei names mapping'!$B$3:$BL$3,0))</f>
        <v>Acetone</v>
      </c>
      <c r="B363" s="7">
        <f>INDEX('vehicles specifications'!$B$3:$CW$166,MATCH(B$309,'vehicles specifications'!$A$3:$A$166,0),MATCH(G363,'vehicles specifications'!$B$2:$CW$2,0))*INDEX('ei names mapping'!$B$137:$BL$300,MATCH(B$309,'ei names mapping'!$A$137:$A$300,0),MATCH(G363,'ei names mapping'!$B$136:$BL$136,0))</f>
        <v>5.495238187422368E-6</v>
      </c>
      <c r="D363" t="str">
        <f>INDEX('ei names mapping'!$B$104:$BL$133,MATCH(B$229,'ei names mapping'!$A$4:$A$33,0),MATCH(G363,'ei names mapping'!$B$3:$BL$3,0))</f>
        <v>kilogram</v>
      </c>
      <c r="E363" t="str">
        <f>INDEX('ei names mapping'!$B$305:$BL$335,MATCH(B$229,'ei names mapping'!$A$4:$A$33,0),MATCH(G363,'ei names mapping'!$B$3:$BL$3,0))</f>
        <v>air::urban air close to ground</v>
      </c>
      <c r="F363" t="s">
        <v>167</v>
      </c>
      <c r="G363" t="s">
        <v>557</v>
      </c>
    </row>
    <row r="364" spans="1:7" x14ac:dyDescent="0.2">
      <c r="A364" t="str">
        <f>INDEX('ei names mapping'!$B$4:$BL$33,MATCH(B$229,'ei names mapping'!$A$4:$A$33,0),MATCH(G364,'ei names mapping'!$B$3:$BL$3,0))</f>
        <v>Methyl ethyl ketone</v>
      </c>
      <c r="B364" s="7">
        <f>INDEX('vehicles specifications'!$B$3:$CW$166,MATCH(B$309,'vehicles specifications'!$A$3:$A$166,0),MATCH(G364,'vehicles specifications'!$B$2:$CW$2,0))*INDEX('ei names mapping'!$B$137:$BL$300,MATCH(B$309,'ei names mapping'!$A$137:$A$300,0),MATCH(G364,'ei names mapping'!$B$136:$BL$136,0))</f>
        <v>0</v>
      </c>
      <c r="D364" t="str">
        <f>INDEX('ei names mapping'!$B$104:$BL$133,MATCH(B$229,'ei names mapping'!$A$4:$A$33,0),MATCH(G364,'ei names mapping'!$B$3:$BL$3,0))</f>
        <v>kilogram</v>
      </c>
      <c r="E364" t="str">
        <f>INDEX('ei names mapping'!$B$305:$BL$335,MATCH(B$229,'ei names mapping'!$A$4:$A$33,0),MATCH(G364,'ei names mapping'!$B$3:$BL$3,0))</f>
        <v>air::urban air close to ground</v>
      </c>
      <c r="F364" t="s">
        <v>167</v>
      </c>
      <c r="G364" t="s">
        <v>560</v>
      </c>
    </row>
    <row r="365" spans="1:7" x14ac:dyDescent="0.2">
      <c r="A365" t="str">
        <f>INDEX('ei names mapping'!$B$4:$BL$33,MATCH(B$229,'ei names mapping'!$A$4:$A$33,0),MATCH(G365,'ei names mapping'!$B$3:$BL$3,0))</f>
        <v>Acrolein</v>
      </c>
      <c r="B365" s="7">
        <f>INDEX('vehicles specifications'!$B$3:$CW$166,MATCH(B$309,'vehicles specifications'!$A$3:$A$166,0),MATCH(G365,'vehicles specifications'!$B$2:$CW$2,0))*INDEX('ei names mapping'!$B$137:$BL$300,MATCH(B$309,'ei names mapping'!$A$137:$A$300,0),MATCH(G365,'ei names mapping'!$B$136:$BL$136,0))</f>
        <v>1.7116315665741799E-6</v>
      </c>
      <c r="D365" t="str">
        <f>INDEX('ei names mapping'!$B$104:$BL$133,MATCH(B$229,'ei names mapping'!$A$4:$A$33,0),MATCH(G365,'ei names mapping'!$B$3:$BL$3,0))</f>
        <v>kilogram</v>
      </c>
      <c r="E365" t="str">
        <f>INDEX('ei names mapping'!$B$305:$BL$335,MATCH(B$229,'ei names mapping'!$A$4:$A$33,0),MATCH(G365,'ei names mapping'!$B$3:$BL$3,0))</f>
        <v>air::urban air close to ground</v>
      </c>
      <c r="F365" t="s">
        <v>167</v>
      </c>
      <c r="G365" t="s">
        <v>558</v>
      </c>
    </row>
    <row r="366" spans="1:7" x14ac:dyDescent="0.2">
      <c r="A366" t="str">
        <f>INDEX('ei names mapping'!$B$4:$BL$33,MATCH(B$229,'ei names mapping'!$A$4:$A$33,0),MATCH(G366,'ei names mapping'!$B$3:$BL$3,0))</f>
        <v>Styrene</v>
      </c>
      <c r="B366" s="7">
        <f>INDEX('vehicles specifications'!$B$3:$CW$166,MATCH(B$309,'vehicles specifications'!$A$3:$A$166,0),MATCH(G366,'vehicles specifications'!$B$2:$CW$2,0))*INDEX('ei names mapping'!$B$137:$BL$300,MATCH(B$309,'ei names mapping'!$A$137:$A$300,0),MATCH(G366,'ei names mapping'!$B$136:$BL$136,0))</f>
        <v>9.0986730644206395E-6</v>
      </c>
      <c r="D366" t="str">
        <f>INDEX('ei names mapping'!$B$104:$BL$133,MATCH(B$229,'ei names mapping'!$A$4:$A$33,0),MATCH(G366,'ei names mapping'!$B$3:$BL$3,0))</f>
        <v>kilogram</v>
      </c>
      <c r="E366" t="str">
        <f>INDEX('ei names mapping'!$B$305:$BL$335,MATCH(B$229,'ei names mapping'!$A$4:$A$33,0),MATCH(G366,'ei names mapping'!$B$3:$BL$3,0))</f>
        <v>air::urban air close to ground</v>
      </c>
      <c r="F366" t="s">
        <v>167</v>
      </c>
      <c r="G366" t="s">
        <v>559</v>
      </c>
    </row>
    <row r="367" spans="1:7" x14ac:dyDescent="0.2">
      <c r="A367" t="str">
        <f>INDEX('ei names mapping'!$B$4:$BL$33,MATCH(B$229,'ei names mapping'!$A$4:$A$33,0),MATCH(G367,'ei names mapping'!$B$3:$BL$3,0))</f>
        <v>PAH, polycyclic aromatic hydrocarbons</v>
      </c>
      <c r="B367" s="7">
        <f>INDEX('vehicles specifications'!$B$3:$CW$166,MATCH(B$309,'vehicles specifications'!$A$3:$A$166,0),MATCH(G367,'vehicles specifications'!$B$2:$CW$2,0))*INDEX('ei names mapping'!$B$137:$BL$300,MATCH(B$309,'ei names mapping'!$A$137:$A$300,0),MATCH(G367,'ei names mapping'!$B$136:$BL$136,0))</f>
        <v>6.8059811854710989E-10</v>
      </c>
      <c r="D367" t="str">
        <f>INDEX('ei names mapping'!$B$104:$BL$133,MATCH(B$229,'ei names mapping'!$A$4:$A$33,0),MATCH(G367,'ei names mapping'!$B$3:$BL$3,0))</f>
        <v>kilogram</v>
      </c>
      <c r="E367" t="str">
        <f>INDEX('ei names mapping'!$B$305:$BL$335,MATCH(B$229,'ei names mapping'!$A$4:$A$33,0),MATCH(G367,'ei names mapping'!$B$3:$BL$3,0))</f>
        <v>air::urban air close to ground</v>
      </c>
      <c r="F367" t="s">
        <v>167</v>
      </c>
      <c r="G367" t="s">
        <v>561</v>
      </c>
    </row>
    <row r="368" spans="1:7" x14ac:dyDescent="0.2">
      <c r="A368" t="str">
        <f>INDEX('ei names mapping'!$B$4:$BL$33,MATCH(B$229,'ei names mapping'!$A$4:$A$33,0),MATCH(G368,'ei names mapping'!$B$3:$BL$3,0))</f>
        <v>Arsenic</v>
      </c>
      <c r="B368" s="7">
        <f>INDEX('vehicles specifications'!$B$3:$CW$166,MATCH(B$309,'vehicles specifications'!$A$3:$A$166,0),MATCH(G368,'vehicles specifications'!$B$2:$CW$2,0))*INDEX('ei names mapping'!$B$137:$BL$300,MATCH(B$309,'ei names mapping'!$A$137:$A$300,0),MATCH(G368,'ei names mapping'!$B$136:$BL$136,0))</f>
        <v>5.8672251598888778E-12</v>
      </c>
      <c r="D368" t="str">
        <f>INDEX('ei names mapping'!$B$104:$BL$133,MATCH(B$229,'ei names mapping'!$A$4:$A$33,0),MATCH(G368,'ei names mapping'!$B$3:$BL$3,0))</f>
        <v>kilogram</v>
      </c>
      <c r="E368" t="str">
        <f>INDEX('ei names mapping'!$B$305:$BL$335,MATCH(B$229,'ei names mapping'!$A$4:$A$33,0),MATCH(G368,'ei names mapping'!$B$3:$BL$3,0))</f>
        <v>air::urban air close to ground</v>
      </c>
      <c r="F368" t="s">
        <v>167</v>
      </c>
      <c r="G368" t="s">
        <v>562</v>
      </c>
    </row>
    <row r="369" spans="1:8" x14ac:dyDescent="0.2">
      <c r="A369" t="str">
        <f>INDEX('ei names mapping'!$B$4:$BL$33,MATCH(B$229,'ei names mapping'!$A$4:$A$33,0),MATCH(G369,'ei names mapping'!$B$3:$BL$3,0))</f>
        <v>Selenium</v>
      </c>
      <c r="B369" s="7">
        <f>INDEX('vehicles specifications'!$B$3:$CW$166,MATCH(B$309,'vehicles specifications'!$A$3:$A$166,0),MATCH(G369,'vehicles specifications'!$B$2:$CW$2,0))*INDEX('ei names mapping'!$B$137:$BL$300,MATCH(B$309,'ei names mapping'!$A$137:$A$300,0),MATCH(G369,'ei names mapping'!$B$136:$BL$136,0))</f>
        <v>3.9114834399259186E-12</v>
      </c>
      <c r="D369" t="str">
        <f>INDEX('ei names mapping'!$B$104:$BL$133,MATCH(B$229,'ei names mapping'!$A$4:$A$33,0),MATCH(G369,'ei names mapping'!$B$3:$BL$3,0))</f>
        <v>kilogram</v>
      </c>
      <c r="E369" t="str">
        <f>INDEX('ei names mapping'!$B$305:$BL$335,MATCH(B$229,'ei names mapping'!$A$4:$A$33,0),MATCH(G369,'ei names mapping'!$B$3:$BL$3,0))</f>
        <v>air::urban air close to ground</v>
      </c>
      <c r="F369" t="s">
        <v>167</v>
      </c>
      <c r="G369" t="s">
        <v>563</v>
      </c>
    </row>
    <row r="370" spans="1:8" x14ac:dyDescent="0.2">
      <c r="A370" t="str">
        <f>INDEX('ei names mapping'!$B$4:$BL$33,MATCH(B$229,'ei names mapping'!$A$4:$A$33,0),MATCH(G370,'ei names mapping'!$B$3:$BL$3,0))</f>
        <v>Zinc</v>
      </c>
      <c r="B370" s="7">
        <f>INDEX('vehicles specifications'!$B$3:$CW$166,MATCH(B$309,'vehicles specifications'!$A$3:$A$166,0),MATCH(G370,'vehicles specifications'!$B$2:$CW$2,0))*INDEX('ei names mapping'!$B$137:$BL$300,MATCH(B$309,'ei names mapping'!$A$137:$A$300,0),MATCH(G370,'ei names mapping'!$B$136:$BL$136,0))</f>
        <v>4.2244021151199922E-8</v>
      </c>
      <c r="D370" t="str">
        <f>INDEX('ei names mapping'!$B$104:$BL$133,MATCH(B$229,'ei names mapping'!$A$4:$A$33,0),MATCH(G370,'ei names mapping'!$B$3:$BL$3,0))</f>
        <v>kilogram</v>
      </c>
      <c r="E370" t="str">
        <f>INDEX('ei names mapping'!$B$305:$BL$335,MATCH(B$229,'ei names mapping'!$A$4:$A$33,0),MATCH(G370,'ei names mapping'!$B$3:$BL$3,0))</f>
        <v>air::urban air close to ground</v>
      </c>
      <c r="F370" t="s">
        <v>167</v>
      </c>
      <c r="G370" t="s">
        <v>564</v>
      </c>
    </row>
    <row r="371" spans="1:8" x14ac:dyDescent="0.2">
      <c r="A371" t="str">
        <f>INDEX('ei names mapping'!$B$4:$BL$33,MATCH(B$229,'ei names mapping'!$A$4:$A$33,0),MATCH(G371,'ei names mapping'!$B$3:$BL$3,0))</f>
        <v>Copper</v>
      </c>
      <c r="B371" s="7">
        <f>INDEX('vehicles specifications'!$B$3:$CW$166,MATCH(B$309,'vehicles specifications'!$A$3:$A$166,0),MATCH(G371,'vehicles specifications'!$B$2:$CW$2,0))*INDEX('ei names mapping'!$B$137:$BL$300,MATCH(B$309,'ei names mapping'!$A$137:$A$300,0),MATCH(G371,'ei names mapping'!$B$136:$BL$136,0))</f>
        <v>8.2141152238444284E-10</v>
      </c>
      <c r="D371" t="str">
        <f>INDEX('ei names mapping'!$B$104:$BL$133,MATCH(B$229,'ei names mapping'!$A$4:$A$33,0),MATCH(G371,'ei names mapping'!$B$3:$BL$3,0))</f>
        <v>kilogram</v>
      </c>
      <c r="E371" t="str">
        <f>INDEX('ei names mapping'!$B$305:$BL$335,MATCH(B$229,'ei names mapping'!$A$4:$A$33,0),MATCH(G371,'ei names mapping'!$B$3:$BL$3,0))</f>
        <v>air::urban air close to ground</v>
      </c>
      <c r="F371" t="s">
        <v>167</v>
      </c>
      <c r="G371" t="s">
        <v>522</v>
      </c>
    </row>
    <row r="372" spans="1:8" x14ac:dyDescent="0.2">
      <c r="A372" t="str">
        <f>INDEX('ei names mapping'!$B$4:$BL$33,MATCH(B$229,'ei names mapping'!$A$4:$A$33,0),MATCH(G372,'ei names mapping'!$B$3:$BL$3,0))</f>
        <v>Nickel</v>
      </c>
      <c r="B372" s="7">
        <f>INDEX('vehicles specifications'!$B$3:$CW$166,MATCH(B$309,'vehicles specifications'!$A$3:$A$166,0),MATCH(G372,'vehicles specifications'!$B$2:$CW$2,0))*INDEX('ei names mapping'!$B$137:$BL$300,MATCH(B$309,'ei names mapping'!$A$137:$A$300,0),MATCH(G372,'ei names mapping'!$B$136:$BL$136,0))</f>
        <v>2.5424642359518471E-10</v>
      </c>
      <c r="D372" t="str">
        <f>INDEX('ei names mapping'!$B$104:$BL$133,MATCH(B$229,'ei names mapping'!$A$4:$A$33,0),MATCH(G372,'ei names mapping'!$B$3:$BL$3,0))</f>
        <v>kilogram</v>
      </c>
      <c r="E372" t="str">
        <f>INDEX('ei names mapping'!$B$305:$BL$335,MATCH(B$229,'ei names mapping'!$A$4:$A$33,0),MATCH(G372,'ei names mapping'!$B$3:$BL$3,0))</f>
        <v>air::urban air close to ground</v>
      </c>
      <c r="F372" t="s">
        <v>167</v>
      </c>
      <c r="G372" t="s">
        <v>524</v>
      </c>
    </row>
    <row r="373" spans="1:8" x14ac:dyDescent="0.2">
      <c r="A373" t="str">
        <f>INDEX('ei names mapping'!$B$4:$BL$33,MATCH(B$229,'ei names mapping'!$A$4:$A$33,0),MATCH(G373,'ei names mapping'!$B$3:$BL$3,0))</f>
        <v>Chromium</v>
      </c>
      <c r="B373" s="7">
        <f>INDEX('vehicles specifications'!$B$3:$CW$166,MATCH(B$309,'vehicles specifications'!$A$3:$A$166,0),MATCH(G373,'vehicles specifications'!$B$2:$CW$2,0))*INDEX('ei names mapping'!$B$137:$BL$300,MATCH(B$309,'ei names mapping'!$A$137:$A$300,0),MATCH(G373,'ei names mapping'!$B$136:$BL$136,0))</f>
        <v>3.1291867519407351E-10</v>
      </c>
      <c r="D373" t="str">
        <f>INDEX('ei names mapping'!$B$104:$BL$133,MATCH(B$229,'ei names mapping'!$A$4:$A$33,0),MATCH(G373,'ei names mapping'!$B$3:$BL$3,0))</f>
        <v>kilogram</v>
      </c>
      <c r="E373" t="str">
        <f>INDEX('ei names mapping'!$B$305:$BL$335,MATCH(B$229,'ei names mapping'!$A$4:$A$33,0),MATCH(G373,'ei names mapping'!$B$3:$BL$3,0))</f>
        <v>air::urban air close to ground</v>
      </c>
      <c r="F373" t="s">
        <v>167</v>
      </c>
      <c r="G373" t="s">
        <v>523</v>
      </c>
    </row>
    <row r="374" spans="1:8" x14ac:dyDescent="0.2">
      <c r="A374" t="str">
        <f>INDEX('ei names mapping'!$B$4:$BL$33,MATCH(B$229,'ei names mapping'!$A$4:$A$33,0),MATCH(G374,'ei names mapping'!$B$3:$BL$3,0))</f>
        <v>Chromium VI</v>
      </c>
      <c r="B374" s="7">
        <f>INDEX('vehicles specifications'!$B$3:$CW$166,MATCH(B$309,'vehicles specifications'!$A$3:$A$166,0),MATCH(G374,'vehicles specifications'!$B$2:$CW$2,0))*INDEX('ei names mapping'!$B$137:$BL$300,MATCH(B$309,'ei names mapping'!$A$137:$A$300,0),MATCH(G374,'ei names mapping'!$B$136:$BL$136,0))</f>
        <v>6.258373503881469E-13</v>
      </c>
      <c r="D374" t="str">
        <f>INDEX('ei names mapping'!$B$104:$BL$133,MATCH(B$229,'ei names mapping'!$A$4:$A$33,0),MATCH(G374,'ei names mapping'!$B$3:$BL$3,0))</f>
        <v>kilogram</v>
      </c>
      <c r="E374" t="str">
        <f>INDEX('ei names mapping'!$B$305:$BL$335,MATCH(B$229,'ei names mapping'!$A$4:$A$33,0),MATCH(G374,'ei names mapping'!$B$3:$BL$3,0))</f>
        <v>air::urban air close to ground</v>
      </c>
      <c r="F374" t="s">
        <v>167</v>
      </c>
      <c r="G374" t="s">
        <v>567</v>
      </c>
    </row>
    <row r="375" spans="1:8" x14ac:dyDescent="0.2">
      <c r="A375" t="str">
        <f>INDEX('ei names mapping'!$B$4:$BL$33,MATCH(B$229,'ei names mapping'!$A$4:$A$33,0),MATCH(G375,'ei names mapping'!$B$3:$BL$3,0))</f>
        <v>Mercury</v>
      </c>
      <c r="B375" s="7">
        <f>INDEX('vehicles specifications'!$B$3:$CW$166,MATCH(B$309,'vehicles specifications'!$A$3:$A$166,0),MATCH(G375,'vehicles specifications'!$B$2:$CW$2,0))*INDEX('ei names mapping'!$B$137:$BL$300,MATCH(B$309,'ei names mapping'!$A$137:$A$300,0),MATCH(G375,'ei names mapping'!$B$136:$BL$136,0))</f>
        <v>1.7014952963677747E-10</v>
      </c>
      <c r="D375" t="str">
        <f>INDEX('ei names mapping'!$B$104:$BL$133,MATCH(B$229,'ei names mapping'!$A$4:$A$33,0),MATCH(G375,'ei names mapping'!$B$3:$BL$3,0))</f>
        <v>kilogram</v>
      </c>
      <c r="E375" t="str">
        <f>INDEX('ei names mapping'!$B$305:$BL$335,MATCH(B$229,'ei names mapping'!$A$4:$A$33,0),MATCH(G375,'ei names mapping'!$B$3:$BL$3,0))</f>
        <v>air::urban air close to ground</v>
      </c>
      <c r="F375" t="s">
        <v>167</v>
      </c>
      <c r="G375" t="s">
        <v>565</v>
      </c>
    </row>
    <row r="376" spans="1:8" x14ac:dyDescent="0.2">
      <c r="A376" t="str">
        <f>INDEX('ei names mapping'!$B$4:$BL$33,MATCH(B$229,'ei names mapping'!$A$4:$A$33,0),MATCH(G376,'ei names mapping'!$B$3:$BL$3,0))</f>
        <v>Cadmium</v>
      </c>
      <c r="B376" s="7">
        <f>INDEX('vehicles specifications'!$B$3:$CW$166,MATCH(B$309,'vehicles specifications'!$A$3:$A$166,0),MATCH(G376,'vehicles specifications'!$B$2:$CW$2,0))*INDEX('ei names mapping'!$B$137:$BL$300,MATCH(B$309,'ei names mapping'!$A$137:$A$300,0),MATCH(G376,'ei names mapping'!$B$136:$BL$136,0))</f>
        <v>2.1122010575599965E-10</v>
      </c>
      <c r="D376" t="str">
        <f>INDEX('ei names mapping'!$B$104:$BL$133,MATCH(B$229,'ei names mapping'!$A$4:$A$33,0),MATCH(G376,'ei names mapping'!$B$3:$BL$3,0))</f>
        <v>kilogram</v>
      </c>
      <c r="E376" t="str">
        <f>INDEX('ei names mapping'!$B$305:$BL$335,MATCH(B$229,'ei names mapping'!$A$4:$A$33,0),MATCH(G376,'ei names mapping'!$B$3:$BL$3,0))</f>
        <v>air::urban air close to ground</v>
      </c>
      <c r="F376" t="s">
        <v>167</v>
      </c>
      <c r="G376" t="s">
        <v>566</v>
      </c>
    </row>
    <row r="377" spans="1:8" x14ac:dyDescent="0.2">
      <c r="A377" t="str">
        <f>INDEX('ei names mapping'!$B$4:$BL$33,MATCH(B306,'ei names mapping'!$A$4:$A$33,0),MATCH(G377,'ei names mapping'!$B$3:$BL$3,0))</f>
        <v>treatment of road wear emissions, passenger car</v>
      </c>
      <c r="B377" s="7">
        <f>INDEX('vehicles specifications'!$B$3:$CW$166,MATCH(B309,'vehicles specifications'!$A$3:$A$166,0),MATCH(G377,'vehicles specifications'!$B$2:$CW$2,0))*INDEX('ei names mapping'!$B$137:$BL$300,MATCH(B309,'ei names mapping'!$A$137:$A$300,0),MATCH(G377,'ei names mapping'!$B$136:$BL$136,0))</f>
        <v>-5.5214033406186255E-6</v>
      </c>
      <c r="C377" t="str">
        <f>INDEX('ei names mapping'!$B$38:$BL$67,MATCH(B306,'ei names mapping'!$A$4:$A$33,0),MATCH(G377,'ei names mapping'!$B$3:$BL$3,0))</f>
        <v>RER</v>
      </c>
      <c r="D377" t="str">
        <f>INDEX('ei names mapping'!$B$104:$BL$133,MATCH(B306,'ei names mapping'!$A$4:$A$33,0),MATCH(G377,'ei names mapping'!$B$3:$BL$3,0))</f>
        <v>kilogram</v>
      </c>
      <c r="F377" t="s">
        <v>89</v>
      </c>
      <c r="G377" t="s">
        <v>29</v>
      </c>
      <c r="H377" t="str">
        <f>INDEX('ei names mapping'!$B$71:$BL$100,MATCH(B306,'ei names mapping'!$A$4:$A$33,0),MATCH(G377,'ei names mapping'!$B$3:$BL$3,0))</f>
        <v>road wear emissions, passenger car</v>
      </c>
    </row>
    <row r="378" spans="1:8" x14ac:dyDescent="0.2">
      <c r="A378" t="str">
        <f>INDEX('ei names mapping'!$B$4:$BL$33,MATCH(B306,'ei names mapping'!$A$4:$A$33,0),MATCH(G378,'ei names mapping'!$B$3:$BL$3,0))</f>
        <v>treatment of tyre wear emissions, passenger car</v>
      </c>
      <c r="B378" s="7">
        <f>INDEX('vehicles specifications'!$B$3:$CW$166,MATCH(B309,'vehicles specifications'!$A$3:$A$166,0),MATCH(G378,'vehicles specifications'!$B$2:$CW$2,0))*INDEX('ei names mapping'!$B$137:$BL$300,MATCH(B309,'ei names mapping'!$A$137:$A$300,0),MATCH(G378,'ei names mapping'!$B$136:$BL$136,0))</f>
        <v>-4.6701389954751309E-6</v>
      </c>
      <c r="C378" t="str">
        <f>INDEX('ei names mapping'!$B$38:$BL$67,MATCH(B306,'ei names mapping'!$A$4:$A$33,0),MATCH(G378,'ei names mapping'!$B$3:$BL$3,0))</f>
        <v>RER</v>
      </c>
      <c r="D378" t="str">
        <f>INDEX('ei names mapping'!$B$104:$BL$133,MATCH(B306,'ei names mapping'!$A$4:$A$33,0),MATCH(G378,'ei names mapping'!$B$3:$BL$3,0))</f>
        <v>kilogram</v>
      </c>
      <c r="F378" t="s">
        <v>89</v>
      </c>
      <c r="G378" t="s">
        <v>30</v>
      </c>
      <c r="H378" t="str">
        <f>INDEX('ei names mapping'!$B$71:$BL$100,MATCH(B306,'ei names mapping'!$A$4:$A$33,0),MATCH(G378,'ei names mapping'!$B$3:$BL$3,0))</f>
        <v>tyre wear emissions, passenger car</v>
      </c>
    </row>
    <row r="379" spans="1:8" x14ac:dyDescent="0.2">
      <c r="A379" t="str">
        <f>INDEX('ei names mapping'!$B$4:$BL$33,MATCH(B306,'ei names mapping'!$A$4:$A$33,0),MATCH(G379,'ei names mapping'!$B$3:$BL$3,0))</f>
        <v>treatment of brake wear emissions, passenger car</v>
      </c>
      <c r="B379" s="7">
        <f>INDEX('vehicles specifications'!$B$3:$CW$166,MATCH(B309,'vehicles specifications'!$A$3:$A$166,0),MATCH(G379,'vehicles specifications'!$B$2:$CW$2,0))*INDEX('ei names mapping'!$B$137:$BL$300,MATCH(B309,'ei names mapping'!$A$137:$A$300,0),MATCH(G379,'ei names mapping'!$B$136:$BL$136,0))</f>
        <v>-3.206660819959009E-6</v>
      </c>
      <c r="C379" t="str">
        <f>INDEX('ei names mapping'!$B$38:$BL$67,MATCH(B306,'ei names mapping'!$A$4:$A$33,0),MATCH(G379,'ei names mapping'!$B$3:$BL$3,0))</f>
        <v>RER</v>
      </c>
      <c r="D379" t="str">
        <f>INDEX('ei names mapping'!$B$104:$BL$133,MATCH(B306,'ei names mapping'!$A$4:$A$33,0),MATCH(G379,'ei names mapping'!$B$3:$BL$3,0))</f>
        <v>kilogram</v>
      </c>
      <c r="F379" t="s">
        <v>89</v>
      </c>
      <c r="G379" t="s">
        <v>31</v>
      </c>
      <c r="H379" t="str">
        <f>INDEX('ei names mapping'!$B$71:$BL$100,MATCH(B306,'ei names mapping'!$A$4:$A$33,0),MATCH(G379,'ei names mapping'!$B$3:$BL$3,0))</f>
        <v>brake wear emissions, passenger car</v>
      </c>
    </row>
    <row r="381" spans="1:8" ht="16" x14ac:dyDescent="0.2">
      <c r="A381" s="10" t="s">
        <v>71</v>
      </c>
      <c r="B381" s="8" t="str">
        <f>"transport, "&amp;B383&amp;", "&amp;B385</f>
        <v>transport, Moped, gasoline, &lt;4kW, EURO-5, 2020</v>
      </c>
    </row>
    <row r="382" spans="1:8" x14ac:dyDescent="0.2">
      <c r="A382" t="s">
        <v>72</v>
      </c>
      <c r="B382" t="s">
        <v>37</v>
      </c>
    </row>
    <row r="383" spans="1:8" x14ac:dyDescent="0.2">
      <c r="A383" t="s">
        <v>86</v>
      </c>
      <c r="B383" t="s">
        <v>581</v>
      </c>
    </row>
    <row r="384" spans="1:8" x14ac:dyDescent="0.2">
      <c r="A384" t="s">
        <v>87</v>
      </c>
    </row>
    <row r="385" spans="1:2" x14ac:dyDescent="0.2">
      <c r="A385" t="s">
        <v>88</v>
      </c>
      <c r="B385">
        <v>2020</v>
      </c>
    </row>
    <row r="386" spans="1:2" x14ac:dyDescent="0.2">
      <c r="A386" t="s">
        <v>126</v>
      </c>
      <c r="B386" t="str">
        <f>B383&amp;" - "&amp;B385&amp;" - "&amp;B382</f>
        <v>Moped, gasoline, &lt;4kW, EURO-5 - 2020 - CH</v>
      </c>
    </row>
    <row r="387" spans="1:2" x14ac:dyDescent="0.2">
      <c r="A387" t="s">
        <v>73</v>
      </c>
      <c r="B387" t="str">
        <f>"transport, "&amp;B383</f>
        <v>transport, Moped, gasoline, &lt;4kW, EURO-5</v>
      </c>
    </row>
    <row r="388" spans="1:2" x14ac:dyDescent="0.2">
      <c r="A388" t="s">
        <v>74</v>
      </c>
      <c r="B388" t="s">
        <v>75</v>
      </c>
    </row>
    <row r="389" spans="1:2" x14ac:dyDescent="0.2">
      <c r="A389" t="s">
        <v>76</v>
      </c>
      <c r="B389" t="s">
        <v>166</v>
      </c>
    </row>
    <row r="390" spans="1:2" x14ac:dyDescent="0.2">
      <c r="A390" t="s">
        <v>78</v>
      </c>
      <c r="B390" t="s">
        <v>1143</v>
      </c>
    </row>
    <row r="391" spans="1:2" x14ac:dyDescent="0.2">
      <c r="A391" t="s">
        <v>127</v>
      </c>
      <c r="B391">
        <f>INDEX('vehicles specifications'!$B$3:$CW$166,MATCH(B386,'vehicles specifications'!$A$3:$A$166,0),MATCH("Lifetime [km]",'vehicles specifications'!$B$2:$CW$2,0))</f>
        <v>25000</v>
      </c>
    </row>
    <row r="392" spans="1:2" x14ac:dyDescent="0.2">
      <c r="A392" t="s">
        <v>128</v>
      </c>
      <c r="B392">
        <f>INDEX('vehicles specifications'!$B$3:$CW$166,MATCH(B386,'vehicles specifications'!$A$3:$A$166,0),MATCH("Passengers [unit]",'vehicles specifications'!$B$2:$CW$2,0))</f>
        <v>1</v>
      </c>
    </row>
    <row r="393" spans="1:2" x14ac:dyDescent="0.2">
      <c r="A393" t="s">
        <v>129</v>
      </c>
      <c r="B393">
        <f>INDEX('vehicles specifications'!$B$3:$CW$166,MATCH(B386,'vehicles specifications'!$A$3:$A$166,0),MATCH("Servicing [unit]",'vehicles specifications'!$B$2:$CW$2,0))</f>
        <v>1</v>
      </c>
    </row>
    <row r="394" spans="1:2" x14ac:dyDescent="0.2">
      <c r="A394" t="s">
        <v>130</v>
      </c>
      <c r="B394">
        <f>INDEX('vehicles specifications'!$B$3:$CW$166,MATCH(B386,'vehicles specifications'!$A$3:$A$166,0),MATCH("Energy battery replacement [unit]",'vehicles specifications'!$B$2:$CW$2,0))</f>
        <v>0</v>
      </c>
    </row>
    <row r="395" spans="1:2" x14ac:dyDescent="0.2">
      <c r="A395" t="s">
        <v>131</v>
      </c>
      <c r="B395">
        <f>INDEX('vehicles specifications'!$B$3:$CW$166,MATCH(B386,'vehicles specifications'!$A$3:$A$166,0),MATCH("Annual kilometers [km]",'vehicles specifications'!$B$2:$CW$2,0))</f>
        <v>1570</v>
      </c>
    </row>
    <row r="396" spans="1:2" x14ac:dyDescent="0.2">
      <c r="A396" t="s">
        <v>132</v>
      </c>
      <c r="B396" s="2">
        <f>INDEX('vehicles specifications'!$B$3:$CW$166,MATCH(B386,'vehicles specifications'!$A$3:$A$166,0),MATCH("Curb mass [kg]",'vehicles specifications'!$B$2:$CW$2,0))</f>
        <v>63</v>
      </c>
    </row>
    <row r="397" spans="1:2" x14ac:dyDescent="0.2">
      <c r="A397" t="s">
        <v>133</v>
      </c>
      <c r="B397">
        <f>INDEX('vehicles specifications'!$B$3:$CW$166,MATCH(B386,'vehicles specifications'!$A$3:$A$166,0),MATCH("Power [kW]",'vehicles specifications'!$B$2:$CW$2,0))</f>
        <v>2.5</v>
      </c>
    </row>
    <row r="398" spans="1:2" x14ac:dyDescent="0.2">
      <c r="A398" t="s">
        <v>134</v>
      </c>
      <c r="B398" t="str">
        <f>INDEX('vehicles specifications'!$B$3:$CW$166,MATCH(B386,'vehicles specifications'!$A$3:$A$166,0),MATCH("Energy battery mass [kg]",'vehicles specifications'!$B$2:$CW$2,0))</f>
        <v/>
      </c>
    </row>
    <row r="399" spans="1:2" x14ac:dyDescent="0.2">
      <c r="A399" t="s">
        <v>135</v>
      </c>
      <c r="B399">
        <f>INDEX('vehicles specifications'!$B$3:$CW$166,MATCH(B386,'vehicles specifications'!$A$3:$A$166,0),MATCH("Electric energy available [kWh]",'vehicles specifications'!$B$2:$CW$2,0))</f>
        <v>0</v>
      </c>
    </row>
    <row r="400" spans="1:2" x14ac:dyDescent="0.2">
      <c r="A400" t="s">
        <v>138</v>
      </c>
      <c r="B400" s="2">
        <f>INDEX('vehicles specifications'!$B$3:$CW$166,MATCH(B386,'vehicles specifications'!$A$3:$A$166,0),MATCH("Oxydation energy stored [kWh]",'vehicles specifications'!$B$2:$CW$2,0))</f>
        <v>62.125</v>
      </c>
    </row>
    <row r="401" spans="1:8" x14ac:dyDescent="0.2">
      <c r="A401" t="s">
        <v>139</v>
      </c>
      <c r="B401">
        <f>INDEX('vehicles specifications'!$B$3:$CW$166,MATCH(B386,'vehicles specifications'!$A$3:$A$166,0),MATCH("Fuel mass [kg]",'vehicles specifications'!$B$2:$CW$2,0))</f>
        <v>5.25</v>
      </c>
    </row>
    <row r="402" spans="1:8" x14ac:dyDescent="0.2">
      <c r="A402" t="s">
        <v>136</v>
      </c>
      <c r="B402" s="2">
        <f>INDEX('vehicles specifications'!$B$3:$CW$166,MATCH(B386,'vehicles specifications'!$A$3:$A$166,0),MATCH("Range [km]",'vehicles specifications'!$B$2:$CW$2,0))</f>
        <v>271.78987732035739</v>
      </c>
    </row>
    <row r="403" spans="1:8" x14ac:dyDescent="0.2">
      <c r="A403" t="s">
        <v>137</v>
      </c>
      <c r="B403" t="str">
        <f>INDEX('vehicles specifications'!$B$3:$CW$166,MATCH(B386,'vehicles specifications'!$A$3:$A$166,0),MATCH("Emission standard",'vehicles specifications'!$B$2:$CW$2,0))</f>
        <v>EURO-5</v>
      </c>
    </row>
    <row r="404" spans="1:8" x14ac:dyDescent="0.2">
      <c r="A404" t="s">
        <v>1174</v>
      </c>
      <c r="B404" s="6">
        <f>INDEX('vehicles specifications'!$B$3:$CW$166,MATCH(B386,'vehicles specifications'!$A$3:$A$166,0),MATCH("Lightweighting rate [%]",'vehicles specifications'!$B$2:$CW$2,0))</f>
        <v>0</v>
      </c>
    </row>
    <row r="405" spans="1:8" x14ac:dyDescent="0.2">
      <c r="A405" t="s">
        <v>83</v>
      </c>
      <c r="B405" t="str">
        <f>"Power: "&amp;B397&amp;" kW. Lifetime: "&amp;B391&amp;" km. Annual kilometers: "&amp;B395&amp;" km. Number of passengers: "&amp;B392&amp;". Curb mass: "&amp;ROUND(B396,1)&amp;" kg. Lightweighting of glider: "&amp;ROUND(B404*100,0)&amp;"%. Emission standard: "&amp;B403&amp;". Service visits throughout lifetime: "&amp;ROUND(B393,1)&amp;". Range: "&amp;ROUND(B402,0)&amp;" km.  Fuel tank capacity: "&amp;ROUND(B400,1)&amp;" kWh. Fuel mass: "&amp;ROUND(B401,1)&amp;" kg. Documentation: "&amp;Readmefirst!$B$2&amp;", "&amp;Readmefirst!$B$3&amp;". "&amp;B390</f>
        <v>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v>
      </c>
    </row>
    <row r="406" spans="1:8" ht="16" x14ac:dyDescent="0.2">
      <c r="A406" s="10" t="s">
        <v>79</v>
      </c>
    </row>
    <row r="407" spans="1:8" x14ac:dyDescent="0.2">
      <c r="A407" t="s">
        <v>80</v>
      </c>
      <c r="B407" t="s">
        <v>81</v>
      </c>
      <c r="C407" t="s">
        <v>72</v>
      </c>
      <c r="D407" t="s">
        <v>76</v>
      </c>
      <c r="E407" t="s">
        <v>82</v>
      </c>
      <c r="F407" t="s">
        <v>74</v>
      </c>
      <c r="G407" t="s">
        <v>83</v>
      </c>
      <c r="H407" t="s">
        <v>73</v>
      </c>
    </row>
    <row r="408" spans="1:8" x14ac:dyDescent="0.2">
      <c r="A408" t="str">
        <f>B381</f>
        <v>transport, Moped, gasoline, &lt;4kW, EURO-5, 2020</v>
      </c>
      <c r="B408">
        <v>1</v>
      </c>
      <c r="C408" t="str">
        <f>B382</f>
        <v>CH</v>
      </c>
      <c r="D408" t="s">
        <v>166</v>
      </c>
      <c r="F408" t="s">
        <v>84</v>
      </c>
      <c r="G408" t="s">
        <v>85</v>
      </c>
      <c r="H408" t="str">
        <f>B387</f>
        <v>transport, Moped, gasoline, &lt;4kW, EURO-5</v>
      </c>
    </row>
    <row r="409" spans="1:8" x14ac:dyDescent="0.2">
      <c r="A409" t="str">
        <f>RIGHT(A408,LEN(A408)-11)</f>
        <v>Moped, gasoline, &lt;4kW, EURO-5, 2020</v>
      </c>
      <c r="B409" s="7">
        <f>1/B391</f>
        <v>4.0000000000000003E-5</v>
      </c>
      <c r="C409" t="str">
        <f>B382</f>
        <v>CH</v>
      </c>
      <c r="D409" t="s">
        <v>76</v>
      </c>
      <c r="F409" t="s">
        <v>89</v>
      </c>
      <c r="H409" t="str">
        <f>RIGHT(H408,LEN(H408)-11)</f>
        <v>Moped, gasoline, &lt;4kW, EURO-5</v>
      </c>
    </row>
    <row r="410" spans="1:8" x14ac:dyDescent="0.2">
      <c r="A410" t="str">
        <f>INDEX('ei names mapping'!$B$4:$R$33,MATCH(B383,'ei names mapping'!$A$4:$A$33,0),MATCH(G410,'ei names mapping'!$B$3:$R$3,0))</f>
        <v>road construction</v>
      </c>
      <c r="B410" s="7">
        <f>INDEX('vehicles specifications'!$B$3:$CW$166,MATCH(B386,'vehicles specifications'!$A$3:$A$166,0),MATCH(G410,'vehicles specifications'!$B$2:$CW$2,0))*INDEX('ei names mapping'!$B$137:$BL$300,MATCH(B386,'ei names mapping'!$A$137:$A$300,0),MATCH(G410,'ei names mapping'!$B$136:$BL$136,0))</f>
        <v>7.5179999999999995E-5</v>
      </c>
      <c r="C410" t="str">
        <f>INDEX('ei names mapping'!$B$38:$R$67,MATCH(B383,'ei names mapping'!$A$4:$A$33,0),MATCH(G410,'ei names mapping'!$B$3:$R$3,0))</f>
        <v>CH</v>
      </c>
      <c r="D410" t="str">
        <f>INDEX('ei names mapping'!$B$104:$BL$133,MATCH(B383,'ei names mapping'!$A$4:$A$33,0),MATCH(G410,'ei names mapping'!$B$3:$BL$3,0))</f>
        <v>meter-year</v>
      </c>
      <c r="F410" t="s">
        <v>89</v>
      </c>
      <c r="G410" t="s">
        <v>105</v>
      </c>
      <c r="H410" t="str">
        <f>INDEX('ei names mapping'!$B$71:$BL$100,MATCH(B383,'ei names mapping'!$A$4:$A$33,0),MATCH(G410,'ei names mapping'!$B$3:$BL$3,0))</f>
        <v>road</v>
      </c>
    </row>
    <row r="411" spans="1:8" x14ac:dyDescent="0.2">
      <c r="A411" t="str">
        <f>INDEX('ei names mapping'!$B$4:$R$33,MATCH(B383,'ei names mapping'!$A$4:$A$33,0),MATCH(G411,'ei names mapping'!$B$3:$R$3,0))</f>
        <v>road maintenance</v>
      </c>
      <c r="B411" s="7">
        <f>INDEX('vehicles specifications'!$B$3:$CW$166,MATCH(B386,'vehicles specifications'!$A$3:$A$166,0),MATCH(G411,'vehicles specifications'!$B$2:$CW$2,0))*INDEX('ei names mapping'!$B$137:$BL$300,MATCH(B386,'ei names mapping'!$A$137:$A$300,0),MATCH(G411,'ei names mapping'!$B$136:$BL$136,0))</f>
        <v>1.2899999999999999E-3</v>
      </c>
      <c r="C411" t="str">
        <f>INDEX('ei names mapping'!$B$38:$R$67,MATCH(B383,'ei names mapping'!$A$4:$A$33,0),MATCH(G411,'ei names mapping'!$B$3:$R$3,0))</f>
        <v>CH</v>
      </c>
      <c r="D411" t="str">
        <f>INDEX('ei names mapping'!$B$104:$BL$133,MATCH(B383,'ei names mapping'!$A$4:$A$33,0),MATCH(G411,'ei names mapping'!$B$3:$BL$3,0))</f>
        <v>meter-year</v>
      </c>
      <c r="F411" t="s">
        <v>89</v>
      </c>
      <c r="G411" t="s">
        <v>112</v>
      </c>
      <c r="H411" t="str">
        <f>INDEX('ei names mapping'!$B$71:$BL$100,MATCH(B383,'ei names mapping'!$A$4:$A$33,0),MATCH(G411,'ei names mapping'!$B$3:$BL$3,0))</f>
        <v>road maintenance</v>
      </c>
    </row>
    <row r="412" spans="1:8" x14ac:dyDescent="0.2">
      <c r="A412" t="str">
        <f>INDEX('ei names mapping'!$B$4:$R$33,MATCH(B383,'ei names mapping'!$A$4:$A$33,0),MATCH(G412,'ei names mapping'!$B$3:$R$3,0))</f>
        <v>maintenance, motor scooter</v>
      </c>
      <c r="B412" s="7">
        <f>INDEX('vehicles specifications'!$B$3:$CW$166,MATCH(B386,'vehicles specifications'!$A$3:$A$166,0),MATCH(G412,'vehicles specifications'!$B$2:$CW$2,0))*INDEX('ei names mapping'!$B$137:$BL$300,MATCH(B386,'ei names mapping'!$A$137:$A$300,0),MATCH(G412,'ei names mapping'!$B$136:$BL$136,0))</f>
        <v>4.0000000000000003E-5</v>
      </c>
      <c r="C412" t="str">
        <f>INDEX('ei names mapping'!$B$38:$BL$67,MATCH(B383,'ei names mapping'!$A$4:$A$33,0),MATCH(G412,'ei names mapping'!$B$3:$BL$3,0))</f>
        <v>CH</v>
      </c>
      <c r="D412" t="str">
        <f>INDEX('ei names mapping'!$B$104:$BL$133,MATCH(B383,'ei names mapping'!$A$4:$A$33,0),MATCH(G412,'ei names mapping'!$B$3:$BL$3,0))</f>
        <v>unit</v>
      </c>
      <c r="F412" t="s">
        <v>89</v>
      </c>
      <c r="G412" t="s">
        <v>118</v>
      </c>
      <c r="H412" t="str">
        <f>INDEX('ei names mapping'!$B$71:$BL$100,MATCH(B383,'ei names mapping'!$A$4:$A$33,0),MATCH(G412,'ei names mapping'!$B$3:$BL$3,0))</f>
        <v>maintenance, motor scooter</v>
      </c>
    </row>
    <row r="413" spans="1:8" x14ac:dyDescent="0.2">
      <c r="A413" t="str">
        <f>INDEX('ei names mapping'!$B$4:$R$33,MATCH(B383,'ei names mapping'!$A$4:$A$33,0),MATCH(G413,'ei names mapping'!$B$3:$R$3,0))</f>
        <v>petrol blending for two-stroke engines</v>
      </c>
      <c r="B413" s="7">
        <f>INDEX('vehicles specifications'!$B$3:$CW$166,MATCH(B386,'vehicles specifications'!$A$3:$A$166,0),MATCH(G413,'vehicles specifications'!$B$2:$CW$2,0))*INDEX('ei names mapping'!$B$137:$BL$300,MATCH(B386,'ei names mapping'!$A$137:$A$300,0),MATCH(G413,'ei names mapping'!$B$136:$BL$136,0))</f>
        <v>1.9316392691887677E-2</v>
      </c>
      <c r="C413" t="str">
        <f>INDEX('ei names mapping'!$B$38:$BL$67,MATCH(B383,'ei names mapping'!$A$4:$A$33,0),MATCH(G413,'ei names mapping'!$B$3:$BL$3,0))</f>
        <v>CH</v>
      </c>
      <c r="D413" t="str">
        <f>INDEX('ei names mapping'!$B$104:$BL$133,MATCH(B383,'ei names mapping'!$A$4:$A$33,0),MATCH(G413,'ei names mapping'!$B$3:$BL$3,0))</f>
        <v>kilogram</v>
      </c>
      <c r="F413" t="s">
        <v>89</v>
      </c>
      <c r="G413" t="s">
        <v>27</v>
      </c>
      <c r="H413" t="str">
        <f>INDEX('ei names mapping'!$B$71:$BL$100,MATCH(B383,'ei names mapping'!$A$4:$A$33,0),MATCH(G413,'ei names mapping'!$B$3:$BL$3,0))</f>
        <v>petrol, two-stroke blend</v>
      </c>
    </row>
    <row r="414" spans="1:8" x14ac:dyDescent="0.2">
      <c r="A414" t="str">
        <f>INDEX('ei names mapping'!$B$4:$BL$33,MATCH(B383,'ei names mapping'!$A$4:$A$33,0),MATCH(G414,'ei names mapping'!$B$3:$BL$3,0))</f>
        <v>Carbon dioxide, fossil</v>
      </c>
      <c r="B414" s="7">
        <f>INDEX('vehicles specifications'!$B$3:$CW$166,MATCH(B386,'vehicles specifications'!$A$3:$A$166,0),MATCH(G414,'vehicles specifications'!$B$2:$CW$2,0))*INDEX('ei names mapping'!$B$137:$BL$300,MATCH(B386,'ei names mapping'!$A$137:$A$300,0),MATCH(G414,'ei names mapping'!$B$136:$BL$136,0))</f>
        <v>6.0653473052527308E-2</v>
      </c>
      <c r="D414" t="str">
        <f>INDEX('ei names mapping'!$B$104:$BL$133,MATCH(B383,'ei names mapping'!$A$4:$A$33,0),MATCH(G414,'ei names mapping'!$B$3:$BL$3,0))</f>
        <v>kilogram</v>
      </c>
      <c r="E414" t="str">
        <f>INDEX('ei names mapping'!$B$305:$BL$335,MATCH(B383,'ei names mapping'!$A$4:$A$33,0),MATCH(G414,'ei names mapping'!$B$3:$BL$3,0))</f>
        <v>air::urban air close to ground</v>
      </c>
      <c r="F414" t="s">
        <v>167</v>
      </c>
      <c r="G414" t="s">
        <v>66</v>
      </c>
    </row>
    <row r="415" spans="1:8" x14ac:dyDescent="0.2">
      <c r="A415" t="str">
        <f>INDEX('ei names mapping'!$B$4:$BL$33,MATCH(B383,'ei names mapping'!$A$4:$A$33,0),MATCH(G415,'ei names mapping'!$B$3:$BL$3,0))</f>
        <v>Sulfur dioxide</v>
      </c>
      <c r="B415" s="7">
        <f>INDEX('vehicles specifications'!$B$3:$CW$166,MATCH(B386,'vehicles specifications'!$A$3:$A$166,0),MATCH(G415,'vehicles specifications'!$B$2:$CW$2,0))*INDEX('ei names mapping'!$B$137:$BL$300,MATCH(B386,'ei names mapping'!$A$137:$A$300,0),MATCH(G415,'ei names mapping'!$B$136:$BL$136,0))</f>
        <v>3.0906228307020284E-7</v>
      </c>
      <c r="D415" t="str">
        <f>INDEX('ei names mapping'!$B$104:$BL$133,MATCH(B383,'ei names mapping'!$A$4:$A$33,0),MATCH(G415,'ei names mapping'!$B$3:$BL$3,0))</f>
        <v>kilogram</v>
      </c>
      <c r="E415" t="str">
        <f>INDEX('ei names mapping'!$B$305:$BL$335,MATCH(B383,'ei names mapping'!$A$4:$A$33,0),MATCH(G415,'ei names mapping'!$B$3:$BL$3,0))</f>
        <v>air::urban air close to ground</v>
      </c>
      <c r="F415" t="s">
        <v>167</v>
      </c>
      <c r="G415" t="s">
        <v>67</v>
      </c>
    </row>
    <row r="416" spans="1:8" x14ac:dyDescent="0.2">
      <c r="A416" t="str">
        <f>INDEX('ei names mapping'!$B$4:$BL$33,MATCH(B383,'ei names mapping'!$A$4:$A$33,0),MATCH(G416,'ei names mapping'!$B$3:$BL$3,0))</f>
        <v>Benzene</v>
      </c>
      <c r="B416" s="7">
        <f>INDEX('vehicles specifications'!$B$3:$CW$166,MATCH(B386,'vehicles specifications'!$A$3:$A$166,0),MATCH(G416,'vehicles specifications'!$B$2:$CW$2,0))*INDEX('ei names mapping'!$B$137:$BL$300,MATCH(B386,'ei names mapping'!$A$137:$A$300,0),MATCH(G416,'ei names mapping'!$B$136:$BL$136,0))</f>
        <v>5.0032792408401772E-5</v>
      </c>
      <c r="D416" t="str">
        <f>INDEX('ei names mapping'!$B$104:$BL$133,MATCH(B383,'ei names mapping'!$A$4:$A$33,0),MATCH(G416,'ei names mapping'!$B$3:$BL$3,0))</f>
        <v>kilogram</v>
      </c>
      <c r="E416" t="str">
        <f>INDEX('ei names mapping'!$B$305:$BL$335,MATCH(B383,'ei names mapping'!$A$4:$A$33,0),MATCH(G416,'ei names mapping'!$B$3:$BL$3,0))</f>
        <v>air::urban air close to ground</v>
      </c>
      <c r="F416" t="s">
        <v>167</v>
      </c>
      <c r="G416" t="s">
        <v>55</v>
      </c>
    </row>
    <row r="417" spans="1:7" x14ac:dyDescent="0.2">
      <c r="A417" t="str">
        <f>INDEX('ei names mapping'!$B$4:$BL$33,MATCH(B383,'ei names mapping'!$A$4:$A$33,0),MATCH(G417,'ei names mapping'!$B$3:$BL$3,0))</f>
        <v>Methane, fossil</v>
      </c>
      <c r="B417" s="7">
        <f>INDEX('vehicles specifications'!$B$3:$CW$166,MATCH(B386,'vehicles specifications'!$A$3:$A$166,0),MATCH(G417,'vehicles specifications'!$B$2:$CW$2,0))*INDEX('ei names mapping'!$B$137:$BL$300,MATCH(B386,'ei names mapping'!$A$137:$A$300,0),MATCH(G417,'ei names mapping'!$B$136:$BL$136,0))</f>
        <v>2.2686352001734651E-5</v>
      </c>
      <c r="D417" t="str">
        <f>INDEX('ei names mapping'!$B$104:$BL$133,MATCH(B383,'ei names mapping'!$A$4:$A$33,0),MATCH(G417,'ei names mapping'!$B$3:$BL$3,0))</f>
        <v>kilogram</v>
      </c>
      <c r="E417" t="str">
        <f>INDEX('ei names mapping'!$B$305:$BL$335,MATCH(B383,'ei names mapping'!$A$4:$A$33,0),MATCH(G417,'ei names mapping'!$B$3:$BL$3,0))</f>
        <v>air::urban air close to ground</v>
      </c>
      <c r="F417" t="s">
        <v>167</v>
      </c>
      <c r="G417" t="s">
        <v>56</v>
      </c>
    </row>
    <row r="418" spans="1:7" x14ac:dyDescent="0.2">
      <c r="A418" t="str">
        <f>INDEX('ei names mapping'!$B$4:$BL$33,MATCH(B383,'ei names mapping'!$A$4:$A$33,0),MATCH(G418,'ei names mapping'!$B$3:$BL$3,0))</f>
        <v>Carbon monoxide, fossil</v>
      </c>
      <c r="B418" s="7">
        <f>INDEX('vehicles specifications'!$B$3:$CW$166,MATCH(B386,'vehicles specifications'!$A$3:$A$166,0),MATCH(G418,'vehicles specifications'!$B$2:$CW$2,0))*INDEX('ei names mapping'!$B$137:$BL$300,MATCH(B386,'ei names mapping'!$A$137:$A$300,0),MATCH(G418,'ei names mapping'!$B$136:$BL$136,0))</f>
        <v>2.3988511584487494E-3</v>
      </c>
      <c r="D418" t="str">
        <f>INDEX('ei names mapping'!$B$104:$BL$133,MATCH(B383,'ei names mapping'!$A$4:$A$33,0),MATCH(G418,'ei names mapping'!$B$3:$BL$3,0))</f>
        <v>kilogram</v>
      </c>
      <c r="E418" t="str">
        <f>INDEX('ei names mapping'!$B$305:$BL$335,MATCH(B383,'ei names mapping'!$A$4:$A$33,0),MATCH(G418,'ei names mapping'!$B$3:$BL$3,0))</f>
        <v>air::urban air close to ground</v>
      </c>
      <c r="F418" t="s">
        <v>167</v>
      </c>
      <c r="G418" t="s">
        <v>57</v>
      </c>
    </row>
    <row r="419" spans="1:7" x14ac:dyDescent="0.2">
      <c r="A419" t="str">
        <f>INDEX('ei names mapping'!$B$4:$BL$33,MATCH(B383,'ei names mapping'!$A$4:$A$33,0),MATCH(G419,'ei names mapping'!$B$3:$BL$3,0))</f>
        <v>Dinitrogen monoxide</v>
      </c>
      <c r="B419" s="7">
        <f>INDEX('vehicles specifications'!$B$3:$CW$166,MATCH(B386,'vehicles specifications'!$A$3:$A$166,0),MATCH(G419,'vehicles specifications'!$B$2:$CW$2,0))*INDEX('ei names mapping'!$B$137:$BL$300,MATCH(B386,'ei names mapping'!$A$137:$A$300,0),MATCH(G419,'ei names mapping'!$B$136:$BL$136,0))</f>
        <v>1.1510072045527478E-6</v>
      </c>
      <c r="D419" t="str">
        <f>INDEX('ei names mapping'!$B$104:$BL$133,MATCH(B383,'ei names mapping'!$A$4:$A$33,0),MATCH(G419,'ei names mapping'!$B$3:$BL$3,0))</f>
        <v>kilogram</v>
      </c>
      <c r="E419" t="str">
        <f>INDEX('ei names mapping'!$B$305:$BL$335,MATCH(B383,'ei names mapping'!$A$4:$A$33,0),MATCH(G419,'ei names mapping'!$B$3:$BL$3,0))</f>
        <v>air::urban air close to ground</v>
      </c>
      <c r="F419" t="s">
        <v>167</v>
      </c>
      <c r="G419" t="s">
        <v>58</v>
      </c>
    </row>
    <row r="420" spans="1:7" x14ac:dyDescent="0.2">
      <c r="A420" t="str">
        <f>INDEX('ei names mapping'!$B$4:$BL$33,MATCH(B383,'ei names mapping'!$A$4:$A$33,0),MATCH(G420,'ei names mapping'!$B$3:$BL$3,0))</f>
        <v>Ammonia</v>
      </c>
      <c r="B420" s="7">
        <f>INDEX('vehicles specifications'!$B$3:$CW$166,MATCH(B386,'vehicles specifications'!$A$3:$A$166,0),MATCH(G420,'vehicles specifications'!$B$2:$CW$2,0))*INDEX('ei names mapping'!$B$137:$BL$300,MATCH(B386,'ei names mapping'!$A$137:$A$300,0),MATCH(G420,'ei names mapping'!$B$136:$BL$136,0))</f>
        <v>1.1510072045527478E-6</v>
      </c>
      <c r="D420" t="str">
        <f>INDEX('ei names mapping'!$B$104:$BL$133,MATCH(B383,'ei names mapping'!$A$4:$A$33,0),MATCH(G420,'ei names mapping'!$B$3:$BL$3,0))</f>
        <v>kilogram</v>
      </c>
      <c r="E420" t="str">
        <f>INDEX('ei names mapping'!$B$305:$BL$335,MATCH(B383,'ei names mapping'!$A$4:$A$33,0),MATCH(G420,'ei names mapping'!$B$3:$BL$3,0))</f>
        <v>air::urban air close to ground</v>
      </c>
      <c r="F420" t="s">
        <v>167</v>
      </c>
      <c r="G420" t="s">
        <v>59</v>
      </c>
    </row>
    <row r="421" spans="1:7" x14ac:dyDescent="0.2">
      <c r="A421" t="str">
        <f>INDEX('ei names mapping'!$B$4:$BL$33,MATCH(B383,'ei names mapping'!$A$4:$A$33,0),MATCH(G421,'ei names mapping'!$B$3:$BL$3,0))</f>
        <v>Nitrogen oxides</v>
      </c>
      <c r="B421" s="7">
        <f>INDEX('vehicles specifications'!$B$3:$CW$166,MATCH(B386,'vehicles specifications'!$A$3:$A$166,0),MATCH(G421,'vehicles specifications'!$B$2:$CW$2,0))*INDEX('ei names mapping'!$B$137:$BL$300,MATCH(B386,'ei names mapping'!$A$137:$A$300,0),MATCH(G421,'ei names mapping'!$B$136:$BL$136,0))</f>
        <v>8.6314846172377596E-5</v>
      </c>
      <c r="D421" t="str">
        <f>INDEX('ei names mapping'!$B$104:$BL$133,MATCH(B383,'ei names mapping'!$A$4:$A$33,0),MATCH(G421,'ei names mapping'!$B$3:$BL$3,0))</f>
        <v>kilogram</v>
      </c>
      <c r="E421" t="str">
        <f>INDEX('ei names mapping'!$B$305:$BL$335,MATCH(B383,'ei names mapping'!$A$4:$A$33,0),MATCH(G421,'ei names mapping'!$B$3:$BL$3,0))</f>
        <v>air::urban air close to ground</v>
      </c>
      <c r="F421" t="s">
        <v>167</v>
      </c>
      <c r="G421" t="s">
        <v>60</v>
      </c>
    </row>
    <row r="422" spans="1:7" x14ac:dyDescent="0.2">
      <c r="A422" t="str">
        <f>INDEX('ei names mapping'!$B$4:$BL$33,MATCH(B383,'ei names mapping'!$A$4:$A$33,0),MATCH(G422,'ei names mapping'!$B$3:$BL$3,0))</f>
        <v>Particulates, &lt; 2.5 um</v>
      </c>
      <c r="B422" s="7">
        <f>INDEX('vehicles specifications'!$B$3:$CW$166,MATCH(B$386,'vehicles specifications'!$A$3:$A$166,0),MATCH(G422,'vehicles specifications'!$B$2:$CW$2,0))*INDEX('ei names mapping'!$B$137:$BL$300,MATCH(B$386,'ei names mapping'!$A$137:$A$300,0),MATCH(G422,'ei names mapping'!$B$136:$BL$136,0))</f>
        <v>6.6102343757464297E-6</v>
      </c>
      <c r="D422" t="str">
        <f>INDEX('ei names mapping'!$B$104:$BL$133,MATCH(B383,'ei names mapping'!$A$4:$A$33,0),MATCH(G422,'ei names mapping'!$B$3:$BL$3,0))</f>
        <v>kilogram</v>
      </c>
      <c r="E422" t="str">
        <f>INDEX('ei names mapping'!$B$305:$BL$335,MATCH(B383,'ei names mapping'!$A$4:$A$33,0),MATCH(G422,'ei names mapping'!$B$3:$BL$3,0))</f>
        <v>air::urban air close to ground</v>
      </c>
      <c r="F422" t="s">
        <v>167</v>
      </c>
      <c r="G422" t="s">
        <v>62</v>
      </c>
    </row>
    <row r="423" spans="1:7" x14ac:dyDescent="0.2">
      <c r="A423" t="str">
        <f>INDEX('ei names mapping'!$B$4:$BL$33,MATCH(B$229,'ei names mapping'!$A$4:$A$33,0),MATCH(G423,'ei names mapping'!$B$3:$BL$3,0))</f>
        <v>NMVOC, non-methane volatile organic compounds, unspecified origin</v>
      </c>
      <c r="B423" s="7">
        <f>INDEX('vehicles specifications'!$B$3:$CW$166,MATCH(B$386,'vehicles specifications'!$A$3:$A$166,0),MATCH(G423,'vehicles specifications'!$B$2:$CW$2,0))*INDEX('ei names mapping'!$B$137:$BL$300,MATCH(B$386,'ei names mapping'!$A$137:$A$300,0),MATCH(G423,'ei names mapping'!$B$136:$BL$136,0))</f>
        <v>4.0347299974261968E-4</v>
      </c>
      <c r="D423" t="str">
        <f>INDEX('ei names mapping'!$B$104:$BL$133,MATCH(B$229,'ei names mapping'!$A$4:$A$33,0),MATCH(G423,'ei names mapping'!$B$3:$BL$3,0))</f>
        <v>kilogram</v>
      </c>
      <c r="E423" t="str">
        <f>INDEX('ei names mapping'!$B$305:$BL$335,MATCH(B$229,'ei names mapping'!$A$4:$A$33,0),MATCH(G423,'ei names mapping'!$B$3:$BL$3,0))</f>
        <v>air::urban air close to ground</v>
      </c>
      <c r="F423" t="s">
        <v>167</v>
      </c>
      <c r="G423" t="s">
        <v>593</v>
      </c>
    </row>
    <row r="424" spans="1:7" x14ac:dyDescent="0.2">
      <c r="A424" t="str">
        <f>INDEX('ei names mapping'!$B$4:$BL$33,MATCH(B$229,'ei names mapping'!$A$4:$A$33,0),MATCH(G424,'ei names mapping'!$B$3:$BL$3,0))</f>
        <v>Ethane</v>
      </c>
      <c r="B424" s="7">
        <f>INDEX('vehicles specifications'!$B$3:$CW$166,MATCH(B$386,'vehicles specifications'!$A$3:$A$166,0),MATCH(G424,'vehicles specifications'!$B$2:$CW$2,0))*INDEX('ei names mapping'!$B$137:$BL$300,MATCH(B$386,'ei names mapping'!$A$137:$A$300,0),MATCH(G424,'ei names mapping'!$B$136:$BL$136,0))</f>
        <v>2.8450019212620617E-5</v>
      </c>
      <c r="D424" t="str">
        <f>INDEX('ei names mapping'!$B$104:$BL$133,MATCH(B$229,'ei names mapping'!$A$4:$A$33,0),MATCH(G424,'ei names mapping'!$B$3:$BL$3,0))</f>
        <v>kilogram</v>
      </c>
      <c r="E424" t="str">
        <f>INDEX('ei names mapping'!$B$305:$BL$335,MATCH(B$229,'ei names mapping'!$A$4:$A$33,0),MATCH(G424,'ei names mapping'!$B$3:$BL$3,0))</f>
        <v>air::urban air close to ground</v>
      </c>
      <c r="F424" t="s">
        <v>167</v>
      </c>
      <c r="G424" t="s">
        <v>541</v>
      </c>
    </row>
    <row r="425" spans="1:7" x14ac:dyDescent="0.2">
      <c r="A425" t="str">
        <f>INDEX('ei names mapping'!$B$4:$BL$33,MATCH(B$229,'ei names mapping'!$A$4:$A$33,0),MATCH(G425,'ei names mapping'!$B$3:$BL$3,0))</f>
        <v>Propane</v>
      </c>
      <c r="B425" s="7">
        <f>INDEX('vehicles specifications'!$B$3:$CW$166,MATCH(B$386,'vehicles specifications'!$A$3:$A$166,0),MATCH(G425,'vehicles specifications'!$B$2:$CW$2,0))*INDEX('ei names mapping'!$B$137:$BL$300,MATCH(B$386,'ei names mapping'!$A$137:$A$300,0),MATCH(G425,'ei names mapping'!$B$136:$BL$136,0))</f>
        <v>5.7970258583709726E-6</v>
      </c>
      <c r="D425" t="str">
        <f>INDEX('ei names mapping'!$B$104:$BL$133,MATCH(B$229,'ei names mapping'!$A$4:$A$33,0),MATCH(G425,'ei names mapping'!$B$3:$BL$3,0))</f>
        <v>kilogram</v>
      </c>
      <c r="E425" t="str">
        <f>INDEX('ei names mapping'!$B$305:$BL$335,MATCH(B$229,'ei names mapping'!$A$4:$A$33,0),MATCH(G425,'ei names mapping'!$B$3:$BL$3,0))</f>
        <v>air::urban air close to ground</v>
      </c>
      <c r="F425" t="s">
        <v>167</v>
      </c>
      <c r="G425" t="s">
        <v>542</v>
      </c>
    </row>
    <row r="426" spans="1:7" x14ac:dyDescent="0.2">
      <c r="A426" t="str">
        <f>INDEX('ei names mapping'!$B$4:$BL$33,MATCH(B$229,'ei names mapping'!$A$4:$A$33,0),MATCH(G426,'ei names mapping'!$B$3:$BL$3,0))</f>
        <v>Butane</v>
      </c>
      <c r="B426" s="7">
        <f>INDEX('vehicles specifications'!$B$3:$CW$166,MATCH(B$386,'vehicles specifications'!$A$3:$A$166,0),MATCH(G426,'vehicles specifications'!$B$2:$CW$2,0))*INDEX('ei names mapping'!$B$137:$BL$300,MATCH(B$386,'ei names mapping'!$A$137:$A$300,0),MATCH(G426,'ei names mapping'!$B$136:$BL$136,0))</f>
        <v>4.6732946919790611E-5</v>
      </c>
      <c r="D426" t="str">
        <f>INDEX('ei names mapping'!$B$104:$BL$133,MATCH(B$229,'ei names mapping'!$A$4:$A$33,0),MATCH(G426,'ei names mapping'!$B$3:$BL$3,0))</f>
        <v>kilogram</v>
      </c>
      <c r="E426" t="str">
        <f>INDEX('ei names mapping'!$B$305:$BL$335,MATCH(B$229,'ei names mapping'!$A$4:$A$33,0),MATCH(G426,'ei names mapping'!$B$3:$BL$3,0))</f>
        <v>air::urban air close to ground</v>
      </c>
      <c r="F426" t="s">
        <v>167</v>
      </c>
      <c r="G426" t="s">
        <v>543</v>
      </c>
    </row>
    <row r="427" spans="1:7" x14ac:dyDescent="0.2">
      <c r="A427" t="str">
        <f>INDEX('ei names mapping'!$B$4:$BL$33,MATCH(B$229,'ei names mapping'!$A$4:$A$33,0),MATCH(G427,'ei names mapping'!$B$3:$BL$3,0))</f>
        <v>Pentane</v>
      </c>
      <c r="B427" s="7">
        <f>INDEX('vehicles specifications'!$B$3:$CW$166,MATCH(B$386,'vehicles specifications'!$A$3:$A$166,0),MATCH(G427,'vehicles specifications'!$B$2:$CW$2,0))*INDEX('ei names mapping'!$B$137:$BL$300,MATCH(B$386,'ei names mapping'!$A$137:$A$300,0),MATCH(G427,'ei names mapping'!$B$136:$BL$136,0))</f>
        <v>1.9174777839227063E-5</v>
      </c>
      <c r="D427" t="str">
        <f>INDEX('ei names mapping'!$B$104:$BL$133,MATCH(B$229,'ei names mapping'!$A$4:$A$33,0),MATCH(G427,'ei names mapping'!$B$3:$BL$3,0))</f>
        <v>kilogram</v>
      </c>
      <c r="E427" t="str">
        <f>INDEX('ei names mapping'!$B$305:$BL$335,MATCH(B$229,'ei names mapping'!$A$4:$A$33,0),MATCH(G427,'ei names mapping'!$B$3:$BL$3,0))</f>
        <v>air::urban air close to ground</v>
      </c>
      <c r="F427" t="s">
        <v>167</v>
      </c>
      <c r="G427" t="s">
        <v>544</v>
      </c>
    </row>
    <row r="428" spans="1:7" x14ac:dyDescent="0.2">
      <c r="A428" t="str">
        <f>INDEX('ei names mapping'!$B$4:$BL$33,MATCH(B$229,'ei names mapping'!$A$4:$A$33,0),MATCH(G428,'ei names mapping'!$B$3:$BL$3,0))</f>
        <v>Hexane</v>
      </c>
      <c r="B428" s="7">
        <f>INDEX('vehicles specifications'!$B$3:$CW$166,MATCH(B$386,'vehicles specifications'!$A$3:$A$166,0),MATCH(G428,'vehicles specifications'!$B$2:$CW$2,0))*INDEX('ei names mapping'!$B$137:$BL$300,MATCH(B$386,'ei names mapping'!$A$137:$A$300,0),MATCH(G428,'ei names mapping'!$B$136:$BL$136,0))</f>
        <v>1.4358787126118871E-5</v>
      </c>
      <c r="D428" t="str">
        <f>INDEX('ei names mapping'!$B$104:$BL$133,MATCH(B$229,'ei names mapping'!$A$4:$A$33,0),MATCH(G428,'ei names mapping'!$B$3:$BL$3,0))</f>
        <v>kilogram</v>
      </c>
      <c r="E428" t="str">
        <f>INDEX('ei names mapping'!$B$305:$BL$335,MATCH(B$229,'ei names mapping'!$A$4:$A$33,0),MATCH(G428,'ei names mapping'!$B$3:$BL$3,0))</f>
        <v>air::urban air close to ground</v>
      </c>
      <c r="F428" t="s">
        <v>167</v>
      </c>
      <c r="G428" t="s">
        <v>545</v>
      </c>
    </row>
    <row r="429" spans="1:7" x14ac:dyDescent="0.2">
      <c r="A429" t="str">
        <f>INDEX('ei names mapping'!$B$4:$BL$33,MATCH(B$229,'ei names mapping'!$A$4:$A$33,0),MATCH(G429,'ei names mapping'!$B$3:$BL$3,0))</f>
        <v>Cyclohexane</v>
      </c>
      <c r="B429" s="7">
        <f>INDEX('vehicles specifications'!$B$3:$CW$166,MATCH(B$386,'vehicles specifications'!$A$3:$A$166,0),MATCH(G429,'vehicles specifications'!$B$2:$CW$2,0))*INDEX('ei names mapping'!$B$137:$BL$300,MATCH(B$386,'ei names mapping'!$A$137:$A$300,0),MATCH(G429,'ei names mapping'!$B$136:$BL$136,0))</f>
        <v>1.016709150545063E-5</v>
      </c>
      <c r="D429" t="str">
        <f>INDEX('ei names mapping'!$B$104:$BL$133,MATCH(B$229,'ei names mapping'!$A$4:$A$33,0),MATCH(G429,'ei names mapping'!$B$3:$BL$3,0))</f>
        <v>kilogram</v>
      </c>
      <c r="E429" t="str">
        <f>INDEX('ei names mapping'!$B$305:$BL$335,MATCH(B$229,'ei names mapping'!$A$4:$A$33,0),MATCH(G429,'ei names mapping'!$B$3:$BL$3,0))</f>
        <v>air::urban air close to ground</v>
      </c>
      <c r="F429" t="s">
        <v>167</v>
      </c>
      <c r="G429" t="s">
        <v>546</v>
      </c>
    </row>
    <row r="430" spans="1:7" x14ac:dyDescent="0.2">
      <c r="A430" t="str">
        <f>INDEX('ei names mapping'!$B$4:$BL$33,MATCH(B$229,'ei names mapping'!$A$4:$A$33,0),MATCH(G430,'ei names mapping'!$B$3:$BL$3,0))</f>
        <v>Heptane</v>
      </c>
      <c r="B430" s="7">
        <f>INDEX('vehicles specifications'!$B$3:$CW$166,MATCH(B$386,'vehicles specifications'!$A$3:$A$166,0),MATCH(G430,'vehicles specifications'!$B$2:$CW$2,0))*INDEX('ei names mapping'!$B$137:$BL$300,MATCH(B$386,'ei names mapping'!$A$137:$A$300,0),MATCH(G430,'ei names mapping'!$B$136:$BL$136,0))</f>
        <v>6.599690977222338E-6</v>
      </c>
      <c r="D430" t="str">
        <f>INDEX('ei names mapping'!$B$104:$BL$133,MATCH(B$229,'ei names mapping'!$A$4:$A$33,0),MATCH(G430,'ei names mapping'!$B$3:$BL$3,0))</f>
        <v>kilogram</v>
      </c>
      <c r="E430" t="str">
        <f>INDEX('ei names mapping'!$B$305:$BL$335,MATCH(B$229,'ei names mapping'!$A$4:$A$33,0),MATCH(G430,'ei names mapping'!$B$3:$BL$3,0))</f>
        <v>air::urban air close to ground</v>
      </c>
      <c r="F430" t="s">
        <v>167</v>
      </c>
      <c r="G430" t="s">
        <v>547</v>
      </c>
    </row>
    <row r="431" spans="1:7" x14ac:dyDescent="0.2">
      <c r="A431" t="str">
        <f>INDEX('ei names mapping'!$B$4:$BL$33,MATCH(B$229,'ei names mapping'!$A$4:$A$33,0),MATCH(G431,'ei names mapping'!$B$3:$BL$3,0))</f>
        <v>Ethene</v>
      </c>
      <c r="B431" s="7">
        <f>INDEX('vehicles specifications'!$B$3:$CW$166,MATCH(B$386,'vehicles specifications'!$A$3:$A$166,0),MATCH(G431,'vehicles specifications'!$B$2:$CW$2,0))*INDEX('ei names mapping'!$B$137:$BL$300,MATCH(B$386,'ei names mapping'!$A$137:$A$300,0),MATCH(G431,'ei names mapping'!$B$136:$BL$136,0))</f>
        <v>6.5105059640166308E-5</v>
      </c>
      <c r="D431" t="str">
        <f>INDEX('ei names mapping'!$B$104:$BL$133,MATCH(B$229,'ei names mapping'!$A$4:$A$33,0),MATCH(G431,'ei names mapping'!$B$3:$BL$3,0))</f>
        <v>kilogram</v>
      </c>
      <c r="E431" t="str">
        <f>INDEX('ei names mapping'!$B$305:$BL$335,MATCH(B$229,'ei names mapping'!$A$4:$A$33,0),MATCH(G431,'ei names mapping'!$B$3:$BL$3,0))</f>
        <v>air::urban air close to ground</v>
      </c>
      <c r="F431" t="s">
        <v>167</v>
      </c>
      <c r="G431" t="s">
        <v>548</v>
      </c>
    </row>
    <row r="432" spans="1:7" x14ac:dyDescent="0.2">
      <c r="A432" t="str">
        <f>INDEX('ei names mapping'!$B$4:$BL$33,MATCH(B$229,'ei names mapping'!$A$4:$A$33,0),MATCH(G432,'ei names mapping'!$B$3:$BL$3,0))</f>
        <v>Propene</v>
      </c>
      <c r="B432" s="7">
        <f>INDEX('vehicles specifications'!$B$3:$CW$166,MATCH(B$386,'vehicles specifications'!$A$3:$A$166,0),MATCH(G432,'vehicles specifications'!$B$2:$CW$2,0))*INDEX('ei names mapping'!$B$137:$BL$300,MATCH(B$386,'ei names mapping'!$A$137:$A$300,0),MATCH(G432,'ei names mapping'!$B$136:$BL$136,0))</f>
        <v>3.406867504458017E-5</v>
      </c>
      <c r="D432" t="str">
        <f>INDEX('ei names mapping'!$B$104:$BL$133,MATCH(B$229,'ei names mapping'!$A$4:$A$33,0),MATCH(G432,'ei names mapping'!$B$3:$BL$3,0))</f>
        <v>kilogram</v>
      </c>
      <c r="E432" t="str">
        <f>INDEX('ei names mapping'!$B$305:$BL$335,MATCH(B$229,'ei names mapping'!$A$4:$A$33,0),MATCH(G432,'ei names mapping'!$B$3:$BL$3,0))</f>
        <v>air::urban air close to ground</v>
      </c>
      <c r="F432" t="s">
        <v>167</v>
      </c>
      <c r="G432" t="s">
        <v>549</v>
      </c>
    </row>
    <row r="433" spans="1:7" x14ac:dyDescent="0.2">
      <c r="A433" t="str">
        <f>INDEX('ei names mapping'!$B$4:$BL$33,MATCH(B$229,'ei names mapping'!$A$4:$A$33,0),MATCH(G433,'ei names mapping'!$B$3:$BL$3,0))</f>
        <v>1-Pentene</v>
      </c>
      <c r="B433" s="7">
        <f>INDEX('vehicles specifications'!$B$3:$CW$166,MATCH(B$386,'vehicles specifications'!$A$3:$A$166,0),MATCH(G433,'vehicles specifications'!$B$2:$CW$2,0))*INDEX('ei names mapping'!$B$137:$BL$300,MATCH(B$386,'ei names mapping'!$A$137:$A$300,0),MATCH(G433,'ei names mapping'!$B$136:$BL$136,0))</f>
        <v>9.8103514526278003E-7</v>
      </c>
      <c r="D433" t="str">
        <f>INDEX('ei names mapping'!$B$104:$BL$133,MATCH(B$229,'ei names mapping'!$A$4:$A$33,0),MATCH(G433,'ei names mapping'!$B$3:$BL$3,0))</f>
        <v>kilogram</v>
      </c>
      <c r="E433" t="str">
        <f>INDEX('ei names mapping'!$B$305:$BL$335,MATCH(B$229,'ei names mapping'!$A$4:$A$33,0),MATCH(G433,'ei names mapping'!$B$3:$BL$3,0))</f>
        <v>air::urban air close to ground</v>
      </c>
      <c r="F433" t="s">
        <v>167</v>
      </c>
      <c r="G433" t="s">
        <v>550</v>
      </c>
    </row>
    <row r="434" spans="1:7" x14ac:dyDescent="0.2">
      <c r="A434" t="str">
        <f>INDEX('ei names mapping'!$B$4:$BL$33,MATCH(B$229,'ei names mapping'!$A$4:$A$33,0),MATCH(G434,'ei names mapping'!$B$3:$BL$3,0))</f>
        <v>Toluene</v>
      </c>
      <c r="B434" s="7">
        <f>INDEX('vehicles specifications'!$B$3:$CW$166,MATCH(B$386,'vehicles specifications'!$A$3:$A$166,0),MATCH(G434,'vehicles specifications'!$B$2:$CW$2,0))*INDEX('ei names mapping'!$B$137:$BL$300,MATCH(B$386,'ei names mapping'!$A$137:$A$300,0),MATCH(G434,'ei names mapping'!$B$136:$BL$136,0))</f>
        <v>9.7925144499866576E-5</v>
      </c>
      <c r="D434" t="str">
        <f>INDEX('ei names mapping'!$B$104:$BL$133,MATCH(B$229,'ei names mapping'!$A$4:$A$33,0),MATCH(G434,'ei names mapping'!$B$3:$BL$3,0))</f>
        <v>kilogram</v>
      </c>
      <c r="E434" t="str">
        <f>INDEX('ei names mapping'!$B$305:$BL$335,MATCH(B$229,'ei names mapping'!$A$4:$A$33,0),MATCH(G434,'ei names mapping'!$B$3:$BL$3,0))</f>
        <v>air::urban air close to ground</v>
      </c>
      <c r="F434" t="s">
        <v>167</v>
      </c>
      <c r="G434" t="s">
        <v>551</v>
      </c>
    </row>
    <row r="435" spans="1:7" x14ac:dyDescent="0.2">
      <c r="A435" t="str">
        <f>INDEX('ei names mapping'!$B$4:$BL$33,MATCH(B$229,'ei names mapping'!$A$4:$A$33,0),MATCH(G435,'ei names mapping'!$B$3:$BL$3,0))</f>
        <v>m-Xylene</v>
      </c>
      <c r="B435" s="7">
        <f>INDEX('vehicles specifications'!$B$3:$CW$166,MATCH(B$386,'vehicles specifications'!$A$3:$A$166,0),MATCH(G435,'vehicles specifications'!$B$2:$CW$2,0))*INDEX('ei names mapping'!$B$137:$BL$300,MATCH(B$386,'ei names mapping'!$A$137:$A$300,0),MATCH(G435,'ei names mapping'!$B$136:$BL$136,0))</f>
        <v>4.8427462170699053E-5</v>
      </c>
      <c r="D435" t="str">
        <f>INDEX('ei names mapping'!$B$104:$BL$133,MATCH(B$229,'ei names mapping'!$A$4:$A$33,0),MATCH(G435,'ei names mapping'!$B$3:$BL$3,0))</f>
        <v>kilogram</v>
      </c>
      <c r="E435" t="str">
        <f>INDEX('ei names mapping'!$B$305:$BL$335,MATCH(B$229,'ei names mapping'!$A$4:$A$33,0),MATCH(G435,'ei names mapping'!$B$3:$BL$3,0))</f>
        <v>air::urban air close to ground</v>
      </c>
      <c r="F435" t="s">
        <v>167</v>
      </c>
      <c r="G435" t="s">
        <v>552</v>
      </c>
    </row>
    <row r="436" spans="1:7" x14ac:dyDescent="0.2">
      <c r="A436" t="str">
        <f>INDEX('ei names mapping'!$B$4:$BL$33,MATCH(B$229,'ei names mapping'!$A$4:$A$33,0),MATCH(G436,'ei names mapping'!$B$3:$BL$3,0))</f>
        <v>o-Xylene</v>
      </c>
      <c r="B436" s="7">
        <f>INDEX('vehicles specifications'!$B$3:$CW$166,MATCH(B$386,'vehicles specifications'!$A$3:$A$166,0),MATCH(G436,'vehicles specifications'!$B$2:$CW$2,0))*INDEX('ei names mapping'!$B$137:$BL$300,MATCH(B$386,'ei names mapping'!$A$137:$A$300,0),MATCH(G436,'ei names mapping'!$B$136:$BL$136,0))</f>
        <v>2.0155812984489841E-5</v>
      </c>
      <c r="D436" t="str">
        <f>INDEX('ei names mapping'!$B$104:$BL$133,MATCH(B$229,'ei names mapping'!$A$4:$A$33,0),MATCH(G436,'ei names mapping'!$B$3:$BL$3,0))</f>
        <v>kilogram</v>
      </c>
      <c r="E436" t="str">
        <f>INDEX('ei names mapping'!$B$305:$BL$335,MATCH(B$229,'ei names mapping'!$A$4:$A$33,0),MATCH(G436,'ei names mapping'!$B$3:$BL$3,0))</f>
        <v>air::urban air close to ground</v>
      </c>
      <c r="F436" t="s">
        <v>167</v>
      </c>
      <c r="G436" t="s">
        <v>553</v>
      </c>
    </row>
    <row r="437" spans="1:7" x14ac:dyDescent="0.2">
      <c r="A437" t="str">
        <f>INDEX('ei names mapping'!$B$4:$BL$33,MATCH(B$229,'ei names mapping'!$A$4:$A$33,0),MATCH(G437,'ei names mapping'!$B$3:$BL$3,0))</f>
        <v>Formaldehyde</v>
      </c>
      <c r="B437" s="7">
        <f>INDEX('vehicles specifications'!$B$3:$CW$166,MATCH(B$386,'vehicles specifications'!$A$3:$A$166,0),MATCH(G437,'vehicles specifications'!$B$2:$CW$2,0))*INDEX('ei names mapping'!$B$137:$BL$300,MATCH(B$386,'ei names mapping'!$A$137:$A$300,0),MATCH(G437,'ei names mapping'!$B$136:$BL$136,0))</f>
        <v>1.5161452244970237E-5</v>
      </c>
      <c r="D437" t="str">
        <f>INDEX('ei names mapping'!$B$104:$BL$133,MATCH(B$229,'ei names mapping'!$A$4:$A$33,0),MATCH(G437,'ei names mapping'!$B$3:$BL$3,0))</f>
        <v>kilogram</v>
      </c>
      <c r="E437" t="str">
        <f>INDEX('ei names mapping'!$B$305:$BL$335,MATCH(B$229,'ei names mapping'!$A$4:$A$33,0),MATCH(G437,'ei names mapping'!$B$3:$BL$3,0))</f>
        <v>air::urban air close to ground</v>
      </c>
      <c r="F437" t="s">
        <v>167</v>
      </c>
      <c r="G437" t="s">
        <v>554</v>
      </c>
    </row>
    <row r="438" spans="1:7" x14ac:dyDescent="0.2">
      <c r="A438" t="str">
        <f>INDEX('ei names mapping'!$B$4:$BL$33,MATCH(B$229,'ei names mapping'!$A$4:$A$33,0),MATCH(G438,'ei names mapping'!$B$3:$BL$3,0))</f>
        <v>Acetaldehyde</v>
      </c>
      <c r="B438" s="7">
        <f>INDEX('vehicles specifications'!$B$3:$CW$166,MATCH(B$386,'vehicles specifications'!$A$3:$A$166,0),MATCH(G438,'vehicles specifications'!$B$2:$CW$2,0))*INDEX('ei names mapping'!$B$137:$BL$300,MATCH(B$386,'ei names mapping'!$A$137:$A$300,0),MATCH(G438,'ei names mapping'!$B$136:$BL$136,0))</f>
        <v>6.6888759904280447E-6</v>
      </c>
      <c r="D438" t="str">
        <f>INDEX('ei names mapping'!$B$104:$BL$133,MATCH(B$229,'ei names mapping'!$A$4:$A$33,0),MATCH(G438,'ei names mapping'!$B$3:$BL$3,0))</f>
        <v>kilogram</v>
      </c>
      <c r="E438" t="str">
        <f>INDEX('ei names mapping'!$B$305:$BL$335,MATCH(B$229,'ei names mapping'!$A$4:$A$33,0),MATCH(G438,'ei names mapping'!$B$3:$BL$3,0))</f>
        <v>air::urban air close to ground</v>
      </c>
      <c r="F438" t="s">
        <v>167</v>
      </c>
      <c r="G438" t="s">
        <v>555</v>
      </c>
    </row>
    <row r="439" spans="1:7" x14ac:dyDescent="0.2">
      <c r="A439" t="str">
        <f>INDEX('ei names mapping'!$B$4:$BL$33,MATCH(B$229,'ei names mapping'!$A$4:$A$33,0),MATCH(G439,'ei names mapping'!$B$3:$BL$3,0))</f>
        <v>Benzaldehyde</v>
      </c>
      <c r="B439" s="7">
        <f>INDEX('vehicles specifications'!$B$3:$CW$166,MATCH(B$386,'vehicles specifications'!$A$3:$A$166,0),MATCH(G439,'vehicles specifications'!$B$2:$CW$2,0))*INDEX('ei names mapping'!$B$137:$BL$300,MATCH(B$386,'ei names mapping'!$A$137:$A$300,0),MATCH(G439,'ei names mapping'!$B$136:$BL$136,0))</f>
        <v>1.9620702905255601E-6</v>
      </c>
      <c r="D439" t="str">
        <f>INDEX('ei names mapping'!$B$104:$BL$133,MATCH(B$229,'ei names mapping'!$A$4:$A$33,0),MATCH(G439,'ei names mapping'!$B$3:$BL$3,0))</f>
        <v>kilogram</v>
      </c>
      <c r="E439" t="str">
        <f>INDEX('ei names mapping'!$B$305:$BL$335,MATCH(B$229,'ei names mapping'!$A$4:$A$33,0),MATCH(G439,'ei names mapping'!$B$3:$BL$3,0))</f>
        <v>air::urban air close to ground</v>
      </c>
      <c r="F439" t="s">
        <v>167</v>
      </c>
      <c r="G439" t="s">
        <v>556</v>
      </c>
    </row>
    <row r="440" spans="1:7" x14ac:dyDescent="0.2">
      <c r="A440" t="str">
        <f>INDEX('ei names mapping'!$B$4:$BL$33,MATCH(B$229,'ei names mapping'!$A$4:$A$33,0),MATCH(G440,'ei names mapping'!$B$3:$BL$3,0))</f>
        <v>Acetone</v>
      </c>
      <c r="B440" s="7">
        <f>INDEX('vehicles specifications'!$B$3:$CW$166,MATCH(B$386,'vehicles specifications'!$A$3:$A$166,0),MATCH(G440,'vehicles specifications'!$B$2:$CW$2,0))*INDEX('ei names mapping'!$B$137:$BL$300,MATCH(B$386,'ei names mapping'!$A$137:$A$300,0),MATCH(G440,'ei names mapping'!$B$136:$BL$136,0))</f>
        <v>5.4402858055481441E-6</v>
      </c>
      <c r="D440" t="str">
        <f>INDEX('ei names mapping'!$B$104:$BL$133,MATCH(B$229,'ei names mapping'!$A$4:$A$33,0),MATCH(G440,'ei names mapping'!$B$3:$BL$3,0))</f>
        <v>kilogram</v>
      </c>
      <c r="E440" t="str">
        <f>INDEX('ei names mapping'!$B$305:$BL$335,MATCH(B$229,'ei names mapping'!$A$4:$A$33,0),MATCH(G440,'ei names mapping'!$B$3:$BL$3,0))</f>
        <v>air::urban air close to ground</v>
      </c>
      <c r="F440" t="s">
        <v>167</v>
      </c>
      <c r="G440" t="s">
        <v>557</v>
      </c>
    </row>
    <row r="441" spans="1:7" x14ac:dyDescent="0.2">
      <c r="A441" t="str">
        <f>INDEX('ei names mapping'!$B$4:$BL$33,MATCH(B$229,'ei names mapping'!$A$4:$A$33,0),MATCH(G441,'ei names mapping'!$B$3:$BL$3,0))</f>
        <v>Methyl ethyl ketone</v>
      </c>
      <c r="B441" s="7">
        <f>INDEX('vehicles specifications'!$B$3:$CW$166,MATCH(B$386,'vehicles specifications'!$A$3:$A$166,0),MATCH(G441,'vehicles specifications'!$B$2:$CW$2,0))*INDEX('ei names mapping'!$B$137:$BL$300,MATCH(B$386,'ei names mapping'!$A$137:$A$300,0),MATCH(G441,'ei names mapping'!$B$136:$BL$136,0))</f>
        <v>0</v>
      </c>
      <c r="D441" t="str">
        <f>INDEX('ei names mapping'!$B$104:$BL$133,MATCH(B$229,'ei names mapping'!$A$4:$A$33,0),MATCH(G441,'ei names mapping'!$B$3:$BL$3,0))</f>
        <v>kilogram</v>
      </c>
      <c r="E441" t="str">
        <f>INDEX('ei names mapping'!$B$305:$BL$335,MATCH(B$229,'ei names mapping'!$A$4:$A$33,0),MATCH(G441,'ei names mapping'!$B$3:$BL$3,0))</f>
        <v>air::urban air close to ground</v>
      </c>
      <c r="F441" t="s">
        <v>167</v>
      </c>
      <c r="G441" t="s">
        <v>560</v>
      </c>
    </row>
    <row r="442" spans="1:7" x14ac:dyDescent="0.2">
      <c r="A442" t="str">
        <f>INDEX('ei names mapping'!$B$4:$BL$33,MATCH(B$229,'ei names mapping'!$A$4:$A$33,0),MATCH(G442,'ei names mapping'!$B$3:$BL$3,0))</f>
        <v>Acrolein</v>
      </c>
      <c r="B442" s="7">
        <f>INDEX('vehicles specifications'!$B$3:$CW$166,MATCH(B$386,'vehicles specifications'!$A$3:$A$166,0),MATCH(G442,'vehicles specifications'!$B$2:$CW$2,0))*INDEX('ei names mapping'!$B$137:$BL$300,MATCH(B$386,'ei names mapping'!$A$137:$A$300,0),MATCH(G442,'ei names mapping'!$B$136:$BL$136,0))</f>
        <v>1.6945152509084381E-6</v>
      </c>
      <c r="D442" t="str">
        <f>INDEX('ei names mapping'!$B$104:$BL$133,MATCH(B$229,'ei names mapping'!$A$4:$A$33,0),MATCH(G442,'ei names mapping'!$B$3:$BL$3,0))</f>
        <v>kilogram</v>
      </c>
      <c r="E442" t="str">
        <f>INDEX('ei names mapping'!$B$305:$BL$335,MATCH(B$229,'ei names mapping'!$A$4:$A$33,0),MATCH(G442,'ei names mapping'!$B$3:$BL$3,0))</f>
        <v>air::urban air close to ground</v>
      </c>
      <c r="F442" t="s">
        <v>167</v>
      </c>
      <c r="G442" t="s">
        <v>558</v>
      </c>
    </row>
    <row r="443" spans="1:7" x14ac:dyDescent="0.2">
      <c r="A443" t="str">
        <f>INDEX('ei names mapping'!$B$4:$BL$33,MATCH(B$229,'ei names mapping'!$A$4:$A$33,0),MATCH(G443,'ei names mapping'!$B$3:$BL$3,0))</f>
        <v>Styrene</v>
      </c>
      <c r="B443" s="7">
        <f>INDEX('vehicles specifications'!$B$3:$CW$166,MATCH(B$386,'vehicles specifications'!$A$3:$A$166,0),MATCH(G443,'vehicles specifications'!$B$2:$CW$2,0))*INDEX('ei names mapping'!$B$137:$BL$300,MATCH(B$386,'ei names mapping'!$A$137:$A$300,0),MATCH(G443,'ei names mapping'!$B$136:$BL$136,0))</f>
        <v>9.0076863337764332E-6</v>
      </c>
      <c r="D443" t="str">
        <f>INDEX('ei names mapping'!$B$104:$BL$133,MATCH(B$229,'ei names mapping'!$A$4:$A$33,0),MATCH(G443,'ei names mapping'!$B$3:$BL$3,0))</f>
        <v>kilogram</v>
      </c>
      <c r="E443" t="str">
        <f>INDEX('ei names mapping'!$B$305:$BL$335,MATCH(B$229,'ei names mapping'!$A$4:$A$33,0),MATCH(G443,'ei names mapping'!$B$3:$BL$3,0))</f>
        <v>air::urban air close to ground</v>
      </c>
      <c r="F443" t="s">
        <v>167</v>
      </c>
      <c r="G443" t="s">
        <v>559</v>
      </c>
    </row>
    <row r="444" spans="1:7" x14ac:dyDescent="0.2">
      <c r="A444" t="str">
        <f>INDEX('ei names mapping'!$B$4:$BL$33,MATCH(B$229,'ei names mapping'!$A$4:$A$33,0),MATCH(G444,'ei names mapping'!$B$3:$BL$3,0))</f>
        <v>PAH, polycyclic aromatic hydrocarbons</v>
      </c>
      <c r="B444" s="7">
        <f>INDEX('vehicles specifications'!$B$3:$CW$166,MATCH(B$386,'vehicles specifications'!$A$3:$A$166,0),MATCH(G444,'vehicles specifications'!$B$2:$CW$2,0))*INDEX('ei names mapping'!$B$137:$BL$300,MATCH(B$386,'ei names mapping'!$A$137:$A$300,0),MATCH(G444,'ei names mapping'!$B$136:$BL$136,0))</f>
        <v>6.7379213736163881E-10</v>
      </c>
      <c r="D444" t="str">
        <f>INDEX('ei names mapping'!$B$104:$BL$133,MATCH(B$229,'ei names mapping'!$A$4:$A$33,0),MATCH(G444,'ei names mapping'!$B$3:$BL$3,0))</f>
        <v>kilogram</v>
      </c>
      <c r="E444" t="str">
        <f>INDEX('ei names mapping'!$B$305:$BL$335,MATCH(B$229,'ei names mapping'!$A$4:$A$33,0),MATCH(G444,'ei names mapping'!$B$3:$BL$3,0))</f>
        <v>air::urban air close to ground</v>
      </c>
      <c r="F444" t="s">
        <v>167</v>
      </c>
      <c r="G444" t="s">
        <v>561</v>
      </c>
    </row>
    <row r="445" spans="1:7" x14ac:dyDescent="0.2">
      <c r="A445" t="str">
        <f>INDEX('ei names mapping'!$B$4:$BL$33,MATCH(B$229,'ei names mapping'!$A$4:$A$33,0),MATCH(G445,'ei names mapping'!$B$3:$BL$3,0))</f>
        <v>Arsenic</v>
      </c>
      <c r="B445" s="7">
        <f>INDEX('vehicles specifications'!$B$3:$CW$166,MATCH(B$386,'vehicles specifications'!$A$3:$A$166,0),MATCH(G445,'vehicles specifications'!$B$2:$CW$2,0))*INDEX('ei names mapping'!$B$137:$BL$300,MATCH(B$386,'ei names mapping'!$A$137:$A$300,0),MATCH(G445,'ei names mapping'!$B$136:$BL$136,0))</f>
        <v>5.8085529082899891E-12</v>
      </c>
      <c r="D445" t="str">
        <f>INDEX('ei names mapping'!$B$104:$BL$133,MATCH(B$229,'ei names mapping'!$A$4:$A$33,0),MATCH(G445,'ei names mapping'!$B$3:$BL$3,0))</f>
        <v>kilogram</v>
      </c>
      <c r="E445" t="str">
        <f>INDEX('ei names mapping'!$B$305:$BL$335,MATCH(B$229,'ei names mapping'!$A$4:$A$33,0),MATCH(G445,'ei names mapping'!$B$3:$BL$3,0))</f>
        <v>air::urban air close to ground</v>
      </c>
      <c r="F445" t="s">
        <v>167</v>
      </c>
      <c r="G445" t="s">
        <v>562</v>
      </c>
    </row>
    <row r="446" spans="1:7" x14ac:dyDescent="0.2">
      <c r="A446" t="str">
        <f>INDEX('ei names mapping'!$B$4:$BL$33,MATCH(B$229,'ei names mapping'!$A$4:$A$33,0),MATCH(G446,'ei names mapping'!$B$3:$BL$3,0))</f>
        <v>Selenium</v>
      </c>
      <c r="B446" s="7">
        <f>INDEX('vehicles specifications'!$B$3:$CW$166,MATCH(B$386,'vehicles specifications'!$A$3:$A$166,0),MATCH(G446,'vehicles specifications'!$B$2:$CW$2,0))*INDEX('ei names mapping'!$B$137:$BL$300,MATCH(B$386,'ei names mapping'!$A$137:$A$300,0),MATCH(G446,'ei names mapping'!$B$136:$BL$136,0))</f>
        <v>3.8723686055266594E-12</v>
      </c>
      <c r="D446" t="str">
        <f>INDEX('ei names mapping'!$B$104:$BL$133,MATCH(B$229,'ei names mapping'!$A$4:$A$33,0),MATCH(G446,'ei names mapping'!$B$3:$BL$3,0))</f>
        <v>kilogram</v>
      </c>
      <c r="E446" t="str">
        <f>INDEX('ei names mapping'!$B$305:$BL$335,MATCH(B$229,'ei names mapping'!$A$4:$A$33,0),MATCH(G446,'ei names mapping'!$B$3:$BL$3,0))</f>
        <v>air::urban air close to ground</v>
      </c>
      <c r="F446" t="s">
        <v>167</v>
      </c>
      <c r="G446" t="s">
        <v>563</v>
      </c>
    </row>
    <row r="447" spans="1:7" x14ac:dyDescent="0.2">
      <c r="A447" t="str">
        <f>INDEX('ei names mapping'!$B$4:$BL$33,MATCH(B$229,'ei names mapping'!$A$4:$A$33,0),MATCH(G447,'ei names mapping'!$B$3:$BL$3,0))</f>
        <v>Zinc</v>
      </c>
      <c r="B447" s="7">
        <f>INDEX('vehicles specifications'!$B$3:$CW$166,MATCH(B$386,'vehicles specifications'!$A$3:$A$166,0),MATCH(G447,'vehicles specifications'!$B$2:$CW$2,0))*INDEX('ei names mapping'!$B$137:$BL$300,MATCH(B$386,'ei names mapping'!$A$137:$A$300,0),MATCH(G447,'ei names mapping'!$B$136:$BL$136,0))</f>
        <v>4.1821580939687923E-8</v>
      </c>
      <c r="D447" t="str">
        <f>INDEX('ei names mapping'!$B$104:$BL$133,MATCH(B$229,'ei names mapping'!$A$4:$A$33,0),MATCH(G447,'ei names mapping'!$B$3:$BL$3,0))</f>
        <v>kilogram</v>
      </c>
      <c r="E447" t="str">
        <f>INDEX('ei names mapping'!$B$305:$BL$335,MATCH(B$229,'ei names mapping'!$A$4:$A$33,0),MATCH(G447,'ei names mapping'!$B$3:$BL$3,0))</f>
        <v>air::urban air close to ground</v>
      </c>
      <c r="F447" t="s">
        <v>167</v>
      </c>
      <c r="G447" t="s">
        <v>564</v>
      </c>
    </row>
    <row r="448" spans="1:7" x14ac:dyDescent="0.2">
      <c r="A448" t="str">
        <f>INDEX('ei names mapping'!$B$4:$BL$33,MATCH(B$229,'ei names mapping'!$A$4:$A$33,0),MATCH(G448,'ei names mapping'!$B$3:$BL$3,0))</f>
        <v>Copper</v>
      </c>
      <c r="B448" s="7">
        <f>INDEX('vehicles specifications'!$B$3:$CW$166,MATCH(B$386,'vehicles specifications'!$A$3:$A$166,0),MATCH(G448,'vehicles specifications'!$B$2:$CW$2,0))*INDEX('ei names mapping'!$B$137:$BL$300,MATCH(B$386,'ei names mapping'!$A$137:$A$300,0),MATCH(G448,'ei names mapping'!$B$136:$BL$136,0))</f>
        <v>8.1319740716059841E-10</v>
      </c>
      <c r="D448" t="str">
        <f>INDEX('ei names mapping'!$B$104:$BL$133,MATCH(B$229,'ei names mapping'!$A$4:$A$33,0),MATCH(G448,'ei names mapping'!$B$3:$BL$3,0))</f>
        <v>kilogram</v>
      </c>
      <c r="E448" t="str">
        <f>INDEX('ei names mapping'!$B$305:$BL$335,MATCH(B$229,'ei names mapping'!$A$4:$A$33,0),MATCH(G448,'ei names mapping'!$B$3:$BL$3,0))</f>
        <v>air::urban air close to ground</v>
      </c>
      <c r="F448" t="s">
        <v>167</v>
      </c>
      <c r="G448" t="s">
        <v>522</v>
      </c>
    </row>
    <row r="449" spans="1:8" x14ac:dyDescent="0.2">
      <c r="A449" t="str">
        <f>INDEX('ei names mapping'!$B$4:$BL$33,MATCH(B$229,'ei names mapping'!$A$4:$A$33,0),MATCH(G449,'ei names mapping'!$B$3:$BL$3,0))</f>
        <v>Nickel</v>
      </c>
      <c r="B449" s="7">
        <f>INDEX('vehicles specifications'!$B$3:$CW$166,MATCH(B$386,'vehicles specifications'!$A$3:$A$166,0),MATCH(G449,'vehicles specifications'!$B$2:$CW$2,0))*INDEX('ei names mapping'!$B$137:$BL$300,MATCH(B$386,'ei names mapping'!$A$137:$A$300,0),MATCH(G449,'ei names mapping'!$B$136:$BL$136,0))</f>
        <v>2.5170395935923289E-10</v>
      </c>
      <c r="D449" t="str">
        <f>INDEX('ei names mapping'!$B$104:$BL$133,MATCH(B$229,'ei names mapping'!$A$4:$A$33,0),MATCH(G449,'ei names mapping'!$B$3:$BL$3,0))</f>
        <v>kilogram</v>
      </c>
      <c r="E449" t="str">
        <f>INDEX('ei names mapping'!$B$305:$BL$335,MATCH(B$229,'ei names mapping'!$A$4:$A$33,0),MATCH(G449,'ei names mapping'!$B$3:$BL$3,0))</f>
        <v>air::urban air close to ground</v>
      </c>
      <c r="F449" t="s">
        <v>167</v>
      </c>
      <c r="G449" t="s">
        <v>524</v>
      </c>
    </row>
    <row r="450" spans="1:8" x14ac:dyDescent="0.2">
      <c r="A450" t="str">
        <f>INDEX('ei names mapping'!$B$4:$BL$33,MATCH(B$229,'ei names mapping'!$A$4:$A$33,0),MATCH(G450,'ei names mapping'!$B$3:$BL$3,0))</f>
        <v>Chromium</v>
      </c>
      <c r="B450" s="7">
        <f>INDEX('vehicles specifications'!$B$3:$CW$166,MATCH(B$386,'vehicles specifications'!$A$3:$A$166,0),MATCH(G450,'vehicles specifications'!$B$2:$CW$2,0))*INDEX('ei names mapping'!$B$137:$BL$300,MATCH(B$386,'ei names mapping'!$A$137:$A$300,0),MATCH(G450,'ei names mapping'!$B$136:$BL$136,0))</f>
        <v>3.0978948844213278E-10</v>
      </c>
      <c r="D450" t="str">
        <f>INDEX('ei names mapping'!$B$104:$BL$133,MATCH(B$229,'ei names mapping'!$A$4:$A$33,0),MATCH(G450,'ei names mapping'!$B$3:$BL$3,0))</f>
        <v>kilogram</v>
      </c>
      <c r="E450" t="str">
        <f>INDEX('ei names mapping'!$B$305:$BL$335,MATCH(B$229,'ei names mapping'!$A$4:$A$33,0),MATCH(G450,'ei names mapping'!$B$3:$BL$3,0))</f>
        <v>air::urban air close to ground</v>
      </c>
      <c r="F450" t="s">
        <v>167</v>
      </c>
      <c r="G450" t="s">
        <v>523</v>
      </c>
    </row>
    <row r="451" spans="1:8" x14ac:dyDescent="0.2">
      <c r="A451" t="str">
        <f>INDEX('ei names mapping'!$B$4:$BL$33,MATCH(B$229,'ei names mapping'!$A$4:$A$33,0),MATCH(G451,'ei names mapping'!$B$3:$BL$3,0))</f>
        <v>Chromium VI</v>
      </c>
      <c r="B451" s="7">
        <f>INDEX('vehicles specifications'!$B$3:$CW$166,MATCH(B$386,'vehicles specifications'!$A$3:$A$166,0),MATCH(G451,'vehicles specifications'!$B$2:$CW$2,0))*INDEX('ei names mapping'!$B$137:$BL$300,MATCH(B$386,'ei names mapping'!$A$137:$A$300,0),MATCH(G451,'ei names mapping'!$B$136:$BL$136,0))</f>
        <v>6.1957897688426542E-13</v>
      </c>
      <c r="D451" t="str">
        <f>INDEX('ei names mapping'!$B$104:$BL$133,MATCH(B$229,'ei names mapping'!$A$4:$A$33,0),MATCH(G451,'ei names mapping'!$B$3:$BL$3,0))</f>
        <v>kilogram</v>
      </c>
      <c r="E451" t="str">
        <f>INDEX('ei names mapping'!$B$305:$BL$335,MATCH(B$229,'ei names mapping'!$A$4:$A$33,0),MATCH(G451,'ei names mapping'!$B$3:$BL$3,0))</f>
        <v>air::urban air close to ground</v>
      </c>
      <c r="F451" t="s">
        <v>167</v>
      </c>
      <c r="G451" t="s">
        <v>567</v>
      </c>
    </row>
    <row r="452" spans="1:8" x14ac:dyDescent="0.2">
      <c r="A452" t="str">
        <f>INDEX('ei names mapping'!$B$4:$BL$33,MATCH(B$229,'ei names mapping'!$A$4:$A$33,0),MATCH(G452,'ei names mapping'!$B$3:$BL$3,0))</f>
        <v>Mercury</v>
      </c>
      <c r="B452" s="7">
        <f>INDEX('vehicles specifications'!$B$3:$CW$166,MATCH(B$386,'vehicles specifications'!$A$3:$A$166,0),MATCH(G452,'vehicles specifications'!$B$2:$CW$2,0))*INDEX('ei names mapping'!$B$137:$BL$300,MATCH(B$386,'ei names mapping'!$A$137:$A$300,0),MATCH(G452,'ei names mapping'!$B$136:$BL$136,0))</f>
        <v>1.684480343404097E-10</v>
      </c>
      <c r="D452" t="str">
        <f>INDEX('ei names mapping'!$B$104:$BL$133,MATCH(B$229,'ei names mapping'!$A$4:$A$33,0),MATCH(G452,'ei names mapping'!$B$3:$BL$3,0))</f>
        <v>kilogram</v>
      </c>
      <c r="E452" t="str">
        <f>INDEX('ei names mapping'!$B$305:$BL$335,MATCH(B$229,'ei names mapping'!$A$4:$A$33,0),MATCH(G452,'ei names mapping'!$B$3:$BL$3,0))</f>
        <v>air::urban air close to ground</v>
      </c>
      <c r="F452" t="s">
        <v>167</v>
      </c>
      <c r="G452" t="s">
        <v>565</v>
      </c>
    </row>
    <row r="453" spans="1:8" x14ac:dyDescent="0.2">
      <c r="A453" t="str">
        <f>INDEX('ei names mapping'!$B$4:$BL$33,MATCH(B$229,'ei names mapping'!$A$4:$A$33,0),MATCH(G453,'ei names mapping'!$B$3:$BL$3,0))</f>
        <v>Cadmium</v>
      </c>
      <c r="B453" s="7">
        <f>INDEX('vehicles specifications'!$B$3:$CW$166,MATCH(B$386,'vehicles specifications'!$A$3:$A$166,0),MATCH(G453,'vehicles specifications'!$B$2:$CW$2,0))*INDEX('ei names mapping'!$B$137:$BL$300,MATCH(B$386,'ei names mapping'!$A$137:$A$300,0),MATCH(G453,'ei names mapping'!$B$136:$BL$136,0))</f>
        <v>2.0910790469843966E-10</v>
      </c>
      <c r="D453" t="str">
        <f>INDEX('ei names mapping'!$B$104:$BL$133,MATCH(B$229,'ei names mapping'!$A$4:$A$33,0),MATCH(G453,'ei names mapping'!$B$3:$BL$3,0))</f>
        <v>kilogram</v>
      </c>
      <c r="E453" t="str">
        <f>INDEX('ei names mapping'!$B$305:$BL$335,MATCH(B$229,'ei names mapping'!$A$4:$A$33,0),MATCH(G453,'ei names mapping'!$B$3:$BL$3,0))</f>
        <v>air::urban air close to ground</v>
      </c>
      <c r="F453" t="s">
        <v>167</v>
      </c>
      <c r="G453" t="s">
        <v>566</v>
      </c>
    </row>
    <row r="454" spans="1:8" x14ac:dyDescent="0.2">
      <c r="A454" t="str">
        <f>INDEX('ei names mapping'!$B$4:$BL$33,MATCH(B383,'ei names mapping'!$A$4:$A$33,0),MATCH(G454,'ei names mapping'!$B$3:$BL$3,0))</f>
        <v>treatment of road wear emissions, passenger car</v>
      </c>
      <c r="B454" s="7">
        <f>INDEX('vehicles specifications'!$B$3:$CW$166,MATCH(B386,'vehicles specifications'!$A$3:$A$166,0),MATCH(G454,'vehicles specifications'!$B$2:$CW$2,0))*INDEX('ei names mapping'!$B$137:$BL$300,MATCH(B386,'ei names mapping'!$A$137:$A$300,0),MATCH(G454,'ei names mapping'!$B$136:$BL$136,0))</f>
        <v>-5.4954664602228434E-6</v>
      </c>
      <c r="C454" t="str">
        <f>INDEX('ei names mapping'!$B$38:$BL$67,MATCH(B383,'ei names mapping'!$A$4:$A$33,0),MATCH(G454,'ei names mapping'!$B$3:$BL$3,0))</f>
        <v>RER</v>
      </c>
      <c r="D454" t="str">
        <f>INDEX('ei names mapping'!$B$104:$BL$133,MATCH(B383,'ei names mapping'!$A$4:$A$33,0),MATCH(G454,'ei names mapping'!$B$3:$BL$3,0))</f>
        <v>kilogram</v>
      </c>
      <c r="F454" t="s">
        <v>89</v>
      </c>
      <c r="G454" t="s">
        <v>29</v>
      </c>
      <c r="H454" t="str">
        <f>INDEX('ei names mapping'!$B$71:$BL$100,MATCH(B383,'ei names mapping'!$A$4:$A$33,0),MATCH(G454,'ei names mapping'!$B$3:$BL$3,0))</f>
        <v>road wear emissions, passenger car</v>
      </c>
    </row>
    <row r="455" spans="1:8" x14ac:dyDescent="0.2">
      <c r="A455" t="str">
        <f>INDEX('ei names mapping'!$B$4:$BL$33,MATCH(B383,'ei names mapping'!$A$4:$A$33,0),MATCH(G455,'ei names mapping'!$B$3:$BL$3,0))</f>
        <v>treatment of tyre wear emissions, passenger car</v>
      </c>
      <c r="B455" s="7">
        <f>INDEX('vehicles specifications'!$B$3:$CW$166,MATCH(B386,'vehicles specifications'!$A$3:$A$166,0),MATCH(G455,'vehicles specifications'!$B$2:$CW$2,0))*INDEX('ei names mapping'!$B$137:$BL$300,MATCH(B386,'ei names mapping'!$A$137:$A$300,0),MATCH(G455,'ei names mapping'!$B$136:$BL$136,0))</f>
        <v>-4.653127067963281E-6</v>
      </c>
      <c r="C455" t="str">
        <f>INDEX('ei names mapping'!$B$38:$BL$67,MATCH(B383,'ei names mapping'!$A$4:$A$33,0),MATCH(G455,'ei names mapping'!$B$3:$BL$3,0))</f>
        <v>RER</v>
      </c>
      <c r="D455" t="str">
        <f>INDEX('ei names mapping'!$B$104:$BL$133,MATCH(B383,'ei names mapping'!$A$4:$A$33,0),MATCH(G455,'ei names mapping'!$B$3:$BL$3,0))</f>
        <v>kilogram</v>
      </c>
      <c r="F455" t="s">
        <v>89</v>
      </c>
      <c r="G455" t="s">
        <v>30</v>
      </c>
      <c r="H455" t="str">
        <f>INDEX('ei names mapping'!$B$71:$BL$100,MATCH(B383,'ei names mapping'!$A$4:$A$33,0),MATCH(G455,'ei names mapping'!$B$3:$BL$3,0))</f>
        <v>tyre wear emissions, passenger car</v>
      </c>
    </row>
    <row r="456" spans="1:8" x14ac:dyDescent="0.2">
      <c r="A456" t="str">
        <f>INDEX('ei names mapping'!$B$4:$BL$33,MATCH(B383,'ei names mapping'!$A$4:$A$33,0),MATCH(G456,'ei names mapping'!$B$3:$BL$3,0))</f>
        <v>treatment of brake wear emissions, passenger car</v>
      </c>
      <c r="B456" s="7">
        <f>INDEX('vehicles specifications'!$B$3:$CW$166,MATCH(B386,'vehicles specifications'!$A$3:$A$166,0),MATCH(G456,'vehicles specifications'!$B$2:$CW$2,0))*INDEX('ei names mapping'!$B$137:$BL$300,MATCH(B386,'ei names mapping'!$A$137:$A$300,0),MATCH(G456,'ei names mapping'!$B$136:$BL$136,0))</f>
        <v>-3.1933938505570598E-6</v>
      </c>
      <c r="C456" t="str">
        <f>INDEX('ei names mapping'!$B$38:$BL$67,MATCH(B383,'ei names mapping'!$A$4:$A$33,0),MATCH(G456,'ei names mapping'!$B$3:$BL$3,0))</f>
        <v>RER</v>
      </c>
      <c r="D456" t="str">
        <f>INDEX('ei names mapping'!$B$104:$BL$133,MATCH(B383,'ei names mapping'!$A$4:$A$33,0),MATCH(G456,'ei names mapping'!$B$3:$BL$3,0))</f>
        <v>kilogram</v>
      </c>
      <c r="F456" t="s">
        <v>89</v>
      </c>
      <c r="G456" t="s">
        <v>31</v>
      </c>
      <c r="H456" t="str">
        <f>INDEX('ei names mapping'!$B$71:$BL$100,MATCH(B383,'ei names mapping'!$A$4:$A$33,0),MATCH(G456,'ei names mapping'!$B$3:$BL$3,0))</f>
        <v>brake wear emissions, passenger car</v>
      </c>
    </row>
    <row r="457" spans="1:8" x14ac:dyDescent="0.2">
      <c r="B457" s="6"/>
    </row>
    <row r="458" spans="1:8" ht="16" x14ac:dyDescent="0.2">
      <c r="A458" s="10" t="s">
        <v>71</v>
      </c>
      <c r="B458" s="8" t="str">
        <f>"transport, "&amp;B460&amp;", "&amp;B462</f>
        <v>transport, Moped, gasoline, &lt;4kW, EURO-5, 2030</v>
      </c>
    </row>
    <row r="459" spans="1:8" x14ac:dyDescent="0.2">
      <c r="A459" t="s">
        <v>72</v>
      </c>
      <c r="B459" t="s">
        <v>37</v>
      </c>
    </row>
    <row r="460" spans="1:8" x14ac:dyDescent="0.2">
      <c r="A460" t="s">
        <v>86</v>
      </c>
      <c r="B460" t="s">
        <v>581</v>
      </c>
    </row>
    <row r="461" spans="1:8" x14ac:dyDescent="0.2">
      <c r="A461" t="s">
        <v>87</v>
      </c>
    </row>
    <row r="462" spans="1:8" x14ac:dyDescent="0.2">
      <c r="A462" t="s">
        <v>88</v>
      </c>
      <c r="B462">
        <v>2030</v>
      </c>
    </row>
    <row r="463" spans="1:8" x14ac:dyDescent="0.2">
      <c r="A463" t="s">
        <v>126</v>
      </c>
      <c r="B463" t="str">
        <f>B460&amp;" - "&amp;B462&amp;" - "&amp;B459</f>
        <v>Moped, gasoline, &lt;4kW, EURO-5 - 2030 - CH</v>
      </c>
    </row>
    <row r="464" spans="1:8" x14ac:dyDescent="0.2">
      <c r="A464" t="s">
        <v>73</v>
      </c>
      <c r="B464" t="str">
        <f>"transport, "&amp;B460</f>
        <v>transport, Moped, gasoline, &lt;4kW, EURO-5</v>
      </c>
    </row>
    <row r="465" spans="1:2" x14ac:dyDescent="0.2">
      <c r="A465" t="s">
        <v>74</v>
      </c>
      <c r="B465" t="s">
        <v>75</v>
      </c>
    </row>
    <row r="466" spans="1:2" x14ac:dyDescent="0.2">
      <c r="A466" t="s">
        <v>76</v>
      </c>
      <c r="B466" t="s">
        <v>166</v>
      </c>
    </row>
    <row r="467" spans="1:2" x14ac:dyDescent="0.2">
      <c r="A467" t="s">
        <v>78</v>
      </c>
      <c r="B467" t="s">
        <v>1143</v>
      </c>
    </row>
    <row r="468" spans="1:2" x14ac:dyDescent="0.2">
      <c r="A468" t="s">
        <v>127</v>
      </c>
      <c r="B468">
        <f>INDEX('vehicles specifications'!$B$3:$CW$166,MATCH(B463,'vehicles specifications'!$A$3:$A$166,0),MATCH("Lifetime [km]",'vehicles specifications'!$B$2:$CW$2,0))</f>
        <v>25000</v>
      </c>
    </row>
    <row r="469" spans="1:2" x14ac:dyDescent="0.2">
      <c r="A469" t="s">
        <v>128</v>
      </c>
      <c r="B469">
        <f>INDEX('vehicles specifications'!$B$3:$CW$166,MATCH(B463,'vehicles specifications'!$A$3:$A$166,0),MATCH("Passengers [unit]",'vehicles specifications'!$B$2:$CW$2,0))</f>
        <v>1</v>
      </c>
    </row>
    <row r="470" spans="1:2" x14ac:dyDescent="0.2">
      <c r="A470" t="s">
        <v>129</v>
      </c>
      <c r="B470">
        <f>INDEX('vehicles specifications'!$B$3:$CW$166,MATCH(B463,'vehicles specifications'!$A$3:$A$166,0),MATCH("Servicing [unit]",'vehicles specifications'!$B$2:$CW$2,0))</f>
        <v>1</v>
      </c>
    </row>
    <row r="471" spans="1:2" x14ac:dyDescent="0.2">
      <c r="A471" t="s">
        <v>130</v>
      </c>
      <c r="B471">
        <f>INDEX('vehicles specifications'!$B$3:$CW$166,MATCH(B463,'vehicles specifications'!$A$3:$A$166,0),MATCH("Energy battery replacement [unit]",'vehicles specifications'!$B$2:$CW$2,0))</f>
        <v>0</v>
      </c>
    </row>
    <row r="472" spans="1:2" x14ac:dyDescent="0.2">
      <c r="A472" t="s">
        <v>131</v>
      </c>
      <c r="B472">
        <f>INDEX('vehicles specifications'!$B$3:$CW$166,MATCH(B463,'vehicles specifications'!$A$3:$A$166,0),MATCH("Annual kilometers [km]",'vehicles specifications'!$B$2:$CW$2,0))</f>
        <v>1570</v>
      </c>
    </row>
    <row r="473" spans="1:2" x14ac:dyDescent="0.2">
      <c r="A473" t="s">
        <v>132</v>
      </c>
      <c r="B473" s="2">
        <f>INDEX('vehicles specifications'!$B$3:$CW$166,MATCH(B463,'vehicles specifications'!$A$3:$A$166,0),MATCH("Curb mass [kg]",'vehicles specifications'!$B$2:$CW$2,0))</f>
        <v>61.729124999999996</v>
      </c>
    </row>
    <row r="474" spans="1:2" x14ac:dyDescent="0.2">
      <c r="A474" t="s">
        <v>133</v>
      </c>
      <c r="B474">
        <f>INDEX('vehicles specifications'!$B$3:$CW$166,MATCH(B463,'vehicles specifications'!$A$3:$A$166,0),MATCH("Power [kW]",'vehicles specifications'!$B$2:$CW$2,0))</f>
        <v>2.5</v>
      </c>
    </row>
    <row r="475" spans="1:2" x14ac:dyDescent="0.2">
      <c r="A475" t="s">
        <v>134</v>
      </c>
      <c r="B475" t="str">
        <f>INDEX('vehicles specifications'!$B$3:$CW$166,MATCH(B463,'vehicles specifications'!$A$3:$A$166,0),MATCH("Energy battery mass [kg]",'vehicles specifications'!$B$2:$CW$2,0))</f>
        <v/>
      </c>
    </row>
    <row r="476" spans="1:2" x14ac:dyDescent="0.2">
      <c r="A476" t="s">
        <v>135</v>
      </c>
      <c r="B476">
        <f>INDEX('vehicles specifications'!$B$3:$CW$166,MATCH(B463,'vehicles specifications'!$A$3:$A$166,0),MATCH("Electric energy available [kWh]",'vehicles specifications'!$B$2:$CW$2,0))</f>
        <v>0</v>
      </c>
    </row>
    <row r="477" spans="1:2" x14ac:dyDescent="0.2">
      <c r="A477" t="s">
        <v>138</v>
      </c>
      <c r="B477" s="2">
        <f>INDEX('vehicles specifications'!$B$3:$CW$166,MATCH(B463,'vehicles specifications'!$A$3:$A$166,0),MATCH("Oxydation energy stored [kWh]",'vehicles specifications'!$B$2:$CW$2,0))</f>
        <v>62.125</v>
      </c>
    </row>
    <row r="478" spans="1:2" x14ac:dyDescent="0.2">
      <c r="A478" t="s">
        <v>139</v>
      </c>
      <c r="B478">
        <f>INDEX('vehicles specifications'!$B$3:$CW$166,MATCH(B463,'vehicles specifications'!$A$3:$A$166,0),MATCH("Fuel mass [kg]",'vehicles specifications'!$B$2:$CW$2,0))</f>
        <v>5.25</v>
      </c>
    </row>
    <row r="479" spans="1:2" x14ac:dyDescent="0.2">
      <c r="A479" t="s">
        <v>136</v>
      </c>
      <c r="B479" s="2">
        <f>INDEX('vehicles specifications'!$B$3:$CW$166,MATCH(B463,'vehicles specifications'!$A$3:$A$166,0),MATCH("Range [km]",'vehicles specifications'!$B$2:$CW$2,0))</f>
        <v>274.5352296165226</v>
      </c>
    </row>
    <row r="480" spans="1:2" x14ac:dyDescent="0.2">
      <c r="A480" t="s">
        <v>137</v>
      </c>
      <c r="B480" t="str">
        <f>INDEX('vehicles specifications'!$B$3:$CW$166,MATCH(B463,'vehicles specifications'!$A$3:$A$166,0),MATCH("Emission standard",'vehicles specifications'!$B$2:$CW$2,0))</f>
        <v>EURO-5</v>
      </c>
    </row>
    <row r="481" spans="1:8" x14ac:dyDescent="0.2">
      <c r="A481" t="s">
        <v>1174</v>
      </c>
      <c r="B481" s="6">
        <f>INDEX('vehicles specifications'!$B$3:$CW$166,MATCH(B463,'vehicles specifications'!$A$3:$A$166,0),MATCH("Lightweighting rate [%]",'vehicles specifications'!$B$2:$CW$2,0))</f>
        <v>0.03</v>
      </c>
    </row>
    <row r="482" spans="1:8" x14ac:dyDescent="0.2">
      <c r="A482" t="s">
        <v>83</v>
      </c>
      <c r="B482" t="str">
        <f>"Power: "&amp;B474&amp;" kW. Lifetime: "&amp;B468&amp;" km. Annual kilometers: "&amp;B472&amp;" km. Number of passengers: "&amp;B469&amp;". Curb mass: "&amp;ROUND(B473,1)&amp;" kg. Lightweighting of glider: "&amp;ROUND(B481*100,0)&amp;"%. Emission standard: "&amp;B480&amp;". Service visits throughout lifetime: "&amp;ROUND(B470,1)&amp;". Range: "&amp;ROUND(B479,0)&amp;" km.  Fuel tank capacity: "&amp;ROUND(B477,1)&amp;" kWh. Fuel mass: "&amp;ROUND(B478,1)&amp;" kg. Documentation: "&amp;Readmefirst!$B$2&amp;", "&amp;Readmefirst!$B$3&amp;". "&amp;B467</f>
        <v>Power: 2.5 kW. Lifetime: 25000 km. Annual kilometers: 1570 km. Number of passengers: 1. Curb mass: 61.7 kg. Lightweighting of glider: 3%. Emission standard: EURO-5. Service visits throughout lifetime: 1. Range: 275 km.  Fuel tank capacity: 62.1 kWh. Fuel mass: 5.3 kg. Documentation: Life-cycle inventories for on-road vehicles, Sacchi R. (PSI), Bauer C. (PSI), 2021. Sacchi R., Bauer C. Life cycle inventories for on-road vehicles. Paul Scherrer Institut, 2021.</v>
      </c>
    </row>
    <row r="483" spans="1:8" ht="16" x14ac:dyDescent="0.2">
      <c r="A483" s="10" t="s">
        <v>79</v>
      </c>
    </row>
    <row r="484" spans="1:8" x14ac:dyDescent="0.2">
      <c r="A484" t="s">
        <v>80</v>
      </c>
      <c r="B484" t="s">
        <v>81</v>
      </c>
      <c r="C484" t="s">
        <v>72</v>
      </c>
      <c r="D484" t="s">
        <v>76</v>
      </c>
      <c r="E484" t="s">
        <v>82</v>
      </c>
      <c r="F484" t="s">
        <v>74</v>
      </c>
      <c r="G484" t="s">
        <v>83</v>
      </c>
      <c r="H484" t="s">
        <v>73</v>
      </c>
    </row>
    <row r="485" spans="1:8" x14ac:dyDescent="0.2">
      <c r="A485" t="str">
        <f>B458</f>
        <v>transport, Moped, gasoline, &lt;4kW, EURO-5, 2030</v>
      </c>
      <c r="B485">
        <v>1</v>
      </c>
      <c r="C485" t="str">
        <f>B459</f>
        <v>CH</v>
      </c>
      <c r="D485" t="s">
        <v>166</v>
      </c>
      <c r="F485" t="s">
        <v>84</v>
      </c>
      <c r="G485" t="s">
        <v>85</v>
      </c>
      <c r="H485" t="str">
        <f>B464</f>
        <v>transport, Moped, gasoline, &lt;4kW, EURO-5</v>
      </c>
    </row>
    <row r="486" spans="1:8" x14ac:dyDescent="0.2">
      <c r="A486" t="str">
        <f>RIGHT(A485,LEN(A485)-11)</f>
        <v>Moped, gasoline, &lt;4kW, EURO-5, 2030</v>
      </c>
      <c r="B486" s="7">
        <f>1/B468</f>
        <v>4.0000000000000003E-5</v>
      </c>
      <c r="C486" t="str">
        <f>B459</f>
        <v>CH</v>
      </c>
      <c r="D486" t="s">
        <v>76</v>
      </c>
      <c r="F486" t="s">
        <v>89</v>
      </c>
      <c r="H486" t="str">
        <f>RIGHT(H485,LEN(H485)-11)</f>
        <v>Moped, gasoline, &lt;4kW, EURO-5</v>
      </c>
    </row>
    <row r="487" spans="1:8" x14ac:dyDescent="0.2">
      <c r="A487" t="str">
        <f>INDEX('ei names mapping'!$B$4:$R$33,MATCH(B460,'ei names mapping'!$A$4:$A$33,0),MATCH(G487,'ei names mapping'!$B$3:$R$3,0))</f>
        <v>road construction</v>
      </c>
      <c r="B487" s="7">
        <f>INDEX('vehicles specifications'!$B$3:$CW$166,MATCH(B463,'vehicles specifications'!$A$3:$A$166,0),MATCH(G487,'vehicles specifications'!$B$2:$CW$2,0))*INDEX('ei names mapping'!$B$137:$BL$300,MATCH(B463,'ei names mapping'!$A$137:$A$300,0),MATCH(G487,'ei names mapping'!$B$136:$BL$136,0))</f>
        <v>7.4497540125000012E-5</v>
      </c>
      <c r="C487" t="str">
        <f>INDEX('ei names mapping'!$B$38:$R$67,MATCH(B460,'ei names mapping'!$A$4:$A$33,0),MATCH(G487,'ei names mapping'!$B$3:$R$3,0))</f>
        <v>CH</v>
      </c>
      <c r="D487" t="str">
        <f>INDEX('ei names mapping'!$B$104:$BL$133,MATCH(B460,'ei names mapping'!$A$4:$A$33,0),MATCH(G487,'ei names mapping'!$B$3:$BL$3,0))</f>
        <v>meter-year</v>
      </c>
      <c r="F487" t="s">
        <v>89</v>
      </c>
      <c r="G487" t="s">
        <v>105</v>
      </c>
      <c r="H487" t="str">
        <f>INDEX('ei names mapping'!$B$71:$BL$100,MATCH(B460,'ei names mapping'!$A$4:$A$33,0),MATCH(G487,'ei names mapping'!$B$3:$BL$3,0))</f>
        <v>road</v>
      </c>
    </row>
    <row r="488" spans="1:8" x14ac:dyDescent="0.2">
      <c r="A488" t="str">
        <f>INDEX('ei names mapping'!$B$4:$R$33,MATCH(B460,'ei names mapping'!$A$4:$A$33,0),MATCH(G488,'ei names mapping'!$B$3:$R$3,0))</f>
        <v>road maintenance</v>
      </c>
      <c r="B488" s="7">
        <f>INDEX('vehicles specifications'!$B$3:$CW$166,MATCH(B463,'vehicles specifications'!$A$3:$A$166,0),MATCH(G488,'vehicles specifications'!$B$2:$CW$2,0))*INDEX('ei names mapping'!$B$137:$BL$300,MATCH(B463,'ei names mapping'!$A$137:$A$300,0),MATCH(G488,'ei names mapping'!$B$136:$BL$136,0))</f>
        <v>1.2899999999999999E-3</v>
      </c>
      <c r="C488" t="str">
        <f>INDEX('ei names mapping'!$B$38:$R$67,MATCH(B460,'ei names mapping'!$A$4:$A$33,0),MATCH(G488,'ei names mapping'!$B$3:$R$3,0))</f>
        <v>CH</v>
      </c>
      <c r="D488" t="str">
        <f>INDEX('ei names mapping'!$B$104:$BL$133,MATCH(B460,'ei names mapping'!$A$4:$A$33,0),MATCH(G488,'ei names mapping'!$B$3:$BL$3,0))</f>
        <v>meter-year</v>
      </c>
      <c r="F488" t="s">
        <v>89</v>
      </c>
      <c r="G488" t="s">
        <v>112</v>
      </c>
      <c r="H488" t="str">
        <f>INDEX('ei names mapping'!$B$71:$BL$100,MATCH(B460,'ei names mapping'!$A$4:$A$33,0),MATCH(G488,'ei names mapping'!$B$3:$BL$3,0))</f>
        <v>road maintenance</v>
      </c>
    </row>
    <row r="489" spans="1:8" x14ac:dyDescent="0.2">
      <c r="A489" t="str">
        <f>INDEX('ei names mapping'!$B$4:$R$33,MATCH(B460,'ei names mapping'!$A$4:$A$33,0),MATCH(G489,'ei names mapping'!$B$3:$R$3,0))</f>
        <v>maintenance, motor scooter</v>
      </c>
      <c r="B489" s="7">
        <f>INDEX('vehicles specifications'!$B$3:$CW$166,MATCH(B463,'vehicles specifications'!$A$3:$A$166,0),MATCH(G489,'vehicles specifications'!$B$2:$CW$2,0))*INDEX('ei names mapping'!$B$137:$BL$300,MATCH(B463,'ei names mapping'!$A$137:$A$300,0),MATCH(G489,'ei names mapping'!$B$136:$BL$136,0))</f>
        <v>4.0000000000000003E-5</v>
      </c>
      <c r="C489" t="str">
        <f>INDEX('ei names mapping'!$B$38:$BL$67,MATCH(B460,'ei names mapping'!$A$4:$A$33,0),MATCH(G489,'ei names mapping'!$B$3:$BL$3,0))</f>
        <v>CH</v>
      </c>
      <c r="D489" t="str">
        <f>INDEX('ei names mapping'!$B$104:$BL$133,MATCH(B460,'ei names mapping'!$A$4:$A$33,0),MATCH(G489,'ei names mapping'!$B$3:$BL$3,0))</f>
        <v>unit</v>
      </c>
      <c r="F489" t="s">
        <v>89</v>
      </c>
      <c r="G489" t="s">
        <v>118</v>
      </c>
      <c r="H489" t="str">
        <f>INDEX('ei names mapping'!$B$71:$BL$100,MATCH(B460,'ei names mapping'!$A$4:$A$33,0),MATCH(G489,'ei names mapping'!$B$3:$BL$3,0))</f>
        <v>maintenance, motor scooter</v>
      </c>
    </row>
    <row r="490" spans="1:8" x14ac:dyDescent="0.2">
      <c r="A490" t="str">
        <f>INDEX('ei names mapping'!$B$4:$R$33,MATCH(B460,'ei names mapping'!$A$4:$A$33,0),MATCH(G490,'ei names mapping'!$B$3:$R$3,0))</f>
        <v>petrol blending for two-stroke engines</v>
      </c>
      <c r="B490" s="7">
        <f>INDEX('vehicles specifications'!$B$3:$CW$166,MATCH(B463,'vehicles specifications'!$A$3:$A$166,0),MATCH(G490,'vehicles specifications'!$B$2:$CW$2,0))*INDEX('ei names mapping'!$B$137:$BL$300,MATCH(B463,'ei names mapping'!$A$137:$A$300,0),MATCH(G490,'ei names mapping'!$B$136:$BL$136,0))</f>
        <v>1.9123228764968803E-2</v>
      </c>
      <c r="C490" t="str">
        <f>INDEX('ei names mapping'!$B$38:$BL$67,MATCH(B460,'ei names mapping'!$A$4:$A$33,0),MATCH(G490,'ei names mapping'!$B$3:$BL$3,0))</f>
        <v>CH</v>
      </c>
      <c r="D490" t="str">
        <f>INDEX('ei names mapping'!$B$104:$BL$133,MATCH(B460,'ei names mapping'!$A$4:$A$33,0),MATCH(G490,'ei names mapping'!$B$3:$BL$3,0))</f>
        <v>kilogram</v>
      </c>
      <c r="F490" t="s">
        <v>89</v>
      </c>
      <c r="G490" t="s">
        <v>27</v>
      </c>
      <c r="H490" t="str">
        <f>INDEX('ei names mapping'!$B$71:$BL$100,MATCH(B460,'ei names mapping'!$A$4:$A$33,0),MATCH(G490,'ei names mapping'!$B$3:$BL$3,0))</f>
        <v>petrol, two-stroke blend</v>
      </c>
    </row>
    <row r="491" spans="1:8" x14ac:dyDescent="0.2">
      <c r="A491" t="str">
        <f>INDEX('ei names mapping'!$B$4:$BL$33,MATCH(B460,'ei names mapping'!$A$4:$A$33,0),MATCH(G491,'ei names mapping'!$B$3:$BL$3,0))</f>
        <v>Carbon dioxide, fossil</v>
      </c>
      <c r="B491" s="7">
        <f>INDEX('vehicles specifications'!$B$3:$CW$166,MATCH(B463,'vehicles specifications'!$A$3:$A$166,0),MATCH(G491,'vehicles specifications'!$B$2:$CW$2,0))*INDEX('ei names mapping'!$B$137:$BL$300,MATCH(B463,'ei names mapping'!$A$137:$A$300,0),MATCH(G491,'ei names mapping'!$B$136:$BL$136,0))</f>
        <v>6.0046938322002044E-2</v>
      </c>
      <c r="D491" t="str">
        <f>INDEX('ei names mapping'!$B$104:$BL$133,MATCH(B460,'ei names mapping'!$A$4:$A$33,0),MATCH(G491,'ei names mapping'!$B$3:$BL$3,0))</f>
        <v>kilogram</v>
      </c>
      <c r="E491" t="str">
        <f>INDEX('ei names mapping'!$B$305:$BL$335,MATCH(B460,'ei names mapping'!$A$4:$A$33,0),MATCH(G491,'ei names mapping'!$B$3:$BL$3,0))</f>
        <v>air::urban air close to ground</v>
      </c>
      <c r="F491" t="s">
        <v>167</v>
      </c>
      <c r="G491" t="s">
        <v>66</v>
      </c>
    </row>
    <row r="492" spans="1:8" x14ac:dyDescent="0.2">
      <c r="A492" t="str">
        <f>INDEX('ei names mapping'!$B$4:$BL$33,MATCH(B460,'ei names mapping'!$A$4:$A$33,0),MATCH(G492,'ei names mapping'!$B$3:$BL$3,0))</f>
        <v>Sulfur dioxide</v>
      </c>
      <c r="B492" s="7">
        <f>INDEX('vehicles specifications'!$B$3:$CW$166,MATCH(B463,'vehicles specifications'!$A$3:$A$166,0),MATCH(G492,'vehicles specifications'!$B$2:$CW$2,0))*INDEX('ei names mapping'!$B$137:$BL$300,MATCH(B463,'ei names mapping'!$A$137:$A$300,0),MATCH(G492,'ei names mapping'!$B$136:$BL$136,0))</f>
        <v>3.0597166023950081E-7</v>
      </c>
      <c r="D492" t="str">
        <f>INDEX('ei names mapping'!$B$104:$BL$133,MATCH(B460,'ei names mapping'!$A$4:$A$33,0),MATCH(G492,'ei names mapping'!$B$3:$BL$3,0))</f>
        <v>kilogram</v>
      </c>
      <c r="E492" t="str">
        <f>INDEX('ei names mapping'!$B$305:$BL$335,MATCH(B460,'ei names mapping'!$A$4:$A$33,0),MATCH(G492,'ei names mapping'!$B$3:$BL$3,0))</f>
        <v>air::urban air close to ground</v>
      </c>
      <c r="F492" t="s">
        <v>167</v>
      </c>
      <c r="G492" t="s">
        <v>67</v>
      </c>
    </row>
    <row r="493" spans="1:8" x14ac:dyDescent="0.2">
      <c r="A493" t="str">
        <f>INDEX('ei names mapping'!$B$4:$BL$33,MATCH(B460,'ei names mapping'!$A$4:$A$33,0),MATCH(G493,'ei names mapping'!$B$3:$BL$3,0))</f>
        <v>Benzene</v>
      </c>
      <c r="B493" s="7">
        <f>INDEX('vehicles specifications'!$B$3:$CW$166,MATCH(B463,'vehicles specifications'!$A$3:$A$166,0),MATCH(G493,'vehicles specifications'!$B$2:$CW$2,0))*INDEX('ei names mapping'!$B$137:$BL$300,MATCH(B463,'ei names mapping'!$A$137:$A$300,0),MATCH(G493,'ei names mapping'!$B$136:$BL$136,0))</f>
        <v>4.9532464484317754E-5</v>
      </c>
      <c r="D493" t="str">
        <f>INDEX('ei names mapping'!$B$104:$BL$133,MATCH(B460,'ei names mapping'!$A$4:$A$33,0),MATCH(G493,'ei names mapping'!$B$3:$BL$3,0))</f>
        <v>kilogram</v>
      </c>
      <c r="E493" t="str">
        <f>INDEX('ei names mapping'!$B$305:$BL$335,MATCH(B460,'ei names mapping'!$A$4:$A$33,0),MATCH(G493,'ei names mapping'!$B$3:$BL$3,0))</f>
        <v>air::urban air close to ground</v>
      </c>
      <c r="F493" t="s">
        <v>167</v>
      </c>
      <c r="G493" t="s">
        <v>55</v>
      </c>
    </row>
    <row r="494" spans="1:8" x14ac:dyDescent="0.2">
      <c r="A494" t="str">
        <f>INDEX('ei names mapping'!$B$4:$BL$33,MATCH(B460,'ei names mapping'!$A$4:$A$33,0),MATCH(G494,'ei names mapping'!$B$3:$BL$3,0))</f>
        <v>Methane, fossil</v>
      </c>
      <c r="B494" s="7">
        <f>INDEX('vehicles specifications'!$B$3:$CW$166,MATCH(B463,'vehicles specifications'!$A$3:$A$166,0),MATCH(G494,'vehicles specifications'!$B$2:$CW$2,0))*INDEX('ei names mapping'!$B$137:$BL$300,MATCH(B463,'ei names mapping'!$A$137:$A$300,0),MATCH(G494,'ei names mapping'!$B$136:$BL$136,0))</f>
        <v>2.2459488481717305E-5</v>
      </c>
      <c r="D494" t="str">
        <f>INDEX('ei names mapping'!$B$104:$BL$133,MATCH(B460,'ei names mapping'!$A$4:$A$33,0),MATCH(G494,'ei names mapping'!$B$3:$BL$3,0))</f>
        <v>kilogram</v>
      </c>
      <c r="E494" t="str">
        <f>INDEX('ei names mapping'!$B$305:$BL$335,MATCH(B460,'ei names mapping'!$A$4:$A$33,0),MATCH(G494,'ei names mapping'!$B$3:$BL$3,0))</f>
        <v>air::urban air close to ground</v>
      </c>
      <c r="F494" t="s">
        <v>167</v>
      </c>
      <c r="G494" t="s">
        <v>56</v>
      </c>
    </row>
    <row r="495" spans="1:8" x14ac:dyDescent="0.2">
      <c r="A495" t="str">
        <f>INDEX('ei names mapping'!$B$4:$BL$33,MATCH(B460,'ei names mapping'!$A$4:$A$33,0),MATCH(G495,'ei names mapping'!$B$3:$BL$3,0))</f>
        <v>Carbon monoxide, fossil</v>
      </c>
      <c r="B495" s="7">
        <f>INDEX('vehicles specifications'!$B$3:$CW$166,MATCH(B463,'vehicles specifications'!$A$3:$A$166,0),MATCH(G495,'vehicles specifications'!$B$2:$CW$2,0))*INDEX('ei names mapping'!$B$137:$BL$300,MATCH(B463,'ei names mapping'!$A$137:$A$300,0),MATCH(G495,'ei names mapping'!$B$136:$BL$136,0))</f>
        <v>2.374862646864262E-3</v>
      </c>
      <c r="D495" t="str">
        <f>INDEX('ei names mapping'!$B$104:$BL$133,MATCH(B460,'ei names mapping'!$A$4:$A$33,0),MATCH(G495,'ei names mapping'!$B$3:$BL$3,0))</f>
        <v>kilogram</v>
      </c>
      <c r="E495" t="str">
        <f>INDEX('ei names mapping'!$B$305:$BL$335,MATCH(B460,'ei names mapping'!$A$4:$A$33,0),MATCH(G495,'ei names mapping'!$B$3:$BL$3,0))</f>
        <v>air::urban air close to ground</v>
      </c>
      <c r="F495" t="s">
        <v>167</v>
      </c>
      <c r="G495" t="s">
        <v>57</v>
      </c>
    </row>
    <row r="496" spans="1:8" x14ac:dyDescent="0.2">
      <c r="A496" t="str">
        <f>INDEX('ei names mapping'!$B$4:$BL$33,MATCH(B460,'ei names mapping'!$A$4:$A$33,0),MATCH(G496,'ei names mapping'!$B$3:$BL$3,0))</f>
        <v>Dinitrogen monoxide</v>
      </c>
      <c r="B496" s="7">
        <f>INDEX('vehicles specifications'!$B$3:$CW$166,MATCH(B463,'vehicles specifications'!$A$3:$A$166,0),MATCH(G496,'vehicles specifications'!$B$2:$CW$2,0))*INDEX('ei names mapping'!$B$137:$BL$300,MATCH(B463,'ei names mapping'!$A$137:$A$300,0),MATCH(G496,'ei names mapping'!$B$136:$BL$136,0))</f>
        <v>1.1394971325072205E-6</v>
      </c>
      <c r="D496" t="str">
        <f>INDEX('ei names mapping'!$B$104:$BL$133,MATCH(B460,'ei names mapping'!$A$4:$A$33,0),MATCH(G496,'ei names mapping'!$B$3:$BL$3,0))</f>
        <v>kilogram</v>
      </c>
      <c r="E496" t="str">
        <f>INDEX('ei names mapping'!$B$305:$BL$335,MATCH(B460,'ei names mapping'!$A$4:$A$33,0),MATCH(G496,'ei names mapping'!$B$3:$BL$3,0))</f>
        <v>air::urban air close to ground</v>
      </c>
      <c r="F496" t="s">
        <v>167</v>
      </c>
      <c r="G496" t="s">
        <v>58</v>
      </c>
    </row>
    <row r="497" spans="1:7" x14ac:dyDescent="0.2">
      <c r="A497" t="str">
        <f>INDEX('ei names mapping'!$B$4:$BL$33,MATCH(B460,'ei names mapping'!$A$4:$A$33,0),MATCH(G497,'ei names mapping'!$B$3:$BL$3,0))</f>
        <v>Ammonia</v>
      </c>
      <c r="B497" s="7">
        <f>INDEX('vehicles specifications'!$B$3:$CW$166,MATCH(B463,'vehicles specifications'!$A$3:$A$166,0),MATCH(G497,'vehicles specifications'!$B$2:$CW$2,0))*INDEX('ei names mapping'!$B$137:$BL$300,MATCH(B463,'ei names mapping'!$A$137:$A$300,0),MATCH(G497,'ei names mapping'!$B$136:$BL$136,0))</f>
        <v>1.1394971325072205E-6</v>
      </c>
      <c r="D497" t="str">
        <f>INDEX('ei names mapping'!$B$104:$BL$133,MATCH(B460,'ei names mapping'!$A$4:$A$33,0),MATCH(G497,'ei names mapping'!$B$3:$BL$3,0))</f>
        <v>kilogram</v>
      </c>
      <c r="E497" t="str">
        <f>INDEX('ei names mapping'!$B$305:$BL$335,MATCH(B460,'ei names mapping'!$A$4:$A$33,0),MATCH(G497,'ei names mapping'!$B$3:$BL$3,0))</f>
        <v>air::urban air close to ground</v>
      </c>
      <c r="F497" t="s">
        <v>167</v>
      </c>
      <c r="G497" t="s">
        <v>59</v>
      </c>
    </row>
    <row r="498" spans="1:7" x14ac:dyDescent="0.2">
      <c r="A498" t="str">
        <f>INDEX('ei names mapping'!$B$4:$BL$33,MATCH(B460,'ei names mapping'!$A$4:$A$33,0),MATCH(G498,'ei names mapping'!$B$3:$BL$3,0))</f>
        <v>Nitrogen oxides</v>
      </c>
      <c r="B498" s="7">
        <f>INDEX('vehicles specifications'!$B$3:$CW$166,MATCH(B463,'vehicles specifications'!$A$3:$A$166,0),MATCH(G498,'vehicles specifications'!$B$2:$CW$2,0))*INDEX('ei names mapping'!$B$137:$BL$300,MATCH(B463,'ei names mapping'!$A$137:$A$300,0),MATCH(G498,'ei names mapping'!$B$136:$BL$136,0))</f>
        <v>8.5451697710653811E-5</v>
      </c>
      <c r="D498" t="str">
        <f>INDEX('ei names mapping'!$B$104:$BL$133,MATCH(B460,'ei names mapping'!$A$4:$A$33,0),MATCH(G498,'ei names mapping'!$B$3:$BL$3,0))</f>
        <v>kilogram</v>
      </c>
      <c r="E498" t="str">
        <f>INDEX('ei names mapping'!$B$305:$BL$335,MATCH(B460,'ei names mapping'!$A$4:$A$33,0),MATCH(G498,'ei names mapping'!$B$3:$BL$3,0))</f>
        <v>air::urban air close to ground</v>
      </c>
      <c r="F498" t="s">
        <v>167</v>
      </c>
      <c r="G498" t="s">
        <v>60</v>
      </c>
    </row>
    <row r="499" spans="1:7" x14ac:dyDescent="0.2">
      <c r="A499" t="str">
        <f>INDEX('ei names mapping'!$B$4:$BL$33,MATCH(B460,'ei names mapping'!$A$4:$A$33,0),MATCH(G499,'ei names mapping'!$B$3:$BL$3,0))</f>
        <v>Particulates, &lt; 2.5 um</v>
      </c>
      <c r="B499" s="7">
        <f>INDEX('vehicles specifications'!$B$3:$CW$166,MATCH(B$463,'vehicles specifications'!$A$3:$A$166,0),MATCH(G499,'vehicles specifications'!$B$2:$CW$2,0))*INDEX('ei names mapping'!$B$137:$BL$300,MATCH(B$463,'ei names mapping'!$A$137:$A$300,0),MATCH(G499,'ei names mapping'!$B$136:$BL$136,0))</f>
        <v>6.5441320319889656E-6</v>
      </c>
      <c r="D499" t="str">
        <f>INDEX('ei names mapping'!$B$104:$BL$133,MATCH(B460,'ei names mapping'!$A$4:$A$33,0),MATCH(G499,'ei names mapping'!$B$3:$BL$3,0))</f>
        <v>kilogram</v>
      </c>
      <c r="E499" t="str">
        <f>INDEX('ei names mapping'!$B$305:$BL$335,MATCH(B460,'ei names mapping'!$A$4:$A$33,0),MATCH(G499,'ei names mapping'!$B$3:$BL$3,0))</f>
        <v>air::urban air close to ground</v>
      </c>
      <c r="F499" t="s">
        <v>167</v>
      </c>
      <c r="G499" t="s">
        <v>62</v>
      </c>
    </row>
    <row r="500" spans="1:7" x14ac:dyDescent="0.2">
      <c r="A500" t="str">
        <f>INDEX('ei names mapping'!$B$4:$BL$33,MATCH(B$229,'ei names mapping'!$A$4:$A$33,0),MATCH(G500,'ei names mapping'!$B$3:$BL$3,0))</f>
        <v>NMVOC, non-methane volatile organic compounds, unspecified origin</v>
      </c>
      <c r="B500" s="7">
        <f>INDEX('vehicles specifications'!$B$3:$CW$166,MATCH(B$463,'vehicles specifications'!$A$3:$A$166,0),MATCH(G500,'vehicles specifications'!$B$2:$CW$2,0))*INDEX('ei names mapping'!$B$137:$BL$300,MATCH(B$463,'ei names mapping'!$A$137:$A$300,0),MATCH(G500,'ei names mapping'!$B$136:$BL$136,0))</f>
        <v>3.9943826974519353E-4</v>
      </c>
      <c r="D500" t="str">
        <f>INDEX('ei names mapping'!$B$104:$BL$133,MATCH(B$229,'ei names mapping'!$A$4:$A$33,0),MATCH(G500,'ei names mapping'!$B$3:$BL$3,0))</f>
        <v>kilogram</v>
      </c>
      <c r="E500" t="str">
        <f>INDEX('ei names mapping'!$B$305:$BL$335,MATCH(B$229,'ei names mapping'!$A$4:$A$33,0),MATCH(G500,'ei names mapping'!$B$3:$BL$3,0))</f>
        <v>air::urban air close to ground</v>
      </c>
      <c r="F500" t="s">
        <v>167</v>
      </c>
      <c r="G500" t="s">
        <v>593</v>
      </c>
    </row>
    <row r="501" spans="1:7" x14ac:dyDescent="0.2">
      <c r="A501" t="str">
        <f>INDEX('ei names mapping'!$B$4:$BL$33,MATCH(B$229,'ei names mapping'!$A$4:$A$33,0),MATCH(G501,'ei names mapping'!$B$3:$BL$3,0))</f>
        <v>Ethane</v>
      </c>
      <c r="B501" s="7">
        <f>INDEX('vehicles specifications'!$B$3:$CW$166,MATCH(B$463,'vehicles specifications'!$A$3:$A$166,0),MATCH(G501,'vehicles specifications'!$B$2:$CW$2,0))*INDEX('ei names mapping'!$B$137:$BL$300,MATCH(B$463,'ei names mapping'!$A$137:$A$300,0),MATCH(G501,'ei names mapping'!$B$136:$BL$136,0))</f>
        <v>2.8165519020494411E-5</v>
      </c>
      <c r="D501" t="str">
        <f>INDEX('ei names mapping'!$B$104:$BL$133,MATCH(B$229,'ei names mapping'!$A$4:$A$33,0),MATCH(G501,'ei names mapping'!$B$3:$BL$3,0))</f>
        <v>kilogram</v>
      </c>
      <c r="E501" t="str">
        <f>INDEX('ei names mapping'!$B$305:$BL$335,MATCH(B$229,'ei names mapping'!$A$4:$A$33,0),MATCH(G501,'ei names mapping'!$B$3:$BL$3,0))</f>
        <v>air::urban air close to ground</v>
      </c>
      <c r="F501" t="s">
        <v>167</v>
      </c>
      <c r="G501" t="s">
        <v>541</v>
      </c>
    </row>
    <row r="502" spans="1:7" x14ac:dyDescent="0.2">
      <c r="A502" t="str">
        <f>INDEX('ei names mapping'!$B$4:$BL$33,MATCH(B$229,'ei names mapping'!$A$4:$A$33,0),MATCH(G502,'ei names mapping'!$B$3:$BL$3,0))</f>
        <v>Propane</v>
      </c>
      <c r="B502" s="7">
        <f>INDEX('vehicles specifications'!$B$3:$CW$166,MATCH(B$463,'vehicles specifications'!$A$3:$A$166,0),MATCH(G502,'vehicles specifications'!$B$2:$CW$2,0))*INDEX('ei names mapping'!$B$137:$BL$300,MATCH(B$463,'ei names mapping'!$A$137:$A$300,0),MATCH(G502,'ei names mapping'!$B$136:$BL$136,0))</f>
        <v>5.7390555997872623E-6</v>
      </c>
      <c r="D502" t="str">
        <f>INDEX('ei names mapping'!$B$104:$BL$133,MATCH(B$229,'ei names mapping'!$A$4:$A$33,0),MATCH(G502,'ei names mapping'!$B$3:$BL$3,0))</f>
        <v>kilogram</v>
      </c>
      <c r="E502" t="str">
        <f>INDEX('ei names mapping'!$B$305:$BL$335,MATCH(B$229,'ei names mapping'!$A$4:$A$33,0),MATCH(G502,'ei names mapping'!$B$3:$BL$3,0))</f>
        <v>air::urban air close to ground</v>
      </c>
      <c r="F502" t="s">
        <v>167</v>
      </c>
      <c r="G502" t="s">
        <v>542</v>
      </c>
    </row>
    <row r="503" spans="1:7" x14ac:dyDescent="0.2">
      <c r="A503" t="str">
        <f>INDEX('ei names mapping'!$B$4:$BL$33,MATCH(B$229,'ei names mapping'!$A$4:$A$33,0),MATCH(G503,'ei names mapping'!$B$3:$BL$3,0))</f>
        <v>Butane</v>
      </c>
      <c r="B503" s="7">
        <f>INDEX('vehicles specifications'!$B$3:$CW$166,MATCH(B$463,'vehicles specifications'!$A$3:$A$166,0),MATCH(G503,'vehicles specifications'!$B$2:$CW$2,0))*INDEX('ei names mapping'!$B$137:$BL$300,MATCH(B$463,'ei names mapping'!$A$137:$A$300,0),MATCH(G503,'ei names mapping'!$B$136:$BL$136,0))</f>
        <v>4.6265617450592708E-5</v>
      </c>
      <c r="D503" t="str">
        <f>INDEX('ei names mapping'!$B$104:$BL$133,MATCH(B$229,'ei names mapping'!$A$4:$A$33,0),MATCH(G503,'ei names mapping'!$B$3:$BL$3,0))</f>
        <v>kilogram</v>
      </c>
      <c r="E503" t="str">
        <f>INDEX('ei names mapping'!$B$305:$BL$335,MATCH(B$229,'ei names mapping'!$A$4:$A$33,0),MATCH(G503,'ei names mapping'!$B$3:$BL$3,0))</f>
        <v>air::urban air close to ground</v>
      </c>
      <c r="F503" t="s">
        <v>167</v>
      </c>
      <c r="G503" t="s">
        <v>543</v>
      </c>
    </row>
    <row r="504" spans="1:7" x14ac:dyDescent="0.2">
      <c r="A504" t="str">
        <f>INDEX('ei names mapping'!$B$4:$BL$33,MATCH(B$229,'ei names mapping'!$A$4:$A$33,0),MATCH(G504,'ei names mapping'!$B$3:$BL$3,0))</f>
        <v>Pentane</v>
      </c>
      <c r="B504" s="7">
        <f>INDEX('vehicles specifications'!$B$3:$CW$166,MATCH(B$463,'vehicles specifications'!$A$3:$A$166,0),MATCH(G504,'vehicles specifications'!$B$2:$CW$2,0))*INDEX('ei names mapping'!$B$137:$BL$300,MATCH(B$463,'ei names mapping'!$A$137:$A$300,0),MATCH(G504,'ei names mapping'!$B$136:$BL$136,0))</f>
        <v>1.898303006083479E-5</v>
      </c>
      <c r="D504" t="str">
        <f>INDEX('ei names mapping'!$B$104:$BL$133,MATCH(B$229,'ei names mapping'!$A$4:$A$33,0),MATCH(G504,'ei names mapping'!$B$3:$BL$3,0))</f>
        <v>kilogram</v>
      </c>
      <c r="E504" t="str">
        <f>INDEX('ei names mapping'!$B$305:$BL$335,MATCH(B$229,'ei names mapping'!$A$4:$A$33,0),MATCH(G504,'ei names mapping'!$B$3:$BL$3,0))</f>
        <v>air::urban air close to ground</v>
      </c>
      <c r="F504" t="s">
        <v>167</v>
      </c>
      <c r="G504" t="s">
        <v>544</v>
      </c>
    </row>
    <row r="505" spans="1:7" x14ac:dyDescent="0.2">
      <c r="A505" t="str">
        <f>INDEX('ei names mapping'!$B$4:$BL$33,MATCH(B$229,'ei names mapping'!$A$4:$A$33,0),MATCH(G505,'ei names mapping'!$B$3:$BL$3,0))</f>
        <v>Hexane</v>
      </c>
      <c r="B505" s="7">
        <f>INDEX('vehicles specifications'!$B$3:$CW$166,MATCH(B$463,'vehicles specifications'!$A$3:$A$166,0),MATCH(G505,'vehicles specifications'!$B$2:$CW$2,0))*INDEX('ei names mapping'!$B$137:$BL$300,MATCH(B$463,'ei names mapping'!$A$137:$A$300,0),MATCH(G505,'ei names mapping'!$B$136:$BL$136,0))</f>
        <v>1.4215199254857682E-5</v>
      </c>
      <c r="D505" t="str">
        <f>INDEX('ei names mapping'!$B$104:$BL$133,MATCH(B$229,'ei names mapping'!$A$4:$A$33,0),MATCH(G505,'ei names mapping'!$B$3:$BL$3,0))</f>
        <v>kilogram</v>
      </c>
      <c r="E505" t="str">
        <f>INDEX('ei names mapping'!$B$305:$BL$335,MATCH(B$229,'ei names mapping'!$A$4:$A$33,0),MATCH(G505,'ei names mapping'!$B$3:$BL$3,0))</f>
        <v>air::urban air close to ground</v>
      </c>
      <c r="F505" t="s">
        <v>167</v>
      </c>
      <c r="G505" t="s">
        <v>545</v>
      </c>
    </row>
    <row r="506" spans="1:7" x14ac:dyDescent="0.2">
      <c r="A506" t="str">
        <f>INDEX('ei names mapping'!$B$4:$BL$33,MATCH(B$229,'ei names mapping'!$A$4:$A$33,0),MATCH(G506,'ei names mapping'!$B$3:$BL$3,0))</f>
        <v>Cyclohexane</v>
      </c>
      <c r="B506" s="7">
        <f>INDEX('vehicles specifications'!$B$3:$CW$166,MATCH(B$463,'vehicles specifications'!$A$3:$A$166,0),MATCH(G506,'vehicles specifications'!$B$2:$CW$2,0))*INDEX('ei names mapping'!$B$137:$BL$300,MATCH(B$463,'ei names mapping'!$A$137:$A$300,0),MATCH(G506,'ei names mapping'!$B$136:$BL$136,0))</f>
        <v>1.0065420590396123E-5</v>
      </c>
      <c r="D506" t="str">
        <f>INDEX('ei names mapping'!$B$104:$BL$133,MATCH(B$229,'ei names mapping'!$A$4:$A$33,0),MATCH(G506,'ei names mapping'!$B$3:$BL$3,0))</f>
        <v>kilogram</v>
      </c>
      <c r="E506" t="str">
        <f>INDEX('ei names mapping'!$B$305:$BL$335,MATCH(B$229,'ei names mapping'!$A$4:$A$33,0),MATCH(G506,'ei names mapping'!$B$3:$BL$3,0))</f>
        <v>air::urban air close to ground</v>
      </c>
      <c r="F506" t="s">
        <v>167</v>
      </c>
      <c r="G506" t="s">
        <v>546</v>
      </c>
    </row>
    <row r="507" spans="1:7" x14ac:dyDescent="0.2">
      <c r="A507" t="str">
        <f>INDEX('ei names mapping'!$B$4:$BL$33,MATCH(B$229,'ei names mapping'!$A$4:$A$33,0),MATCH(G507,'ei names mapping'!$B$3:$BL$3,0))</f>
        <v>Heptane</v>
      </c>
      <c r="B507" s="7">
        <f>INDEX('vehicles specifications'!$B$3:$CW$166,MATCH(B$463,'vehicles specifications'!$A$3:$A$166,0),MATCH(G507,'vehicles specifications'!$B$2:$CW$2,0))*INDEX('ei names mapping'!$B$137:$BL$300,MATCH(B$463,'ei names mapping'!$A$137:$A$300,0),MATCH(G507,'ei names mapping'!$B$136:$BL$136,0))</f>
        <v>6.5336940674501146E-6</v>
      </c>
      <c r="D507" t="str">
        <f>INDEX('ei names mapping'!$B$104:$BL$133,MATCH(B$229,'ei names mapping'!$A$4:$A$33,0),MATCH(G507,'ei names mapping'!$B$3:$BL$3,0))</f>
        <v>kilogram</v>
      </c>
      <c r="E507" t="str">
        <f>INDEX('ei names mapping'!$B$305:$BL$335,MATCH(B$229,'ei names mapping'!$A$4:$A$33,0),MATCH(G507,'ei names mapping'!$B$3:$BL$3,0))</f>
        <v>air::urban air close to ground</v>
      </c>
      <c r="F507" t="s">
        <v>167</v>
      </c>
      <c r="G507" t="s">
        <v>547</v>
      </c>
    </row>
    <row r="508" spans="1:7" x14ac:dyDescent="0.2">
      <c r="A508" t="str">
        <f>INDEX('ei names mapping'!$B$4:$BL$33,MATCH(B$229,'ei names mapping'!$A$4:$A$33,0),MATCH(G508,'ei names mapping'!$B$3:$BL$3,0))</f>
        <v>Ethene</v>
      </c>
      <c r="B508" s="7">
        <f>INDEX('vehicles specifications'!$B$3:$CW$166,MATCH(B$463,'vehicles specifications'!$A$3:$A$166,0),MATCH(G508,'vehicles specifications'!$B$2:$CW$2,0))*INDEX('ei names mapping'!$B$137:$BL$300,MATCH(B$463,'ei names mapping'!$A$137:$A$300,0),MATCH(G508,'ei names mapping'!$B$136:$BL$136,0))</f>
        <v>6.4454009043764642E-5</v>
      </c>
      <c r="D508" t="str">
        <f>INDEX('ei names mapping'!$B$104:$BL$133,MATCH(B$229,'ei names mapping'!$A$4:$A$33,0),MATCH(G508,'ei names mapping'!$B$3:$BL$3,0))</f>
        <v>kilogram</v>
      </c>
      <c r="E508" t="str">
        <f>INDEX('ei names mapping'!$B$305:$BL$335,MATCH(B$229,'ei names mapping'!$A$4:$A$33,0),MATCH(G508,'ei names mapping'!$B$3:$BL$3,0))</f>
        <v>air::urban air close to ground</v>
      </c>
      <c r="F508" t="s">
        <v>167</v>
      </c>
      <c r="G508" t="s">
        <v>548</v>
      </c>
    </row>
    <row r="509" spans="1:7" x14ac:dyDescent="0.2">
      <c r="A509" t="str">
        <f>INDEX('ei names mapping'!$B$4:$BL$33,MATCH(B$229,'ei names mapping'!$A$4:$A$33,0),MATCH(G509,'ei names mapping'!$B$3:$BL$3,0))</f>
        <v>Propene</v>
      </c>
      <c r="B509" s="7">
        <f>INDEX('vehicles specifications'!$B$3:$CW$166,MATCH(B$463,'vehicles specifications'!$A$3:$A$166,0),MATCH(G509,'vehicles specifications'!$B$2:$CW$2,0))*INDEX('ei names mapping'!$B$137:$BL$300,MATCH(B$463,'ei names mapping'!$A$137:$A$300,0),MATCH(G509,'ei names mapping'!$B$136:$BL$136,0))</f>
        <v>3.3727988294134373E-5</v>
      </c>
      <c r="D509" t="str">
        <f>INDEX('ei names mapping'!$B$104:$BL$133,MATCH(B$229,'ei names mapping'!$A$4:$A$33,0),MATCH(G509,'ei names mapping'!$B$3:$BL$3,0))</f>
        <v>kilogram</v>
      </c>
      <c r="E509" t="str">
        <f>INDEX('ei names mapping'!$B$305:$BL$335,MATCH(B$229,'ei names mapping'!$A$4:$A$33,0),MATCH(G509,'ei names mapping'!$B$3:$BL$3,0))</f>
        <v>air::urban air close to ground</v>
      </c>
      <c r="F509" t="s">
        <v>167</v>
      </c>
      <c r="G509" t="s">
        <v>549</v>
      </c>
    </row>
    <row r="510" spans="1:7" x14ac:dyDescent="0.2">
      <c r="A510" t="str">
        <f>INDEX('ei names mapping'!$B$4:$BL$33,MATCH(B$229,'ei names mapping'!$A$4:$A$33,0),MATCH(G510,'ei names mapping'!$B$3:$BL$3,0))</f>
        <v>1-Pentene</v>
      </c>
      <c r="B510" s="7">
        <f>INDEX('vehicles specifications'!$B$3:$CW$166,MATCH(B$463,'vehicles specifications'!$A$3:$A$166,0),MATCH(G510,'vehicles specifications'!$B$2:$CW$2,0))*INDEX('ei names mapping'!$B$137:$BL$300,MATCH(B$463,'ei names mapping'!$A$137:$A$300,0),MATCH(G510,'ei names mapping'!$B$136:$BL$136,0))</f>
        <v>9.7122479381015224E-7</v>
      </c>
      <c r="D510" t="str">
        <f>INDEX('ei names mapping'!$B$104:$BL$133,MATCH(B$229,'ei names mapping'!$A$4:$A$33,0),MATCH(G510,'ei names mapping'!$B$3:$BL$3,0))</f>
        <v>kilogram</v>
      </c>
      <c r="E510" t="str">
        <f>INDEX('ei names mapping'!$B$305:$BL$335,MATCH(B$229,'ei names mapping'!$A$4:$A$33,0),MATCH(G510,'ei names mapping'!$B$3:$BL$3,0))</f>
        <v>air::urban air close to ground</v>
      </c>
      <c r="F510" t="s">
        <v>167</v>
      </c>
      <c r="G510" t="s">
        <v>550</v>
      </c>
    </row>
    <row r="511" spans="1:7" x14ac:dyDescent="0.2">
      <c r="A511" t="str">
        <f>INDEX('ei names mapping'!$B$4:$BL$33,MATCH(B$229,'ei names mapping'!$A$4:$A$33,0),MATCH(G511,'ei names mapping'!$B$3:$BL$3,0))</f>
        <v>Toluene</v>
      </c>
      <c r="B511" s="7">
        <f>INDEX('vehicles specifications'!$B$3:$CW$166,MATCH(B$463,'vehicles specifications'!$A$3:$A$166,0),MATCH(G511,'vehicles specifications'!$B$2:$CW$2,0))*INDEX('ei names mapping'!$B$137:$BL$300,MATCH(B$463,'ei names mapping'!$A$137:$A$300,0),MATCH(G511,'ei names mapping'!$B$136:$BL$136,0))</f>
        <v>9.6945893054867918E-5</v>
      </c>
      <c r="D511" t="str">
        <f>INDEX('ei names mapping'!$B$104:$BL$133,MATCH(B$229,'ei names mapping'!$A$4:$A$33,0),MATCH(G511,'ei names mapping'!$B$3:$BL$3,0))</f>
        <v>kilogram</v>
      </c>
      <c r="E511" t="str">
        <f>INDEX('ei names mapping'!$B$305:$BL$335,MATCH(B$229,'ei names mapping'!$A$4:$A$33,0),MATCH(G511,'ei names mapping'!$B$3:$BL$3,0))</f>
        <v>air::urban air close to ground</v>
      </c>
      <c r="F511" t="s">
        <v>167</v>
      </c>
      <c r="G511" t="s">
        <v>551</v>
      </c>
    </row>
    <row r="512" spans="1:7" x14ac:dyDescent="0.2">
      <c r="A512" t="str">
        <f>INDEX('ei names mapping'!$B$4:$BL$33,MATCH(B$229,'ei names mapping'!$A$4:$A$33,0),MATCH(G512,'ei names mapping'!$B$3:$BL$3,0))</f>
        <v>m-Xylene</v>
      </c>
      <c r="B512" s="7">
        <f>INDEX('vehicles specifications'!$B$3:$CW$166,MATCH(B$463,'vehicles specifications'!$A$3:$A$166,0),MATCH(G512,'vehicles specifications'!$B$2:$CW$2,0))*INDEX('ei names mapping'!$B$137:$BL$300,MATCH(B$463,'ei names mapping'!$A$137:$A$300,0),MATCH(G512,'ei names mapping'!$B$136:$BL$136,0))</f>
        <v>4.7943187548992062E-5</v>
      </c>
      <c r="D512" t="str">
        <f>INDEX('ei names mapping'!$B$104:$BL$133,MATCH(B$229,'ei names mapping'!$A$4:$A$33,0),MATCH(G512,'ei names mapping'!$B$3:$BL$3,0))</f>
        <v>kilogram</v>
      </c>
      <c r="E512" t="str">
        <f>INDEX('ei names mapping'!$B$305:$BL$335,MATCH(B$229,'ei names mapping'!$A$4:$A$33,0),MATCH(G512,'ei names mapping'!$B$3:$BL$3,0))</f>
        <v>air::urban air close to ground</v>
      </c>
      <c r="F512" t="s">
        <v>167</v>
      </c>
      <c r="G512" t="s">
        <v>552</v>
      </c>
    </row>
    <row r="513" spans="1:7" x14ac:dyDescent="0.2">
      <c r="A513" t="str">
        <f>INDEX('ei names mapping'!$B$4:$BL$33,MATCH(B$229,'ei names mapping'!$A$4:$A$33,0),MATCH(G513,'ei names mapping'!$B$3:$BL$3,0))</f>
        <v>o-Xylene</v>
      </c>
      <c r="B513" s="7">
        <f>INDEX('vehicles specifications'!$B$3:$CW$166,MATCH(B$463,'vehicles specifications'!$A$3:$A$166,0),MATCH(G513,'vehicles specifications'!$B$2:$CW$2,0))*INDEX('ei names mapping'!$B$137:$BL$300,MATCH(B$463,'ei names mapping'!$A$137:$A$300,0),MATCH(G513,'ei names mapping'!$B$136:$BL$136,0))</f>
        <v>1.9954254854644945E-5</v>
      </c>
      <c r="D513" t="str">
        <f>INDEX('ei names mapping'!$B$104:$BL$133,MATCH(B$229,'ei names mapping'!$A$4:$A$33,0),MATCH(G513,'ei names mapping'!$B$3:$BL$3,0))</f>
        <v>kilogram</v>
      </c>
      <c r="E513" t="str">
        <f>INDEX('ei names mapping'!$B$305:$BL$335,MATCH(B$229,'ei names mapping'!$A$4:$A$33,0),MATCH(G513,'ei names mapping'!$B$3:$BL$3,0))</f>
        <v>air::urban air close to ground</v>
      </c>
      <c r="F513" t="s">
        <v>167</v>
      </c>
      <c r="G513" t="s">
        <v>553</v>
      </c>
    </row>
    <row r="514" spans="1:7" x14ac:dyDescent="0.2">
      <c r="A514" t="str">
        <f>INDEX('ei names mapping'!$B$4:$BL$33,MATCH(B$229,'ei names mapping'!$A$4:$A$33,0),MATCH(G514,'ei names mapping'!$B$3:$BL$3,0))</f>
        <v>Formaldehyde</v>
      </c>
      <c r="B514" s="7">
        <f>INDEX('vehicles specifications'!$B$3:$CW$166,MATCH(B$463,'vehicles specifications'!$A$3:$A$166,0),MATCH(G514,'vehicles specifications'!$B$2:$CW$2,0))*INDEX('ei names mapping'!$B$137:$BL$300,MATCH(B$463,'ei names mapping'!$A$137:$A$300,0),MATCH(G514,'ei names mapping'!$B$136:$BL$136,0))</f>
        <v>1.5009837722520535E-5</v>
      </c>
      <c r="D514" t="str">
        <f>INDEX('ei names mapping'!$B$104:$BL$133,MATCH(B$229,'ei names mapping'!$A$4:$A$33,0),MATCH(G514,'ei names mapping'!$B$3:$BL$3,0))</f>
        <v>kilogram</v>
      </c>
      <c r="E514" t="str">
        <f>INDEX('ei names mapping'!$B$305:$BL$335,MATCH(B$229,'ei names mapping'!$A$4:$A$33,0),MATCH(G514,'ei names mapping'!$B$3:$BL$3,0))</f>
        <v>air::urban air close to ground</v>
      </c>
      <c r="F514" t="s">
        <v>167</v>
      </c>
      <c r="G514" t="s">
        <v>554</v>
      </c>
    </row>
    <row r="515" spans="1:7" x14ac:dyDescent="0.2">
      <c r="A515" t="str">
        <f>INDEX('ei names mapping'!$B$4:$BL$33,MATCH(B$229,'ei names mapping'!$A$4:$A$33,0),MATCH(G515,'ei names mapping'!$B$3:$BL$3,0))</f>
        <v>Acetaldehyde</v>
      </c>
      <c r="B515" s="7">
        <f>INDEX('vehicles specifications'!$B$3:$CW$166,MATCH(B$463,'vehicles specifications'!$A$3:$A$166,0),MATCH(G515,'vehicles specifications'!$B$2:$CW$2,0))*INDEX('ei names mapping'!$B$137:$BL$300,MATCH(B$463,'ei names mapping'!$A$137:$A$300,0),MATCH(G515,'ei names mapping'!$B$136:$BL$136,0))</f>
        <v>6.6219872305237644E-6</v>
      </c>
      <c r="D515" t="str">
        <f>INDEX('ei names mapping'!$B$104:$BL$133,MATCH(B$229,'ei names mapping'!$A$4:$A$33,0),MATCH(G515,'ei names mapping'!$B$3:$BL$3,0))</f>
        <v>kilogram</v>
      </c>
      <c r="E515" t="str">
        <f>INDEX('ei names mapping'!$B$305:$BL$335,MATCH(B$229,'ei names mapping'!$A$4:$A$33,0),MATCH(G515,'ei names mapping'!$B$3:$BL$3,0))</f>
        <v>air::urban air close to ground</v>
      </c>
      <c r="F515" t="s">
        <v>167</v>
      </c>
      <c r="G515" t="s">
        <v>555</v>
      </c>
    </row>
    <row r="516" spans="1:7" x14ac:dyDescent="0.2">
      <c r="A516" t="str">
        <f>INDEX('ei names mapping'!$B$4:$BL$33,MATCH(B$229,'ei names mapping'!$A$4:$A$33,0),MATCH(G516,'ei names mapping'!$B$3:$BL$3,0))</f>
        <v>Benzaldehyde</v>
      </c>
      <c r="B516" s="7">
        <f>INDEX('vehicles specifications'!$B$3:$CW$166,MATCH(B$463,'vehicles specifications'!$A$3:$A$166,0),MATCH(G516,'vehicles specifications'!$B$2:$CW$2,0))*INDEX('ei names mapping'!$B$137:$BL$300,MATCH(B$463,'ei names mapping'!$A$137:$A$300,0),MATCH(G516,'ei names mapping'!$B$136:$BL$136,0))</f>
        <v>1.9424495876203045E-6</v>
      </c>
      <c r="D516" t="str">
        <f>INDEX('ei names mapping'!$B$104:$BL$133,MATCH(B$229,'ei names mapping'!$A$4:$A$33,0),MATCH(G516,'ei names mapping'!$B$3:$BL$3,0))</f>
        <v>kilogram</v>
      </c>
      <c r="E516" t="str">
        <f>INDEX('ei names mapping'!$B$305:$BL$335,MATCH(B$229,'ei names mapping'!$A$4:$A$33,0),MATCH(G516,'ei names mapping'!$B$3:$BL$3,0))</f>
        <v>air::urban air close to ground</v>
      </c>
      <c r="F516" t="s">
        <v>167</v>
      </c>
      <c r="G516" t="s">
        <v>556</v>
      </c>
    </row>
    <row r="517" spans="1:7" x14ac:dyDescent="0.2">
      <c r="A517" t="str">
        <f>INDEX('ei names mapping'!$B$4:$BL$33,MATCH(B$229,'ei names mapping'!$A$4:$A$33,0),MATCH(G517,'ei names mapping'!$B$3:$BL$3,0))</f>
        <v>Acetone</v>
      </c>
      <c r="B517" s="7">
        <f>INDEX('vehicles specifications'!$B$3:$CW$166,MATCH(B$463,'vehicles specifications'!$A$3:$A$166,0),MATCH(G517,'vehicles specifications'!$B$2:$CW$2,0))*INDEX('ei names mapping'!$B$137:$BL$300,MATCH(B$463,'ei names mapping'!$A$137:$A$300,0),MATCH(G517,'ei names mapping'!$B$136:$BL$136,0))</f>
        <v>5.3858829474926628E-6</v>
      </c>
      <c r="D517" t="str">
        <f>INDEX('ei names mapping'!$B$104:$BL$133,MATCH(B$229,'ei names mapping'!$A$4:$A$33,0),MATCH(G517,'ei names mapping'!$B$3:$BL$3,0))</f>
        <v>kilogram</v>
      </c>
      <c r="E517" t="str">
        <f>INDEX('ei names mapping'!$B$305:$BL$335,MATCH(B$229,'ei names mapping'!$A$4:$A$33,0),MATCH(G517,'ei names mapping'!$B$3:$BL$3,0))</f>
        <v>air::urban air close to ground</v>
      </c>
      <c r="F517" t="s">
        <v>167</v>
      </c>
      <c r="G517" t="s">
        <v>557</v>
      </c>
    </row>
    <row r="518" spans="1:7" x14ac:dyDescent="0.2">
      <c r="A518" t="str">
        <f>INDEX('ei names mapping'!$B$4:$BL$33,MATCH(B$229,'ei names mapping'!$A$4:$A$33,0),MATCH(G518,'ei names mapping'!$B$3:$BL$3,0))</f>
        <v>Methyl ethyl ketone</v>
      </c>
      <c r="B518" s="7">
        <f>INDEX('vehicles specifications'!$B$3:$CW$166,MATCH(B$463,'vehicles specifications'!$A$3:$A$166,0),MATCH(G518,'vehicles specifications'!$B$2:$CW$2,0))*INDEX('ei names mapping'!$B$137:$BL$300,MATCH(B$463,'ei names mapping'!$A$137:$A$300,0),MATCH(G518,'ei names mapping'!$B$136:$BL$136,0))</f>
        <v>0</v>
      </c>
      <c r="D518" t="str">
        <f>INDEX('ei names mapping'!$B$104:$BL$133,MATCH(B$229,'ei names mapping'!$A$4:$A$33,0),MATCH(G518,'ei names mapping'!$B$3:$BL$3,0))</f>
        <v>kilogram</v>
      </c>
      <c r="E518" t="str">
        <f>INDEX('ei names mapping'!$B$305:$BL$335,MATCH(B$229,'ei names mapping'!$A$4:$A$33,0),MATCH(G518,'ei names mapping'!$B$3:$BL$3,0))</f>
        <v>air::urban air close to ground</v>
      </c>
      <c r="F518" t="s">
        <v>167</v>
      </c>
      <c r="G518" t="s">
        <v>560</v>
      </c>
    </row>
    <row r="519" spans="1:7" x14ac:dyDescent="0.2">
      <c r="A519" t="str">
        <f>INDEX('ei names mapping'!$B$4:$BL$33,MATCH(B$229,'ei names mapping'!$A$4:$A$33,0),MATCH(G519,'ei names mapping'!$B$3:$BL$3,0))</f>
        <v>Acrolein</v>
      </c>
      <c r="B519" s="7">
        <f>INDEX('vehicles specifications'!$B$3:$CW$166,MATCH(B$463,'vehicles specifications'!$A$3:$A$166,0),MATCH(G519,'vehicles specifications'!$B$2:$CW$2,0))*INDEX('ei names mapping'!$B$137:$BL$300,MATCH(B$463,'ei names mapping'!$A$137:$A$300,0),MATCH(G519,'ei names mapping'!$B$136:$BL$136,0))</f>
        <v>1.6775700983993538E-6</v>
      </c>
      <c r="D519" t="str">
        <f>INDEX('ei names mapping'!$B$104:$BL$133,MATCH(B$229,'ei names mapping'!$A$4:$A$33,0),MATCH(G519,'ei names mapping'!$B$3:$BL$3,0))</f>
        <v>kilogram</v>
      </c>
      <c r="E519" t="str">
        <f>INDEX('ei names mapping'!$B$305:$BL$335,MATCH(B$229,'ei names mapping'!$A$4:$A$33,0),MATCH(G519,'ei names mapping'!$B$3:$BL$3,0))</f>
        <v>air::urban air close to ground</v>
      </c>
      <c r="F519" t="s">
        <v>167</v>
      </c>
      <c r="G519" t="s">
        <v>558</v>
      </c>
    </row>
    <row r="520" spans="1:7" x14ac:dyDescent="0.2">
      <c r="A520" t="str">
        <f>INDEX('ei names mapping'!$B$4:$BL$33,MATCH(B$229,'ei names mapping'!$A$4:$A$33,0),MATCH(G520,'ei names mapping'!$B$3:$BL$3,0))</f>
        <v>Styrene</v>
      </c>
      <c r="B520" s="7">
        <f>INDEX('vehicles specifications'!$B$3:$CW$166,MATCH(B$463,'vehicles specifications'!$A$3:$A$166,0),MATCH(G520,'vehicles specifications'!$B$2:$CW$2,0))*INDEX('ei names mapping'!$B$137:$BL$300,MATCH(B$463,'ei names mapping'!$A$137:$A$300,0),MATCH(G520,'ei names mapping'!$B$136:$BL$136,0))</f>
        <v>8.9176094704386688E-6</v>
      </c>
      <c r="D520" t="str">
        <f>INDEX('ei names mapping'!$B$104:$BL$133,MATCH(B$229,'ei names mapping'!$A$4:$A$33,0),MATCH(G520,'ei names mapping'!$B$3:$BL$3,0))</f>
        <v>kilogram</v>
      </c>
      <c r="E520" t="str">
        <f>INDEX('ei names mapping'!$B$305:$BL$335,MATCH(B$229,'ei names mapping'!$A$4:$A$33,0),MATCH(G520,'ei names mapping'!$B$3:$BL$3,0))</f>
        <v>air::urban air close to ground</v>
      </c>
      <c r="F520" t="s">
        <v>167</v>
      </c>
      <c r="G520" t="s">
        <v>559</v>
      </c>
    </row>
    <row r="521" spans="1:7" x14ac:dyDescent="0.2">
      <c r="A521" t="str">
        <f>INDEX('ei names mapping'!$B$4:$BL$33,MATCH(B$229,'ei names mapping'!$A$4:$A$33,0),MATCH(G521,'ei names mapping'!$B$3:$BL$3,0))</f>
        <v>PAH, polycyclic aromatic hydrocarbons</v>
      </c>
      <c r="B521" s="7">
        <f>INDEX('vehicles specifications'!$B$3:$CW$166,MATCH(B$463,'vehicles specifications'!$A$3:$A$166,0),MATCH(G521,'vehicles specifications'!$B$2:$CW$2,0))*INDEX('ei names mapping'!$B$137:$BL$300,MATCH(B$463,'ei names mapping'!$A$137:$A$300,0),MATCH(G521,'ei names mapping'!$B$136:$BL$136,0))</f>
        <v>6.6705421598802242E-10</v>
      </c>
      <c r="D521" t="str">
        <f>INDEX('ei names mapping'!$B$104:$BL$133,MATCH(B$229,'ei names mapping'!$A$4:$A$33,0),MATCH(G521,'ei names mapping'!$B$3:$BL$3,0))</f>
        <v>kilogram</v>
      </c>
      <c r="E521" t="str">
        <f>INDEX('ei names mapping'!$B$305:$BL$335,MATCH(B$229,'ei names mapping'!$A$4:$A$33,0),MATCH(G521,'ei names mapping'!$B$3:$BL$3,0))</f>
        <v>air::urban air close to ground</v>
      </c>
      <c r="F521" t="s">
        <v>167</v>
      </c>
      <c r="G521" t="s">
        <v>561</v>
      </c>
    </row>
    <row r="522" spans="1:7" x14ac:dyDescent="0.2">
      <c r="A522" t="str">
        <f>INDEX('ei names mapping'!$B$4:$BL$33,MATCH(B$229,'ei names mapping'!$A$4:$A$33,0),MATCH(G522,'ei names mapping'!$B$3:$BL$3,0))</f>
        <v>Arsenic</v>
      </c>
      <c r="B522" s="7">
        <f>INDEX('vehicles specifications'!$B$3:$CW$166,MATCH(B$463,'vehicles specifications'!$A$3:$A$166,0),MATCH(G522,'vehicles specifications'!$B$2:$CW$2,0))*INDEX('ei names mapping'!$B$137:$BL$300,MATCH(B$463,'ei names mapping'!$A$137:$A$300,0),MATCH(G522,'ei names mapping'!$B$136:$BL$136,0))</f>
        <v>5.7504673792070894E-12</v>
      </c>
      <c r="D522" t="str">
        <f>INDEX('ei names mapping'!$B$104:$BL$133,MATCH(B$229,'ei names mapping'!$A$4:$A$33,0),MATCH(G522,'ei names mapping'!$B$3:$BL$3,0))</f>
        <v>kilogram</v>
      </c>
      <c r="E522" t="str">
        <f>INDEX('ei names mapping'!$B$305:$BL$335,MATCH(B$229,'ei names mapping'!$A$4:$A$33,0),MATCH(G522,'ei names mapping'!$B$3:$BL$3,0))</f>
        <v>air::urban air close to ground</v>
      </c>
      <c r="F522" t="s">
        <v>167</v>
      </c>
      <c r="G522" t="s">
        <v>562</v>
      </c>
    </row>
    <row r="523" spans="1:7" x14ac:dyDescent="0.2">
      <c r="A523" t="str">
        <f>INDEX('ei names mapping'!$B$4:$BL$33,MATCH(B$229,'ei names mapping'!$A$4:$A$33,0),MATCH(G523,'ei names mapping'!$B$3:$BL$3,0))</f>
        <v>Selenium</v>
      </c>
      <c r="B523" s="7">
        <f>INDEX('vehicles specifications'!$B$3:$CW$166,MATCH(B$463,'vehicles specifications'!$A$3:$A$166,0),MATCH(G523,'vehicles specifications'!$B$2:$CW$2,0))*INDEX('ei names mapping'!$B$137:$BL$300,MATCH(B$463,'ei names mapping'!$A$137:$A$300,0),MATCH(G523,'ei names mapping'!$B$136:$BL$136,0))</f>
        <v>3.8336449194713932E-12</v>
      </c>
      <c r="D523" t="str">
        <f>INDEX('ei names mapping'!$B$104:$BL$133,MATCH(B$229,'ei names mapping'!$A$4:$A$33,0),MATCH(G523,'ei names mapping'!$B$3:$BL$3,0))</f>
        <v>kilogram</v>
      </c>
      <c r="E523" t="str">
        <f>INDEX('ei names mapping'!$B$305:$BL$335,MATCH(B$229,'ei names mapping'!$A$4:$A$33,0),MATCH(G523,'ei names mapping'!$B$3:$BL$3,0))</f>
        <v>air::urban air close to ground</v>
      </c>
      <c r="F523" t="s">
        <v>167</v>
      </c>
      <c r="G523" t="s">
        <v>563</v>
      </c>
    </row>
    <row r="524" spans="1:7" x14ac:dyDescent="0.2">
      <c r="A524" t="str">
        <f>INDEX('ei names mapping'!$B$4:$BL$33,MATCH(B$229,'ei names mapping'!$A$4:$A$33,0),MATCH(G524,'ei names mapping'!$B$3:$BL$3,0))</f>
        <v>Zinc</v>
      </c>
      <c r="B524" s="7">
        <f>INDEX('vehicles specifications'!$B$3:$CW$166,MATCH(B$463,'vehicles specifications'!$A$3:$A$166,0),MATCH(G524,'vehicles specifications'!$B$2:$CW$2,0))*INDEX('ei names mapping'!$B$137:$BL$300,MATCH(B$463,'ei names mapping'!$A$137:$A$300,0),MATCH(G524,'ei names mapping'!$B$136:$BL$136,0))</f>
        <v>4.1403365130291049E-8</v>
      </c>
      <c r="D524" t="str">
        <f>INDEX('ei names mapping'!$B$104:$BL$133,MATCH(B$229,'ei names mapping'!$A$4:$A$33,0),MATCH(G524,'ei names mapping'!$B$3:$BL$3,0))</f>
        <v>kilogram</v>
      </c>
      <c r="E524" t="str">
        <f>INDEX('ei names mapping'!$B$305:$BL$335,MATCH(B$229,'ei names mapping'!$A$4:$A$33,0),MATCH(G524,'ei names mapping'!$B$3:$BL$3,0))</f>
        <v>air::urban air close to ground</v>
      </c>
      <c r="F524" t="s">
        <v>167</v>
      </c>
      <c r="G524" t="s">
        <v>564</v>
      </c>
    </row>
    <row r="525" spans="1:7" x14ac:dyDescent="0.2">
      <c r="A525" t="str">
        <f>INDEX('ei names mapping'!$B$4:$BL$33,MATCH(B$229,'ei names mapping'!$A$4:$A$33,0),MATCH(G525,'ei names mapping'!$B$3:$BL$3,0))</f>
        <v>Copper</v>
      </c>
      <c r="B525" s="7">
        <f>INDEX('vehicles specifications'!$B$3:$CW$166,MATCH(B$463,'vehicles specifications'!$A$3:$A$166,0),MATCH(G525,'vehicles specifications'!$B$2:$CW$2,0))*INDEX('ei names mapping'!$B$137:$BL$300,MATCH(B$463,'ei names mapping'!$A$137:$A$300,0),MATCH(G525,'ei names mapping'!$B$136:$BL$136,0))</f>
        <v>8.0506543308899247E-10</v>
      </c>
      <c r="D525" t="str">
        <f>INDEX('ei names mapping'!$B$104:$BL$133,MATCH(B$229,'ei names mapping'!$A$4:$A$33,0),MATCH(G525,'ei names mapping'!$B$3:$BL$3,0))</f>
        <v>kilogram</v>
      </c>
      <c r="E525" t="str">
        <f>INDEX('ei names mapping'!$B$305:$BL$335,MATCH(B$229,'ei names mapping'!$A$4:$A$33,0),MATCH(G525,'ei names mapping'!$B$3:$BL$3,0))</f>
        <v>air::urban air close to ground</v>
      </c>
      <c r="F525" t="s">
        <v>167</v>
      </c>
      <c r="G525" t="s">
        <v>522</v>
      </c>
    </row>
    <row r="526" spans="1:7" x14ac:dyDescent="0.2">
      <c r="A526" t="str">
        <f>INDEX('ei names mapping'!$B$4:$BL$33,MATCH(B$229,'ei names mapping'!$A$4:$A$33,0),MATCH(G526,'ei names mapping'!$B$3:$BL$3,0))</f>
        <v>Nickel</v>
      </c>
      <c r="B526" s="7">
        <f>INDEX('vehicles specifications'!$B$3:$CW$166,MATCH(B$463,'vehicles specifications'!$A$3:$A$166,0),MATCH(G526,'vehicles specifications'!$B$2:$CW$2,0))*INDEX('ei names mapping'!$B$137:$BL$300,MATCH(B$463,'ei names mapping'!$A$137:$A$300,0),MATCH(G526,'ei names mapping'!$B$136:$BL$136,0))</f>
        <v>2.4918691976564053E-10</v>
      </c>
      <c r="D526" t="str">
        <f>INDEX('ei names mapping'!$B$104:$BL$133,MATCH(B$229,'ei names mapping'!$A$4:$A$33,0),MATCH(G526,'ei names mapping'!$B$3:$BL$3,0))</f>
        <v>kilogram</v>
      </c>
      <c r="E526" t="str">
        <f>INDEX('ei names mapping'!$B$305:$BL$335,MATCH(B$229,'ei names mapping'!$A$4:$A$33,0),MATCH(G526,'ei names mapping'!$B$3:$BL$3,0))</f>
        <v>air::urban air close to ground</v>
      </c>
      <c r="F526" t="s">
        <v>167</v>
      </c>
      <c r="G526" t="s">
        <v>524</v>
      </c>
    </row>
    <row r="527" spans="1:7" x14ac:dyDescent="0.2">
      <c r="A527" t="str">
        <f>INDEX('ei names mapping'!$B$4:$BL$33,MATCH(B$229,'ei names mapping'!$A$4:$A$33,0),MATCH(G527,'ei names mapping'!$B$3:$BL$3,0))</f>
        <v>Chromium</v>
      </c>
      <c r="B527" s="7">
        <f>INDEX('vehicles specifications'!$B$3:$CW$166,MATCH(B$463,'vehicles specifications'!$A$3:$A$166,0),MATCH(G527,'vehicles specifications'!$B$2:$CW$2,0))*INDEX('ei names mapping'!$B$137:$BL$300,MATCH(B$463,'ei names mapping'!$A$137:$A$300,0),MATCH(G527,'ei names mapping'!$B$136:$BL$136,0))</f>
        <v>3.0669159355771147E-10</v>
      </c>
      <c r="D527" t="str">
        <f>INDEX('ei names mapping'!$B$104:$BL$133,MATCH(B$229,'ei names mapping'!$A$4:$A$33,0),MATCH(G527,'ei names mapping'!$B$3:$BL$3,0))</f>
        <v>kilogram</v>
      </c>
      <c r="E527" t="str">
        <f>INDEX('ei names mapping'!$B$305:$BL$335,MATCH(B$229,'ei names mapping'!$A$4:$A$33,0),MATCH(G527,'ei names mapping'!$B$3:$BL$3,0))</f>
        <v>air::urban air close to ground</v>
      </c>
      <c r="F527" t="s">
        <v>167</v>
      </c>
      <c r="G527" t="s">
        <v>523</v>
      </c>
    </row>
    <row r="528" spans="1:7" x14ac:dyDescent="0.2">
      <c r="A528" t="str">
        <f>INDEX('ei names mapping'!$B$4:$BL$33,MATCH(B$229,'ei names mapping'!$A$4:$A$33,0),MATCH(G528,'ei names mapping'!$B$3:$BL$3,0))</f>
        <v>Chromium VI</v>
      </c>
      <c r="B528" s="7">
        <f>INDEX('vehicles specifications'!$B$3:$CW$166,MATCH(B$463,'vehicles specifications'!$A$3:$A$166,0),MATCH(G528,'vehicles specifications'!$B$2:$CW$2,0))*INDEX('ei names mapping'!$B$137:$BL$300,MATCH(B$463,'ei names mapping'!$A$137:$A$300,0),MATCH(G528,'ei names mapping'!$B$136:$BL$136,0))</f>
        <v>6.1338318711542279E-13</v>
      </c>
      <c r="D528" t="str">
        <f>INDEX('ei names mapping'!$B$104:$BL$133,MATCH(B$229,'ei names mapping'!$A$4:$A$33,0),MATCH(G528,'ei names mapping'!$B$3:$BL$3,0))</f>
        <v>kilogram</v>
      </c>
      <c r="E528" t="str">
        <f>INDEX('ei names mapping'!$B$305:$BL$335,MATCH(B$229,'ei names mapping'!$A$4:$A$33,0),MATCH(G528,'ei names mapping'!$B$3:$BL$3,0))</f>
        <v>air::urban air close to ground</v>
      </c>
      <c r="F528" t="s">
        <v>167</v>
      </c>
      <c r="G528" t="s">
        <v>567</v>
      </c>
    </row>
    <row r="529" spans="1:8" x14ac:dyDescent="0.2">
      <c r="A529" t="str">
        <f>INDEX('ei names mapping'!$B$4:$BL$33,MATCH(B$229,'ei names mapping'!$A$4:$A$33,0),MATCH(G529,'ei names mapping'!$B$3:$BL$3,0))</f>
        <v>Mercury</v>
      </c>
      <c r="B529" s="7">
        <f>INDEX('vehicles specifications'!$B$3:$CW$166,MATCH(B$463,'vehicles specifications'!$A$3:$A$166,0),MATCH(G529,'vehicles specifications'!$B$2:$CW$2,0))*INDEX('ei names mapping'!$B$137:$BL$300,MATCH(B$463,'ei names mapping'!$A$137:$A$300,0),MATCH(G529,'ei names mapping'!$B$136:$BL$136,0))</f>
        <v>1.667635539970056E-10</v>
      </c>
      <c r="D529" t="str">
        <f>INDEX('ei names mapping'!$B$104:$BL$133,MATCH(B$229,'ei names mapping'!$A$4:$A$33,0),MATCH(G529,'ei names mapping'!$B$3:$BL$3,0))</f>
        <v>kilogram</v>
      </c>
      <c r="E529" t="str">
        <f>INDEX('ei names mapping'!$B$305:$BL$335,MATCH(B$229,'ei names mapping'!$A$4:$A$33,0),MATCH(G529,'ei names mapping'!$B$3:$BL$3,0))</f>
        <v>air::urban air close to ground</v>
      </c>
      <c r="F529" t="s">
        <v>167</v>
      </c>
      <c r="G529" t="s">
        <v>565</v>
      </c>
    </row>
    <row r="530" spans="1:8" x14ac:dyDescent="0.2">
      <c r="A530" t="str">
        <f>INDEX('ei names mapping'!$B$4:$BL$33,MATCH(B$229,'ei names mapping'!$A$4:$A$33,0),MATCH(G530,'ei names mapping'!$B$3:$BL$3,0))</f>
        <v>Cadmium</v>
      </c>
      <c r="B530" s="7">
        <f>INDEX('vehicles specifications'!$B$3:$CW$166,MATCH(B$463,'vehicles specifications'!$A$3:$A$166,0),MATCH(G530,'vehicles specifications'!$B$2:$CW$2,0))*INDEX('ei names mapping'!$B$137:$BL$300,MATCH(B$463,'ei names mapping'!$A$137:$A$300,0),MATCH(G530,'ei names mapping'!$B$136:$BL$136,0))</f>
        <v>2.0701682565145526E-10</v>
      </c>
      <c r="D530" t="str">
        <f>INDEX('ei names mapping'!$B$104:$BL$133,MATCH(B$229,'ei names mapping'!$A$4:$A$33,0),MATCH(G530,'ei names mapping'!$B$3:$BL$3,0))</f>
        <v>kilogram</v>
      </c>
      <c r="E530" t="str">
        <f>INDEX('ei names mapping'!$B$305:$BL$335,MATCH(B$229,'ei names mapping'!$A$4:$A$33,0),MATCH(G530,'ei names mapping'!$B$3:$BL$3,0))</f>
        <v>air::urban air close to ground</v>
      </c>
      <c r="F530" t="s">
        <v>167</v>
      </c>
      <c r="G530" t="s">
        <v>566</v>
      </c>
    </row>
    <row r="531" spans="1:8" x14ac:dyDescent="0.2">
      <c r="A531" t="str">
        <f>INDEX('ei names mapping'!$B$4:$BL$33,MATCH(B460,'ei names mapping'!$A$4:$A$33,0),MATCH(G531,'ei names mapping'!$B$3:$BL$3,0))</f>
        <v>treatment of road wear emissions, passenger car</v>
      </c>
      <c r="B531" s="7">
        <f>INDEX('vehicles specifications'!$B$3:$CW$166,MATCH(B463,'vehicles specifications'!$A$3:$A$166,0),MATCH(G531,'vehicles specifications'!$B$2:$CW$2,0))*INDEX('ei names mapping'!$B$137:$BL$300,MATCH(B463,'ei names mapping'!$A$137:$A$300,0),MATCH(G531,'ei names mapping'!$B$136:$BL$136,0))</f>
        <v>-5.4561328759754661E-6</v>
      </c>
      <c r="C531" t="str">
        <f>INDEX('ei names mapping'!$B$38:$BL$67,MATCH(B460,'ei names mapping'!$A$4:$A$33,0),MATCH(G531,'ei names mapping'!$B$3:$BL$3,0))</f>
        <v>RER</v>
      </c>
      <c r="D531" t="str">
        <f>INDEX('ei names mapping'!$B$104:$BL$133,MATCH(B460,'ei names mapping'!$A$4:$A$33,0),MATCH(G531,'ei names mapping'!$B$3:$BL$3,0))</f>
        <v>kilogram</v>
      </c>
      <c r="F531" t="s">
        <v>89</v>
      </c>
      <c r="G531" t="s">
        <v>29</v>
      </c>
      <c r="H531" t="str">
        <f>INDEX('ei names mapping'!$B$71:$BL$100,MATCH(B460,'ei names mapping'!$A$4:$A$33,0),MATCH(G531,'ei names mapping'!$B$3:$BL$3,0))</f>
        <v>road wear emissions, passenger car</v>
      </c>
    </row>
    <row r="532" spans="1:8" x14ac:dyDescent="0.2">
      <c r="A532" t="str">
        <f>INDEX('ei names mapping'!$B$4:$BL$33,MATCH(B460,'ei names mapping'!$A$4:$A$33,0),MATCH(G532,'ei names mapping'!$B$3:$BL$3,0))</f>
        <v>treatment of tyre wear emissions, passenger car</v>
      </c>
      <c r="B532" s="7">
        <f>INDEX('vehicles specifications'!$B$3:$CW$166,MATCH(B463,'vehicles specifications'!$A$3:$A$166,0),MATCH(G532,'vehicles specifications'!$B$2:$CW$2,0))*INDEX('ei names mapping'!$B$137:$BL$300,MATCH(B463,'ei names mapping'!$A$137:$A$300,0),MATCH(G532,'ei names mapping'!$B$136:$BL$136,0))</f>
        <v>-4.6271846523416297E-6</v>
      </c>
      <c r="C532" t="str">
        <f>INDEX('ei names mapping'!$B$38:$BL$67,MATCH(B460,'ei names mapping'!$A$4:$A$33,0),MATCH(G532,'ei names mapping'!$B$3:$BL$3,0))</f>
        <v>RER</v>
      </c>
      <c r="D532" t="str">
        <f>INDEX('ei names mapping'!$B$104:$BL$133,MATCH(B460,'ei names mapping'!$A$4:$A$33,0),MATCH(G532,'ei names mapping'!$B$3:$BL$3,0))</f>
        <v>kilogram</v>
      </c>
      <c r="F532" t="s">
        <v>89</v>
      </c>
      <c r="G532" t="s">
        <v>30</v>
      </c>
      <c r="H532" t="str">
        <f>INDEX('ei names mapping'!$B$71:$BL$100,MATCH(B460,'ei names mapping'!$A$4:$A$33,0),MATCH(G532,'ei names mapping'!$B$3:$BL$3,0))</f>
        <v>tyre wear emissions, passenger car</v>
      </c>
    </row>
    <row r="533" spans="1:8" x14ac:dyDescent="0.2">
      <c r="A533" t="str">
        <f>INDEX('ei names mapping'!$B$4:$BL$33,MATCH(B460,'ei names mapping'!$A$4:$A$33,0),MATCH(G533,'ei names mapping'!$B$3:$BL$3,0))</f>
        <v>treatment of brake wear emissions, passenger car</v>
      </c>
      <c r="B533" s="7">
        <f>INDEX('vehicles specifications'!$B$3:$CW$166,MATCH(B463,'vehicles specifications'!$A$3:$A$166,0),MATCH(G533,'vehicles specifications'!$B$2:$CW$2,0))*INDEX('ei names mapping'!$B$137:$BL$300,MATCH(B463,'ei names mapping'!$A$137:$A$300,0),MATCH(G533,'ei names mapping'!$B$136:$BL$136,0))</f>
        <v>-3.1732089309906012E-6</v>
      </c>
      <c r="C533" t="str">
        <f>INDEX('ei names mapping'!$B$38:$BL$67,MATCH(B460,'ei names mapping'!$A$4:$A$33,0),MATCH(G533,'ei names mapping'!$B$3:$BL$3,0))</f>
        <v>RER</v>
      </c>
      <c r="D533" t="str">
        <f>INDEX('ei names mapping'!$B$104:$BL$133,MATCH(B460,'ei names mapping'!$A$4:$A$33,0),MATCH(G533,'ei names mapping'!$B$3:$BL$3,0))</f>
        <v>kilogram</v>
      </c>
      <c r="F533" t="s">
        <v>89</v>
      </c>
      <c r="G533" t="s">
        <v>31</v>
      </c>
      <c r="H533" t="str">
        <f>INDEX('ei names mapping'!$B$71:$BL$100,MATCH(B460,'ei names mapping'!$A$4:$A$33,0),MATCH(G533,'ei names mapping'!$B$3:$BL$3,0))</f>
        <v>brake wear emissions, passenger car</v>
      </c>
    </row>
    <row r="535" spans="1:8" ht="16" x14ac:dyDescent="0.2">
      <c r="A535" s="10" t="s">
        <v>71</v>
      </c>
      <c r="B535" s="8" t="str">
        <f>"transport, "&amp;B537&amp;", "&amp;B539</f>
        <v>transport, Moped, gasoline, &lt;4kW, EURO-5, 2040</v>
      </c>
    </row>
    <row r="536" spans="1:8" x14ac:dyDescent="0.2">
      <c r="A536" t="s">
        <v>72</v>
      </c>
      <c r="B536" t="s">
        <v>37</v>
      </c>
    </row>
    <row r="537" spans="1:8" x14ac:dyDescent="0.2">
      <c r="A537" t="s">
        <v>86</v>
      </c>
      <c r="B537" t="s">
        <v>581</v>
      </c>
    </row>
    <row r="538" spans="1:8" x14ac:dyDescent="0.2">
      <c r="A538" t="s">
        <v>87</v>
      </c>
    </row>
    <row r="539" spans="1:8" x14ac:dyDescent="0.2">
      <c r="A539" t="s">
        <v>88</v>
      </c>
      <c r="B539">
        <v>2040</v>
      </c>
    </row>
    <row r="540" spans="1:8" x14ac:dyDescent="0.2">
      <c r="A540" t="s">
        <v>126</v>
      </c>
      <c r="B540" t="str">
        <f>B537&amp;" - "&amp;B539&amp;" - "&amp;B536</f>
        <v>Moped, gasoline, &lt;4kW, EURO-5 - 2040 - CH</v>
      </c>
    </row>
    <row r="541" spans="1:8" x14ac:dyDescent="0.2">
      <c r="A541" t="s">
        <v>73</v>
      </c>
      <c r="B541" t="str">
        <f>"transport, "&amp;B537</f>
        <v>transport, Moped, gasoline, &lt;4kW, EURO-5</v>
      </c>
    </row>
    <row r="542" spans="1:8" x14ac:dyDescent="0.2">
      <c r="A542" t="s">
        <v>74</v>
      </c>
      <c r="B542" t="s">
        <v>75</v>
      </c>
    </row>
    <row r="543" spans="1:8" x14ac:dyDescent="0.2">
      <c r="A543" t="s">
        <v>76</v>
      </c>
      <c r="B543" t="s">
        <v>166</v>
      </c>
    </row>
    <row r="544" spans="1:8" x14ac:dyDescent="0.2">
      <c r="A544" t="s">
        <v>78</v>
      </c>
      <c r="B544" t="s">
        <v>1143</v>
      </c>
    </row>
    <row r="545" spans="1:2" x14ac:dyDescent="0.2">
      <c r="A545" t="s">
        <v>127</v>
      </c>
      <c r="B545">
        <f>INDEX('vehicles specifications'!$B$3:$CW$166,MATCH(B540,'vehicles specifications'!$A$3:$A$166,0),MATCH("Lifetime [km]",'vehicles specifications'!$B$2:$CW$2,0))</f>
        <v>25000</v>
      </c>
    </row>
    <row r="546" spans="1:2" x14ac:dyDescent="0.2">
      <c r="A546" t="s">
        <v>128</v>
      </c>
      <c r="B546">
        <f>INDEX('vehicles specifications'!$B$3:$CW$166,MATCH(B540,'vehicles specifications'!$A$3:$A$166,0),MATCH("Passengers [unit]",'vehicles specifications'!$B$2:$CW$2,0))</f>
        <v>1</v>
      </c>
    </row>
    <row r="547" spans="1:2" x14ac:dyDescent="0.2">
      <c r="A547" t="s">
        <v>129</v>
      </c>
      <c r="B547">
        <f>INDEX('vehicles specifications'!$B$3:$CW$166,MATCH(B540,'vehicles specifications'!$A$3:$A$166,0),MATCH("Servicing [unit]",'vehicles specifications'!$B$2:$CW$2,0))</f>
        <v>1</v>
      </c>
    </row>
    <row r="548" spans="1:2" x14ac:dyDescent="0.2">
      <c r="A548" t="s">
        <v>130</v>
      </c>
      <c r="B548">
        <f>INDEX('vehicles specifications'!$B$3:$CW$166,MATCH(B540,'vehicles specifications'!$A$3:$A$166,0),MATCH("Energy battery replacement [unit]",'vehicles specifications'!$B$2:$CW$2,0))</f>
        <v>0</v>
      </c>
    </row>
    <row r="549" spans="1:2" x14ac:dyDescent="0.2">
      <c r="A549" t="s">
        <v>131</v>
      </c>
      <c r="B549">
        <f>INDEX('vehicles specifications'!$B$3:$CW$166,MATCH(B540,'vehicles specifications'!$A$3:$A$166,0),MATCH("Annual kilometers [km]",'vehicles specifications'!$B$2:$CW$2,0))</f>
        <v>1570</v>
      </c>
    </row>
    <row r="550" spans="1:2" x14ac:dyDescent="0.2">
      <c r="A550" t="s">
        <v>132</v>
      </c>
      <c r="B550" s="2">
        <f>INDEX('vehicles specifications'!$B$3:$CW$166,MATCH(B540,'vehicles specifications'!$A$3:$A$166,0),MATCH("Curb mass [kg]",'vehicles specifications'!$B$2:$CW$2,0))</f>
        <v>60.856874999999995</v>
      </c>
    </row>
    <row r="551" spans="1:2" x14ac:dyDescent="0.2">
      <c r="A551" t="s">
        <v>133</v>
      </c>
      <c r="B551">
        <f>INDEX('vehicles specifications'!$B$3:$CW$166,MATCH(B540,'vehicles specifications'!$A$3:$A$166,0),MATCH("Power [kW]",'vehicles specifications'!$B$2:$CW$2,0))</f>
        <v>2.5</v>
      </c>
    </row>
    <row r="552" spans="1:2" x14ac:dyDescent="0.2">
      <c r="A552" t="s">
        <v>134</v>
      </c>
      <c r="B552" t="str">
        <f>INDEX('vehicles specifications'!$B$3:$CW$166,MATCH(B540,'vehicles specifications'!$A$3:$A$166,0),MATCH("Energy battery mass [kg]",'vehicles specifications'!$B$2:$CW$2,0))</f>
        <v/>
      </c>
    </row>
    <row r="553" spans="1:2" x14ac:dyDescent="0.2">
      <c r="A553" t="s">
        <v>135</v>
      </c>
      <c r="B553">
        <f>INDEX('vehicles specifications'!$B$3:$CW$166,MATCH(B540,'vehicles specifications'!$A$3:$A$166,0),MATCH("Electric energy available [kWh]",'vehicles specifications'!$B$2:$CW$2,0))</f>
        <v>0</v>
      </c>
    </row>
    <row r="554" spans="1:2" x14ac:dyDescent="0.2">
      <c r="A554" t="s">
        <v>138</v>
      </c>
      <c r="B554" s="2">
        <f>INDEX('vehicles specifications'!$B$3:$CW$166,MATCH(B540,'vehicles specifications'!$A$3:$A$166,0),MATCH("Oxydation energy stored [kWh]",'vehicles specifications'!$B$2:$CW$2,0))</f>
        <v>62.125</v>
      </c>
    </row>
    <row r="555" spans="1:2" x14ac:dyDescent="0.2">
      <c r="A555" t="s">
        <v>139</v>
      </c>
      <c r="B555">
        <f>INDEX('vehicles specifications'!$B$3:$CW$166,MATCH(B540,'vehicles specifications'!$A$3:$A$166,0),MATCH("Fuel mass [kg]",'vehicles specifications'!$B$2:$CW$2,0))</f>
        <v>5.25</v>
      </c>
    </row>
    <row r="556" spans="1:2" x14ac:dyDescent="0.2">
      <c r="A556" t="s">
        <v>136</v>
      </c>
      <c r="B556" s="2">
        <f>INDEX('vehicles specifications'!$B$3:$CW$166,MATCH(B540,'vehicles specifications'!$A$3:$A$166,0),MATCH("Range [km]",'vehicles specifications'!$B$2:$CW$2,0))</f>
        <v>277.30831274396223</v>
      </c>
    </row>
    <row r="557" spans="1:2" x14ac:dyDescent="0.2">
      <c r="A557" t="s">
        <v>137</v>
      </c>
      <c r="B557" t="str">
        <f>INDEX('vehicles specifications'!$B$3:$CW$166,MATCH(B540,'vehicles specifications'!$A$3:$A$166,0),MATCH("Emission standard",'vehicles specifications'!$B$2:$CW$2,0))</f>
        <v>EURO-5</v>
      </c>
    </row>
    <row r="558" spans="1:2" x14ac:dyDescent="0.2">
      <c r="A558" t="s">
        <v>1174</v>
      </c>
      <c r="B558" s="6">
        <f>INDEX('vehicles specifications'!$B$3:$CW$166,MATCH(B540,'vehicles specifications'!$A$3:$A$166,0),MATCH("Lightweighting rate [%]",'vehicles specifications'!$B$2:$CW$2,0))</f>
        <v>0.05</v>
      </c>
    </row>
    <row r="559" spans="1:2" x14ac:dyDescent="0.2">
      <c r="A559" t="s">
        <v>83</v>
      </c>
      <c r="B559" t="str">
        <f>"Power: "&amp;B551&amp;" kW. Lifetime: "&amp;B545&amp;" km. Annual kilometers: "&amp;B549&amp;" km. Number of passengers: "&amp;B546&amp;". Curb mass: "&amp;ROUND(B550,1)&amp;" kg. Lightweighting of glider: "&amp;ROUND(B558*100,0)&amp;"%. Emission standard: "&amp;B557&amp;". Service visits throughout lifetime: "&amp;ROUND(B547,1)&amp;". Range: "&amp;ROUND(B556,0)&amp;" km.  Fuel tank capacity: "&amp;ROUND(B554,1)&amp;" kWh. Fuel mass: "&amp;ROUND(B555,1)&amp;" kg. Documentation: "&amp;Readmefirst!$B$2&amp;", "&amp;Readmefirst!$B$3&amp;". "&amp;B544</f>
        <v>Power: 2.5 kW. Lifetime: 25000 km. Annual kilometers: 1570 km. Number of passengers: 1. Curb mass: 60.9 kg. Lightweighting of glider: 5%. Emission standard: EURO-5. Service visits throughout lifetime: 1. Range: 277 km.  Fuel tank capacity: 62.1 kWh. Fuel mass: 5.3 kg. Documentation: Life-cycle inventories for on-road vehicles, Sacchi R. (PSI), Bauer C. (PSI), 2021. Sacchi R., Bauer C. Life cycle inventories for on-road vehicles. Paul Scherrer Institut, 2021.</v>
      </c>
    </row>
    <row r="560" spans="1:2" ht="16" x14ac:dyDescent="0.2">
      <c r="A560" s="10" t="s">
        <v>79</v>
      </c>
    </row>
    <row r="561" spans="1:8" x14ac:dyDescent="0.2">
      <c r="A561" t="s">
        <v>80</v>
      </c>
      <c r="B561" t="s">
        <v>81</v>
      </c>
      <c r="C561" t="s">
        <v>72</v>
      </c>
      <c r="D561" t="s">
        <v>76</v>
      </c>
      <c r="E561" t="s">
        <v>82</v>
      </c>
      <c r="F561" t="s">
        <v>74</v>
      </c>
      <c r="G561" t="s">
        <v>83</v>
      </c>
      <c r="H561" t="s">
        <v>73</v>
      </c>
    </row>
    <row r="562" spans="1:8" x14ac:dyDescent="0.2">
      <c r="A562" t="str">
        <f>B535</f>
        <v>transport, Moped, gasoline, &lt;4kW, EURO-5, 2040</v>
      </c>
      <c r="B562">
        <v>1</v>
      </c>
      <c r="C562" t="str">
        <f>B536</f>
        <v>CH</v>
      </c>
      <c r="D562" t="s">
        <v>166</v>
      </c>
      <c r="F562" t="s">
        <v>84</v>
      </c>
      <c r="G562" t="s">
        <v>85</v>
      </c>
      <c r="H562" t="str">
        <f>B541</f>
        <v>transport, Moped, gasoline, &lt;4kW, EURO-5</v>
      </c>
    </row>
    <row r="563" spans="1:8" x14ac:dyDescent="0.2">
      <c r="A563" t="str">
        <f>RIGHT(A562,LEN(A562)-11)</f>
        <v>Moped, gasoline, &lt;4kW, EURO-5, 2040</v>
      </c>
      <c r="B563" s="7">
        <f>1/B545</f>
        <v>4.0000000000000003E-5</v>
      </c>
      <c r="C563" t="str">
        <f>B536</f>
        <v>CH</v>
      </c>
      <c r="D563" t="s">
        <v>76</v>
      </c>
      <c r="F563" t="s">
        <v>89</v>
      </c>
      <c r="H563" t="str">
        <f>RIGHT(H562,LEN(H562)-11)</f>
        <v>Moped, gasoline, &lt;4kW, EURO-5</v>
      </c>
    </row>
    <row r="564" spans="1:8" x14ac:dyDescent="0.2">
      <c r="A564" t="str">
        <f>INDEX('ei names mapping'!$B$4:$R$33,MATCH(B537,'ei names mapping'!$A$4:$A$33,0),MATCH(G564,'ei names mapping'!$B$3:$R$3,0))</f>
        <v>road construction</v>
      </c>
      <c r="B564" s="7">
        <f>INDEX('vehicles specifications'!$B$3:$CW$166,MATCH(B540,'vehicles specifications'!$A$3:$A$166,0),MATCH(G564,'vehicles specifications'!$B$2:$CW$2,0))*INDEX('ei names mapping'!$B$137:$BL$300,MATCH(B540,'ei names mapping'!$A$137:$A$300,0),MATCH(G564,'ei names mapping'!$B$136:$BL$136,0))</f>
        <v>7.4029141875000008E-5</v>
      </c>
      <c r="C564" t="str">
        <f>INDEX('ei names mapping'!$B$38:$R$67,MATCH(B537,'ei names mapping'!$A$4:$A$33,0),MATCH(G564,'ei names mapping'!$B$3:$R$3,0))</f>
        <v>CH</v>
      </c>
      <c r="D564" t="str">
        <f>INDEX('ei names mapping'!$B$104:$BL$133,MATCH(B537,'ei names mapping'!$A$4:$A$33,0),MATCH(G564,'ei names mapping'!$B$3:$BL$3,0))</f>
        <v>meter-year</v>
      </c>
      <c r="F564" t="s">
        <v>89</v>
      </c>
      <c r="G564" t="s">
        <v>105</v>
      </c>
      <c r="H564" t="str">
        <f>INDEX('ei names mapping'!$B$71:$BL$100,MATCH(B537,'ei names mapping'!$A$4:$A$33,0),MATCH(G564,'ei names mapping'!$B$3:$BL$3,0))</f>
        <v>road</v>
      </c>
    </row>
    <row r="565" spans="1:8" x14ac:dyDescent="0.2">
      <c r="A565" t="str">
        <f>INDEX('ei names mapping'!$B$4:$R$33,MATCH(B537,'ei names mapping'!$A$4:$A$33,0),MATCH(G565,'ei names mapping'!$B$3:$R$3,0))</f>
        <v>road maintenance</v>
      </c>
      <c r="B565" s="7">
        <f>INDEX('vehicles specifications'!$B$3:$CW$166,MATCH(B540,'vehicles specifications'!$A$3:$A$166,0),MATCH(G565,'vehicles specifications'!$B$2:$CW$2,0))*INDEX('ei names mapping'!$B$137:$BL$300,MATCH(B540,'ei names mapping'!$A$137:$A$300,0),MATCH(G565,'ei names mapping'!$B$136:$BL$136,0))</f>
        <v>1.2899999999999999E-3</v>
      </c>
      <c r="C565" t="str">
        <f>INDEX('ei names mapping'!$B$38:$R$67,MATCH(B537,'ei names mapping'!$A$4:$A$33,0),MATCH(G565,'ei names mapping'!$B$3:$R$3,0))</f>
        <v>CH</v>
      </c>
      <c r="D565" t="str">
        <f>INDEX('ei names mapping'!$B$104:$BL$133,MATCH(B537,'ei names mapping'!$A$4:$A$33,0),MATCH(G565,'ei names mapping'!$B$3:$BL$3,0))</f>
        <v>meter-year</v>
      </c>
      <c r="F565" t="s">
        <v>89</v>
      </c>
      <c r="G565" t="s">
        <v>112</v>
      </c>
      <c r="H565" t="str">
        <f>INDEX('ei names mapping'!$B$71:$BL$100,MATCH(B537,'ei names mapping'!$A$4:$A$33,0),MATCH(G565,'ei names mapping'!$B$3:$BL$3,0))</f>
        <v>road maintenance</v>
      </c>
    </row>
    <row r="566" spans="1:8" x14ac:dyDescent="0.2">
      <c r="A566" t="str">
        <f>INDEX('ei names mapping'!$B$4:$R$33,MATCH(B537,'ei names mapping'!$A$4:$A$33,0),MATCH(G566,'ei names mapping'!$B$3:$R$3,0))</f>
        <v>maintenance, motor scooter</v>
      </c>
      <c r="B566" s="7">
        <f>INDEX('vehicles specifications'!$B$3:$CW$166,MATCH(B540,'vehicles specifications'!$A$3:$A$166,0),MATCH(G566,'vehicles specifications'!$B$2:$CW$2,0))*INDEX('ei names mapping'!$B$137:$BL$300,MATCH(B540,'ei names mapping'!$A$137:$A$300,0),MATCH(G566,'ei names mapping'!$B$136:$BL$136,0))</f>
        <v>4.0000000000000003E-5</v>
      </c>
      <c r="C566" t="str">
        <f>INDEX('ei names mapping'!$B$38:$BL$67,MATCH(B537,'ei names mapping'!$A$4:$A$33,0),MATCH(G566,'ei names mapping'!$B$3:$BL$3,0))</f>
        <v>CH</v>
      </c>
      <c r="D566" t="str">
        <f>INDEX('ei names mapping'!$B$104:$BL$133,MATCH(B537,'ei names mapping'!$A$4:$A$33,0),MATCH(G566,'ei names mapping'!$B$3:$BL$3,0))</f>
        <v>unit</v>
      </c>
      <c r="F566" t="s">
        <v>89</v>
      </c>
      <c r="G566" t="s">
        <v>118</v>
      </c>
      <c r="H566" t="str">
        <f>INDEX('ei names mapping'!$B$71:$BL$100,MATCH(B537,'ei names mapping'!$A$4:$A$33,0),MATCH(G566,'ei names mapping'!$B$3:$BL$3,0))</f>
        <v>maintenance, motor scooter</v>
      </c>
    </row>
    <row r="567" spans="1:8" x14ac:dyDescent="0.2">
      <c r="A567" t="str">
        <f>INDEX('ei names mapping'!$B$4:$R$33,MATCH(B537,'ei names mapping'!$A$4:$A$33,0),MATCH(G567,'ei names mapping'!$B$3:$R$3,0))</f>
        <v>petrol blending for two-stroke engines</v>
      </c>
      <c r="B567" s="7">
        <f>INDEX('vehicles specifications'!$B$3:$CW$166,MATCH(B540,'vehicles specifications'!$A$3:$A$166,0),MATCH(G567,'vehicles specifications'!$B$2:$CW$2,0))*INDEX('ei names mapping'!$B$137:$BL$300,MATCH(B540,'ei names mapping'!$A$137:$A$300,0),MATCH(G567,'ei names mapping'!$B$136:$BL$136,0))</f>
        <v>1.8931996477319114E-2</v>
      </c>
      <c r="C567" t="str">
        <f>INDEX('ei names mapping'!$B$38:$BL$67,MATCH(B537,'ei names mapping'!$A$4:$A$33,0),MATCH(G567,'ei names mapping'!$B$3:$BL$3,0))</f>
        <v>CH</v>
      </c>
      <c r="D567" t="str">
        <f>INDEX('ei names mapping'!$B$104:$BL$133,MATCH(B537,'ei names mapping'!$A$4:$A$33,0),MATCH(G567,'ei names mapping'!$B$3:$BL$3,0))</f>
        <v>kilogram</v>
      </c>
      <c r="F567" t="s">
        <v>89</v>
      </c>
      <c r="G567" t="s">
        <v>27</v>
      </c>
      <c r="H567" t="str">
        <f>INDEX('ei names mapping'!$B$71:$BL$100,MATCH(B537,'ei names mapping'!$A$4:$A$33,0),MATCH(G567,'ei names mapping'!$B$3:$BL$3,0))</f>
        <v>petrol, two-stroke blend</v>
      </c>
    </row>
    <row r="568" spans="1:8" x14ac:dyDescent="0.2">
      <c r="A568" t="str">
        <f>INDEX('ei names mapping'!$B$4:$BL$33,MATCH(B537,'ei names mapping'!$A$4:$A$33,0),MATCH(G568,'ei names mapping'!$B$3:$BL$3,0))</f>
        <v>Carbon dioxide, fossil</v>
      </c>
      <c r="B568" s="7">
        <f>INDEX('vehicles specifications'!$B$3:$CW$166,MATCH(B540,'vehicles specifications'!$A$3:$A$166,0),MATCH(G568,'vehicles specifications'!$B$2:$CW$2,0))*INDEX('ei names mapping'!$B$137:$BL$300,MATCH(B540,'ei names mapping'!$A$137:$A$300,0),MATCH(G568,'ei names mapping'!$B$136:$BL$136,0))</f>
        <v>5.944646893878202E-2</v>
      </c>
      <c r="D568" t="str">
        <f>INDEX('ei names mapping'!$B$104:$BL$133,MATCH(B537,'ei names mapping'!$A$4:$A$33,0),MATCH(G568,'ei names mapping'!$B$3:$BL$3,0))</f>
        <v>kilogram</v>
      </c>
      <c r="E568" t="str">
        <f>INDEX('ei names mapping'!$B$305:$BL$335,MATCH(B537,'ei names mapping'!$A$4:$A$33,0),MATCH(G568,'ei names mapping'!$B$3:$BL$3,0))</f>
        <v>air::urban air close to ground</v>
      </c>
      <c r="F568" t="s">
        <v>167</v>
      </c>
      <c r="G568" t="s">
        <v>66</v>
      </c>
    </row>
    <row r="569" spans="1:8" x14ac:dyDescent="0.2">
      <c r="A569" t="str">
        <f>INDEX('ei names mapping'!$B$4:$BL$33,MATCH(B537,'ei names mapping'!$A$4:$A$33,0),MATCH(G569,'ei names mapping'!$B$3:$BL$3,0))</f>
        <v>Sulfur dioxide</v>
      </c>
      <c r="B569" s="7">
        <f>INDEX('vehicles specifications'!$B$3:$CW$166,MATCH(B540,'vehicles specifications'!$A$3:$A$166,0),MATCH(G569,'vehicles specifications'!$B$2:$CW$2,0))*INDEX('ei names mapping'!$B$137:$BL$300,MATCH(B540,'ei names mapping'!$A$137:$A$300,0),MATCH(G569,'ei names mapping'!$B$136:$BL$136,0))</f>
        <v>3.029119436371058E-7</v>
      </c>
      <c r="D569" t="str">
        <f>INDEX('ei names mapping'!$B$104:$BL$133,MATCH(B537,'ei names mapping'!$A$4:$A$33,0),MATCH(G569,'ei names mapping'!$B$3:$BL$3,0))</f>
        <v>kilogram</v>
      </c>
      <c r="E569" t="str">
        <f>INDEX('ei names mapping'!$B$305:$BL$335,MATCH(B537,'ei names mapping'!$A$4:$A$33,0),MATCH(G569,'ei names mapping'!$B$3:$BL$3,0))</f>
        <v>air::urban air close to ground</v>
      </c>
      <c r="F569" t="s">
        <v>167</v>
      </c>
      <c r="G569" t="s">
        <v>67</v>
      </c>
    </row>
    <row r="570" spans="1:8" x14ac:dyDescent="0.2">
      <c r="A570" t="str">
        <f>INDEX('ei names mapping'!$B$4:$BL$33,MATCH(B537,'ei names mapping'!$A$4:$A$33,0),MATCH(G570,'ei names mapping'!$B$3:$BL$3,0))</f>
        <v>Benzene</v>
      </c>
      <c r="B570" s="7">
        <f>INDEX('vehicles specifications'!$B$3:$CW$166,MATCH(B540,'vehicles specifications'!$A$3:$A$166,0),MATCH(G570,'vehicles specifications'!$B$2:$CW$2,0))*INDEX('ei names mapping'!$B$137:$BL$300,MATCH(B540,'ei names mapping'!$A$137:$A$300,0),MATCH(G570,'ei names mapping'!$B$136:$BL$136,0))</f>
        <v>4.9037139839474579E-5</v>
      </c>
      <c r="D570" t="str">
        <f>INDEX('ei names mapping'!$B$104:$BL$133,MATCH(B537,'ei names mapping'!$A$4:$A$33,0),MATCH(G570,'ei names mapping'!$B$3:$BL$3,0))</f>
        <v>kilogram</v>
      </c>
      <c r="E570" t="str">
        <f>INDEX('ei names mapping'!$B$305:$BL$335,MATCH(B537,'ei names mapping'!$A$4:$A$33,0),MATCH(G570,'ei names mapping'!$B$3:$BL$3,0))</f>
        <v>air::urban air close to ground</v>
      </c>
      <c r="F570" t="s">
        <v>167</v>
      </c>
      <c r="G570" t="s">
        <v>55</v>
      </c>
    </row>
    <row r="571" spans="1:8" x14ac:dyDescent="0.2">
      <c r="A571" t="str">
        <f>INDEX('ei names mapping'!$B$4:$BL$33,MATCH(B537,'ei names mapping'!$A$4:$A$33,0),MATCH(G571,'ei names mapping'!$B$3:$BL$3,0))</f>
        <v>Methane, fossil</v>
      </c>
      <c r="B571" s="7">
        <f>INDEX('vehicles specifications'!$B$3:$CW$166,MATCH(B540,'vehicles specifications'!$A$3:$A$166,0),MATCH(G571,'vehicles specifications'!$B$2:$CW$2,0))*INDEX('ei names mapping'!$B$137:$BL$300,MATCH(B540,'ei names mapping'!$A$137:$A$300,0),MATCH(G571,'ei names mapping'!$B$136:$BL$136,0))</f>
        <v>2.2234893596900134E-5</v>
      </c>
      <c r="D571" t="str">
        <f>INDEX('ei names mapping'!$B$104:$BL$133,MATCH(B537,'ei names mapping'!$A$4:$A$33,0),MATCH(G571,'ei names mapping'!$B$3:$BL$3,0))</f>
        <v>kilogram</v>
      </c>
      <c r="E571" t="str">
        <f>INDEX('ei names mapping'!$B$305:$BL$335,MATCH(B537,'ei names mapping'!$A$4:$A$33,0),MATCH(G571,'ei names mapping'!$B$3:$BL$3,0))</f>
        <v>air::urban air close to ground</v>
      </c>
      <c r="F571" t="s">
        <v>167</v>
      </c>
      <c r="G571" t="s">
        <v>56</v>
      </c>
    </row>
    <row r="572" spans="1:8" x14ac:dyDescent="0.2">
      <c r="A572" t="str">
        <f>INDEX('ei names mapping'!$B$4:$BL$33,MATCH(B537,'ei names mapping'!$A$4:$A$33,0),MATCH(G572,'ei names mapping'!$B$3:$BL$3,0))</f>
        <v>Carbon monoxide, fossil</v>
      </c>
      <c r="B572" s="7">
        <f>INDEX('vehicles specifications'!$B$3:$CW$166,MATCH(B540,'vehicles specifications'!$A$3:$A$166,0),MATCH(G572,'vehicles specifications'!$B$2:$CW$2,0))*INDEX('ei names mapping'!$B$137:$BL$300,MATCH(B540,'ei names mapping'!$A$137:$A$300,0),MATCH(G572,'ei names mapping'!$B$136:$BL$136,0))</f>
        <v>2.3511140203956193E-3</v>
      </c>
      <c r="D572" t="str">
        <f>INDEX('ei names mapping'!$B$104:$BL$133,MATCH(B537,'ei names mapping'!$A$4:$A$33,0),MATCH(G572,'ei names mapping'!$B$3:$BL$3,0))</f>
        <v>kilogram</v>
      </c>
      <c r="E572" t="str">
        <f>INDEX('ei names mapping'!$B$305:$BL$335,MATCH(B537,'ei names mapping'!$A$4:$A$33,0),MATCH(G572,'ei names mapping'!$B$3:$BL$3,0))</f>
        <v>air::urban air close to ground</v>
      </c>
      <c r="F572" t="s">
        <v>167</v>
      </c>
      <c r="G572" t="s">
        <v>57</v>
      </c>
    </row>
    <row r="573" spans="1:8" x14ac:dyDescent="0.2">
      <c r="A573" t="str">
        <f>INDEX('ei names mapping'!$B$4:$BL$33,MATCH(B537,'ei names mapping'!$A$4:$A$33,0),MATCH(G573,'ei names mapping'!$B$3:$BL$3,0))</f>
        <v>Dinitrogen monoxide</v>
      </c>
      <c r="B573" s="7">
        <f>INDEX('vehicles specifications'!$B$3:$CW$166,MATCH(B540,'vehicles specifications'!$A$3:$A$166,0),MATCH(G573,'vehicles specifications'!$B$2:$CW$2,0))*INDEX('ei names mapping'!$B$137:$BL$300,MATCH(B540,'ei names mapping'!$A$137:$A$300,0),MATCH(G573,'ei names mapping'!$B$136:$BL$136,0))</f>
        <v>1.1281021611821482E-6</v>
      </c>
      <c r="D573" t="str">
        <f>INDEX('ei names mapping'!$B$104:$BL$133,MATCH(B537,'ei names mapping'!$A$4:$A$33,0),MATCH(G573,'ei names mapping'!$B$3:$BL$3,0))</f>
        <v>kilogram</v>
      </c>
      <c r="E573" t="str">
        <f>INDEX('ei names mapping'!$B$305:$BL$335,MATCH(B537,'ei names mapping'!$A$4:$A$33,0),MATCH(G573,'ei names mapping'!$B$3:$BL$3,0))</f>
        <v>air::urban air close to ground</v>
      </c>
      <c r="F573" t="s">
        <v>167</v>
      </c>
      <c r="G573" t="s">
        <v>58</v>
      </c>
    </row>
    <row r="574" spans="1:8" x14ac:dyDescent="0.2">
      <c r="A574" t="str">
        <f>INDEX('ei names mapping'!$B$4:$BL$33,MATCH(B537,'ei names mapping'!$A$4:$A$33,0),MATCH(G574,'ei names mapping'!$B$3:$BL$3,0))</f>
        <v>Ammonia</v>
      </c>
      <c r="B574" s="7">
        <f>INDEX('vehicles specifications'!$B$3:$CW$166,MATCH(B540,'vehicles specifications'!$A$3:$A$166,0),MATCH(G574,'vehicles specifications'!$B$2:$CW$2,0))*INDEX('ei names mapping'!$B$137:$BL$300,MATCH(B540,'ei names mapping'!$A$137:$A$300,0),MATCH(G574,'ei names mapping'!$B$136:$BL$136,0))</f>
        <v>1.1281021611821482E-6</v>
      </c>
      <c r="D574" t="str">
        <f>INDEX('ei names mapping'!$B$104:$BL$133,MATCH(B537,'ei names mapping'!$A$4:$A$33,0),MATCH(G574,'ei names mapping'!$B$3:$BL$3,0))</f>
        <v>kilogram</v>
      </c>
      <c r="E574" t="str">
        <f>INDEX('ei names mapping'!$B$305:$BL$335,MATCH(B537,'ei names mapping'!$A$4:$A$33,0),MATCH(G574,'ei names mapping'!$B$3:$BL$3,0))</f>
        <v>air::urban air close to ground</v>
      </c>
      <c r="F574" t="s">
        <v>167</v>
      </c>
      <c r="G574" t="s">
        <v>59</v>
      </c>
    </row>
    <row r="575" spans="1:8" x14ac:dyDescent="0.2">
      <c r="A575" t="str">
        <f>INDEX('ei names mapping'!$B$4:$BL$33,MATCH(B537,'ei names mapping'!$A$4:$A$33,0),MATCH(G575,'ei names mapping'!$B$3:$BL$3,0))</f>
        <v>Nitrogen oxides</v>
      </c>
      <c r="B575" s="7">
        <f>INDEX('vehicles specifications'!$B$3:$CW$166,MATCH(B540,'vehicles specifications'!$A$3:$A$166,0),MATCH(G575,'vehicles specifications'!$B$2:$CW$2,0))*INDEX('ei names mapping'!$B$137:$BL$300,MATCH(B540,'ei names mapping'!$A$137:$A$300,0),MATCH(G575,'ei names mapping'!$B$136:$BL$136,0))</f>
        <v>8.4597180733547286E-5</v>
      </c>
      <c r="D575" t="str">
        <f>INDEX('ei names mapping'!$B$104:$BL$133,MATCH(B537,'ei names mapping'!$A$4:$A$33,0),MATCH(G575,'ei names mapping'!$B$3:$BL$3,0))</f>
        <v>kilogram</v>
      </c>
      <c r="E575" t="str">
        <f>INDEX('ei names mapping'!$B$305:$BL$335,MATCH(B537,'ei names mapping'!$A$4:$A$33,0),MATCH(G575,'ei names mapping'!$B$3:$BL$3,0))</f>
        <v>air::urban air close to ground</v>
      </c>
      <c r="F575" t="s">
        <v>167</v>
      </c>
      <c r="G575" t="s">
        <v>60</v>
      </c>
    </row>
    <row r="576" spans="1:8" x14ac:dyDescent="0.2">
      <c r="A576" t="str">
        <f>INDEX('ei names mapping'!$B$4:$BL$33,MATCH(B537,'ei names mapping'!$A$4:$A$33,0),MATCH(G576,'ei names mapping'!$B$3:$BL$3,0))</f>
        <v>Particulates, &lt; 2.5 um</v>
      </c>
      <c r="B576" s="7">
        <f>INDEX('vehicles specifications'!$B$3:$CW$166,MATCH(B$540,'vehicles specifications'!$A$3:$A$166,0),MATCH(G576,'vehicles specifications'!$B$2:$CW$2,0))*INDEX('ei names mapping'!$B$137:$BL$300,MATCH(B$540,'ei names mapping'!$A$137:$A$300,0),MATCH(G576,'ei names mapping'!$B$136:$BL$136,0))</f>
        <v>6.4786907116690766E-6</v>
      </c>
      <c r="D576" t="str">
        <f>INDEX('ei names mapping'!$B$104:$BL$133,MATCH(B537,'ei names mapping'!$A$4:$A$33,0),MATCH(G576,'ei names mapping'!$B$3:$BL$3,0))</f>
        <v>kilogram</v>
      </c>
      <c r="E576" t="str">
        <f>INDEX('ei names mapping'!$B$305:$BL$335,MATCH(B537,'ei names mapping'!$A$4:$A$33,0),MATCH(G576,'ei names mapping'!$B$3:$BL$3,0))</f>
        <v>air::urban air close to ground</v>
      </c>
      <c r="F576" t="s">
        <v>167</v>
      </c>
      <c r="G576" t="s">
        <v>62</v>
      </c>
    </row>
    <row r="577" spans="1:7" x14ac:dyDescent="0.2">
      <c r="A577" t="str">
        <f>INDEX('ei names mapping'!$B$4:$BL$33,MATCH(B$229,'ei names mapping'!$A$4:$A$33,0),MATCH(G577,'ei names mapping'!$B$3:$BL$3,0))</f>
        <v>NMVOC, non-methane volatile organic compounds, unspecified origin</v>
      </c>
      <c r="B577" s="7">
        <f>INDEX('vehicles specifications'!$B$3:$CW$166,MATCH(B$540,'vehicles specifications'!$A$3:$A$166,0),MATCH(G577,'vehicles specifications'!$B$2:$CW$2,0))*INDEX('ei names mapping'!$B$137:$BL$300,MATCH(B$540,'ei names mapping'!$A$137:$A$300,0),MATCH(G577,'ei names mapping'!$B$136:$BL$136,0))</f>
        <v>3.9544388704774156E-4</v>
      </c>
      <c r="D577" t="str">
        <f>INDEX('ei names mapping'!$B$104:$BL$133,MATCH(B$229,'ei names mapping'!$A$4:$A$33,0),MATCH(G577,'ei names mapping'!$B$3:$BL$3,0))</f>
        <v>kilogram</v>
      </c>
      <c r="E577" t="str">
        <f>INDEX('ei names mapping'!$B$305:$BL$335,MATCH(B$229,'ei names mapping'!$A$4:$A$33,0),MATCH(G577,'ei names mapping'!$B$3:$BL$3,0))</f>
        <v>air::urban air close to ground</v>
      </c>
      <c r="F577" t="s">
        <v>167</v>
      </c>
      <c r="G577" t="s">
        <v>593</v>
      </c>
    </row>
    <row r="578" spans="1:7" x14ac:dyDescent="0.2">
      <c r="A578" t="str">
        <f>INDEX('ei names mapping'!$B$4:$BL$33,MATCH(B$229,'ei names mapping'!$A$4:$A$33,0),MATCH(G578,'ei names mapping'!$B$3:$BL$3,0))</f>
        <v>Ethane</v>
      </c>
      <c r="B578" s="7">
        <f>INDEX('vehicles specifications'!$B$3:$CW$166,MATCH(B$540,'vehicles specifications'!$A$3:$A$166,0),MATCH(G578,'vehicles specifications'!$B$2:$CW$2,0))*INDEX('ei names mapping'!$B$137:$BL$300,MATCH(B$540,'ei names mapping'!$A$137:$A$300,0),MATCH(G578,'ei names mapping'!$B$136:$BL$136,0))</f>
        <v>2.7883863830289469E-5</v>
      </c>
      <c r="D578" t="str">
        <f>INDEX('ei names mapping'!$B$104:$BL$133,MATCH(B$229,'ei names mapping'!$A$4:$A$33,0),MATCH(G578,'ei names mapping'!$B$3:$BL$3,0))</f>
        <v>kilogram</v>
      </c>
      <c r="E578" t="str">
        <f>INDEX('ei names mapping'!$B$305:$BL$335,MATCH(B$229,'ei names mapping'!$A$4:$A$33,0),MATCH(G578,'ei names mapping'!$B$3:$BL$3,0))</f>
        <v>air::urban air close to ground</v>
      </c>
      <c r="F578" t="s">
        <v>167</v>
      </c>
      <c r="G578" t="s">
        <v>541</v>
      </c>
    </row>
    <row r="579" spans="1:7" x14ac:dyDescent="0.2">
      <c r="A579" t="str">
        <f>INDEX('ei names mapping'!$B$4:$BL$33,MATCH(B$229,'ei names mapping'!$A$4:$A$33,0),MATCH(G579,'ei names mapping'!$B$3:$BL$3,0))</f>
        <v>Propane</v>
      </c>
      <c r="B579" s="7">
        <f>INDEX('vehicles specifications'!$B$3:$CW$166,MATCH(B$540,'vehicles specifications'!$A$3:$A$166,0),MATCH(G579,'vehicles specifications'!$B$2:$CW$2,0))*INDEX('ei names mapping'!$B$137:$BL$300,MATCH(B$540,'ei names mapping'!$A$137:$A$300,0),MATCH(G579,'ei names mapping'!$B$136:$BL$136,0))</f>
        <v>5.6816650437893903E-6</v>
      </c>
      <c r="D579" t="str">
        <f>INDEX('ei names mapping'!$B$104:$BL$133,MATCH(B$229,'ei names mapping'!$A$4:$A$33,0),MATCH(G579,'ei names mapping'!$B$3:$BL$3,0))</f>
        <v>kilogram</v>
      </c>
      <c r="E579" t="str">
        <f>INDEX('ei names mapping'!$B$305:$BL$335,MATCH(B$229,'ei names mapping'!$A$4:$A$33,0),MATCH(G579,'ei names mapping'!$B$3:$BL$3,0))</f>
        <v>air::urban air close to ground</v>
      </c>
      <c r="F579" t="s">
        <v>167</v>
      </c>
      <c r="G579" t="s">
        <v>542</v>
      </c>
    </row>
    <row r="580" spans="1:7" x14ac:dyDescent="0.2">
      <c r="A580" t="str">
        <f>INDEX('ei names mapping'!$B$4:$BL$33,MATCH(B$229,'ei names mapping'!$A$4:$A$33,0),MATCH(G580,'ei names mapping'!$B$3:$BL$3,0))</f>
        <v>Butane</v>
      </c>
      <c r="B580" s="7">
        <f>INDEX('vehicles specifications'!$B$3:$CW$166,MATCH(B$540,'vehicles specifications'!$A$3:$A$166,0),MATCH(G580,'vehicles specifications'!$B$2:$CW$2,0))*INDEX('ei names mapping'!$B$137:$BL$300,MATCH(B$540,'ei names mapping'!$A$137:$A$300,0),MATCH(G580,'ei names mapping'!$B$136:$BL$136,0))</f>
        <v>4.5802961276086779E-5</v>
      </c>
      <c r="D580" t="str">
        <f>INDEX('ei names mapping'!$B$104:$BL$133,MATCH(B$229,'ei names mapping'!$A$4:$A$33,0),MATCH(G580,'ei names mapping'!$B$3:$BL$3,0))</f>
        <v>kilogram</v>
      </c>
      <c r="E580" t="str">
        <f>INDEX('ei names mapping'!$B$305:$BL$335,MATCH(B$229,'ei names mapping'!$A$4:$A$33,0),MATCH(G580,'ei names mapping'!$B$3:$BL$3,0))</f>
        <v>air::urban air close to ground</v>
      </c>
      <c r="F580" t="s">
        <v>167</v>
      </c>
      <c r="G580" t="s">
        <v>543</v>
      </c>
    </row>
    <row r="581" spans="1:7" x14ac:dyDescent="0.2">
      <c r="A581" t="str">
        <f>INDEX('ei names mapping'!$B$4:$BL$33,MATCH(B$229,'ei names mapping'!$A$4:$A$33,0),MATCH(G581,'ei names mapping'!$B$3:$BL$3,0))</f>
        <v>Pentane</v>
      </c>
      <c r="B581" s="7">
        <f>INDEX('vehicles specifications'!$B$3:$CW$166,MATCH(B$540,'vehicles specifications'!$A$3:$A$166,0),MATCH(G581,'vehicles specifications'!$B$2:$CW$2,0))*INDEX('ei names mapping'!$B$137:$BL$300,MATCH(B$540,'ei names mapping'!$A$137:$A$300,0),MATCH(G581,'ei names mapping'!$B$136:$BL$136,0))</f>
        <v>1.8793199760226445E-5</v>
      </c>
      <c r="D581" t="str">
        <f>INDEX('ei names mapping'!$B$104:$BL$133,MATCH(B$229,'ei names mapping'!$A$4:$A$33,0),MATCH(G581,'ei names mapping'!$B$3:$BL$3,0))</f>
        <v>kilogram</v>
      </c>
      <c r="E581" t="str">
        <f>INDEX('ei names mapping'!$B$305:$BL$335,MATCH(B$229,'ei names mapping'!$A$4:$A$33,0),MATCH(G581,'ei names mapping'!$B$3:$BL$3,0))</f>
        <v>air::urban air close to ground</v>
      </c>
      <c r="F581" t="s">
        <v>167</v>
      </c>
      <c r="G581" t="s">
        <v>544</v>
      </c>
    </row>
    <row r="582" spans="1:7" x14ac:dyDescent="0.2">
      <c r="A582" t="str">
        <f>INDEX('ei names mapping'!$B$4:$BL$33,MATCH(B$229,'ei names mapping'!$A$4:$A$33,0),MATCH(G582,'ei names mapping'!$B$3:$BL$3,0))</f>
        <v>Hexane</v>
      </c>
      <c r="B582" s="7">
        <f>INDEX('vehicles specifications'!$B$3:$CW$166,MATCH(B$540,'vehicles specifications'!$A$3:$A$166,0),MATCH(G582,'vehicles specifications'!$B$2:$CW$2,0))*INDEX('ei names mapping'!$B$137:$BL$300,MATCH(B$540,'ei names mapping'!$A$137:$A$300,0),MATCH(G582,'ei names mapping'!$B$136:$BL$136,0))</f>
        <v>1.4073047262309106E-5</v>
      </c>
      <c r="D582" t="str">
        <f>INDEX('ei names mapping'!$B$104:$BL$133,MATCH(B$229,'ei names mapping'!$A$4:$A$33,0),MATCH(G582,'ei names mapping'!$B$3:$BL$3,0))</f>
        <v>kilogram</v>
      </c>
      <c r="E582" t="str">
        <f>INDEX('ei names mapping'!$B$305:$BL$335,MATCH(B$229,'ei names mapping'!$A$4:$A$33,0),MATCH(G582,'ei names mapping'!$B$3:$BL$3,0))</f>
        <v>air::urban air close to ground</v>
      </c>
      <c r="F582" t="s">
        <v>167</v>
      </c>
      <c r="G582" t="s">
        <v>545</v>
      </c>
    </row>
    <row r="583" spans="1:7" x14ac:dyDescent="0.2">
      <c r="A583" t="str">
        <f>INDEX('ei names mapping'!$B$4:$BL$33,MATCH(B$229,'ei names mapping'!$A$4:$A$33,0),MATCH(G583,'ei names mapping'!$B$3:$BL$3,0))</f>
        <v>Cyclohexane</v>
      </c>
      <c r="B583" s="7">
        <f>INDEX('vehicles specifications'!$B$3:$CW$166,MATCH(B$540,'vehicles specifications'!$A$3:$A$166,0),MATCH(G583,'vehicles specifications'!$B$2:$CW$2,0))*INDEX('ei names mapping'!$B$137:$BL$300,MATCH(B$540,'ei names mapping'!$A$137:$A$300,0),MATCH(G583,'ei names mapping'!$B$136:$BL$136,0))</f>
        <v>9.9647663844921616E-6</v>
      </c>
      <c r="D583" t="str">
        <f>INDEX('ei names mapping'!$B$104:$BL$133,MATCH(B$229,'ei names mapping'!$A$4:$A$33,0),MATCH(G583,'ei names mapping'!$B$3:$BL$3,0))</f>
        <v>kilogram</v>
      </c>
      <c r="E583" t="str">
        <f>INDEX('ei names mapping'!$B$305:$BL$335,MATCH(B$229,'ei names mapping'!$A$4:$A$33,0),MATCH(G583,'ei names mapping'!$B$3:$BL$3,0))</f>
        <v>air::urban air close to ground</v>
      </c>
      <c r="F583" t="s">
        <v>167</v>
      </c>
      <c r="G583" t="s">
        <v>546</v>
      </c>
    </row>
    <row r="584" spans="1:7" x14ac:dyDescent="0.2">
      <c r="A584" t="str">
        <f>INDEX('ei names mapping'!$B$4:$BL$33,MATCH(B$229,'ei names mapping'!$A$4:$A$33,0),MATCH(G584,'ei names mapping'!$B$3:$BL$3,0))</f>
        <v>Heptane</v>
      </c>
      <c r="B584" s="7">
        <f>INDEX('vehicles specifications'!$B$3:$CW$166,MATCH(B$540,'vehicles specifications'!$A$3:$A$166,0),MATCH(G584,'vehicles specifications'!$B$2:$CW$2,0))*INDEX('ei names mapping'!$B$137:$BL$300,MATCH(B$540,'ei names mapping'!$A$137:$A$300,0),MATCH(G584,'ei names mapping'!$B$136:$BL$136,0))</f>
        <v>6.4683571267756131E-6</v>
      </c>
      <c r="D584" t="str">
        <f>INDEX('ei names mapping'!$B$104:$BL$133,MATCH(B$229,'ei names mapping'!$A$4:$A$33,0),MATCH(G584,'ei names mapping'!$B$3:$BL$3,0))</f>
        <v>kilogram</v>
      </c>
      <c r="E584" t="str">
        <f>INDEX('ei names mapping'!$B$305:$BL$335,MATCH(B$229,'ei names mapping'!$A$4:$A$33,0),MATCH(G584,'ei names mapping'!$B$3:$BL$3,0))</f>
        <v>air::urban air close to ground</v>
      </c>
      <c r="F584" t="s">
        <v>167</v>
      </c>
      <c r="G584" t="s">
        <v>547</v>
      </c>
    </row>
    <row r="585" spans="1:7" x14ac:dyDescent="0.2">
      <c r="A585" t="str">
        <f>INDEX('ei names mapping'!$B$4:$BL$33,MATCH(B$229,'ei names mapping'!$A$4:$A$33,0),MATCH(G585,'ei names mapping'!$B$3:$BL$3,0))</f>
        <v>Ethene</v>
      </c>
      <c r="B585" s="7">
        <f>INDEX('vehicles specifications'!$B$3:$CW$166,MATCH(B$540,'vehicles specifications'!$A$3:$A$166,0),MATCH(G585,'vehicles specifications'!$B$2:$CW$2,0))*INDEX('ei names mapping'!$B$137:$BL$300,MATCH(B$540,'ei names mapping'!$A$137:$A$300,0),MATCH(G585,'ei names mapping'!$B$136:$BL$136,0))</f>
        <v>6.3809468953327002E-5</v>
      </c>
      <c r="D585" t="str">
        <f>INDEX('ei names mapping'!$B$104:$BL$133,MATCH(B$229,'ei names mapping'!$A$4:$A$33,0),MATCH(G585,'ei names mapping'!$B$3:$BL$3,0))</f>
        <v>kilogram</v>
      </c>
      <c r="E585" t="str">
        <f>INDEX('ei names mapping'!$B$305:$BL$335,MATCH(B$229,'ei names mapping'!$A$4:$A$33,0),MATCH(G585,'ei names mapping'!$B$3:$BL$3,0))</f>
        <v>air::urban air close to ground</v>
      </c>
      <c r="F585" t="s">
        <v>167</v>
      </c>
      <c r="G585" t="s">
        <v>548</v>
      </c>
    </row>
    <row r="586" spans="1:7" x14ac:dyDescent="0.2">
      <c r="A586" t="str">
        <f>INDEX('ei names mapping'!$B$4:$BL$33,MATCH(B$229,'ei names mapping'!$A$4:$A$33,0),MATCH(G586,'ei names mapping'!$B$3:$BL$3,0))</f>
        <v>Propene</v>
      </c>
      <c r="B586" s="7">
        <f>INDEX('vehicles specifications'!$B$3:$CW$166,MATCH(B$540,'vehicles specifications'!$A$3:$A$166,0),MATCH(G586,'vehicles specifications'!$B$2:$CW$2,0))*INDEX('ei names mapping'!$B$137:$BL$300,MATCH(B$540,'ei names mapping'!$A$137:$A$300,0),MATCH(G586,'ei names mapping'!$B$136:$BL$136,0))</f>
        <v>3.3390708411193032E-5</v>
      </c>
      <c r="D586" t="str">
        <f>INDEX('ei names mapping'!$B$104:$BL$133,MATCH(B$229,'ei names mapping'!$A$4:$A$33,0),MATCH(G586,'ei names mapping'!$B$3:$BL$3,0))</f>
        <v>kilogram</v>
      </c>
      <c r="E586" t="str">
        <f>INDEX('ei names mapping'!$B$305:$BL$335,MATCH(B$229,'ei names mapping'!$A$4:$A$33,0),MATCH(G586,'ei names mapping'!$B$3:$BL$3,0))</f>
        <v>air::urban air close to ground</v>
      </c>
      <c r="F586" t="s">
        <v>167</v>
      </c>
      <c r="G586" t="s">
        <v>549</v>
      </c>
    </row>
    <row r="587" spans="1:7" x14ac:dyDescent="0.2">
      <c r="A587" t="str">
        <f>INDEX('ei names mapping'!$B$4:$BL$33,MATCH(B$229,'ei names mapping'!$A$4:$A$33,0),MATCH(G587,'ei names mapping'!$B$3:$BL$3,0))</f>
        <v>1-Pentene</v>
      </c>
      <c r="B587" s="7">
        <f>INDEX('vehicles specifications'!$B$3:$CW$166,MATCH(B$540,'vehicles specifications'!$A$3:$A$166,0),MATCH(G587,'vehicles specifications'!$B$2:$CW$2,0))*INDEX('ei names mapping'!$B$137:$BL$300,MATCH(B$540,'ei names mapping'!$A$137:$A$300,0),MATCH(G587,'ei names mapping'!$B$136:$BL$136,0))</f>
        <v>9.6151254587205081E-7</v>
      </c>
      <c r="D587" t="str">
        <f>INDEX('ei names mapping'!$B$104:$BL$133,MATCH(B$229,'ei names mapping'!$A$4:$A$33,0),MATCH(G587,'ei names mapping'!$B$3:$BL$3,0))</f>
        <v>kilogram</v>
      </c>
      <c r="E587" t="str">
        <f>INDEX('ei names mapping'!$B$305:$BL$335,MATCH(B$229,'ei names mapping'!$A$4:$A$33,0),MATCH(G587,'ei names mapping'!$B$3:$BL$3,0))</f>
        <v>air::urban air close to ground</v>
      </c>
      <c r="F587" t="s">
        <v>167</v>
      </c>
      <c r="G587" t="s">
        <v>550</v>
      </c>
    </row>
    <row r="588" spans="1:7" x14ac:dyDescent="0.2">
      <c r="A588" t="str">
        <f>INDEX('ei names mapping'!$B$4:$BL$33,MATCH(B$229,'ei names mapping'!$A$4:$A$33,0),MATCH(G588,'ei names mapping'!$B$3:$BL$3,0))</f>
        <v>Toluene</v>
      </c>
      <c r="B588" s="7">
        <f>INDEX('vehicles specifications'!$B$3:$CW$166,MATCH(B$540,'vehicles specifications'!$A$3:$A$166,0),MATCH(G588,'vehicles specifications'!$B$2:$CW$2,0))*INDEX('ei names mapping'!$B$137:$BL$300,MATCH(B$540,'ei names mapping'!$A$137:$A$300,0),MATCH(G588,'ei names mapping'!$B$136:$BL$136,0))</f>
        <v>9.5976434124319234E-5</v>
      </c>
      <c r="D588" t="str">
        <f>INDEX('ei names mapping'!$B$104:$BL$133,MATCH(B$229,'ei names mapping'!$A$4:$A$33,0),MATCH(G588,'ei names mapping'!$B$3:$BL$3,0))</f>
        <v>kilogram</v>
      </c>
      <c r="E588" t="str">
        <f>INDEX('ei names mapping'!$B$305:$BL$335,MATCH(B$229,'ei names mapping'!$A$4:$A$33,0),MATCH(G588,'ei names mapping'!$B$3:$BL$3,0))</f>
        <v>air::urban air close to ground</v>
      </c>
      <c r="F588" t="s">
        <v>167</v>
      </c>
      <c r="G588" t="s">
        <v>551</v>
      </c>
    </row>
    <row r="589" spans="1:7" x14ac:dyDescent="0.2">
      <c r="A589" t="str">
        <f>INDEX('ei names mapping'!$B$4:$BL$33,MATCH(B$229,'ei names mapping'!$A$4:$A$33,0),MATCH(G589,'ei names mapping'!$B$3:$BL$3,0))</f>
        <v>m-Xylene</v>
      </c>
      <c r="B589" s="7">
        <f>INDEX('vehicles specifications'!$B$3:$CW$166,MATCH(B$540,'vehicles specifications'!$A$3:$A$166,0),MATCH(G589,'vehicles specifications'!$B$2:$CW$2,0))*INDEX('ei names mapping'!$B$137:$BL$300,MATCH(B$540,'ei names mapping'!$A$137:$A$300,0),MATCH(G589,'ei names mapping'!$B$136:$BL$136,0))</f>
        <v>4.7463755673502142E-5</v>
      </c>
      <c r="D589" t="str">
        <f>INDEX('ei names mapping'!$B$104:$BL$133,MATCH(B$229,'ei names mapping'!$A$4:$A$33,0),MATCH(G589,'ei names mapping'!$B$3:$BL$3,0))</f>
        <v>kilogram</v>
      </c>
      <c r="E589" t="str">
        <f>INDEX('ei names mapping'!$B$305:$BL$335,MATCH(B$229,'ei names mapping'!$A$4:$A$33,0),MATCH(G589,'ei names mapping'!$B$3:$BL$3,0))</f>
        <v>air::urban air close to ground</v>
      </c>
      <c r="F589" t="s">
        <v>167</v>
      </c>
      <c r="G589" t="s">
        <v>552</v>
      </c>
    </row>
    <row r="590" spans="1:7" x14ac:dyDescent="0.2">
      <c r="A590" t="str">
        <f>INDEX('ei names mapping'!$B$4:$BL$33,MATCH(B$229,'ei names mapping'!$A$4:$A$33,0),MATCH(G590,'ei names mapping'!$B$3:$BL$3,0))</f>
        <v>o-Xylene</v>
      </c>
      <c r="B590" s="7">
        <f>INDEX('vehicles specifications'!$B$3:$CW$166,MATCH(B$540,'vehicles specifications'!$A$3:$A$166,0),MATCH(G590,'vehicles specifications'!$B$2:$CW$2,0))*INDEX('ei names mapping'!$B$137:$BL$300,MATCH(B$540,'ei names mapping'!$A$137:$A$300,0),MATCH(G590,'ei names mapping'!$B$136:$BL$136,0))</f>
        <v>1.9754712306098495E-5</v>
      </c>
      <c r="D590" t="str">
        <f>INDEX('ei names mapping'!$B$104:$BL$133,MATCH(B$229,'ei names mapping'!$A$4:$A$33,0),MATCH(G590,'ei names mapping'!$B$3:$BL$3,0))</f>
        <v>kilogram</v>
      </c>
      <c r="E590" t="str">
        <f>INDEX('ei names mapping'!$B$305:$BL$335,MATCH(B$229,'ei names mapping'!$A$4:$A$33,0),MATCH(G590,'ei names mapping'!$B$3:$BL$3,0))</f>
        <v>air::urban air close to ground</v>
      </c>
      <c r="F590" t="s">
        <v>167</v>
      </c>
      <c r="G590" t="s">
        <v>553</v>
      </c>
    </row>
    <row r="591" spans="1:7" x14ac:dyDescent="0.2">
      <c r="A591" t="str">
        <f>INDEX('ei names mapping'!$B$4:$BL$33,MATCH(B$229,'ei names mapping'!$A$4:$A$33,0),MATCH(G591,'ei names mapping'!$B$3:$BL$3,0))</f>
        <v>Formaldehyde</v>
      </c>
      <c r="B591" s="7">
        <f>INDEX('vehicles specifications'!$B$3:$CW$166,MATCH(B$540,'vehicles specifications'!$A$3:$A$166,0),MATCH(G591,'vehicles specifications'!$B$2:$CW$2,0))*INDEX('ei names mapping'!$B$137:$BL$300,MATCH(B$540,'ei names mapping'!$A$137:$A$300,0),MATCH(G591,'ei names mapping'!$B$136:$BL$136,0))</f>
        <v>1.485973934529533E-5</v>
      </c>
      <c r="D591" t="str">
        <f>INDEX('ei names mapping'!$B$104:$BL$133,MATCH(B$229,'ei names mapping'!$A$4:$A$33,0),MATCH(G591,'ei names mapping'!$B$3:$BL$3,0))</f>
        <v>kilogram</v>
      </c>
      <c r="E591" t="str">
        <f>INDEX('ei names mapping'!$B$305:$BL$335,MATCH(B$229,'ei names mapping'!$A$4:$A$33,0),MATCH(G591,'ei names mapping'!$B$3:$BL$3,0))</f>
        <v>air::urban air close to ground</v>
      </c>
      <c r="F591" t="s">
        <v>167</v>
      </c>
      <c r="G591" t="s">
        <v>554</v>
      </c>
    </row>
    <row r="592" spans="1:7" x14ac:dyDescent="0.2">
      <c r="A592" t="str">
        <f>INDEX('ei names mapping'!$B$4:$BL$33,MATCH(B$229,'ei names mapping'!$A$4:$A$33,0),MATCH(G592,'ei names mapping'!$B$3:$BL$3,0))</f>
        <v>Acetaldehyde</v>
      </c>
      <c r="B592" s="7">
        <f>INDEX('vehicles specifications'!$B$3:$CW$166,MATCH(B$540,'vehicles specifications'!$A$3:$A$166,0),MATCH(G592,'vehicles specifications'!$B$2:$CW$2,0))*INDEX('ei names mapping'!$B$137:$BL$300,MATCH(B$540,'ei names mapping'!$A$137:$A$300,0),MATCH(G592,'ei names mapping'!$B$136:$BL$136,0))</f>
        <v>6.5557673582185264E-6</v>
      </c>
      <c r="D592" t="str">
        <f>INDEX('ei names mapping'!$B$104:$BL$133,MATCH(B$229,'ei names mapping'!$A$4:$A$33,0),MATCH(G592,'ei names mapping'!$B$3:$BL$3,0))</f>
        <v>kilogram</v>
      </c>
      <c r="E592" t="str">
        <f>INDEX('ei names mapping'!$B$305:$BL$335,MATCH(B$229,'ei names mapping'!$A$4:$A$33,0),MATCH(G592,'ei names mapping'!$B$3:$BL$3,0))</f>
        <v>air::urban air close to ground</v>
      </c>
      <c r="F592" t="s">
        <v>167</v>
      </c>
      <c r="G592" t="s">
        <v>555</v>
      </c>
    </row>
    <row r="593" spans="1:8" x14ac:dyDescent="0.2">
      <c r="A593" t="str">
        <f>INDEX('ei names mapping'!$B$4:$BL$33,MATCH(B$229,'ei names mapping'!$A$4:$A$33,0),MATCH(G593,'ei names mapping'!$B$3:$BL$3,0))</f>
        <v>Benzaldehyde</v>
      </c>
      <c r="B593" s="7">
        <f>INDEX('vehicles specifications'!$B$3:$CW$166,MATCH(B$540,'vehicles specifications'!$A$3:$A$166,0),MATCH(G593,'vehicles specifications'!$B$2:$CW$2,0))*INDEX('ei names mapping'!$B$137:$BL$300,MATCH(B$540,'ei names mapping'!$A$137:$A$300,0),MATCH(G593,'ei names mapping'!$B$136:$BL$136,0))</f>
        <v>1.9230250917441016E-6</v>
      </c>
      <c r="D593" t="str">
        <f>INDEX('ei names mapping'!$B$104:$BL$133,MATCH(B$229,'ei names mapping'!$A$4:$A$33,0),MATCH(G593,'ei names mapping'!$B$3:$BL$3,0))</f>
        <v>kilogram</v>
      </c>
      <c r="E593" t="str">
        <f>INDEX('ei names mapping'!$B$305:$BL$335,MATCH(B$229,'ei names mapping'!$A$4:$A$33,0),MATCH(G593,'ei names mapping'!$B$3:$BL$3,0))</f>
        <v>air::urban air close to ground</v>
      </c>
      <c r="F593" t="s">
        <v>167</v>
      </c>
      <c r="G593" t="s">
        <v>556</v>
      </c>
    </row>
    <row r="594" spans="1:8" x14ac:dyDescent="0.2">
      <c r="A594" t="str">
        <f>INDEX('ei names mapping'!$B$4:$BL$33,MATCH(B$229,'ei names mapping'!$A$4:$A$33,0),MATCH(G594,'ei names mapping'!$B$3:$BL$3,0))</f>
        <v>Acetone</v>
      </c>
      <c r="B594" s="7">
        <f>INDEX('vehicles specifications'!$B$3:$CW$166,MATCH(B$540,'vehicles specifications'!$A$3:$A$166,0),MATCH(G594,'vehicles specifications'!$B$2:$CW$2,0))*INDEX('ei names mapping'!$B$137:$BL$300,MATCH(B$540,'ei names mapping'!$A$137:$A$300,0),MATCH(G594,'ei names mapping'!$B$136:$BL$136,0))</f>
        <v>5.3320241180177364E-6</v>
      </c>
      <c r="D594" t="str">
        <f>INDEX('ei names mapping'!$B$104:$BL$133,MATCH(B$229,'ei names mapping'!$A$4:$A$33,0),MATCH(G594,'ei names mapping'!$B$3:$BL$3,0))</f>
        <v>kilogram</v>
      </c>
      <c r="E594" t="str">
        <f>INDEX('ei names mapping'!$B$305:$BL$335,MATCH(B$229,'ei names mapping'!$A$4:$A$33,0),MATCH(G594,'ei names mapping'!$B$3:$BL$3,0))</f>
        <v>air::urban air close to ground</v>
      </c>
      <c r="F594" t="s">
        <v>167</v>
      </c>
      <c r="G594" t="s">
        <v>557</v>
      </c>
    </row>
    <row r="595" spans="1:8" x14ac:dyDescent="0.2">
      <c r="A595" t="str">
        <f>INDEX('ei names mapping'!$B$4:$BL$33,MATCH(B$229,'ei names mapping'!$A$4:$A$33,0),MATCH(G595,'ei names mapping'!$B$3:$BL$3,0))</f>
        <v>Methyl ethyl ketone</v>
      </c>
      <c r="B595" s="7">
        <f>INDEX('vehicles specifications'!$B$3:$CW$166,MATCH(B$540,'vehicles specifications'!$A$3:$A$166,0),MATCH(G595,'vehicles specifications'!$B$2:$CW$2,0))*INDEX('ei names mapping'!$B$137:$BL$300,MATCH(B$540,'ei names mapping'!$A$137:$A$300,0),MATCH(G595,'ei names mapping'!$B$136:$BL$136,0))</f>
        <v>0</v>
      </c>
      <c r="D595" t="str">
        <f>INDEX('ei names mapping'!$B$104:$BL$133,MATCH(B$229,'ei names mapping'!$A$4:$A$33,0),MATCH(G595,'ei names mapping'!$B$3:$BL$3,0))</f>
        <v>kilogram</v>
      </c>
      <c r="E595" t="str">
        <f>INDEX('ei names mapping'!$B$305:$BL$335,MATCH(B$229,'ei names mapping'!$A$4:$A$33,0),MATCH(G595,'ei names mapping'!$B$3:$BL$3,0))</f>
        <v>air::urban air close to ground</v>
      </c>
      <c r="F595" t="s">
        <v>167</v>
      </c>
      <c r="G595" t="s">
        <v>560</v>
      </c>
    </row>
    <row r="596" spans="1:8" x14ac:dyDescent="0.2">
      <c r="A596" t="str">
        <f>INDEX('ei names mapping'!$B$4:$BL$33,MATCH(B$229,'ei names mapping'!$A$4:$A$33,0),MATCH(G596,'ei names mapping'!$B$3:$BL$3,0))</f>
        <v>Acrolein</v>
      </c>
      <c r="B596" s="7">
        <f>INDEX('vehicles specifications'!$B$3:$CW$166,MATCH(B$540,'vehicles specifications'!$A$3:$A$166,0),MATCH(G596,'vehicles specifications'!$B$2:$CW$2,0))*INDEX('ei names mapping'!$B$137:$BL$300,MATCH(B$540,'ei names mapping'!$A$137:$A$300,0),MATCH(G596,'ei names mapping'!$B$136:$BL$136,0))</f>
        <v>1.6607943974153603E-6</v>
      </c>
      <c r="D596" t="str">
        <f>INDEX('ei names mapping'!$B$104:$BL$133,MATCH(B$229,'ei names mapping'!$A$4:$A$33,0),MATCH(G596,'ei names mapping'!$B$3:$BL$3,0))</f>
        <v>kilogram</v>
      </c>
      <c r="E596" t="str">
        <f>INDEX('ei names mapping'!$B$305:$BL$335,MATCH(B$229,'ei names mapping'!$A$4:$A$33,0),MATCH(G596,'ei names mapping'!$B$3:$BL$3,0))</f>
        <v>air::urban air close to ground</v>
      </c>
      <c r="F596" t="s">
        <v>167</v>
      </c>
      <c r="G596" t="s">
        <v>558</v>
      </c>
    </row>
    <row r="597" spans="1:8" x14ac:dyDescent="0.2">
      <c r="A597" t="str">
        <f>INDEX('ei names mapping'!$B$4:$BL$33,MATCH(B$229,'ei names mapping'!$A$4:$A$33,0),MATCH(G597,'ei names mapping'!$B$3:$BL$3,0))</f>
        <v>Styrene</v>
      </c>
      <c r="B597" s="7">
        <f>INDEX('vehicles specifications'!$B$3:$CW$166,MATCH(B$540,'vehicles specifications'!$A$3:$A$166,0),MATCH(G597,'vehicles specifications'!$B$2:$CW$2,0))*INDEX('ei names mapping'!$B$137:$BL$300,MATCH(B$540,'ei names mapping'!$A$137:$A$300,0),MATCH(G597,'ei names mapping'!$B$136:$BL$136,0))</f>
        <v>8.8284333757342832E-6</v>
      </c>
      <c r="D597" t="str">
        <f>INDEX('ei names mapping'!$B$104:$BL$133,MATCH(B$229,'ei names mapping'!$A$4:$A$33,0),MATCH(G597,'ei names mapping'!$B$3:$BL$3,0))</f>
        <v>kilogram</v>
      </c>
      <c r="E597" t="str">
        <f>INDEX('ei names mapping'!$B$305:$BL$335,MATCH(B$229,'ei names mapping'!$A$4:$A$33,0),MATCH(G597,'ei names mapping'!$B$3:$BL$3,0))</f>
        <v>air::urban air close to ground</v>
      </c>
      <c r="F597" t="s">
        <v>167</v>
      </c>
      <c r="G597" t="s">
        <v>559</v>
      </c>
    </row>
    <row r="598" spans="1:8" x14ac:dyDescent="0.2">
      <c r="A598" t="str">
        <f>INDEX('ei names mapping'!$B$4:$BL$33,MATCH(B$229,'ei names mapping'!$A$4:$A$33,0),MATCH(G598,'ei names mapping'!$B$3:$BL$3,0))</f>
        <v>PAH, polycyclic aromatic hydrocarbons</v>
      </c>
      <c r="B598" s="7">
        <f>INDEX('vehicles specifications'!$B$3:$CW$166,MATCH(B$540,'vehicles specifications'!$A$3:$A$166,0),MATCH(G598,'vehicles specifications'!$B$2:$CW$2,0))*INDEX('ei names mapping'!$B$137:$BL$300,MATCH(B$540,'ei names mapping'!$A$137:$A$300,0),MATCH(G598,'ei names mapping'!$B$136:$BL$136,0))</f>
        <v>6.603836738281422E-10</v>
      </c>
      <c r="D598" t="str">
        <f>INDEX('ei names mapping'!$B$104:$BL$133,MATCH(B$229,'ei names mapping'!$A$4:$A$33,0),MATCH(G598,'ei names mapping'!$B$3:$BL$3,0))</f>
        <v>kilogram</v>
      </c>
      <c r="E598" t="str">
        <f>INDEX('ei names mapping'!$B$305:$BL$335,MATCH(B$229,'ei names mapping'!$A$4:$A$33,0),MATCH(G598,'ei names mapping'!$B$3:$BL$3,0))</f>
        <v>air::urban air close to ground</v>
      </c>
      <c r="F598" t="s">
        <v>167</v>
      </c>
      <c r="G598" t="s">
        <v>561</v>
      </c>
    </row>
    <row r="599" spans="1:8" x14ac:dyDescent="0.2">
      <c r="A599" t="str">
        <f>INDEX('ei names mapping'!$B$4:$BL$33,MATCH(B$229,'ei names mapping'!$A$4:$A$33,0),MATCH(G599,'ei names mapping'!$B$3:$BL$3,0))</f>
        <v>Arsenic</v>
      </c>
      <c r="B599" s="7">
        <f>INDEX('vehicles specifications'!$B$3:$CW$166,MATCH(B$540,'vehicles specifications'!$A$3:$A$166,0),MATCH(G599,'vehicles specifications'!$B$2:$CW$2,0))*INDEX('ei names mapping'!$B$137:$BL$300,MATCH(B$540,'ei names mapping'!$A$137:$A$300,0),MATCH(G599,'ei names mapping'!$B$136:$BL$136,0))</f>
        <v>5.6929627054150187E-12</v>
      </c>
      <c r="D599" t="str">
        <f>INDEX('ei names mapping'!$B$104:$BL$133,MATCH(B$229,'ei names mapping'!$A$4:$A$33,0),MATCH(G599,'ei names mapping'!$B$3:$BL$3,0))</f>
        <v>kilogram</v>
      </c>
      <c r="E599" t="str">
        <f>INDEX('ei names mapping'!$B$305:$BL$335,MATCH(B$229,'ei names mapping'!$A$4:$A$33,0),MATCH(G599,'ei names mapping'!$B$3:$BL$3,0))</f>
        <v>air::urban air close to ground</v>
      </c>
      <c r="F599" t="s">
        <v>167</v>
      </c>
      <c r="G599" t="s">
        <v>562</v>
      </c>
    </row>
    <row r="600" spans="1:8" x14ac:dyDescent="0.2">
      <c r="A600" t="str">
        <f>INDEX('ei names mapping'!$B$4:$BL$33,MATCH(B$229,'ei names mapping'!$A$4:$A$33,0),MATCH(G600,'ei names mapping'!$B$3:$BL$3,0))</f>
        <v>Selenium</v>
      </c>
      <c r="B600" s="7">
        <f>INDEX('vehicles specifications'!$B$3:$CW$166,MATCH(B$540,'vehicles specifications'!$A$3:$A$166,0),MATCH(G600,'vehicles specifications'!$B$2:$CW$2,0))*INDEX('ei names mapping'!$B$137:$BL$300,MATCH(B$540,'ei names mapping'!$A$137:$A$300,0),MATCH(G600,'ei names mapping'!$B$136:$BL$136,0))</f>
        <v>3.7953084702766794E-12</v>
      </c>
      <c r="D600" t="str">
        <f>INDEX('ei names mapping'!$B$104:$BL$133,MATCH(B$229,'ei names mapping'!$A$4:$A$33,0),MATCH(G600,'ei names mapping'!$B$3:$BL$3,0))</f>
        <v>kilogram</v>
      </c>
      <c r="E600" t="str">
        <f>INDEX('ei names mapping'!$B$305:$BL$335,MATCH(B$229,'ei names mapping'!$A$4:$A$33,0),MATCH(G600,'ei names mapping'!$B$3:$BL$3,0))</f>
        <v>air::urban air close to ground</v>
      </c>
      <c r="F600" t="s">
        <v>167</v>
      </c>
      <c r="G600" t="s">
        <v>563</v>
      </c>
    </row>
    <row r="601" spans="1:8" x14ac:dyDescent="0.2">
      <c r="A601" t="str">
        <f>INDEX('ei names mapping'!$B$4:$BL$33,MATCH(B$229,'ei names mapping'!$A$4:$A$33,0),MATCH(G601,'ei names mapping'!$B$3:$BL$3,0))</f>
        <v>Zinc</v>
      </c>
      <c r="B601" s="7">
        <f>INDEX('vehicles specifications'!$B$3:$CW$166,MATCH(B$540,'vehicles specifications'!$A$3:$A$166,0),MATCH(G601,'vehicles specifications'!$B$2:$CW$2,0))*INDEX('ei names mapping'!$B$137:$BL$300,MATCH(B$540,'ei names mapping'!$A$137:$A$300,0),MATCH(G601,'ei names mapping'!$B$136:$BL$136,0))</f>
        <v>4.0989331478988139E-8</v>
      </c>
      <c r="D601" t="str">
        <f>INDEX('ei names mapping'!$B$104:$BL$133,MATCH(B$229,'ei names mapping'!$A$4:$A$33,0),MATCH(G601,'ei names mapping'!$B$3:$BL$3,0))</f>
        <v>kilogram</v>
      </c>
      <c r="E601" t="str">
        <f>INDEX('ei names mapping'!$B$305:$BL$335,MATCH(B$229,'ei names mapping'!$A$4:$A$33,0),MATCH(G601,'ei names mapping'!$B$3:$BL$3,0))</f>
        <v>air::urban air close to ground</v>
      </c>
      <c r="F601" t="s">
        <v>167</v>
      </c>
      <c r="G601" t="s">
        <v>564</v>
      </c>
    </row>
    <row r="602" spans="1:8" x14ac:dyDescent="0.2">
      <c r="A602" t="str">
        <f>INDEX('ei names mapping'!$B$4:$BL$33,MATCH(B$229,'ei names mapping'!$A$4:$A$33,0),MATCH(G602,'ei names mapping'!$B$3:$BL$3,0))</f>
        <v>Copper</v>
      </c>
      <c r="B602" s="7">
        <f>INDEX('vehicles specifications'!$B$3:$CW$166,MATCH(B$540,'vehicles specifications'!$A$3:$A$166,0),MATCH(G602,'vehicles specifications'!$B$2:$CW$2,0))*INDEX('ei names mapping'!$B$137:$BL$300,MATCH(B$540,'ei names mapping'!$A$137:$A$300,0),MATCH(G602,'ei names mapping'!$B$136:$BL$136,0))</f>
        <v>7.9701477875810258E-10</v>
      </c>
      <c r="D602" t="str">
        <f>INDEX('ei names mapping'!$B$104:$BL$133,MATCH(B$229,'ei names mapping'!$A$4:$A$33,0),MATCH(G602,'ei names mapping'!$B$3:$BL$3,0))</f>
        <v>kilogram</v>
      </c>
      <c r="E602" t="str">
        <f>INDEX('ei names mapping'!$B$305:$BL$335,MATCH(B$229,'ei names mapping'!$A$4:$A$33,0),MATCH(G602,'ei names mapping'!$B$3:$BL$3,0))</f>
        <v>air::urban air close to ground</v>
      </c>
      <c r="F602" t="s">
        <v>167</v>
      </c>
      <c r="G602" t="s">
        <v>522</v>
      </c>
    </row>
    <row r="603" spans="1:8" x14ac:dyDescent="0.2">
      <c r="A603" t="str">
        <f>INDEX('ei names mapping'!$B$4:$BL$33,MATCH(B$229,'ei names mapping'!$A$4:$A$33,0),MATCH(G603,'ei names mapping'!$B$3:$BL$3,0))</f>
        <v>Nickel</v>
      </c>
      <c r="B603" s="7">
        <f>INDEX('vehicles specifications'!$B$3:$CW$166,MATCH(B$540,'vehicles specifications'!$A$3:$A$166,0),MATCH(G603,'vehicles specifications'!$B$2:$CW$2,0))*INDEX('ei names mapping'!$B$137:$BL$300,MATCH(B$540,'ei names mapping'!$A$137:$A$300,0),MATCH(G603,'ei names mapping'!$B$136:$BL$136,0))</f>
        <v>2.4669505056798415E-10</v>
      </c>
      <c r="D603" t="str">
        <f>INDEX('ei names mapping'!$B$104:$BL$133,MATCH(B$229,'ei names mapping'!$A$4:$A$33,0),MATCH(G603,'ei names mapping'!$B$3:$BL$3,0))</f>
        <v>kilogram</v>
      </c>
      <c r="E603" t="str">
        <f>INDEX('ei names mapping'!$B$305:$BL$335,MATCH(B$229,'ei names mapping'!$A$4:$A$33,0),MATCH(G603,'ei names mapping'!$B$3:$BL$3,0))</f>
        <v>air::urban air close to ground</v>
      </c>
      <c r="F603" t="s">
        <v>167</v>
      </c>
      <c r="G603" t="s">
        <v>524</v>
      </c>
    </row>
    <row r="604" spans="1:8" x14ac:dyDescent="0.2">
      <c r="A604" t="str">
        <f>INDEX('ei names mapping'!$B$4:$BL$33,MATCH(B$229,'ei names mapping'!$A$4:$A$33,0),MATCH(G604,'ei names mapping'!$B$3:$BL$3,0))</f>
        <v>Chromium</v>
      </c>
      <c r="B604" s="7">
        <f>INDEX('vehicles specifications'!$B$3:$CW$166,MATCH(B$540,'vehicles specifications'!$A$3:$A$166,0),MATCH(G604,'vehicles specifications'!$B$2:$CW$2,0))*INDEX('ei names mapping'!$B$137:$BL$300,MATCH(B$540,'ei names mapping'!$A$137:$A$300,0),MATCH(G604,'ei names mapping'!$B$136:$BL$136,0))</f>
        <v>3.0362467762213434E-10</v>
      </c>
      <c r="D604" t="str">
        <f>INDEX('ei names mapping'!$B$104:$BL$133,MATCH(B$229,'ei names mapping'!$A$4:$A$33,0),MATCH(G604,'ei names mapping'!$B$3:$BL$3,0))</f>
        <v>kilogram</v>
      </c>
      <c r="E604" t="str">
        <f>INDEX('ei names mapping'!$B$305:$BL$335,MATCH(B$229,'ei names mapping'!$A$4:$A$33,0),MATCH(G604,'ei names mapping'!$B$3:$BL$3,0))</f>
        <v>air::urban air close to ground</v>
      </c>
      <c r="F604" t="s">
        <v>167</v>
      </c>
      <c r="G604" t="s">
        <v>523</v>
      </c>
    </row>
    <row r="605" spans="1:8" x14ac:dyDescent="0.2">
      <c r="A605" t="str">
        <f>INDEX('ei names mapping'!$B$4:$BL$33,MATCH(B$229,'ei names mapping'!$A$4:$A$33,0),MATCH(G605,'ei names mapping'!$B$3:$BL$3,0))</f>
        <v>Chromium VI</v>
      </c>
      <c r="B605" s="7">
        <f>INDEX('vehicles specifications'!$B$3:$CW$166,MATCH(B$540,'vehicles specifications'!$A$3:$A$166,0),MATCH(G605,'vehicles specifications'!$B$2:$CW$2,0))*INDEX('ei names mapping'!$B$137:$BL$300,MATCH(B$540,'ei names mapping'!$A$137:$A$300,0),MATCH(G605,'ei names mapping'!$B$136:$BL$136,0))</f>
        <v>6.0724935524426863E-13</v>
      </c>
      <c r="D605" t="str">
        <f>INDEX('ei names mapping'!$B$104:$BL$133,MATCH(B$229,'ei names mapping'!$A$4:$A$33,0),MATCH(G605,'ei names mapping'!$B$3:$BL$3,0))</f>
        <v>kilogram</v>
      </c>
      <c r="E605" t="str">
        <f>INDEX('ei names mapping'!$B$305:$BL$335,MATCH(B$229,'ei names mapping'!$A$4:$A$33,0),MATCH(G605,'ei names mapping'!$B$3:$BL$3,0))</f>
        <v>air::urban air close to ground</v>
      </c>
      <c r="F605" t="s">
        <v>167</v>
      </c>
      <c r="G605" t="s">
        <v>567</v>
      </c>
    </row>
    <row r="606" spans="1:8" x14ac:dyDescent="0.2">
      <c r="A606" t="str">
        <f>INDEX('ei names mapping'!$B$4:$BL$33,MATCH(B$229,'ei names mapping'!$A$4:$A$33,0),MATCH(G606,'ei names mapping'!$B$3:$BL$3,0))</f>
        <v>Mercury</v>
      </c>
      <c r="B606" s="7">
        <f>INDEX('vehicles specifications'!$B$3:$CW$166,MATCH(B$540,'vehicles specifications'!$A$3:$A$166,0),MATCH(G606,'vehicles specifications'!$B$2:$CW$2,0))*INDEX('ei names mapping'!$B$137:$BL$300,MATCH(B$540,'ei names mapping'!$A$137:$A$300,0),MATCH(G606,'ei names mapping'!$B$136:$BL$136,0))</f>
        <v>1.6509591845703555E-10</v>
      </c>
      <c r="D606" t="str">
        <f>INDEX('ei names mapping'!$B$104:$BL$133,MATCH(B$229,'ei names mapping'!$A$4:$A$33,0),MATCH(G606,'ei names mapping'!$B$3:$BL$3,0))</f>
        <v>kilogram</v>
      </c>
      <c r="E606" t="str">
        <f>INDEX('ei names mapping'!$B$305:$BL$335,MATCH(B$229,'ei names mapping'!$A$4:$A$33,0),MATCH(G606,'ei names mapping'!$B$3:$BL$3,0))</f>
        <v>air::urban air close to ground</v>
      </c>
      <c r="F606" t="s">
        <v>167</v>
      </c>
      <c r="G606" t="s">
        <v>565</v>
      </c>
    </row>
    <row r="607" spans="1:8" x14ac:dyDescent="0.2">
      <c r="A607" t="str">
        <f>INDEX('ei names mapping'!$B$4:$BL$33,MATCH(B$229,'ei names mapping'!$A$4:$A$33,0),MATCH(G607,'ei names mapping'!$B$3:$BL$3,0))</f>
        <v>Cadmium</v>
      </c>
      <c r="B607" s="7">
        <f>INDEX('vehicles specifications'!$B$3:$CW$166,MATCH(B$540,'vehicles specifications'!$A$3:$A$166,0),MATCH(G607,'vehicles specifications'!$B$2:$CW$2,0))*INDEX('ei names mapping'!$B$137:$BL$300,MATCH(B$540,'ei names mapping'!$A$137:$A$300,0),MATCH(G607,'ei names mapping'!$B$136:$BL$136,0))</f>
        <v>2.0494665739494072E-10</v>
      </c>
      <c r="D607" t="str">
        <f>INDEX('ei names mapping'!$B$104:$BL$133,MATCH(B$229,'ei names mapping'!$A$4:$A$33,0),MATCH(G607,'ei names mapping'!$B$3:$BL$3,0))</f>
        <v>kilogram</v>
      </c>
      <c r="E607" t="str">
        <f>INDEX('ei names mapping'!$B$305:$BL$335,MATCH(B$229,'ei names mapping'!$A$4:$A$33,0),MATCH(G607,'ei names mapping'!$B$3:$BL$3,0))</f>
        <v>air::urban air close to ground</v>
      </c>
      <c r="F607" t="s">
        <v>167</v>
      </c>
      <c r="G607" t="s">
        <v>566</v>
      </c>
    </row>
    <row r="608" spans="1:8" x14ac:dyDescent="0.2">
      <c r="A608" t="str">
        <f>INDEX('ei names mapping'!$B$4:$BL$33,MATCH(B537,'ei names mapping'!$A$4:$A$33,0),MATCH(G608,'ei names mapping'!$B$3:$BL$3,0))</f>
        <v>treatment of road wear emissions, passenger car</v>
      </c>
      <c r="B608" s="7">
        <f>INDEX('vehicles specifications'!$B$3:$CW$166,MATCH(B540,'vehicles specifications'!$A$3:$A$166,0),MATCH(G608,'vehicles specifications'!$B$2:$CW$2,0))*INDEX('ei names mapping'!$B$137:$BL$300,MATCH(B540,'ei names mapping'!$A$137:$A$300,0),MATCH(G608,'ei names mapping'!$B$136:$BL$136,0))</f>
        <v>-5.4290963569976135E-6</v>
      </c>
      <c r="C608" t="str">
        <f>INDEX('ei names mapping'!$B$38:$BL$67,MATCH(B537,'ei names mapping'!$A$4:$A$33,0),MATCH(G608,'ei names mapping'!$B$3:$BL$3,0))</f>
        <v>RER</v>
      </c>
      <c r="D608" t="str">
        <f>INDEX('ei names mapping'!$B$104:$BL$133,MATCH(B537,'ei names mapping'!$A$4:$A$33,0),MATCH(G608,'ei names mapping'!$B$3:$BL$3,0))</f>
        <v>kilogram</v>
      </c>
      <c r="F608" t="s">
        <v>89</v>
      </c>
      <c r="G608" t="s">
        <v>29</v>
      </c>
      <c r="H608" t="str">
        <f>INDEX('ei names mapping'!$B$71:$BL$100,MATCH(B537,'ei names mapping'!$A$4:$A$33,0),MATCH(G608,'ei names mapping'!$B$3:$BL$3,0))</f>
        <v>road wear emissions, passenger car</v>
      </c>
    </row>
    <row r="609" spans="1:8" x14ac:dyDescent="0.2">
      <c r="A609" t="str">
        <f>INDEX('ei names mapping'!$B$4:$BL$33,MATCH(B537,'ei names mapping'!$A$4:$A$33,0),MATCH(G609,'ei names mapping'!$B$3:$BL$3,0))</f>
        <v>treatment of tyre wear emissions, passenger car</v>
      </c>
      <c r="B609" s="7">
        <f>INDEX('vehicles specifications'!$B$3:$CW$166,MATCH(B540,'vehicles specifications'!$A$3:$A$166,0),MATCH(G609,'vehicles specifications'!$B$2:$CW$2,0))*INDEX('ei names mapping'!$B$137:$BL$300,MATCH(B540,'ei names mapping'!$A$137:$A$300,0),MATCH(G609,'ei names mapping'!$B$136:$BL$136,0))</f>
        <v>-4.6092503360805489E-6</v>
      </c>
      <c r="C609" t="str">
        <f>INDEX('ei names mapping'!$B$38:$BL$67,MATCH(B537,'ei names mapping'!$A$4:$A$33,0),MATCH(G609,'ei names mapping'!$B$3:$BL$3,0))</f>
        <v>RER</v>
      </c>
      <c r="D609" t="str">
        <f>INDEX('ei names mapping'!$B$104:$BL$133,MATCH(B537,'ei names mapping'!$A$4:$A$33,0),MATCH(G609,'ei names mapping'!$B$3:$BL$3,0))</f>
        <v>kilogram</v>
      </c>
      <c r="F609" t="s">
        <v>89</v>
      </c>
      <c r="G609" t="s">
        <v>30</v>
      </c>
      <c r="H609" t="str">
        <f>INDEX('ei names mapping'!$B$71:$BL$100,MATCH(B537,'ei names mapping'!$A$4:$A$33,0),MATCH(G609,'ei names mapping'!$B$3:$BL$3,0))</f>
        <v>tyre wear emissions, passenger car</v>
      </c>
    </row>
    <row r="610" spans="1:8" x14ac:dyDescent="0.2">
      <c r="A610" t="str">
        <f>INDEX('ei names mapping'!$B$4:$BL$33,MATCH(B537,'ei names mapping'!$A$4:$A$33,0),MATCH(G610,'ei names mapping'!$B$3:$BL$3,0))</f>
        <v>treatment of brake wear emissions, passenger car</v>
      </c>
      <c r="B610" s="7">
        <f>INDEX('vehicles specifications'!$B$3:$CW$166,MATCH(B540,'vehicles specifications'!$A$3:$A$166,0),MATCH(G610,'vehicles specifications'!$B$2:$CW$2,0))*INDEX('ei names mapping'!$B$137:$BL$300,MATCH(B540,'ei names mapping'!$A$137:$A$300,0),MATCH(G610,'ei names mapping'!$B$136:$BL$136,0))</f>
        <v>-3.1592880357861782E-6</v>
      </c>
      <c r="C610" t="str">
        <f>INDEX('ei names mapping'!$B$38:$BL$67,MATCH(B537,'ei names mapping'!$A$4:$A$33,0),MATCH(G610,'ei names mapping'!$B$3:$BL$3,0))</f>
        <v>RER</v>
      </c>
      <c r="D610" t="str">
        <f>INDEX('ei names mapping'!$B$104:$BL$133,MATCH(B537,'ei names mapping'!$A$4:$A$33,0),MATCH(G610,'ei names mapping'!$B$3:$BL$3,0))</f>
        <v>kilogram</v>
      </c>
      <c r="F610" t="s">
        <v>89</v>
      </c>
      <c r="G610" t="s">
        <v>31</v>
      </c>
      <c r="H610" t="str">
        <f>INDEX('ei names mapping'!$B$71:$BL$100,MATCH(B537,'ei names mapping'!$A$4:$A$33,0),MATCH(G610,'ei names mapping'!$B$3:$BL$3,0))</f>
        <v>brake wear emissions, passenger car</v>
      </c>
    </row>
    <row r="612" spans="1:8" ht="16" x14ac:dyDescent="0.2">
      <c r="A612" s="10" t="s">
        <v>71</v>
      </c>
      <c r="B612" s="8" t="str">
        <f>"transport, "&amp;B614&amp;", "&amp;B616</f>
        <v>transport, Moped, gasoline, &lt;4kW, EURO-5, 2050</v>
      </c>
    </row>
    <row r="613" spans="1:8" x14ac:dyDescent="0.2">
      <c r="A613" t="s">
        <v>72</v>
      </c>
      <c r="B613" t="s">
        <v>37</v>
      </c>
    </row>
    <row r="614" spans="1:8" x14ac:dyDescent="0.2">
      <c r="A614" t="s">
        <v>86</v>
      </c>
      <c r="B614" t="s">
        <v>581</v>
      </c>
    </row>
    <row r="615" spans="1:8" x14ac:dyDescent="0.2">
      <c r="A615" t="s">
        <v>87</v>
      </c>
    </row>
    <row r="616" spans="1:8" x14ac:dyDescent="0.2">
      <c r="A616" t="s">
        <v>88</v>
      </c>
      <c r="B616">
        <v>2050</v>
      </c>
    </row>
    <row r="617" spans="1:8" x14ac:dyDescent="0.2">
      <c r="A617" t="s">
        <v>126</v>
      </c>
      <c r="B617" t="str">
        <f>B614&amp;" - "&amp;B616&amp;" - "&amp;B613</f>
        <v>Moped, gasoline, &lt;4kW, EURO-5 - 2050 - CH</v>
      </c>
    </row>
    <row r="618" spans="1:8" x14ac:dyDescent="0.2">
      <c r="A618" t="s">
        <v>73</v>
      </c>
      <c r="B618" t="str">
        <f>"transport, "&amp;B614</f>
        <v>transport, Moped, gasoline, &lt;4kW, EURO-5</v>
      </c>
    </row>
    <row r="619" spans="1:8" x14ac:dyDescent="0.2">
      <c r="A619" t="s">
        <v>74</v>
      </c>
      <c r="B619" t="s">
        <v>75</v>
      </c>
    </row>
    <row r="620" spans="1:8" x14ac:dyDescent="0.2">
      <c r="A620" t="s">
        <v>76</v>
      </c>
      <c r="B620" t="s">
        <v>166</v>
      </c>
    </row>
    <row r="621" spans="1:8" x14ac:dyDescent="0.2">
      <c r="A621" t="s">
        <v>78</v>
      </c>
      <c r="B621" t="s">
        <v>1143</v>
      </c>
    </row>
    <row r="622" spans="1:8" x14ac:dyDescent="0.2">
      <c r="A622" t="s">
        <v>127</v>
      </c>
      <c r="B622">
        <f>INDEX('vehicles specifications'!$B$3:$CW$166,MATCH(B617,'vehicles specifications'!$A$3:$A$166,0),MATCH("Lifetime [km]",'vehicles specifications'!$B$2:$CW$2,0))</f>
        <v>25000</v>
      </c>
    </row>
    <row r="623" spans="1:8" x14ac:dyDescent="0.2">
      <c r="A623" t="s">
        <v>128</v>
      </c>
      <c r="B623">
        <f>INDEX('vehicles specifications'!$B$3:$CW$166,MATCH(B617,'vehicles specifications'!$A$3:$A$166,0),MATCH("Passengers [unit]",'vehicles specifications'!$B$2:$CW$2,0))</f>
        <v>1</v>
      </c>
    </row>
    <row r="624" spans="1:8" x14ac:dyDescent="0.2">
      <c r="A624" t="s">
        <v>129</v>
      </c>
      <c r="B624">
        <f>INDEX('vehicles specifications'!$B$3:$CW$166,MATCH(B617,'vehicles specifications'!$A$3:$A$166,0),MATCH("Servicing [unit]",'vehicles specifications'!$B$2:$CW$2,0))</f>
        <v>1</v>
      </c>
    </row>
    <row r="625" spans="1:8" x14ac:dyDescent="0.2">
      <c r="A625" t="s">
        <v>130</v>
      </c>
      <c r="B625">
        <f>INDEX('vehicles specifications'!$B$3:$CW$166,MATCH(B617,'vehicles specifications'!$A$3:$A$166,0),MATCH("Energy battery replacement [unit]",'vehicles specifications'!$B$2:$CW$2,0))</f>
        <v>0</v>
      </c>
    </row>
    <row r="626" spans="1:8" x14ac:dyDescent="0.2">
      <c r="A626" t="s">
        <v>131</v>
      </c>
      <c r="B626">
        <f>INDEX('vehicles specifications'!$B$3:$CW$166,MATCH(B617,'vehicles specifications'!$A$3:$A$166,0),MATCH("Annual kilometers [km]",'vehicles specifications'!$B$2:$CW$2,0))</f>
        <v>1570</v>
      </c>
    </row>
    <row r="627" spans="1:8" x14ac:dyDescent="0.2">
      <c r="A627" t="s">
        <v>132</v>
      </c>
      <c r="B627" s="2">
        <f>INDEX('vehicles specifications'!$B$3:$CW$166,MATCH(B617,'vehicles specifications'!$A$3:$A$166,0),MATCH("Curb mass [kg]",'vehicles specifications'!$B$2:$CW$2,0))</f>
        <v>59.971624999999996</v>
      </c>
    </row>
    <row r="628" spans="1:8" x14ac:dyDescent="0.2">
      <c r="A628" t="s">
        <v>133</v>
      </c>
      <c r="B628">
        <f>INDEX('vehicles specifications'!$B$3:$CW$166,MATCH(B617,'vehicles specifications'!$A$3:$A$166,0),MATCH("Power [kW]",'vehicles specifications'!$B$2:$CW$2,0))</f>
        <v>2.5</v>
      </c>
    </row>
    <row r="629" spans="1:8" x14ac:dyDescent="0.2">
      <c r="A629" t="s">
        <v>134</v>
      </c>
      <c r="B629" t="str">
        <f>INDEX('vehicles specifications'!$B$3:$CW$166,MATCH(B617,'vehicles specifications'!$A$3:$A$166,0),MATCH("Energy battery mass [kg]",'vehicles specifications'!$B$2:$CW$2,0))</f>
        <v/>
      </c>
    </row>
    <row r="630" spans="1:8" x14ac:dyDescent="0.2">
      <c r="A630" t="s">
        <v>135</v>
      </c>
      <c r="B630">
        <f>INDEX('vehicles specifications'!$B$3:$CW$166,MATCH(B617,'vehicles specifications'!$A$3:$A$166,0),MATCH("Electric energy available [kWh]",'vehicles specifications'!$B$2:$CW$2,0))</f>
        <v>0</v>
      </c>
    </row>
    <row r="631" spans="1:8" x14ac:dyDescent="0.2">
      <c r="A631" t="s">
        <v>138</v>
      </c>
      <c r="B631" s="2">
        <f>INDEX('vehicles specifications'!$B$3:$CW$166,MATCH(B617,'vehicles specifications'!$A$3:$A$166,0),MATCH("Oxydation energy stored [kWh]",'vehicles specifications'!$B$2:$CW$2,0))</f>
        <v>62.125</v>
      </c>
    </row>
    <row r="632" spans="1:8" x14ac:dyDescent="0.2">
      <c r="A632" t="s">
        <v>139</v>
      </c>
      <c r="B632">
        <f>INDEX('vehicles specifications'!$B$3:$CW$166,MATCH(B617,'vehicles specifications'!$A$3:$A$166,0),MATCH("Fuel mass [kg]",'vehicles specifications'!$B$2:$CW$2,0))</f>
        <v>5.25</v>
      </c>
    </row>
    <row r="633" spans="1:8" x14ac:dyDescent="0.2">
      <c r="A633" t="s">
        <v>136</v>
      </c>
      <c r="B633" s="2">
        <f>INDEX('vehicles specifications'!$B$3:$CW$166,MATCH(B617,'vehicles specifications'!$A$3:$A$166,0),MATCH("Range [km]",'vehicles specifications'!$B$2:$CW$2,0))</f>
        <v>280.10940681208302</v>
      </c>
    </row>
    <row r="634" spans="1:8" x14ac:dyDescent="0.2">
      <c r="A634" t="s">
        <v>137</v>
      </c>
      <c r="B634" t="str">
        <f>INDEX('vehicles specifications'!$B$3:$CW$166,MATCH(B617,'vehicles specifications'!$A$3:$A$166,0),MATCH("Emission standard",'vehicles specifications'!$B$2:$CW$2,0))</f>
        <v>EURO-5</v>
      </c>
    </row>
    <row r="635" spans="1:8" x14ac:dyDescent="0.2">
      <c r="A635" t="s">
        <v>1174</v>
      </c>
      <c r="B635" s="6">
        <f>INDEX('vehicles specifications'!$B$3:$CW$166,MATCH(B617,'vehicles specifications'!$A$3:$A$166,0),MATCH("Lightweighting rate [%]",'vehicles specifications'!$B$2:$CW$2,0))</f>
        <v>7.0000000000000007E-2</v>
      </c>
    </row>
    <row r="636" spans="1:8" x14ac:dyDescent="0.2">
      <c r="A636" t="s">
        <v>83</v>
      </c>
      <c r="B636" t="str">
        <f>"Power: "&amp;B628&amp;" kW. Lifetime: "&amp;B622&amp;" km. Annual kilometers: "&amp;B626&amp;" km. Number of passengers: "&amp;B623&amp;". Curb mass: "&amp;ROUND(B627,1)&amp;" kg. Lightweighting of glider: "&amp;ROUND(B635*100,0)&amp;"%. Emission standard: "&amp;B634&amp;". Service visits throughout lifetime: "&amp;ROUND(B624,1)&amp;". Range: "&amp;ROUND(B633,0)&amp;" km.  Fuel tank capacity: "&amp;ROUND(B631,1)&amp;" kWh. Fuel mass: "&amp;ROUND(B632,1)&amp;" kg. Documentation: "&amp;Readmefirst!$B$2&amp;", "&amp;Readmefirst!$B$3&amp;". "&amp;B621</f>
        <v>Power: 2.5 kW. Lifetime: 25000 km. Annual kilometers: 1570 km. Number of passengers: 1. Curb mass: 60 kg. Lightweighting of glider: 7%. Emission standard: EURO-5. Service visits throughout lifetime: 1. Range: 280 km.  Fuel tank capacity: 62.1 kWh. Fuel mass: 5.3 kg. Documentation: Life-cycle inventories for on-road vehicles, Sacchi R. (PSI), Bauer C. (PSI), 2021. Sacchi R., Bauer C. Life cycle inventories for on-road vehicles. Paul Scherrer Institut, 2021.</v>
      </c>
    </row>
    <row r="637" spans="1:8" ht="16" x14ac:dyDescent="0.2">
      <c r="A637" s="10" t="s">
        <v>79</v>
      </c>
    </row>
    <row r="638" spans="1:8" x14ac:dyDescent="0.2">
      <c r="A638" t="s">
        <v>80</v>
      </c>
      <c r="B638" t="s">
        <v>81</v>
      </c>
      <c r="C638" t="s">
        <v>72</v>
      </c>
      <c r="D638" t="s">
        <v>76</v>
      </c>
      <c r="E638" t="s">
        <v>82</v>
      </c>
      <c r="F638" t="s">
        <v>74</v>
      </c>
      <c r="G638" t="s">
        <v>83</v>
      </c>
      <c r="H638" t="s">
        <v>73</v>
      </c>
    </row>
    <row r="639" spans="1:8" x14ac:dyDescent="0.2">
      <c r="A639" t="str">
        <f>B612</f>
        <v>transport, Moped, gasoline, &lt;4kW, EURO-5, 2050</v>
      </c>
      <c r="B639">
        <v>1</v>
      </c>
      <c r="C639" t="str">
        <f>B613</f>
        <v>CH</v>
      </c>
      <c r="D639" t="s">
        <v>166</v>
      </c>
      <c r="F639" t="s">
        <v>84</v>
      </c>
      <c r="G639" t="s">
        <v>85</v>
      </c>
      <c r="H639" t="str">
        <f>B618</f>
        <v>transport, Moped, gasoline, &lt;4kW, EURO-5</v>
      </c>
    </row>
    <row r="640" spans="1:8" x14ac:dyDescent="0.2">
      <c r="A640" t="str">
        <f>RIGHT(A639,LEN(A639)-11)</f>
        <v>Moped, gasoline, &lt;4kW, EURO-5, 2050</v>
      </c>
      <c r="B640" s="7">
        <f>1/B622</f>
        <v>4.0000000000000003E-5</v>
      </c>
      <c r="C640" t="str">
        <f>B613</f>
        <v>CH</v>
      </c>
      <c r="D640" t="s">
        <v>76</v>
      </c>
      <c r="F640" t="s">
        <v>89</v>
      </c>
      <c r="H640" t="str">
        <f>RIGHT(H639,LEN(H639)-11)</f>
        <v>Moped, gasoline, &lt;4kW, EURO-5</v>
      </c>
    </row>
    <row r="641" spans="1:8" x14ac:dyDescent="0.2">
      <c r="A641" t="str">
        <f>INDEX('ei names mapping'!$B$4:$R$33,MATCH(B614,'ei names mapping'!$A$4:$A$33,0),MATCH(G641,'ei names mapping'!$B$3:$R$3,0))</f>
        <v>road construction</v>
      </c>
      <c r="B641" s="7">
        <f>INDEX('vehicles specifications'!$B$3:$CW$166,MATCH(B617,'vehicles specifications'!$A$3:$A$166,0),MATCH(G641,'vehicles specifications'!$B$2:$CW$2,0))*INDEX('ei names mapping'!$B$137:$BL$300,MATCH(B617,'ei names mapping'!$A$137:$A$300,0),MATCH(G641,'ei names mapping'!$B$136:$BL$136,0))</f>
        <v>7.3553762624999994E-5</v>
      </c>
      <c r="C641" t="str">
        <f>INDEX('ei names mapping'!$B$38:$R$67,MATCH(B614,'ei names mapping'!$A$4:$A$33,0),MATCH(G641,'ei names mapping'!$B$3:$R$3,0))</f>
        <v>CH</v>
      </c>
      <c r="D641" t="str">
        <f>INDEX('ei names mapping'!$B$104:$BL$133,MATCH(B614,'ei names mapping'!$A$4:$A$33,0),MATCH(G641,'ei names mapping'!$B$3:$BL$3,0))</f>
        <v>meter-year</v>
      </c>
      <c r="F641" t="s">
        <v>89</v>
      </c>
      <c r="G641" t="s">
        <v>105</v>
      </c>
      <c r="H641" t="str">
        <f>INDEX('ei names mapping'!$B$71:$BL$100,MATCH(B614,'ei names mapping'!$A$4:$A$33,0),MATCH(G641,'ei names mapping'!$B$3:$BL$3,0))</f>
        <v>road</v>
      </c>
    </row>
    <row r="642" spans="1:8" x14ac:dyDescent="0.2">
      <c r="A642" t="str">
        <f>INDEX('ei names mapping'!$B$4:$R$33,MATCH(B614,'ei names mapping'!$A$4:$A$33,0),MATCH(G642,'ei names mapping'!$B$3:$R$3,0))</f>
        <v>road maintenance</v>
      </c>
      <c r="B642" s="7">
        <f>INDEX('vehicles specifications'!$B$3:$CW$166,MATCH(B617,'vehicles specifications'!$A$3:$A$166,0),MATCH(G642,'vehicles specifications'!$B$2:$CW$2,0))*INDEX('ei names mapping'!$B$137:$BL$300,MATCH(B617,'ei names mapping'!$A$137:$A$300,0),MATCH(G642,'ei names mapping'!$B$136:$BL$136,0))</f>
        <v>1.2899999999999999E-3</v>
      </c>
      <c r="C642" t="str">
        <f>INDEX('ei names mapping'!$B$38:$R$67,MATCH(B614,'ei names mapping'!$A$4:$A$33,0),MATCH(G642,'ei names mapping'!$B$3:$R$3,0))</f>
        <v>CH</v>
      </c>
      <c r="D642" t="str">
        <f>INDEX('ei names mapping'!$B$104:$BL$133,MATCH(B614,'ei names mapping'!$A$4:$A$33,0),MATCH(G642,'ei names mapping'!$B$3:$BL$3,0))</f>
        <v>meter-year</v>
      </c>
      <c r="F642" t="s">
        <v>89</v>
      </c>
      <c r="G642" t="s">
        <v>112</v>
      </c>
      <c r="H642" t="str">
        <f>INDEX('ei names mapping'!$B$71:$BL$100,MATCH(B614,'ei names mapping'!$A$4:$A$33,0),MATCH(G642,'ei names mapping'!$B$3:$BL$3,0))</f>
        <v>road maintenance</v>
      </c>
    </row>
    <row r="643" spans="1:8" x14ac:dyDescent="0.2">
      <c r="A643" t="str">
        <f>INDEX('ei names mapping'!$B$4:$R$33,MATCH(B614,'ei names mapping'!$A$4:$A$33,0),MATCH(G643,'ei names mapping'!$B$3:$R$3,0))</f>
        <v>maintenance, motor scooter</v>
      </c>
      <c r="B643" s="7">
        <f>INDEX('vehicles specifications'!$B$3:$CW$166,MATCH(B617,'vehicles specifications'!$A$3:$A$166,0),MATCH(G643,'vehicles specifications'!$B$2:$CW$2,0))*INDEX('ei names mapping'!$B$137:$BL$300,MATCH(B617,'ei names mapping'!$A$137:$A$300,0),MATCH(G643,'ei names mapping'!$B$136:$BL$136,0))</f>
        <v>4.0000000000000003E-5</v>
      </c>
      <c r="C643" t="str">
        <f>INDEX('ei names mapping'!$B$38:$BL$67,MATCH(B614,'ei names mapping'!$A$4:$A$33,0),MATCH(G643,'ei names mapping'!$B$3:$BL$3,0))</f>
        <v>CH</v>
      </c>
      <c r="D643" t="str">
        <f>INDEX('ei names mapping'!$B$104:$BL$133,MATCH(B614,'ei names mapping'!$A$4:$A$33,0),MATCH(G643,'ei names mapping'!$B$3:$BL$3,0))</f>
        <v>unit</v>
      </c>
      <c r="F643" t="s">
        <v>89</v>
      </c>
      <c r="G643" t="s">
        <v>118</v>
      </c>
      <c r="H643" t="str">
        <f>INDEX('ei names mapping'!$B$71:$BL$100,MATCH(B614,'ei names mapping'!$A$4:$A$33,0),MATCH(G643,'ei names mapping'!$B$3:$BL$3,0))</f>
        <v>maintenance, motor scooter</v>
      </c>
    </row>
    <row r="644" spans="1:8" x14ac:dyDescent="0.2">
      <c r="A644" t="str">
        <f>INDEX('ei names mapping'!$B$4:$R$33,MATCH(B614,'ei names mapping'!$A$4:$A$33,0),MATCH(G644,'ei names mapping'!$B$3:$R$3,0))</f>
        <v>petrol blending for two-stroke engines</v>
      </c>
      <c r="B644" s="7">
        <f>INDEX('vehicles specifications'!$B$3:$CW$166,MATCH(B617,'vehicles specifications'!$A$3:$A$166,0),MATCH(G644,'vehicles specifications'!$B$2:$CW$2,0))*INDEX('ei names mapping'!$B$137:$BL$300,MATCH(B617,'ei names mapping'!$A$137:$A$300,0),MATCH(G644,'ei names mapping'!$B$136:$BL$136,0))</f>
        <v>1.8742676512545922E-2</v>
      </c>
      <c r="C644" t="str">
        <f>INDEX('ei names mapping'!$B$38:$BL$67,MATCH(B614,'ei names mapping'!$A$4:$A$33,0),MATCH(G644,'ei names mapping'!$B$3:$BL$3,0))</f>
        <v>CH</v>
      </c>
      <c r="D644" t="str">
        <f>INDEX('ei names mapping'!$B$104:$BL$133,MATCH(B614,'ei names mapping'!$A$4:$A$33,0),MATCH(G644,'ei names mapping'!$B$3:$BL$3,0))</f>
        <v>kilogram</v>
      </c>
      <c r="F644" t="s">
        <v>89</v>
      </c>
      <c r="G644" t="s">
        <v>27</v>
      </c>
      <c r="H644" t="str">
        <f>INDEX('ei names mapping'!$B$71:$BL$100,MATCH(B614,'ei names mapping'!$A$4:$A$33,0),MATCH(G644,'ei names mapping'!$B$3:$BL$3,0))</f>
        <v>petrol, two-stroke blend</v>
      </c>
    </row>
    <row r="645" spans="1:8" x14ac:dyDescent="0.2">
      <c r="A645" t="str">
        <f>INDEX('ei names mapping'!$B$4:$BL$33,MATCH(B614,'ei names mapping'!$A$4:$A$33,0),MATCH(G645,'ei names mapping'!$B$3:$BL$3,0))</f>
        <v>Carbon dioxide, fossil</v>
      </c>
      <c r="B645" s="7">
        <f>INDEX('vehicles specifications'!$B$3:$CW$166,MATCH(B617,'vehicles specifications'!$A$3:$A$166,0),MATCH(G645,'vehicles specifications'!$B$2:$CW$2,0))*INDEX('ei names mapping'!$B$137:$BL$300,MATCH(B617,'ei names mapping'!$A$137:$A$300,0),MATCH(G645,'ei names mapping'!$B$136:$BL$136,0))</f>
        <v>5.8852004249394199E-2</v>
      </c>
      <c r="D645" t="str">
        <f>INDEX('ei names mapping'!$B$104:$BL$133,MATCH(B614,'ei names mapping'!$A$4:$A$33,0),MATCH(G645,'ei names mapping'!$B$3:$BL$3,0))</f>
        <v>kilogram</v>
      </c>
      <c r="E645" t="str">
        <f>INDEX('ei names mapping'!$B$305:$BL$335,MATCH(B614,'ei names mapping'!$A$4:$A$33,0),MATCH(G645,'ei names mapping'!$B$3:$BL$3,0))</f>
        <v>air::urban air close to ground</v>
      </c>
      <c r="F645" t="s">
        <v>167</v>
      </c>
      <c r="G645" t="s">
        <v>66</v>
      </c>
    </row>
    <row r="646" spans="1:8" x14ac:dyDescent="0.2">
      <c r="A646" t="str">
        <f>INDEX('ei names mapping'!$B$4:$BL$33,MATCH(B614,'ei names mapping'!$A$4:$A$33,0),MATCH(G646,'ei names mapping'!$B$3:$BL$3,0))</f>
        <v>Sulfur dioxide</v>
      </c>
      <c r="B646" s="7">
        <f>INDEX('vehicles specifications'!$B$3:$CW$166,MATCH(B617,'vehicles specifications'!$A$3:$A$166,0),MATCH(G646,'vehicles specifications'!$B$2:$CW$2,0))*INDEX('ei names mapping'!$B$137:$BL$300,MATCH(B617,'ei names mapping'!$A$137:$A$300,0),MATCH(G646,'ei names mapping'!$B$136:$BL$136,0))</f>
        <v>2.9988282420073472E-7</v>
      </c>
      <c r="D646" t="str">
        <f>INDEX('ei names mapping'!$B$104:$BL$133,MATCH(B614,'ei names mapping'!$A$4:$A$33,0),MATCH(G646,'ei names mapping'!$B$3:$BL$3,0))</f>
        <v>kilogram</v>
      </c>
      <c r="E646" t="str">
        <f>INDEX('ei names mapping'!$B$305:$BL$335,MATCH(B614,'ei names mapping'!$A$4:$A$33,0),MATCH(G646,'ei names mapping'!$B$3:$BL$3,0))</f>
        <v>air::urban air close to ground</v>
      </c>
      <c r="F646" t="s">
        <v>167</v>
      </c>
      <c r="G646" t="s">
        <v>67</v>
      </c>
    </row>
    <row r="647" spans="1:8" x14ac:dyDescent="0.2">
      <c r="A647" t="str">
        <f>INDEX('ei names mapping'!$B$4:$BL$33,MATCH(B614,'ei names mapping'!$A$4:$A$33,0),MATCH(G647,'ei names mapping'!$B$3:$BL$3,0))</f>
        <v>Benzene</v>
      </c>
      <c r="B647" s="7">
        <f>INDEX('vehicles specifications'!$B$3:$CW$166,MATCH(B617,'vehicles specifications'!$A$3:$A$166,0),MATCH(G647,'vehicles specifications'!$B$2:$CW$2,0))*INDEX('ei names mapping'!$B$137:$BL$300,MATCH(B617,'ei names mapping'!$A$137:$A$300,0),MATCH(G647,'ei names mapping'!$B$136:$BL$136,0))</f>
        <v>4.854676844107983E-5</v>
      </c>
      <c r="D647" t="str">
        <f>INDEX('ei names mapping'!$B$104:$BL$133,MATCH(B614,'ei names mapping'!$A$4:$A$33,0),MATCH(G647,'ei names mapping'!$B$3:$BL$3,0))</f>
        <v>kilogram</v>
      </c>
      <c r="E647" t="str">
        <f>INDEX('ei names mapping'!$B$305:$BL$335,MATCH(B614,'ei names mapping'!$A$4:$A$33,0),MATCH(G647,'ei names mapping'!$B$3:$BL$3,0))</f>
        <v>air::urban air close to ground</v>
      </c>
      <c r="F647" t="s">
        <v>167</v>
      </c>
      <c r="G647" t="s">
        <v>55</v>
      </c>
    </row>
    <row r="648" spans="1:8" x14ac:dyDescent="0.2">
      <c r="A648" t="str">
        <f>INDEX('ei names mapping'!$B$4:$BL$33,MATCH(B614,'ei names mapping'!$A$4:$A$33,0),MATCH(G648,'ei names mapping'!$B$3:$BL$3,0))</f>
        <v>Methane, fossil</v>
      </c>
      <c r="B648" s="7">
        <f>INDEX('vehicles specifications'!$B$3:$CW$166,MATCH(B617,'vehicles specifications'!$A$3:$A$166,0),MATCH(G648,'vehicles specifications'!$B$2:$CW$2,0))*INDEX('ei names mapping'!$B$137:$BL$300,MATCH(B617,'ei names mapping'!$A$137:$A$300,0),MATCH(G648,'ei names mapping'!$B$136:$BL$136,0))</f>
        <v>2.2012544660931132E-5</v>
      </c>
      <c r="D648" t="str">
        <f>INDEX('ei names mapping'!$B$104:$BL$133,MATCH(B614,'ei names mapping'!$A$4:$A$33,0),MATCH(G648,'ei names mapping'!$B$3:$BL$3,0))</f>
        <v>kilogram</v>
      </c>
      <c r="E648" t="str">
        <f>INDEX('ei names mapping'!$B$305:$BL$335,MATCH(B614,'ei names mapping'!$A$4:$A$33,0),MATCH(G648,'ei names mapping'!$B$3:$BL$3,0))</f>
        <v>air::urban air close to ground</v>
      </c>
      <c r="F648" t="s">
        <v>167</v>
      </c>
      <c r="G648" t="s">
        <v>56</v>
      </c>
    </row>
    <row r="649" spans="1:8" x14ac:dyDescent="0.2">
      <c r="A649" t="str">
        <f>INDEX('ei names mapping'!$B$4:$BL$33,MATCH(B614,'ei names mapping'!$A$4:$A$33,0),MATCH(G649,'ei names mapping'!$B$3:$BL$3,0))</f>
        <v>Carbon monoxide, fossil</v>
      </c>
      <c r="B649" s="7">
        <f>INDEX('vehicles specifications'!$B$3:$CW$166,MATCH(B617,'vehicles specifications'!$A$3:$A$166,0),MATCH(G649,'vehicles specifications'!$B$2:$CW$2,0))*INDEX('ei names mapping'!$B$137:$BL$300,MATCH(B617,'ei names mapping'!$A$137:$A$300,0),MATCH(G649,'ei names mapping'!$B$136:$BL$136,0))</f>
        <v>2.3276028801916633E-3</v>
      </c>
      <c r="D649" t="str">
        <f>INDEX('ei names mapping'!$B$104:$BL$133,MATCH(B614,'ei names mapping'!$A$4:$A$33,0),MATCH(G649,'ei names mapping'!$B$3:$BL$3,0))</f>
        <v>kilogram</v>
      </c>
      <c r="E649" t="str">
        <f>INDEX('ei names mapping'!$B$305:$BL$335,MATCH(B614,'ei names mapping'!$A$4:$A$33,0),MATCH(G649,'ei names mapping'!$B$3:$BL$3,0))</f>
        <v>air::urban air close to ground</v>
      </c>
      <c r="F649" t="s">
        <v>167</v>
      </c>
      <c r="G649" t="s">
        <v>57</v>
      </c>
    </row>
    <row r="650" spans="1:8" x14ac:dyDescent="0.2">
      <c r="A650" t="str">
        <f>INDEX('ei names mapping'!$B$4:$BL$33,MATCH(B614,'ei names mapping'!$A$4:$A$33,0),MATCH(G650,'ei names mapping'!$B$3:$BL$3,0))</f>
        <v>Dinitrogen monoxide</v>
      </c>
      <c r="B650" s="7">
        <f>INDEX('vehicles specifications'!$B$3:$CW$166,MATCH(B617,'vehicles specifications'!$A$3:$A$166,0),MATCH(G650,'vehicles specifications'!$B$2:$CW$2,0))*INDEX('ei names mapping'!$B$137:$BL$300,MATCH(B617,'ei names mapping'!$A$137:$A$300,0),MATCH(G650,'ei names mapping'!$B$136:$BL$136,0))</f>
        <v>1.1168211395703267E-6</v>
      </c>
      <c r="D650" t="str">
        <f>INDEX('ei names mapping'!$B$104:$BL$133,MATCH(B614,'ei names mapping'!$A$4:$A$33,0),MATCH(G650,'ei names mapping'!$B$3:$BL$3,0))</f>
        <v>kilogram</v>
      </c>
      <c r="E650" t="str">
        <f>INDEX('ei names mapping'!$B$305:$BL$335,MATCH(B614,'ei names mapping'!$A$4:$A$33,0),MATCH(G650,'ei names mapping'!$B$3:$BL$3,0))</f>
        <v>air::urban air close to ground</v>
      </c>
      <c r="F650" t="s">
        <v>167</v>
      </c>
      <c r="G650" t="s">
        <v>58</v>
      </c>
    </row>
    <row r="651" spans="1:8" x14ac:dyDescent="0.2">
      <c r="A651" t="str">
        <f>INDEX('ei names mapping'!$B$4:$BL$33,MATCH(B614,'ei names mapping'!$A$4:$A$33,0),MATCH(G651,'ei names mapping'!$B$3:$BL$3,0))</f>
        <v>Ammonia</v>
      </c>
      <c r="B651" s="7">
        <f>INDEX('vehicles specifications'!$B$3:$CW$166,MATCH(B617,'vehicles specifications'!$A$3:$A$166,0),MATCH(G651,'vehicles specifications'!$B$2:$CW$2,0))*INDEX('ei names mapping'!$B$137:$BL$300,MATCH(B617,'ei names mapping'!$A$137:$A$300,0),MATCH(G651,'ei names mapping'!$B$136:$BL$136,0))</f>
        <v>1.1168211395703267E-6</v>
      </c>
      <c r="D651" t="str">
        <f>INDEX('ei names mapping'!$B$104:$BL$133,MATCH(B614,'ei names mapping'!$A$4:$A$33,0),MATCH(G651,'ei names mapping'!$B$3:$BL$3,0))</f>
        <v>kilogram</v>
      </c>
      <c r="E651" t="str">
        <f>INDEX('ei names mapping'!$B$305:$BL$335,MATCH(B614,'ei names mapping'!$A$4:$A$33,0),MATCH(G651,'ei names mapping'!$B$3:$BL$3,0))</f>
        <v>air::urban air close to ground</v>
      </c>
      <c r="F651" t="s">
        <v>167</v>
      </c>
      <c r="G651" t="s">
        <v>59</v>
      </c>
    </row>
    <row r="652" spans="1:8" x14ac:dyDescent="0.2">
      <c r="A652" t="str">
        <f>INDEX('ei names mapping'!$B$4:$BL$33,MATCH(B614,'ei names mapping'!$A$4:$A$33,0),MATCH(G652,'ei names mapping'!$B$3:$BL$3,0))</f>
        <v>Nitrogen oxides</v>
      </c>
      <c r="B652" s="7">
        <f>INDEX('vehicles specifications'!$B$3:$CW$166,MATCH(B617,'vehicles specifications'!$A$3:$A$166,0),MATCH(G652,'vehicles specifications'!$B$2:$CW$2,0))*INDEX('ei names mapping'!$B$137:$BL$300,MATCH(B617,'ei names mapping'!$A$137:$A$300,0),MATCH(G652,'ei names mapping'!$B$136:$BL$136,0))</f>
        <v>8.3751208926211812E-5</v>
      </c>
      <c r="D652" t="str">
        <f>INDEX('ei names mapping'!$B$104:$BL$133,MATCH(B614,'ei names mapping'!$A$4:$A$33,0),MATCH(G652,'ei names mapping'!$B$3:$BL$3,0))</f>
        <v>kilogram</v>
      </c>
      <c r="E652" t="str">
        <f>INDEX('ei names mapping'!$B$305:$BL$335,MATCH(B614,'ei names mapping'!$A$4:$A$33,0),MATCH(G652,'ei names mapping'!$B$3:$BL$3,0))</f>
        <v>air::urban air close to ground</v>
      </c>
      <c r="F652" t="s">
        <v>167</v>
      </c>
      <c r="G652" t="s">
        <v>60</v>
      </c>
    </row>
    <row r="653" spans="1:8" x14ac:dyDescent="0.2">
      <c r="A653" t="str">
        <f>INDEX('ei names mapping'!$B$4:$BL$33,MATCH(B614,'ei names mapping'!$A$4:$A$33,0),MATCH(G653,'ei names mapping'!$B$3:$BL$3,0))</f>
        <v>Particulates, &lt; 2.5 um</v>
      </c>
      <c r="B653" s="7">
        <f>INDEX('vehicles specifications'!$B$3:$CW$166,MATCH(B$617,'vehicles specifications'!$A$3:$A$166,0),MATCH(G653,'vehicles specifications'!$B$2:$CW$2,0))*INDEX('ei names mapping'!$B$137:$BL$300,MATCH(B$617,'ei names mapping'!$A$137:$A$300,0),MATCH(G653,'ei names mapping'!$B$136:$BL$136,0))</f>
        <v>6.4139038045523853E-6</v>
      </c>
      <c r="D653" t="str">
        <f>INDEX('ei names mapping'!$B$104:$BL$133,MATCH(B614,'ei names mapping'!$A$4:$A$33,0),MATCH(G653,'ei names mapping'!$B$3:$BL$3,0))</f>
        <v>kilogram</v>
      </c>
      <c r="E653" t="str">
        <f>INDEX('ei names mapping'!$B$305:$BL$335,MATCH(B614,'ei names mapping'!$A$4:$A$33,0),MATCH(G653,'ei names mapping'!$B$3:$BL$3,0))</f>
        <v>air::urban air close to ground</v>
      </c>
      <c r="F653" t="s">
        <v>167</v>
      </c>
      <c r="G653" t="s">
        <v>62</v>
      </c>
    </row>
    <row r="654" spans="1:8" x14ac:dyDescent="0.2">
      <c r="A654" t="str">
        <f>INDEX('ei names mapping'!$B$4:$BL$33,MATCH(B$229,'ei names mapping'!$A$4:$A$33,0),MATCH(G654,'ei names mapping'!$B$3:$BL$3,0))</f>
        <v>NMVOC, non-methane volatile organic compounds, unspecified origin</v>
      </c>
      <c r="B654" s="7">
        <f>INDEX('vehicles specifications'!$B$3:$CW$166,MATCH(B$617,'vehicles specifications'!$A$3:$A$166,0),MATCH(G654,'vehicles specifications'!$B$2:$CW$2,0))*INDEX('ei names mapping'!$B$137:$BL$300,MATCH(B$617,'ei names mapping'!$A$137:$A$300,0),MATCH(G654,'ei names mapping'!$B$136:$BL$136,0))</f>
        <v>3.9148944817726415E-4</v>
      </c>
      <c r="D654" t="str">
        <f>INDEX('ei names mapping'!$B$104:$BL$133,MATCH(B$229,'ei names mapping'!$A$4:$A$33,0),MATCH(G654,'ei names mapping'!$B$3:$BL$3,0))</f>
        <v>kilogram</v>
      </c>
      <c r="E654" t="str">
        <f>INDEX('ei names mapping'!$B$305:$BL$335,MATCH(B$229,'ei names mapping'!$A$4:$A$33,0),MATCH(G654,'ei names mapping'!$B$3:$BL$3,0))</f>
        <v>air::urban air close to ground</v>
      </c>
      <c r="F654" t="s">
        <v>167</v>
      </c>
      <c r="G654" t="s">
        <v>593</v>
      </c>
    </row>
    <row r="655" spans="1:8" x14ac:dyDescent="0.2">
      <c r="A655" t="str">
        <f>INDEX('ei names mapping'!$B$4:$BL$33,MATCH(B$229,'ei names mapping'!$A$4:$A$33,0),MATCH(G655,'ei names mapping'!$B$3:$BL$3,0))</f>
        <v>Ethane</v>
      </c>
      <c r="B655" s="7">
        <f>INDEX('vehicles specifications'!$B$3:$CW$166,MATCH(B$617,'vehicles specifications'!$A$3:$A$166,0),MATCH(G655,'vehicles specifications'!$B$2:$CW$2,0))*INDEX('ei names mapping'!$B$137:$BL$300,MATCH(B$617,'ei names mapping'!$A$137:$A$300,0),MATCH(G655,'ei names mapping'!$B$136:$BL$136,0))</f>
        <v>2.7605025191986573E-5</v>
      </c>
      <c r="D655" t="str">
        <f>INDEX('ei names mapping'!$B$104:$BL$133,MATCH(B$229,'ei names mapping'!$A$4:$A$33,0),MATCH(G655,'ei names mapping'!$B$3:$BL$3,0))</f>
        <v>kilogram</v>
      </c>
      <c r="E655" t="str">
        <f>INDEX('ei names mapping'!$B$305:$BL$335,MATCH(B$229,'ei names mapping'!$A$4:$A$33,0),MATCH(G655,'ei names mapping'!$B$3:$BL$3,0))</f>
        <v>air::urban air close to ground</v>
      </c>
      <c r="F655" t="s">
        <v>167</v>
      </c>
      <c r="G655" t="s">
        <v>541</v>
      </c>
    </row>
    <row r="656" spans="1:8" x14ac:dyDescent="0.2">
      <c r="A656" t="str">
        <f>INDEX('ei names mapping'!$B$4:$BL$33,MATCH(B$229,'ei names mapping'!$A$4:$A$33,0),MATCH(G656,'ei names mapping'!$B$3:$BL$3,0))</f>
        <v>Propane</v>
      </c>
      <c r="B656" s="7">
        <f>INDEX('vehicles specifications'!$B$3:$CW$166,MATCH(B$617,'vehicles specifications'!$A$3:$A$166,0),MATCH(G656,'vehicles specifications'!$B$2:$CW$2,0))*INDEX('ei names mapping'!$B$137:$BL$300,MATCH(B$617,'ei names mapping'!$A$137:$A$300,0),MATCH(G656,'ei names mapping'!$B$136:$BL$136,0))</f>
        <v>5.6248483933514962E-6</v>
      </c>
      <c r="D656" t="str">
        <f>INDEX('ei names mapping'!$B$104:$BL$133,MATCH(B$229,'ei names mapping'!$A$4:$A$33,0),MATCH(G656,'ei names mapping'!$B$3:$BL$3,0))</f>
        <v>kilogram</v>
      </c>
      <c r="E656" t="str">
        <f>INDEX('ei names mapping'!$B$305:$BL$335,MATCH(B$229,'ei names mapping'!$A$4:$A$33,0),MATCH(G656,'ei names mapping'!$B$3:$BL$3,0))</f>
        <v>air::urban air close to ground</v>
      </c>
      <c r="F656" t="s">
        <v>167</v>
      </c>
      <c r="G656" t="s">
        <v>542</v>
      </c>
    </row>
    <row r="657" spans="1:7" x14ac:dyDescent="0.2">
      <c r="A657" t="str">
        <f>INDEX('ei names mapping'!$B$4:$BL$33,MATCH(B$229,'ei names mapping'!$A$4:$A$33,0),MATCH(G657,'ei names mapping'!$B$3:$BL$3,0))</f>
        <v>Butane</v>
      </c>
      <c r="B657" s="7">
        <f>INDEX('vehicles specifications'!$B$3:$CW$166,MATCH(B$617,'vehicles specifications'!$A$3:$A$166,0),MATCH(G657,'vehicles specifications'!$B$2:$CW$2,0))*INDEX('ei names mapping'!$B$137:$BL$300,MATCH(B$617,'ei names mapping'!$A$137:$A$300,0),MATCH(G657,'ei names mapping'!$B$136:$BL$136,0))</f>
        <v>4.5344931663325912E-5</v>
      </c>
      <c r="D657" t="str">
        <f>INDEX('ei names mapping'!$B$104:$BL$133,MATCH(B$229,'ei names mapping'!$A$4:$A$33,0),MATCH(G657,'ei names mapping'!$B$3:$BL$3,0))</f>
        <v>kilogram</v>
      </c>
      <c r="E657" t="str">
        <f>INDEX('ei names mapping'!$B$305:$BL$335,MATCH(B$229,'ei names mapping'!$A$4:$A$33,0),MATCH(G657,'ei names mapping'!$B$3:$BL$3,0))</f>
        <v>air::urban air close to ground</v>
      </c>
      <c r="F657" t="s">
        <v>167</v>
      </c>
      <c r="G657" t="s">
        <v>543</v>
      </c>
    </row>
    <row r="658" spans="1:7" x14ac:dyDescent="0.2">
      <c r="A658" t="str">
        <f>INDEX('ei names mapping'!$B$4:$BL$33,MATCH(B$229,'ei names mapping'!$A$4:$A$33,0),MATCH(G658,'ei names mapping'!$B$3:$BL$3,0))</f>
        <v>Pentane</v>
      </c>
      <c r="B658" s="7">
        <f>INDEX('vehicles specifications'!$B$3:$CW$166,MATCH(B$617,'vehicles specifications'!$A$3:$A$166,0),MATCH(G658,'vehicles specifications'!$B$2:$CW$2,0))*INDEX('ei names mapping'!$B$137:$BL$300,MATCH(B$617,'ei names mapping'!$A$137:$A$300,0),MATCH(G658,'ei names mapping'!$B$136:$BL$136,0))</f>
        <v>1.8605267762624179E-5</v>
      </c>
      <c r="D658" t="str">
        <f>INDEX('ei names mapping'!$B$104:$BL$133,MATCH(B$229,'ei names mapping'!$A$4:$A$33,0),MATCH(G658,'ei names mapping'!$B$3:$BL$3,0))</f>
        <v>kilogram</v>
      </c>
      <c r="E658" t="str">
        <f>INDEX('ei names mapping'!$B$305:$BL$335,MATCH(B$229,'ei names mapping'!$A$4:$A$33,0),MATCH(G658,'ei names mapping'!$B$3:$BL$3,0))</f>
        <v>air::urban air close to ground</v>
      </c>
      <c r="F658" t="s">
        <v>167</v>
      </c>
      <c r="G658" t="s">
        <v>544</v>
      </c>
    </row>
    <row r="659" spans="1:7" x14ac:dyDescent="0.2">
      <c r="A659" t="str">
        <f>INDEX('ei names mapping'!$B$4:$BL$33,MATCH(B$229,'ei names mapping'!$A$4:$A$33,0),MATCH(G659,'ei names mapping'!$B$3:$BL$3,0))</f>
        <v>Hexane</v>
      </c>
      <c r="B659" s="7">
        <f>INDEX('vehicles specifications'!$B$3:$CW$166,MATCH(B$617,'vehicles specifications'!$A$3:$A$166,0),MATCH(G659,'vehicles specifications'!$B$2:$CW$2,0))*INDEX('ei names mapping'!$B$137:$BL$300,MATCH(B$617,'ei names mapping'!$A$137:$A$300,0),MATCH(G659,'ei names mapping'!$B$136:$BL$136,0))</f>
        <v>1.3932316789686016E-5</v>
      </c>
      <c r="D659" t="str">
        <f>INDEX('ei names mapping'!$B$104:$BL$133,MATCH(B$229,'ei names mapping'!$A$4:$A$33,0),MATCH(G659,'ei names mapping'!$B$3:$BL$3,0))</f>
        <v>kilogram</v>
      </c>
      <c r="E659" t="str">
        <f>INDEX('ei names mapping'!$B$305:$BL$335,MATCH(B$229,'ei names mapping'!$A$4:$A$33,0),MATCH(G659,'ei names mapping'!$B$3:$BL$3,0))</f>
        <v>air::urban air close to ground</v>
      </c>
      <c r="F659" t="s">
        <v>167</v>
      </c>
      <c r="G659" t="s">
        <v>545</v>
      </c>
    </row>
    <row r="660" spans="1:7" x14ac:dyDescent="0.2">
      <c r="A660" t="str">
        <f>INDEX('ei names mapping'!$B$4:$BL$33,MATCH(B$229,'ei names mapping'!$A$4:$A$33,0),MATCH(G660,'ei names mapping'!$B$3:$BL$3,0))</f>
        <v>Cyclohexane</v>
      </c>
      <c r="B660" s="7">
        <f>INDEX('vehicles specifications'!$B$3:$CW$166,MATCH(B$617,'vehicles specifications'!$A$3:$A$166,0),MATCH(G660,'vehicles specifications'!$B$2:$CW$2,0))*INDEX('ei names mapping'!$B$137:$BL$300,MATCH(B$617,'ei names mapping'!$A$137:$A$300,0),MATCH(G660,'ei names mapping'!$B$136:$BL$136,0))</f>
        <v>9.8651187206472398E-6</v>
      </c>
      <c r="D660" t="str">
        <f>INDEX('ei names mapping'!$B$104:$BL$133,MATCH(B$229,'ei names mapping'!$A$4:$A$33,0),MATCH(G660,'ei names mapping'!$B$3:$BL$3,0))</f>
        <v>kilogram</v>
      </c>
      <c r="E660" t="str">
        <f>INDEX('ei names mapping'!$B$305:$BL$335,MATCH(B$229,'ei names mapping'!$A$4:$A$33,0),MATCH(G660,'ei names mapping'!$B$3:$BL$3,0))</f>
        <v>air::urban air close to ground</v>
      </c>
      <c r="F660" t="s">
        <v>167</v>
      </c>
      <c r="G660" t="s">
        <v>546</v>
      </c>
    </row>
    <row r="661" spans="1:7" x14ac:dyDescent="0.2">
      <c r="A661" t="str">
        <f>INDEX('ei names mapping'!$B$4:$BL$33,MATCH(B$229,'ei names mapping'!$A$4:$A$33,0),MATCH(G661,'ei names mapping'!$B$3:$BL$3,0))</f>
        <v>Heptane</v>
      </c>
      <c r="B661" s="7">
        <f>INDEX('vehicles specifications'!$B$3:$CW$166,MATCH(B$617,'vehicles specifications'!$A$3:$A$166,0),MATCH(G661,'vehicles specifications'!$B$2:$CW$2,0))*INDEX('ei names mapping'!$B$137:$BL$300,MATCH(B$617,'ei names mapping'!$A$137:$A$300,0),MATCH(G661,'ei names mapping'!$B$136:$BL$136,0))</f>
        <v>6.4036735555078573E-6</v>
      </c>
      <c r="D661" t="str">
        <f>INDEX('ei names mapping'!$B$104:$BL$133,MATCH(B$229,'ei names mapping'!$A$4:$A$33,0),MATCH(G661,'ei names mapping'!$B$3:$BL$3,0))</f>
        <v>kilogram</v>
      </c>
      <c r="E661" t="str">
        <f>INDEX('ei names mapping'!$B$305:$BL$335,MATCH(B$229,'ei names mapping'!$A$4:$A$33,0),MATCH(G661,'ei names mapping'!$B$3:$BL$3,0))</f>
        <v>air::urban air close to ground</v>
      </c>
      <c r="F661" t="s">
        <v>167</v>
      </c>
      <c r="G661" t="s">
        <v>547</v>
      </c>
    </row>
    <row r="662" spans="1:7" x14ac:dyDescent="0.2">
      <c r="A662" t="str">
        <f>INDEX('ei names mapping'!$B$4:$BL$33,MATCH(B$229,'ei names mapping'!$A$4:$A$33,0),MATCH(G662,'ei names mapping'!$B$3:$BL$3,0))</f>
        <v>Ethene</v>
      </c>
      <c r="B662" s="7">
        <f>INDEX('vehicles specifications'!$B$3:$CW$166,MATCH(B$617,'vehicles specifications'!$A$3:$A$166,0),MATCH(G662,'vehicles specifications'!$B$2:$CW$2,0))*INDEX('ei names mapping'!$B$137:$BL$300,MATCH(B$617,'ei names mapping'!$A$137:$A$300,0),MATCH(G662,'ei names mapping'!$B$136:$BL$136,0))</f>
        <v>6.3171374263793726E-5</v>
      </c>
      <c r="D662" t="str">
        <f>INDEX('ei names mapping'!$B$104:$BL$133,MATCH(B$229,'ei names mapping'!$A$4:$A$33,0),MATCH(G662,'ei names mapping'!$B$3:$BL$3,0))</f>
        <v>kilogram</v>
      </c>
      <c r="E662" t="str">
        <f>INDEX('ei names mapping'!$B$305:$BL$335,MATCH(B$229,'ei names mapping'!$A$4:$A$33,0),MATCH(G662,'ei names mapping'!$B$3:$BL$3,0))</f>
        <v>air::urban air close to ground</v>
      </c>
      <c r="F662" t="s">
        <v>167</v>
      </c>
      <c r="G662" t="s">
        <v>548</v>
      </c>
    </row>
    <row r="663" spans="1:7" x14ac:dyDescent="0.2">
      <c r="A663" t="str">
        <f>INDEX('ei names mapping'!$B$4:$BL$33,MATCH(B$229,'ei names mapping'!$A$4:$A$33,0),MATCH(G663,'ei names mapping'!$B$3:$BL$3,0))</f>
        <v>Propene</v>
      </c>
      <c r="B663" s="7">
        <f>INDEX('vehicles specifications'!$B$3:$CW$166,MATCH(B$617,'vehicles specifications'!$A$3:$A$166,0),MATCH(G663,'vehicles specifications'!$B$2:$CW$2,0))*INDEX('ei names mapping'!$B$137:$BL$300,MATCH(B$617,'ei names mapping'!$A$137:$A$300,0),MATCH(G663,'ei names mapping'!$B$136:$BL$136,0))</f>
        <v>3.3056801327081096E-5</v>
      </c>
      <c r="D663" t="str">
        <f>INDEX('ei names mapping'!$B$104:$BL$133,MATCH(B$229,'ei names mapping'!$A$4:$A$33,0),MATCH(G663,'ei names mapping'!$B$3:$BL$3,0))</f>
        <v>kilogram</v>
      </c>
      <c r="E663" t="str">
        <f>INDEX('ei names mapping'!$B$305:$BL$335,MATCH(B$229,'ei names mapping'!$A$4:$A$33,0),MATCH(G663,'ei names mapping'!$B$3:$BL$3,0))</f>
        <v>air::urban air close to ground</v>
      </c>
      <c r="F663" t="s">
        <v>167</v>
      </c>
      <c r="G663" t="s">
        <v>549</v>
      </c>
    </row>
    <row r="664" spans="1:7" x14ac:dyDescent="0.2">
      <c r="A664" t="str">
        <f>INDEX('ei names mapping'!$B$4:$BL$33,MATCH(B$229,'ei names mapping'!$A$4:$A$33,0),MATCH(G664,'ei names mapping'!$B$3:$BL$3,0))</f>
        <v>1-Pentene</v>
      </c>
      <c r="B664" s="7">
        <f>INDEX('vehicles specifications'!$B$3:$CW$166,MATCH(B$617,'vehicles specifications'!$A$3:$A$166,0),MATCH(G664,'vehicles specifications'!$B$2:$CW$2,0))*INDEX('ei names mapping'!$B$137:$BL$300,MATCH(B$617,'ei names mapping'!$A$137:$A$300,0),MATCH(G664,'ei names mapping'!$B$136:$BL$136,0))</f>
        <v>9.5189742041333027E-7</v>
      </c>
      <c r="D664" t="str">
        <f>INDEX('ei names mapping'!$B$104:$BL$133,MATCH(B$229,'ei names mapping'!$A$4:$A$33,0),MATCH(G664,'ei names mapping'!$B$3:$BL$3,0))</f>
        <v>kilogram</v>
      </c>
      <c r="E664" t="str">
        <f>INDEX('ei names mapping'!$B$305:$BL$335,MATCH(B$229,'ei names mapping'!$A$4:$A$33,0),MATCH(G664,'ei names mapping'!$B$3:$BL$3,0))</f>
        <v>air::urban air close to ground</v>
      </c>
      <c r="F664" t="s">
        <v>167</v>
      </c>
      <c r="G664" t="s">
        <v>550</v>
      </c>
    </row>
    <row r="665" spans="1:7" x14ac:dyDescent="0.2">
      <c r="A665" t="str">
        <f>INDEX('ei names mapping'!$B$4:$BL$33,MATCH(B$229,'ei names mapping'!$A$4:$A$33,0),MATCH(G665,'ei names mapping'!$B$3:$BL$3,0))</f>
        <v>Toluene</v>
      </c>
      <c r="B665" s="7">
        <f>INDEX('vehicles specifications'!$B$3:$CW$166,MATCH(B$617,'vehicles specifications'!$A$3:$A$166,0),MATCH(G665,'vehicles specifications'!$B$2:$CW$2,0))*INDEX('ei names mapping'!$B$137:$BL$300,MATCH(B$617,'ei names mapping'!$A$137:$A$300,0),MATCH(G665,'ei names mapping'!$B$136:$BL$136,0))</f>
        <v>9.5016669783076047E-5</v>
      </c>
      <c r="D665" t="str">
        <f>INDEX('ei names mapping'!$B$104:$BL$133,MATCH(B$229,'ei names mapping'!$A$4:$A$33,0),MATCH(G665,'ei names mapping'!$B$3:$BL$3,0))</f>
        <v>kilogram</v>
      </c>
      <c r="E665" t="str">
        <f>INDEX('ei names mapping'!$B$305:$BL$335,MATCH(B$229,'ei names mapping'!$A$4:$A$33,0),MATCH(G665,'ei names mapping'!$B$3:$BL$3,0))</f>
        <v>air::urban air close to ground</v>
      </c>
      <c r="F665" t="s">
        <v>167</v>
      </c>
      <c r="G665" t="s">
        <v>551</v>
      </c>
    </row>
    <row r="666" spans="1:7" x14ac:dyDescent="0.2">
      <c r="A666" t="str">
        <f>INDEX('ei names mapping'!$B$4:$BL$33,MATCH(B$229,'ei names mapping'!$A$4:$A$33,0),MATCH(G666,'ei names mapping'!$B$3:$BL$3,0))</f>
        <v>m-Xylene</v>
      </c>
      <c r="B666" s="7">
        <f>INDEX('vehicles specifications'!$B$3:$CW$166,MATCH(B$617,'vehicles specifications'!$A$3:$A$166,0),MATCH(G666,'vehicles specifications'!$B$2:$CW$2,0))*INDEX('ei names mapping'!$B$137:$BL$300,MATCH(B$617,'ei names mapping'!$A$137:$A$300,0),MATCH(G666,'ei names mapping'!$B$136:$BL$136,0))</f>
        <v>4.698911811676712E-5</v>
      </c>
      <c r="D666" t="str">
        <f>INDEX('ei names mapping'!$B$104:$BL$133,MATCH(B$229,'ei names mapping'!$A$4:$A$33,0),MATCH(G666,'ei names mapping'!$B$3:$BL$3,0))</f>
        <v>kilogram</v>
      </c>
      <c r="E666" t="str">
        <f>INDEX('ei names mapping'!$B$305:$BL$335,MATCH(B$229,'ei names mapping'!$A$4:$A$33,0),MATCH(G666,'ei names mapping'!$B$3:$BL$3,0))</f>
        <v>air::urban air close to ground</v>
      </c>
      <c r="F666" t="s">
        <v>167</v>
      </c>
      <c r="G666" t="s">
        <v>552</v>
      </c>
    </row>
    <row r="667" spans="1:7" x14ac:dyDescent="0.2">
      <c r="A667" t="str">
        <f>INDEX('ei names mapping'!$B$4:$BL$33,MATCH(B$229,'ei names mapping'!$A$4:$A$33,0),MATCH(G667,'ei names mapping'!$B$3:$BL$3,0))</f>
        <v>o-Xylene</v>
      </c>
      <c r="B667" s="7">
        <f>INDEX('vehicles specifications'!$B$3:$CW$166,MATCH(B$617,'vehicles specifications'!$A$3:$A$166,0),MATCH(G667,'vehicles specifications'!$B$2:$CW$2,0))*INDEX('ei names mapping'!$B$137:$BL$300,MATCH(B$617,'ei names mapping'!$A$137:$A$300,0),MATCH(G667,'ei names mapping'!$B$136:$BL$136,0))</f>
        <v>1.9557165183037508E-5</v>
      </c>
      <c r="D667" t="str">
        <f>INDEX('ei names mapping'!$B$104:$BL$133,MATCH(B$229,'ei names mapping'!$A$4:$A$33,0),MATCH(G667,'ei names mapping'!$B$3:$BL$3,0))</f>
        <v>kilogram</v>
      </c>
      <c r="E667" t="str">
        <f>INDEX('ei names mapping'!$B$305:$BL$335,MATCH(B$229,'ei names mapping'!$A$4:$A$33,0),MATCH(G667,'ei names mapping'!$B$3:$BL$3,0))</f>
        <v>air::urban air close to ground</v>
      </c>
      <c r="F667" t="s">
        <v>167</v>
      </c>
      <c r="G667" t="s">
        <v>553</v>
      </c>
    </row>
    <row r="668" spans="1:7" x14ac:dyDescent="0.2">
      <c r="A668" t="str">
        <f>INDEX('ei names mapping'!$B$4:$BL$33,MATCH(B$229,'ei names mapping'!$A$4:$A$33,0),MATCH(G668,'ei names mapping'!$B$3:$BL$3,0))</f>
        <v>Formaldehyde</v>
      </c>
      <c r="B668" s="7">
        <f>INDEX('vehicles specifications'!$B$3:$CW$166,MATCH(B$617,'vehicles specifications'!$A$3:$A$166,0),MATCH(G668,'vehicles specifications'!$B$2:$CW$2,0))*INDEX('ei names mapping'!$B$137:$BL$300,MATCH(B$617,'ei names mapping'!$A$137:$A$300,0),MATCH(G668,'ei names mapping'!$B$136:$BL$136,0))</f>
        <v>1.4711141951842378E-5</v>
      </c>
      <c r="D668" t="str">
        <f>INDEX('ei names mapping'!$B$104:$BL$133,MATCH(B$229,'ei names mapping'!$A$4:$A$33,0),MATCH(G668,'ei names mapping'!$B$3:$BL$3,0))</f>
        <v>kilogram</v>
      </c>
      <c r="E668" t="str">
        <f>INDEX('ei names mapping'!$B$305:$BL$335,MATCH(B$229,'ei names mapping'!$A$4:$A$33,0),MATCH(G668,'ei names mapping'!$B$3:$BL$3,0))</f>
        <v>air::urban air close to ground</v>
      </c>
      <c r="F668" t="s">
        <v>167</v>
      </c>
      <c r="G668" t="s">
        <v>554</v>
      </c>
    </row>
    <row r="669" spans="1:7" x14ac:dyDescent="0.2">
      <c r="A669" t="str">
        <f>INDEX('ei names mapping'!$B$4:$BL$33,MATCH(B$229,'ei names mapping'!$A$4:$A$33,0),MATCH(G669,'ei names mapping'!$B$3:$BL$3,0))</f>
        <v>Acetaldehyde</v>
      </c>
      <c r="B669" s="7">
        <f>INDEX('vehicles specifications'!$B$3:$CW$166,MATCH(B$617,'vehicles specifications'!$A$3:$A$166,0),MATCH(G669,'vehicles specifications'!$B$2:$CW$2,0))*INDEX('ei names mapping'!$B$137:$BL$300,MATCH(B$617,'ei names mapping'!$A$137:$A$300,0),MATCH(G669,'ei names mapping'!$B$136:$BL$136,0))</f>
        <v>6.4902096846363412E-6</v>
      </c>
      <c r="D669" t="str">
        <f>INDEX('ei names mapping'!$B$104:$BL$133,MATCH(B$229,'ei names mapping'!$A$4:$A$33,0),MATCH(G669,'ei names mapping'!$B$3:$BL$3,0))</f>
        <v>kilogram</v>
      </c>
      <c r="E669" t="str">
        <f>INDEX('ei names mapping'!$B$305:$BL$335,MATCH(B$229,'ei names mapping'!$A$4:$A$33,0),MATCH(G669,'ei names mapping'!$B$3:$BL$3,0))</f>
        <v>air::urban air close to ground</v>
      </c>
      <c r="F669" t="s">
        <v>167</v>
      </c>
      <c r="G669" t="s">
        <v>555</v>
      </c>
    </row>
    <row r="670" spans="1:7" x14ac:dyDescent="0.2">
      <c r="A670" t="str">
        <f>INDEX('ei names mapping'!$B$4:$BL$33,MATCH(B$229,'ei names mapping'!$A$4:$A$33,0),MATCH(G670,'ei names mapping'!$B$3:$BL$3,0))</f>
        <v>Benzaldehyde</v>
      </c>
      <c r="B670" s="7">
        <f>INDEX('vehicles specifications'!$B$3:$CW$166,MATCH(B$617,'vehicles specifications'!$A$3:$A$166,0),MATCH(G670,'vehicles specifications'!$B$2:$CW$2,0))*INDEX('ei names mapping'!$B$137:$BL$300,MATCH(B$617,'ei names mapping'!$A$137:$A$300,0),MATCH(G670,'ei names mapping'!$B$136:$BL$136,0))</f>
        <v>1.9037948408266605E-6</v>
      </c>
      <c r="D670" t="str">
        <f>INDEX('ei names mapping'!$B$104:$BL$133,MATCH(B$229,'ei names mapping'!$A$4:$A$33,0),MATCH(G670,'ei names mapping'!$B$3:$BL$3,0))</f>
        <v>kilogram</v>
      </c>
      <c r="E670" t="str">
        <f>INDEX('ei names mapping'!$B$305:$BL$335,MATCH(B$229,'ei names mapping'!$A$4:$A$33,0),MATCH(G670,'ei names mapping'!$B$3:$BL$3,0))</f>
        <v>air::urban air close to ground</v>
      </c>
      <c r="F670" t="s">
        <v>167</v>
      </c>
      <c r="G670" t="s">
        <v>556</v>
      </c>
    </row>
    <row r="671" spans="1:7" x14ac:dyDescent="0.2">
      <c r="A671" t="str">
        <f>INDEX('ei names mapping'!$B$4:$BL$33,MATCH(B$229,'ei names mapping'!$A$4:$A$33,0),MATCH(G671,'ei names mapping'!$B$3:$BL$3,0))</f>
        <v>Acetone</v>
      </c>
      <c r="B671" s="7">
        <f>INDEX('vehicles specifications'!$B$3:$CW$166,MATCH(B$617,'vehicles specifications'!$A$3:$A$166,0),MATCH(G671,'vehicles specifications'!$B$2:$CW$2,0))*INDEX('ei names mapping'!$B$137:$BL$300,MATCH(B$617,'ei names mapping'!$A$137:$A$300,0),MATCH(G671,'ei names mapping'!$B$136:$BL$136,0))</f>
        <v>5.2787038768375589E-6</v>
      </c>
      <c r="D671" t="str">
        <f>INDEX('ei names mapping'!$B$104:$BL$133,MATCH(B$229,'ei names mapping'!$A$4:$A$33,0),MATCH(G671,'ei names mapping'!$B$3:$BL$3,0))</f>
        <v>kilogram</v>
      </c>
      <c r="E671" t="str">
        <f>INDEX('ei names mapping'!$B$305:$BL$335,MATCH(B$229,'ei names mapping'!$A$4:$A$33,0),MATCH(G671,'ei names mapping'!$B$3:$BL$3,0))</f>
        <v>air::urban air close to ground</v>
      </c>
      <c r="F671" t="s">
        <v>167</v>
      </c>
      <c r="G671" t="s">
        <v>557</v>
      </c>
    </row>
    <row r="672" spans="1:7" x14ac:dyDescent="0.2">
      <c r="A672" t="str">
        <f>INDEX('ei names mapping'!$B$4:$BL$33,MATCH(B$229,'ei names mapping'!$A$4:$A$33,0),MATCH(G672,'ei names mapping'!$B$3:$BL$3,0))</f>
        <v>Methyl ethyl ketone</v>
      </c>
      <c r="B672" s="7">
        <f>INDEX('vehicles specifications'!$B$3:$CW$166,MATCH(B$617,'vehicles specifications'!$A$3:$A$166,0),MATCH(G672,'vehicles specifications'!$B$2:$CW$2,0))*INDEX('ei names mapping'!$B$137:$BL$300,MATCH(B$617,'ei names mapping'!$A$137:$A$300,0),MATCH(G672,'ei names mapping'!$B$136:$BL$136,0))</f>
        <v>0</v>
      </c>
      <c r="D672" t="str">
        <f>INDEX('ei names mapping'!$B$104:$BL$133,MATCH(B$229,'ei names mapping'!$A$4:$A$33,0),MATCH(G672,'ei names mapping'!$B$3:$BL$3,0))</f>
        <v>kilogram</v>
      </c>
      <c r="E672" t="str">
        <f>INDEX('ei names mapping'!$B$305:$BL$335,MATCH(B$229,'ei names mapping'!$A$4:$A$33,0),MATCH(G672,'ei names mapping'!$B$3:$BL$3,0))</f>
        <v>air::urban air close to ground</v>
      </c>
      <c r="F672" t="s">
        <v>167</v>
      </c>
      <c r="G672" t="s">
        <v>560</v>
      </c>
    </row>
    <row r="673" spans="1:8" x14ac:dyDescent="0.2">
      <c r="A673" t="str">
        <f>INDEX('ei names mapping'!$B$4:$BL$33,MATCH(B$229,'ei names mapping'!$A$4:$A$33,0),MATCH(G673,'ei names mapping'!$B$3:$BL$3,0))</f>
        <v>Acrolein</v>
      </c>
      <c r="B673" s="7">
        <f>INDEX('vehicles specifications'!$B$3:$CW$166,MATCH(B$617,'vehicles specifications'!$A$3:$A$166,0),MATCH(G673,'vehicles specifications'!$B$2:$CW$2,0))*INDEX('ei names mapping'!$B$137:$BL$300,MATCH(B$617,'ei names mapping'!$A$137:$A$300,0),MATCH(G673,'ei names mapping'!$B$136:$BL$136,0))</f>
        <v>1.6441864534412067E-6</v>
      </c>
      <c r="D673" t="str">
        <f>INDEX('ei names mapping'!$B$104:$BL$133,MATCH(B$229,'ei names mapping'!$A$4:$A$33,0),MATCH(G673,'ei names mapping'!$B$3:$BL$3,0))</f>
        <v>kilogram</v>
      </c>
      <c r="E673" t="str">
        <f>INDEX('ei names mapping'!$B$305:$BL$335,MATCH(B$229,'ei names mapping'!$A$4:$A$33,0),MATCH(G673,'ei names mapping'!$B$3:$BL$3,0))</f>
        <v>air::urban air close to ground</v>
      </c>
      <c r="F673" t="s">
        <v>167</v>
      </c>
      <c r="G673" t="s">
        <v>558</v>
      </c>
    </row>
    <row r="674" spans="1:8" x14ac:dyDescent="0.2">
      <c r="A674" t="str">
        <f>INDEX('ei names mapping'!$B$4:$BL$33,MATCH(B$229,'ei names mapping'!$A$4:$A$33,0),MATCH(G674,'ei names mapping'!$B$3:$BL$3,0))</f>
        <v>Styrene</v>
      </c>
      <c r="B674" s="7">
        <f>INDEX('vehicles specifications'!$B$3:$CW$166,MATCH(B$617,'vehicles specifications'!$A$3:$A$166,0),MATCH(G674,'vehicles specifications'!$B$2:$CW$2,0))*INDEX('ei names mapping'!$B$137:$BL$300,MATCH(B$617,'ei names mapping'!$A$137:$A$300,0),MATCH(G674,'ei names mapping'!$B$136:$BL$136,0))</f>
        <v>8.7401490419769389E-6</v>
      </c>
      <c r="D674" t="str">
        <f>INDEX('ei names mapping'!$B$104:$BL$133,MATCH(B$229,'ei names mapping'!$A$4:$A$33,0),MATCH(G674,'ei names mapping'!$B$3:$BL$3,0))</f>
        <v>kilogram</v>
      </c>
      <c r="E674" t="str">
        <f>INDEX('ei names mapping'!$B$305:$BL$335,MATCH(B$229,'ei names mapping'!$A$4:$A$33,0),MATCH(G674,'ei names mapping'!$B$3:$BL$3,0))</f>
        <v>air::urban air close to ground</v>
      </c>
      <c r="F674" t="s">
        <v>167</v>
      </c>
      <c r="G674" t="s">
        <v>559</v>
      </c>
    </row>
    <row r="675" spans="1:8" x14ac:dyDescent="0.2">
      <c r="A675" t="str">
        <f>INDEX('ei names mapping'!$B$4:$BL$33,MATCH(B$229,'ei names mapping'!$A$4:$A$33,0),MATCH(G675,'ei names mapping'!$B$3:$BL$3,0))</f>
        <v>PAH, polycyclic aromatic hydrocarbons</v>
      </c>
      <c r="B675" s="7">
        <f>INDEX('vehicles specifications'!$B$3:$CW$166,MATCH(B$617,'vehicles specifications'!$A$3:$A$166,0),MATCH(G675,'vehicles specifications'!$B$2:$CW$2,0))*INDEX('ei names mapping'!$B$137:$BL$300,MATCH(B$617,'ei names mapping'!$A$137:$A$300,0),MATCH(G675,'ei names mapping'!$B$136:$BL$136,0))</f>
        <v>6.5377983708986073E-10</v>
      </c>
      <c r="D675" t="str">
        <f>INDEX('ei names mapping'!$B$104:$BL$133,MATCH(B$229,'ei names mapping'!$A$4:$A$33,0),MATCH(G675,'ei names mapping'!$B$3:$BL$3,0))</f>
        <v>kilogram</v>
      </c>
      <c r="E675" t="str">
        <f>INDEX('ei names mapping'!$B$305:$BL$335,MATCH(B$229,'ei names mapping'!$A$4:$A$33,0),MATCH(G675,'ei names mapping'!$B$3:$BL$3,0))</f>
        <v>air::urban air close to ground</v>
      </c>
      <c r="F675" t="s">
        <v>167</v>
      </c>
      <c r="G675" t="s">
        <v>561</v>
      </c>
    </row>
    <row r="676" spans="1:8" x14ac:dyDescent="0.2">
      <c r="A676" t="str">
        <f>INDEX('ei names mapping'!$B$4:$BL$33,MATCH(B$229,'ei names mapping'!$A$4:$A$33,0),MATCH(G676,'ei names mapping'!$B$3:$BL$3,0))</f>
        <v>Arsenic</v>
      </c>
      <c r="B676" s="7">
        <f>INDEX('vehicles specifications'!$B$3:$CW$166,MATCH(B$617,'vehicles specifications'!$A$3:$A$166,0),MATCH(G676,'vehicles specifications'!$B$2:$CW$2,0))*INDEX('ei names mapping'!$B$137:$BL$300,MATCH(B$617,'ei names mapping'!$A$137:$A$300,0),MATCH(G676,'ei names mapping'!$B$136:$BL$136,0))</f>
        <v>5.6360330783608683E-12</v>
      </c>
      <c r="D676" t="str">
        <f>INDEX('ei names mapping'!$B$104:$BL$133,MATCH(B$229,'ei names mapping'!$A$4:$A$33,0),MATCH(G676,'ei names mapping'!$B$3:$BL$3,0))</f>
        <v>kilogram</v>
      </c>
      <c r="E676" t="str">
        <f>INDEX('ei names mapping'!$B$305:$BL$335,MATCH(B$229,'ei names mapping'!$A$4:$A$33,0),MATCH(G676,'ei names mapping'!$B$3:$BL$3,0))</f>
        <v>air::urban air close to ground</v>
      </c>
      <c r="F676" t="s">
        <v>167</v>
      </c>
      <c r="G676" t="s">
        <v>562</v>
      </c>
    </row>
    <row r="677" spans="1:8" x14ac:dyDescent="0.2">
      <c r="A677" t="str">
        <f>INDEX('ei names mapping'!$B$4:$BL$33,MATCH(B$229,'ei names mapping'!$A$4:$A$33,0),MATCH(G677,'ei names mapping'!$B$3:$BL$3,0))</f>
        <v>Selenium</v>
      </c>
      <c r="B677" s="7">
        <f>INDEX('vehicles specifications'!$B$3:$CW$166,MATCH(B$617,'vehicles specifications'!$A$3:$A$166,0),MATCH(G677,'vehicles specifications'!$B$2:$CW$2,0))*INDEX('ei names mapping'!$B$137:$BL$300,MATCH(B$617,'ei names mapping'!$A$137:$A$300,0),MATCH(G677,'ei names mapping'!$B$136:$BL$136,0))</f>
        <v>3.7573553855739122E-12</v>
      </c>
      <c r="D677" t="str">
        <f>INDEX('ei names mapping'!$B$104:$BL$133,MATCH(B$229,'ei names mapping'!$A$4:$A$33,0),MATCH(G677,'ei names mapping'!$B$3:$BL$3,0))</f>
        <v>kilogram</v>
      </c>
      <c r="E677" t="str">
        <f>INDEX('ei names mapping'!$B$305:$BL$335,MATCH(B$229,'ei names mapping'!$A$4:$A$33,0),MATCH(G677,'ei names mapping'!$B$3:$BL$3,0))</f>
        <v>air::urban air close to ground</v>
      </c>
      <c r="F677" t="s">
        <v>167</v>
      </c>
      <c r="G677" t="s">
        <v>563</v>
      </c>
    </row>
    <row r="678" spans="1:8" x14ac:dyDescent="0.2">
      <c r="A678" t="str">
        <f>INDEX('ei names mapping'!$B$4:$BL$33,MATCH(B$229,'ei names mapping'!$A$4:$A$33,0),MATCH(G678,'ei names mapping'!$B$3:$BL$3,0))</f>
        <v>Zinc</v>
      </c>
      <c r="B678" s="7">
        <f>INDEX('vehicles specifications'!$B$3:$CW$166,MATCH(B$617,'vehicles specifications'!$A$3:$A$166,0),MATCH(G678,'vehicles specifications'!$B$2:$CW$2,0))*INDEX('ei names mapping'!$B$137:$BL$300,MATCH(B$617,'ei names mapping'!$A$137:$A$300,0),MATCH(G678,'ei names mapping'!$B$136:$BL$136,0))</f>
        <v>4.0579438164198253E-8</v>
      </c>
      <c r="D678" t="str">
        <f>INDEX('ei names mapping'!$B$104:$BL$133,MATCH(B$229,'ei names mapping'!$A$4:$A$33,0),MATCH(G678,'ei names mapping'!$B$3:$BL$3,0))</f>
        <v>kilogram</v>
      </c>
      <c r="E678" t="str">
        <f>INDEX('ei names mapping'!$B$305:$BL$335,MATCH(B$229,'ei names mapping'!$A$4:$A$33,0),MATCH(G678,'ei names mapping'!$B$3:$BL$3,0))</f>
        <v>air::urban air close to ground</v>
      </c>
      <c r="F678" t="s">
        <v>167</v>
      </c>
      <c r="G678" t="s">
        <v>564</v>
      </c>
    </row>
    <row r="679" spans="1:8" x14ac:dyDescent="0.2">
      <c r="A679" t="str">
        <f>INDEX('ei names mapping'!$B$4:$BL$33,MATCH(B$229,'ei names mapping'!$A$4:$A$33,0),MATCH(G679,'ei names mapping'!$B$3:$BL$3,0))</f>
        <v>Copper</v>
      </c>
      <c r="B679" s="7">
        <f>INDEX('vehicles specifications'!$B$3:$CW$166,MATCH(B$617,'vehicles specifications'!$A$3:$A$166,0),MATCH(G679,'vehicles specifications'!$B$2:$CW$2,0))*INDEX('ei names mapping'!$B$137:$BL$300,MATCH(B$617,'ei names mapping'!$A$137:$A$300,0),MATCH(G679,'ei names mapping'!$B$136:$BL$136,0))</f>
        <v>7.8904463097052155E-10</v>
      </c>
      <c r="D679" t="str">
        <f>INDEX('ei names mapping'!$B$104:$BL$133,MATCH(B$229,'ei names mapping'!$A$4:$A$33,0),MATCH(G679,'ei names mapping'!$B$3:$BL$3,0))</f>
        <v>kilogram</v>
      </c>
      <c r="E679" t="str">
        <f>INDEX('ei names mapping'!$B$305:$BL$335,MATCH(B$229,'ei names mapping'!$A$4:$A$33,0),MATCH(G679,'ei names mapping'!$B$3:$BL$3,0))</f>
        <v>air::urban air close to ground</v>
      </c>
      <c r="F679" t="s">
        <v>167</v>
      </c>
      <c r="G679" t="s">
        <v>522</v>
      </c>
    </row>
    <row r="680" spans="1:8" x14ac:dyDescent="0.2">
      <c r="A680" t="str">
        <f>INDEX('ei names mapping'!$B$4:$BL$33,MATCH(B$229,'ei names mapping'!$A$4:$A$33,0),MATCH(G680,'ei names mapping'!$B$3:$BL$3,0))</f>
        <v>Nickel</v>
      </c>
      <c r="B680" s="7">
        <f>INDEX('vehicles specifications'!$B$3:$CW$166,MATCH(B$617,'vehicles specifications'!$A$3:$A$166,0),MATCH(G680,'vehicles specifications'!$B$2:$CW$2,0))*INDEX('ei names mapping'!$B$137:$BL$300,MATCH(B$617,'ei names mapping'!$A$137:$A$300,0),MATCH(G680,'ei names mapping'!$B$136:$BL$136,0))</f>
        <v>2.4422810006230434E-10</v>
      </c>
      <c r="D680" t="str">
        <f>INDEX('ei names mapping'!$B$104:$BL$133,MATCH(B$229,'ei names mapping'!$A$4:$A$33,0),MATCH(G680,'ei names mapping'!$B$3:$BL$3,0))</f>
        <v>kilogram</v>
      </c>
      <c r="E680" t="str">
        <f>INDEX('ei names mapping'!$B$305:$BL$335,MATCH(B$229,'ei names mapping'!$A$4:$A$33,0),MATCH(G680,'ei names mapping'!$B$3:$BL$3,0))</f>
        <v>air::urban air close to ground</v>
      </c>
      <c r="F680" t="s">
        <v>167</v>
      </c>
      <c r="G680" t="s">
        <v>524</v>
      </c>
    </row>
    <row r="681" spans="1:8" x14ac:dyDescent="0.2">
      <c r="A681" t="str">
        <f>INDEX('ei names mapping'!$B$4:$BL$33,MATCH(B$229,'ei names mapping'!$A$4:$A$33,0),MATCH(G681,'ei names mapping'!$B$3:$BL$3,0))</f>
        <v>Chromium</v>
      </c>
      <c r="B681" s="7">
        <f>INDEX('vehicles specifications'!$B$3:$CW$166,MATCH(B$617,'vehicles specifications'!$A$3:$A$166,0),MATCH(G681,'vehicles specifications'!$B$2:$CW$2,0))*INDEX('ei names mapping'!$B$137:$BL$300,MATCH(B$617,'ei names mapping'!$A$137:$A$300,0),MATCH(G681,'ei names mapping'!$B$136:$BL$136,0))</f>
        <v>3.0058843084591303E-10</v>
      </c>
      <c r="D681" t="str">
        <f>INDEX('ei names mapping'!$B$104:$BL$133,MATCH(B$229,'ei names mapping'!$A$4:$A$33,0),MATCH(G681,'ei names mapping'!$B$3:$BL$3,0))</f>
        <v>kilogram</v>
      </c>
      <c r="E681" t="str">
        <f>INDEX('ei names mapping'!$B$305:$BL$335,MATCH(B$229,'ei names mapping'!$A$4:$A$33,0),MATCH(G681,'ei names mapping'!$B$3:$BL$3,0))</f>
        <v>air::urban air close to ground</v>
      </c>
      <c r="F681" t="s">
        <v>167</v>
      </c>
      <c r="G681" t="s">
        <v>523</v>
      </c>
    </row>
    <row r="682" spans="1:8" x14ac:dyDescent="0.2">
      <c r="A682" t="str">
        <f>INDEX('ei names mapping'!$B$4:$BL$33,MATCH(B$229,'ei names mapping'!$A$4:$A$33,0),MATCH(G682,'ei names mapping'!$B$3:$BL$3,0))</f>
        <v>Chromium VI</v>
      </c>
      <c r="B682" s="7">
        <f>INDEX('vehicles specifications'!$B$3:$CW$166,MATCH(B$617,'vehicles specifications'!$A$3:$A$166,0),MATCH(G682,'vehicles specifications'!$B$2:$CW$2,0))*INDEX('ei names mapping'!$B$137:$BL$300,MATCH(B$617,'ei names mapping'!$A$137:$A$300,0),MATCH(G682,'ei names mapping'!$B$136:$BL$136,0))</f>
        <v>6.0117686169182594E-13</v>
      </c>
      <c r="D682" t="str">
        <f>INDEX('ei names mapping'!$B$104:$BL$133,MATCH(B$229,'ei names mapping'!$A$4:$A$33,0),MATCH(G682,'ei names mapping'!$B$3:$BL$3,0))</f>
        <v>kilogram</v>
      </c>
      <c r="E682" t="str">
        <f>INDEX('ei names mapping'!$B$305:$BL$335,MATCH(B$229,'ei names mapping'!$A$4:$A$33,0),MATCH(G682,'ei names mapping'!$B$3:$BL$3,0))</f>
        <v>air::urban air close to ground</v>
      </c>
      <c r="F682" t="s">
        <v>167</v>
      </c>
      <c r="G682" t="s">
        <v>567</v>
      </c>
    </row>
    <row r="683" spans="1:8" x14ac:dyDescent="0.2">
      <c r="A683" t="str">
        <f>INDEX('ei names mapping'!$B$4:$BL$33,MATCH(B$229,'ei names mapping'!$A$4:$A$33,0),MATCH(G683,'ei names mapping'!$B$3:$BL$3,0))</f>
        <v>Mercury</v>
      </c>
      <c r="B683" s="7">
        <f>INDEX('vehicles specifications'!$B$3:$CW$166,MATCH(B$617,'vehicles specifications'!$A$3:$A$166,0),MATCH(G683,'vehicles specifications'!$B$2:$CW$2,0))*INDEX('ei names mapping'!$B$137:$BL$300,MATCH(B$617,'ei names mapping'!$A$137:$A$300,0),MATCH(G683,'ei names mapping'!$B$136:$BL$136,0))</f>
        <v>1.6344495927246518E-10</v>
      </c>
      <c r="D683" t="str">
        <f>INDEX('ei names mapping'!$B$104:$BL$133,MATCH(B$229,'ei names mapping'!$A$4:$A$33,0),MATCH(G683,'ei names mapping'!$B$3:$BL$3,0))</f>
        <v>kilogram</v>
      </c>
      <c r="E683" t="str">
        <f>INDEX('ei names mapping'!$B$305:$BL$335,MATCH(B$229,'ei names mapping'!$A$4:$A$33,0),MATCH(G683,'ei names mapping'!$B$3:$BL$3,0))</f>
        <v>air::urban air close to ground</v>
      </c>
      <c r="F683" t="s">
        <v>167</v>
      </c>
      <c r="G683" t="s">
        <v>565</v>
      </c>
    </row>
    <row r="684" spans="1:8" x14ac:dyDescent="0.2">
      <c r="A684" t="str">
        <f>INDEX('ei names mapping'!$B$4:$BL$33,MATCH(B$229,'ei names mapping'!$A$4:$A$33,0),MATCH(G684,'ei names mapping'!$B$3:$BL$3,0))</f>
        <v>Cadmium</v>
      </c>
      <c r="B684" s="7">
        <f>INDEX('vehicles specifications'!$B$3:$CW$166,MATCH(B$617,'vehicles specifications'!$A$3:$A$166,0),MATCH(G684,'vehicles specifications'!$B$2:$CW$2,0))*INDEX('ei names mapping'!$B$137:$BL$300,MATCH(B$617,'ei names mapping'!$A$137:$A$300,0),MATCH(G684,'ei names mapping'!$B$136:$BL$136,0))</f>
        <v>2.0289719082099132E-10</v>
      </c>
      <c r="D684" t="str">
        <f>INDEX('ei names mapping'!$B$104:$BL$133,MATCH(B$229,'ei names mapping'!$A$4:$A$33,0),MATCH(G684,'ei names mapping'!$B$3:$BL$3,0))</f>
        <v>kilogram</v>
      </c>
      <c r="E684" t="str">
        <f>INDEX('ei names mapping'!$B$305:$BL$335,MATCH(B$229,'ei names mapping'!$A$4:$A$33,0),MATCH(G684,'ei names mapping'!$B$3:$BL$3,0))</f>
        <v>air::urban air close to ground</v>
      </c>
      <c r="F684" t="s">
        <v>167</v>
      </c>
      <c r="G684" t="s">
        <v>566</v>
      </c>
    </row>
    <row r="685" spans="1:8" x14ac:dyDescent="0.2">
      <c r="A685" t="str">
        <f>INDEX('ei names mapping'!$B$4:$BL$33,MATCH(B614,'ei names mapping'!$A$4:$A$33,0),MATCH(G685,'ei names mapping'!$B$3:$BL$3,0))</f>
        <v>treatment of road wear emissions, passenger car</v>
      </c>
      <c r="B685" s="7">
        <f>INDEX('vehicles specifications'!$B$3:$CW$166,MATCH(B617,'vehicles specifications'!$A$3:$A$166,0),MATCH(G685,'vehicles specifications'!$B$2:$CW$2,0))*INDEX('ei names mapping'!$B$137:$BL$300,MATCH(B617,'ei names mapping'!$A$137:$A$300,0),MATCH(G685,'ei names mapping'!$B$136:$BL$136,0))</f>
        <v>-5.4016229667763182E-6</v>
      </c>
      <c r="C685" t="str">
        <f>INDEX('ei names mapping'!$B$38:$BL$67,MATCH(B614,'ei names mapping'!$A$4:$A$33,0),MATCH(G685,'ei names mapping'!$B$3:$BL$3,0))</f>
        <v>RER</v>
      </c>
      <c r="D685" t="str">
        <f>INDEX('ei names mapping'!$B$104:$BL$133,MATCH(B614,'ei names mapping'!$A$4:$A$33,0),MATCH(G685,'ei names mapping'!$B$3:$BL$3,0))</f>
        <v>kilogram</v>
      </c>
      <c r="F685" t="s">
        <v>89</v>
      </c>
      <c r="G685" t="s">
        <v>29</v>
      </c>
      <c r="H685" t="str">
        <f>INDEX('ei names mapping'!$B$71:$BL$100,MATCH(B614,'ei names mapping'!$A$4:$A$33,0),MATCH(G685,'ei names mapping'!$B$3:$BL$3,0))</f>
        <v>road wear emissions, passenger car</v>
      </c>
    </row>
    <row r="686" spans="1:8" x14ac:dyDescent="0.2">
      <c r="A686" t="str">
        <f>INDEX('ei names mapping'!$B$4:$BL$33,MATCH(B614,'ei names mapping'!$A$4:$A$33,0),MATCH(G686,'ei names mapping'!$B$3:$BL$3,0))</f>
        <v>treatment of tyre wear emissions, passenger car</v>
      </c>
      <c r="B686" s="7">
        <f>INDEX('vehicles specifications'!$B$3:$CW$166,MATCH(B617,'vehicles specifications'!$A$3:$A$166,0),MATCH(G686,'vehicles specifications'!$B$2:$CW$2,0))*INDEX('ei names mapping'!$B$137:$BL$300,MATCH(B617,'ei names mapping'!$A$137:$A$300,0),MATCH(G686,'ei names mapping'!$B$136:$BL$136,0))</f>
        <v>-4.5909389721213746E-6</v>
      </c>
      <c r="C686" t="str">
        <f>INDEX('ei names mapping'!$B$38:$BL$67,MATCH(B614,'ei names mapping'!$A$4:$A$33,0),MATCH(G686,'ei names mapping'!$B$3:$BL$3,0))</f>
        <v>RER</v>
      </c>
      <c r="D686" t="str">
        <f>INDEX('ei names mapping'!$B$104:$BL$133,MATCH(B614,'ei names mapping'!$A$4:$A$33,0),MATCH(G686,'ei names mapping'!$B$3:$BL$3,0))</f>
        <v>kilogram</v>
      </c>
      <c r="F686" t="s">
        <v>89</v>
      </c>
      <c r="G686" t="s">
        <v>30</v>
      </c>
      <c r="H686" t="str">
        <f>INDEX('ei names mapping'!$B$71:$BL$100,MATCH(B614,'ei names mapping'!$A$4:$A$33,0),MATCH(G686,'ei names mapping'!$B$3:$BL$3,0))</f>
        <v>tyre wear emissions, passenger car</v>
      </c>
    </row>
    <row r="687" spans="1:8" x14ac:dyDescent="0.2">
      <c r="A687" t="str">
        <f>INDEX('ei names mapping'!$B$4:$BL$33,MATCH(B614,'ei names mapping'!$A$4:$A$33,0),MATCH(G687,'ei names mapping'!$B$3:$BL$3,0))</f>
        <v>treatment of brake wear emissions, passenger car</v>
      </c>
      <c r="B687" s="7">
        <f>INDEX('vehicles specifications'!$B$3:$CW$166,MATCH(B617,'vehicles specifications'!$A$3:$A$166,0),MATCH(G687,'vehicles specifications'!$B$2:$CW$2,0))*INDEX('ei names mapping'!$B$137:$BL$300,MATCH(B617,'ei names mapping'!$A$137:$A$300,0),MATCH(G687,'ei names mapping'!$B$136:$BL$136,0))</f>
        <v>-3.1451027135630022E-6</v>
      </c>
      <c r="C687" t="str">
        <f>INDEX('ei names mapping'!$B$38:$BL$67,MATCH(B614,'ei names mapping'!$A$4:$A$33,0),MATCH(G687,'ei names mapping'!$B$3:$BL$3,0))</f>
        <v>RER</v>
      </c>
      <c r="D687" t="str">
        <f>INDEX('ei names mapping'!$B$104:$BL$133,MATCH(B614,'ei names mapping'!$A$4:$A$33,0),MATCH(G687,'ei names mapping'!$B$3:$BL$3,0))</f>
        <v>kilogram</v>
      </c>
      <c r="F687" t="s">
        <v>89</v>
      </c>
      <c r="G687" t="s">
        <v>31</v>
      </c>
      <c r="H687" t="str">
        <f>INDEX('ei names mapping'!$B$71:$BL$100,MATCH(B614,'ei names mapping'!$A$4:$A$33,0),MATCH(G687,'ei names mapping'!$B$3:$BL$3,0))</f>
        <v>brake wear emissions, passenger car</v>
      </c>
    </row>
    <row r="691" spans="1:2" x14ac:dyDescent="0.2">
      <c r="B691" s="11"/>
    </row>
    <row r="692" spans="1:2" x14ac:dyDescent="0.2">
      <c r="B692" s="12"/>
    </row>
    <row r="693" spans="1:2" x14ac:dyDescent="0.2">
      <c r="B693" s="11"/>
    </row>
    <row r="695" spans="1:2" ht="16" x14ac:dyDescent="0.2">
      <c r="A695" s="10"/>
      <c r="B695" s="8"/>
    </row>
    <row r="718" spans="1:2" x14ac:dyDescent="0.2">
      <c r="B718" s="6"/>
    </row>
    <row r="720" spans="1:2" ht="16" x14ac:dyDescent="0.2">
      <c r="A720" s="10"/>
    </row>
    <row r="724" spans="1:2" x14ac:dyDescent="0.2">
      <c r="B724" s="11"/>
    </row>
    <row r="725" spans="1:2" x14ac:dyDescent="0.2">
      <c r="B725" s="12"/>
    </row>
    <row r="726" spans="1:2" x14ac:dyDescent="0.2">
      <c r="B726" s="11"/>
    </row>
    <row r="728" spans="1:2" ht="16" x14ac:dyDescent="0.2">
      <c r="A728" s="10"/>
      <c r="B728" s="8"/>
    </row>
    <row r="751" spans="2:2" x14ac:dyDescent="0.2">
      <c r="B751" s="6"/>
    </row>
    <row r="753" spans="1:2" ht="16" x14ac:dyDescent="0.2">
      <c r="A753" s="10"/>
    </row>
    <row r="757" spans="1:2" x14ac:dyDescent="0.2">
      <c r="B757" s="11"/>
    </row>
    <row r="758" spans="1:2" x14ac:dyDescent="0.2">
      <c r="B758" s="12"/>
    </row>
    <row r="759" spans="1:2" x14ac:dyDescent="0.2">
      <c r="B759" s="1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283"/>
  <sheetViews>
    <sheetView topLeftCell="A142" workbookViewId="0">
      <selection activeCell="E156" sqref="E15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tr">
        <f>B3&amp;", "&amp;B5</f>
        <v>Bicycle, conventional, urban, 2020</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126</v>
      </c>
      <c r="B6" t="str">
        <f>B3&amp;" - "&amp;B5&amp;" - "&amp;B2</f>
        <v>Bicycle, conventional, urban - 2020 - CH</v>
      </c>
    </row>
    <row r="7" spans="1:2" x14ac:dyDescent="0.2">
      <c r="A7" t="s">
        <v>73</v>
      </c>
      <c r="B7" t="str">
        <f>B3</f>
        <v>Bicycle, conventional, urban</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15000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1000</v>
      </c>
    </row>
    <row r="16" spans="1:2" x14ac:dyDescent="0.2">
      <c r="A16" t="s">
        <v>132</v>
      </c>
      <c r="B16">
        <f>INDEX('vehicles specifications'!$B$3:$CW$166,MATCH(B6,'vehicles specifications'!$A$3:$A$166,0),MATCH("Curb mass [kg]",'vehicles specifications'!$B$2:$CW$2,0))</f>
        <v>12</v>
      </c>
    </row>
    <row r="17" spans="1:8" x14ac:dyDescent="0.2">
      <c r="A17" t="s">
        <v>133</v>
      </c>
      <c r="B17">
        <f>INDEX('vehicles specifications'!$B$3:$CW$166,MATCH(B6,'vehicles specifications'!$A$3:$A$166,0),MATCH("Power [kW]",'vehicles specifications'!$B$2:$CW$2,0))</f>
        <v>0</v>
      </c>
    </row>
    <row r="18" spans="1:8" x14ac:dyDescent="0.2">
      <c r="A18" t="s">
        <v>134</v>
      </c>
      <c r="B18" t="str">
        <f>INDEX('vehicles specifications'!$B$3:$CW$166,MATCH(B6,'vehicles specifications'!$A$3:$A$166,0),MATCH("Energy battery mass [kg]",'vehicles specifications'!$B$2:$CW$2,0))</f>
        <v/>
      </c>
    </row>
    <row r="19" spans="1:8" x14ac:dyDescent="0.2">
      <c r="A19" t="s">
        <v>135</v>
      </c>
      <c r="B19">
        <f>INDEX('vehicles specifications'!$B$3:$CW$166,MATCH(B6,'vehicles specifications'!$A$3:$A$166,0),MATCH("Electric energy available [kWh]",'vehicles specifications'!$B$2:$CW$2,0))</f>
        <v>0</v>
      </c>
    </row>
    <row r="20" spans="1:8" x14ac:dyDescent="0.2">
      <c r="A20" t="s">
        <v>138</v>
      </c>
      <c r="B20">
        <f>INDEX('vehicles specifications'!$B$3:$CW$166,MATCH(B6,'vehicles specifications'!$A$3:$A$166,0),MATCH("Oxydation energy stored [kWh]",'vehicles specifications'!$B$2:$CW$2,0))</f>
        <v>0</v>
      </c>
    </row>
    <row r="21" spans="1:8" x14ac:dyDescent="0.2">
      <c r="A21" t="s">
        <v>139</v>
      </c>
      <c r="B21">
        <f>INDEX('vehicles specifications'!$B$3:$CW$166,MATCH(B6,'vehicles specifications'!$A$3:$A$166,0),MATCH("Fuel mass [kg]",'vehicles specifications'!$B$2:$CW$2,0))</f>
        <v>0</v>
      </c>
    </row>
    <row r="22" spans="1:8" x14ac:dyDescent="0.2">
      <c r="A22" t="s">
        <v>136</v>
      </c>
      <c r="B22">
        <f>INDEX('vehicles specifications'!$B$3:$CW$166,MATCH(B6,'vehicles specifications'!$A$3:$A$166,0),MATCH("Range [km]",'vehicles specifications'!$B$2:$CW$2,0))</f>
        <v>0</v>
      </c>
    </row>
    <row r="23" spans="1:8" x14ac:dyDescent="0.2">
      <c r="A23" t="s">
        <v>137</v>
      </c>
      <c r="B23" t="str">
        <f>INDEX('vehicles specifications'!$B$3:$CW$166,MATCH(B6,'vehicles specifications'!$A$3:$A$166,0),MATCH("Emission standard",'vehicles specifications'!$B$2:$CW$2,0))</f>
        <v>None</v>
      </c>
    </row>
    <row r="24" spans="1:8" x14ac:dyDescent="0.2">
      <c r="A24" t="s">
        <v>1174</v>
      </c>
      <c r="B24" s="6">
        <f>INDEX('vehicles specifications'!$B$3:$CW$166,MATCH(B6,'vehicles specifications'!$A$3:$A$166,0),MATCH("Lightweighting rate [%]",'vehicles specifications'!$B$2:$CW$2,0))</f>
        <v>0</v>
      </c>
    </row>
    <row r="25" spans="1:8" x14ac:dyDescent="0.2">
      <c r="A25" t="s">
        <v>485</v>
      </c>
      <c r="B25" s="6" t="s">
        <v>486</v>
      </c>
    </row>
    <row r="26" spans="1:8" x14ac:dyDescent="0.2">
      <c r="A26" t="s">
        <v>487</v>
      </c>
      <c r="B26" s="2">
        <v>15900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"&amp;ROUND(B13,1)&amp;". Range: "&amp;ROUND(B22,0)&amp;" km. Fuel tank capacity: "&amp;ROUND(B20,1)&amp;" kWh. Fuel mass: "&amp;ROUND(B21,1)&amp;" kg. Origin of manufacture: "&amp;B25&amp;". Shipping distance: "&amp;B26&amp;" km. Lorry distribution distance: "&amp;B27&amp;" km. Documentation: "&amp;Readmefirst!$B$2&amp;", "&amp;Readmefirst!$B$3&amp;". "&amp;B10</f>
        <v>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Bicycle, conventional, urban, 2020</v>
      </c>
      <c r="B31">
        <v>1</v>
      </c>
      <c r="C31" t="str">
        <f>B2</f>
        <v>CH</v>
      </c>
      <c r="D31" t="str">
        <f>B9</f>
        <v>unit</v>
      </c>
      <c r="F31" t="s">
        <v>84</v>
      </c>
      <c r="G31" t="s">
        <v>85</v>
      </c>
      <c r="H31" t="str">
        <f>B3</f>
        <v>Bicycle, conventional, urban</v>
      </c>
    </row>
    <row r="32" spans="1:8" x14ac:dyDescent="0.2">
      <c r="A32" t="str">
        <f>INDEX('ei names mapping'!$B$4:$R$33,MATCH($B$3,'ei names mapping'!$A$4:$A$33,0),MATCH(G32,'ei names mapping'!$B$3:$R$3,0))</f>
        <v>bicycle production</v>
      </c>
      <c r="B32" s="4">
        <f>INDEX('vehicles specifications'!$B$3:$CW$166,MATCH(B6,'vehicles specifications'!$A$3:$A$166,0),MATCH(G32,'vehicles specifications'!$B$2:$CW$2,0))*INDEX('ei names mapping'!$B$137:$BL$300,MATCH(B6,'ei names mapping'!$A$137:$A$300,0),MATCH(G32,'ei names mapping'!$B$136:$BL$136,0))</f>
        <v>0.70588235294117641</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bicycle</v>
      </c>
    </row>
    <row r="33" spans="1:8" x14ac:dyDescent="0.2">
      <c r="A33" t="str">
        <f>INDEX('ei names mapping'!$B$4:$R$33,MATCH(B3,'ei names mapping'!$A$4:$A$33,0),MATCH(G33,'ei names mapping'!$B$3:$R$3,0))</f>
        <v>Glider lightweighting</v>
      </c>
      <c r="B33" s="11">
        <f>INDEX('vehicles specifications'!$B$3:$CW$166,MATCH(B6,'vehicles specifications'!$A$3:$A$166,0),MATCH(G33,'vehicles specifications'!$B$2:$CW$2,0))*INDEX('ei names mapping'!$B$137:$BL$300,MATCH(B6,'ei names mapping'!$A$137:$A$300,0),MATCH(G33,'ei names mapping'!$B$136:$BL$136,0))</f>
        <v>0</v>
      </c>
      <c r="C33" t="str">
        <f>INDEX('ei names mapping'!$B$38:$R$67,MATCH(B3,'ei names mapping'!$A$4:$A$33,0),MATCH(G33,'ei names mapping'!$B$3:$R$3,0))</f>
        <v>GLO</v>
      </c>
      <c r="D33" t="str">
        <f>INDEX('ei names mapping'!$B$104:$R$133,MATCH(B3,'ei names mapping'!$A$104:$A$133,0),MATCH(G33,'ei names mapping'!$B$3:$R$3,0))</f>
        <v>kilogram</v>
      </c>
      <c r="F33" t="s">
        <v>89</v>
      </c>
      <c r="G33" t="s">
        <v>14</v>
      </c>
      <c r="H33" t="str">
        <f>INDEX('ei names mapping'!$B$71:$R$100,MATCH(B3,'ei names mapping'!$A$4:$A$33,0),MATCH(G33,'ei names mapping'!$B$3:$R$3,0))</f>
        <v>Glider lightweighting</v>
      </c>
    </row>
    <row r="34" spans="1:8" x14ac:dyDescent="0.2">
      <c r="A34" s="13" t="s">
        <v>840</v>
      </c>
      <c r="B34">
        <f>(B16/1000)*B27</f>
        <v>12</v>
      </c>
      <c r="C34" t="s">
        <v>92</v>
      </c>
      <c r="D34" t="s">
        <v>233</v>
      </c>
      <c r="F34" t="s">
        <v>89</v>
      </c>
      <c r="H34" s="13" t="s">
        <v>841</v>
      </c>
    </row>
    <row r="35" spans="1:8" x14ac:dyDescent="0.2">
      <c r="A35" s="13" t="s">
        <v>441</v>
      </c>
      <c r="B35" s="2">
        <f>(B16/1000)*B26</f>
        <v>190.8</v>
      </c>
      <c r="C35" t="s">
        <v>95</v>
      </c>
      <c r="D35" t="s">
        <v>233</v>
      </c>
      <c r="F35" t="s">
        <v>89</v>
      </c>
      <c r="H35" s="13" t="s">
        <v>441</v>
      </c>
    </row>
    <row r="37" spans="1:8" ht="16" x14ac:dyDescent="0.2">
      <c r="A37" s="10" t="s">
        <v>71</v>
      </c>
      <c r="B37" s="8" t="str">
        <f>B39&amp;", "&amp;B41</f>
        <v>Bicycle, conventional, urban, 2030</v>
      </c>
    </row>
    <row r="38" spans="1:8" x14ac:dyDescent="0.2">
      <c r="A38" t="s">
        <v>72</v>
      </c>
      <c r="B38" t="s">
        <v>37</v>
      </c>
    </row>
    <row r="39" spans="1:8" x14ac:dyDescent="0.2">
      <c r="A39" t="s">
        <v>86</v>
      </c>
      <c r="B39" t="s">
        <v>33</v>
      </c>
    </row>
    <row r="40" spans="1:8" x14ac:dyDescent="0.2">
      <c r="A40" t="s">
        <v>87</v>
      </c>
    </row>
    <row r="41" spans="1:8" x14ac:dyDescent="0.2">
      <c r="A41" t="s">
        <v>88</v>
      </c>
      <c r="B41">
        <v>2030</v>
      </c>
    </row>
    <row r="42" spans="1:8" x14ac:dyDescent="0.2">
      <c r="A42" t="s">
        <v>126</v>
      </c>
      <c r="B42" t="str">
        <f>B39&amp;" - "&amp;B41&amp;" - "&amp;B38</f>
        <v>Bicycle, conventional, urban - 2030 - CH</v>
      </c>
    </row>
    <row r="43" spans="1:8" x14ac:dyDescent="0.2">
      <c r="A43" t="s">
        <v>73</v>
      </c>
      <c r="B43" t="str">
        <f>B39</f>
        <v>Bicycle, conventional, urban</v>
      </c>
    </row>
    <row r="44" spans="1:8" x14ac:dyDescent="0.2">
      <c r="A44" t="s">
        <v>74</v>
      </c>
      <c r="B44" t="s">
        <v>75</v>
      </c>
    </row>
    <row r="45" spans="1:8" x14ac:dyDescent="0.2">
      <c r="A45" t="s">
        <v>76</v>
      </c>
      <c r="B45" t="s">
        <v>76</v>
      </c>
    </row>
    <row r="46" spans="1:8" x14ac:dyDescent="0.2">
      <c r="A46" t="s">
        <v>78</v>
      </c>
      <c r="B46" t="s">
        <v>1143</v>
      </c>
    </row>
    <row r="47" spans="1:8" x14ac:dyDescent="0.2">
      <c r="A47" t="s">
        <v>127</v>
      </c>
      <c r="B47">
        <f>INDEX('vehicles specifications'!$B$3:$CW$166,MATCH(B42,'vehicles specifications'!$A$3:$A$166,0),MATCH("Lifetime [km]",'vehicles specifications'!$B$2:$CW$2,0))</f>
        <v>15000</v>
      </c>
    </row>
    <row r="48" spans="1:8" x14ac:dyDescent="0.2">
      <c r="A48" t="s">
        <v>128</v>
      </c>
      <c r="B48">
        <f>INDEX('vehicles specifications'!$B$3:$CW$166,MATCH(B42,'vehicles specifications'!$A$3:$A$166,0),MATCH("Passengers [unit]",'vehicles specifications'!$B$2:$CW$2,0))</f>
        <v>1</v>
      </c>
    </row>
    <row r="49" spans="1:2" x14ac:dyDescent="0.2">
      <c r="A49" t="s">
        <v>129</v>
      </c>
      <c r="B49">
        <f>INDEX('vehicles specifications'!$B$3:$CW$166,MATCH(B42,'vehicles specifications'!$A$3:$A$166,0),MATCH("Servicing [unit]",'vehicles specifications'!$B$2:$CW$2,0))</f>
        <v>1</v>
      </c>
    </row>
    <row r="50" spans="1:2" x14ac:dyDescent="0.2">
      <c r="A50" t="s">
        <v>130</v>
      </c>
      <c r="B50">
        <f>INDEX('vehicles specifications'!$B$3:$CW$166,MATCH(B42,'vehicles specifications'!$A$3:$A$166,0),MATCH("Energy battery replacement [unit]",'vehicles specifications'!$B$2:$CW$2,0))</f>
        <v>0</v>
      </c>
    </row>
    <row r="51" spans="1:2" x14ac:dyDescent="0.2">
      <c r="A51" t="s">
        <v>131</v>
      </c>
      <c r="B51">
        <f>INDEX('vehicles specifications'!$B$3:$CW$166,MATCH(B42,'vehicles specifications'!$A$3:$A$166,0),MATCH("Annual kilometers [km]",'vehicles specifications'!$B$2:$CW$2,0))</f>
        <v>1000</v>
      </c>
    </row>
    <row r="52" spans="1:2" x14ac:dyDescent="0.2">
      <c r="A52" t="s">
        <v>132</v>
      </c>
      <c r="B52">
        <f>INDEX('vehicles specifications'!$B$3:$CW$166,MATCH(B42,'vehicles specifications'!$A$3:$A$166,0),MATCH("Curb mass [kg]",'vehicles specifications'!$B$2:$CW$2,0))</f>
        <v>11.64</v>
      </c>
    </row>
    <row r="53" spans="1:2" x14ac:dyDescent="0.2">
      <c r="A53" t="s">
        <v>133</v>
      </c>
      <c r="B53">
        <f>INDEX('vehicles specifications'!$B$3:$CW$166,MATCH(B42,'vehicles specifications'!$A$3:$A$166,0),MATCH("Power [kW]",'vehicles specifications'!$B$2:$CW$2,0))</f>
        <v>0</v>
      </c>
    </row>
    <row r="54" spans="1:2" x14ac:dyDescent="0.2">
      <c r="A54" t="s">
        <v>134</v>
      </c>
      <c r="B54" t="str">
        <f>INDEX('vehicles specifications'!$B$3:$CW$166,MATCH(B42,'vehicles specifications'!$A$3:$A$166,0),MATCH("Energy battery mass [kg]",'vehicles specifications'!$B$2:$CW$2,0))</f>
        <v/>
      </c>
    </row>
    <row r="55" spans="1:2" x14ac:dyDescent="0.2">
      <c r="A55" t="s">
        <v>135</v>
      </c>
      <c r="B55">
        <f>INDEX('vehicles specifications'!$B$3:$CW$166,MATCH(B42,'vehicles specifications'!$A$3:$A$166,0),MATCH("Electric energy available [kWh]",'vehicles specifications'!$B$2:$CW$2,0))</f>
        <v>0</v>
      </c>
    </row>
    <row r="56" spans="1:2" x14ac:dyDescent="0.2">
      <c r="A56" t="s">
        <v>138</v>
      </c>
      <c r="B56">
        <f>INDEX('vehicles specifications'!$B$3:$CW$166,MATCH(B42,'vehicles specifications'!$A$3:$A$166,0),MATCH("Oxydation energy stored [kWh]",'vehicles specifications'!$B$2:$CW$2,0))</f>
        <v>0</v>
      </c>
    </row>
    <row r="57" spans="1:2" x14ac:dyDescent="0.2">
      <c r="A57" t="s">
        <v>139</v>
      </c>
      <c r="B57">
        <f>INDEX('vehicles specifications'!$B$3:$CW$166,MATCH(B42,'vehicles specifications'!$A$3:$A$166,0),MATCH("Fuel mass [kg]",'vehicles specifications'!$B$2:$CW$2,0))</f>
        <v>0</v>
      </c>
    </row>
    <row r="58" spans="1:2" x14ac:dyDescent="0.2">
      <c r="A58" t="s">
        <v>136</v>
      </c>
      <c r="B58">
        <f>INDEX('vehicles specifications'!$B$3:$CW$166,MATCH(B42,'vehicles specifications'!$A$3:$A$166,0),MATCH("Range [km]",'vehicles specifications'!$B$2:$CW$2,0))</f>
        <v>0</v>
      </c>
    </row>
    <row r="59" spans="1:2" x14ac:dyDescent="0.2">
      <c r="A59" t="s">
        <v>137</v>
      </c>
      <c r="B59" t="str">
        <f>INDEX('vehicles specifications'!$B$3:$CW$166,MATCH(B42,'vehicles specifications'!$A$3:$A$166,0),MATCH("Emission standard",'vehicles specifications'!$B$2:$CW$2,0))</f>
        <v>None</v>
      </c>
    </row>
    <row r="60" spans="1:2" x14ac:dyDescent="0.2">
      <c r="A60" t="s">
        <v>1174</v>
      </c>
      <c r="B60" s="6">
        <f>INDEX('vehicles specifications'!$B$3:$CW$166,MATCH(B42,'vehicles specifications'!$A$3:$A$166,0),MATCH("Lightweighting rate [%]",'vehicles specifications'!$B$2:$CW$2,0))</f>
        <v>0.03</v>
      </c>
    </row>
    <row r="61" spans="1:2" x14ac:dyDescent="0.2">
      <c r="A61" t="s">
        <v>485</v>
      </c>
      <c r="B61" s="6" t="s">
        <v>486</v>
      </c>
    </row>
    <row r="62" spans="1:2" x14ac:dyDescent="0.2">
      <c r="A62" t="s">
        <v>487</v>
      </c>
      <c r="B62" s="2">
        <v>15900</v>
      </c>
    </row>
    <row r="63" spans="1:2" x14ac:dyDescent="0.2">
      <c r="A63" t="s">
        <v>488</v>
      </c>
      <c r="B63" s="2">
        <v>1000</v>
      </c>
    </row>
    <row r="64" spans="1:2" x14ac:dyDescent="0.2">
      <c r="A64" t="s">
        <v>83</v>
      </c>
      <c r="B64" t="str">
        <f>"Power: "&amp;B53&amp;" kW. Lifetime: "&amp;B47&amp;" km. Annual kilometers: "&amp;ROUND(B51,0)&amp;" km. Number of passengers: "&amp;ROUND(B48,1)&amp;". Curb mass: "&amp;ROUND(B52,1)&amp;" kg. Lightweighting of glider: "&amp;ROUND(B60*100,0)&amp;"%. Emission standard: "&amp;B59&amp;". Service visits throughout lifetime: "&amp;ROUND(B49,1)&amp;". Range: "&amp;ROUND(B58,0)&amp;" km. Fuel tank capacity: "&amp;ROUND(B56,1)&amp;" kWh. Fuel mass: "&amp;ROUND(B57,1)&amp;" kg. Origin of manufacture: "&amp;B61&amp;". Shipping distance: "&amp;B62&amp;" km. Lorry distribution distance: "&amp;B63&amp;" km. Documentation: "&amp;Readmefirst!$B$2&amp;", "&amp;Readmefirst!$B$3&amp;". "&amp;B46</f>
        <v>Power: 0 kW. Lifetime: 15000 km. Annual kilometers: 1000 km. Number of passengers: 1. Curb mass: 11.6 kg. Lightweighting of glider: 3%.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65" spans="1:8" ht="16" x14ac:dyDescent="0.2">
      <c r="A65" s="10" t="s">
        <v>79</v>
      </c>
    </row>
    <row r="66" spans="1:8" x14ac:dyDescent="0.2">
      <c r="A66" t="s">
        <v>80</v>
      </c>
      <c r="B66" t="s">
        <v>81</v>
      </c>
      <c r="C66" t="s">
        <v>72</v>
      </c>
      <c r="D66" t="s">
        <v>76</v>
      </c>
      <c r="E66" t="s">
        <v>82</v>
      </c>
      <c r="F66" t="s">
        <v>74</v>
      </c>
      <c r="G66" t="s">
        <v>83</v>
      </c>
      <c r="H66" t="s">
        <v>73</v>
      </c>
    </row>
    <row r="67" spans="1:8" x14ac:dyDescent="0.2">
      <c r="A67" t="str">
        <f>B37</f>
        <v>Bicycle, conventional, urban, 2030</v>
      </c>
      <c r="B67">
        <v>1</v>
      </c>
      <c r="C67" t="str">
        <f>B38</f>
        <v>CH</v>
      </c>
      <c r="D67" t="str">
        <f>B45</f>
        <v>unit</v>
      </c>
      <c r="F67" t="s">
        <v>84</v>
      </c>
      <c r="G67" t="s">
        <v>85</v>
      </c>
      <c r="H67" t="str">
        <f>B39</f>
        <v>Bicycle, conventional, urban</v>
      </c>
    </row>
    <row r="68" spans="1:8" x14ac:dyDescent="0.2">
      <c r="A68" t="str">
        <f>INDEX('ei names mapping'!$B$4:$R$33,MATCH($B$3,'ei names mapping'!$A$4:$A$33,0),MATCH(G68,'ei names mapping'!$B$3:$R$3,0))</f>
        <v>bicycle production</v>
      </c>
      <c r="B68" s="4">
        <f>INDEX('vehicles specifications'!$B$3:$CW$166,MATCH(B42,'vehicles specifications'!$A$3:$A$166,0),MATCH(G68,'vehicles specifications'!$B$2:$CW$2,0))*INDEX('ei names mapping'!$B$137:$BL$300,MATCH(B42,'ei names mapping'!$A$137:$A$300,0),MATCH(G68,'ei names mapping'!$B$136:$BL$136,0))</f>
        <v>0.70588235294117641</v>
      </c>
      <c r="C68" t="str">
        <f>INDEX('ei names mapping'!$B$38:$R$67,MATCH($B$3,'ei names mapping'!$A$4:$A$33,0),MATCH(G68,'ei names mapping'!$B$3:$R$3,0))</f>
        <v>RER</v>
      </c>
      <c r="D68" t="str">
        <f>INDEX('ei names mapping'!$B$104:$R$133,MATCH(B39,'ei names mapping'!$A$104:$A$133,0),MATCH(G68,'ei names mapping'!$B$3:$R$3,0))</f>
        <v>unit</v>
      </c>
      <c r="F68" t="s">
        <v>89</v>
      </c>
      <c r="G68" t="s">
        <v>15</v>
      </c>
      <c r="H68" t="str">
        <f>INDEX('ei names mapping'!$B$71:$R$100,MATCH($B$3,'ei names mapping'!$A$4:$A$33,0),MATCH(G68,'ei names mapping'!$B$3:$R$3,0))</f>
        <v>bicycle</v>
      </c>
    </row>
    <row r="69" spans="1:8" x14ac:dyDescent="0.2">
      <c r="A69" t="str">
        <f>INDEX('ei names mapping'!$B$4:$R$33,MATCH(B39,'ei names mapping'!$A$4:$A$33,0),MATCH(G69,'ei names mapping'!$B$3:$R$3,0))</f>
        <v>Glider lightweighting</v>
      </c>
      <c r="B69" s="11">
        <f>INDEX('vehicles specifications'!$B$3:$CW$166,MATCH(B42,'vehicles specifications'!$A$3:$A$166,0),MATCH(G69,'vehicles specifications'!$B$2:$CW$2,0))*INDEX('ei names mapping'!$B$137:$BL$300,MATCH(B42,'ei names mapping'!$A$137:$A$300,0),MATCH(G69,'ei names mapping'!$B$136:$BL$136,0))</f>
        <v>0.36</v>
      </c>
      <c r="C69" t="str">
        <f>INDEX('ei names mapping'!$B$38:$R$67,MATCH(B39,'ei names mapping'!$A$4:$A$33,0),MATCH(G69,'ei names mapping'!$B$3:$R$3,0))</f>
        <v>GLO</v>
      </c>
      <c r="D69" t="str">
        <f>INDEX('ei names mapping'!$B$104:$R$133,MATCH(B39,'ei names mapping'!$A$104:$A$133,0),MATCH(G69,'ei names mapping'!$B$3:$R$3,0))</f>
        <v>kilogram</v>
      </c>
      <c r="F69" t="s">
        <v>89</v>
      </c>
      <c r="G69" t="s">
        <v>14</v>
      </c>
      <c r="H69" t="str">
        <f>INDEX('ei names mapping'!$B$71:$R$100,MATCH(B39,'ei names mapping'!$A$4:$A$33,0),MATCH(G69,'ei names mapping'!$B$3:$R$3,0))</f>
        <v>Glider lightweighting</v>
      </c>
    </row>
    <row r="70" spans="1:8" x14ac:dyDescent="0.2">
      <c r="A70" s="13" t="s">
        <v>840</v>
      </c>
      <c r="B70">
        <f>(B52/1000)*B63</f>
        <v>11.64</v>
      </c>
      <c r="C70" t="s">
        <v>92</v>
      </c>
      <c r="D70" t="s">
        <v>233</v>
      </c>
      <c r="F70" t="s">
        <v>89</v>
      </c>
      <c r="H70" s="13" t="s">
        <v>841</v>
      </c>
    </row>
    <row r="71" spans="1:8" x14ac:dyDescent="0.2">
      <c r="A71" s="13" t="s">
        <v>441</v>
      </c>
      <c r="B71" s="2">
        <f>(B52/1000)*B62</f>
        <v>185.07600000000002</v>
      </c>
      <c r="C71" t="s">
        <v>95</v>
      </c>
      <c r="D71" t="s">
        <v>233</v>
      </c>
      <c r="F71" t="s">
        <v>89</v>
      </c>
      <c r="H71" s="13" t="s">
        <v>441</v>
      </c>
    </row>
    <row r="73" spans="1:8" ht="16" x14ac:dyDescent="0.2">
      <c r="A73" s="10" t="s">
        <v>71</v>
      </c>
      <c r="B73" s="8" t="str">
        <f>B75&amp;", "&amp;B77</f>
        <v>Bicycle, conventional, urban, 2040</v>
      </c>
    </row>
    <row r="74" spans="1:8" x14ac:dyDescent="0.2">
      <c r="A74" t="s">
        <v>72</v>
      </c>
      <c r="B74" t="s">
        <v>37</v>
      </c>
    </row>
    <row r="75" spans="1:8" x14ac:dyDescent="0.2">
      <c r="A75" t="s">
        <v>86</v>
      </c>
      <c r="B75" t="s">
        <v>33</v>
      </c>
    </row>
    <row r="76" spans="1:8" x14ac:dyDescent="0.2">
      <c r="A76" t="s">
        <v>87</v>
      </c>
    </row>
    <row r="77" spans="1:8" x14ac:dyDescent="0.2">
      <c r="A77" t="s">
        <v>88</v>
      </c>
      <c r="B77">
        <v>2040</v>
      </c>
    </row>
    <row r="78" spans="1:8" x14ac:dyDescent="0.2">
      <c r="A78" t="s">
        <v>126</v>
      </c>
      <c r="B78" t="str">
        <f>B75&amp;" - "&amp;B77&amp;" - "&amp;B74</f>
        <v>Bicycle, conventional, urban - 2040 - CH</v>
      </c>
    </row>
    <row r="79" spans="1:8" x14ac:dyDescent="0.2">
      <c r="A79" t="s">
        <v>73</v>
      </c>
      <c r="B79" t="str">
        <f>B75</f>
        <v>Bicycle, conventional, urban</v>
      </c>
    </row>
    <row r="80" spans="1:8" x14ac:dyDescent="0.2">
      <c r="A80" t="s">
        <v>74</v>
      </c>
      <c r="B80" t="s">
        <v>75</v>
      </c>
    </row>
    <row r="81" spans="1:2" x14ac:dyDescent="0.2">
      <c r="A81" t="s">
        <v>76</v>
      </c>
      <c r="B81" t="s">
        <v>76</v>
      </c>
    </row>
    <row r="82" spans="1:2" x14ac:dyDescent="0.2">
      <c r="A82" t="s">
        <v>78</v>
      </c>
      <c r="B82" t="s">
        <v>1143</v>
      </c>
    </row>
    <row r="83" spans="1:2" x14ac:dyDescent="0.2">
      <c r="A83" t="s">
        <v>127</v>
      </c>
      <c r="B83">
        <f>INDEX('vehicles specifications'!$B$3:$CW$166,MATCH(B78,'vehicles specifications'!$A$3:$A$166,0),MATCH("Lifetime [km]",'vehicles specifications'!$B$2:$CW$2,0))</f>
        <v>15000</v>
      </c>
    </row>
    <row r="84" spans="1:2" x14ac:dyDescent="0.2">
      <c r="A84" t="s">
        <v>128</v>
      </c>
      <c r="B84">
        <f>INDEX('vehicles specifications'!$B$3:$CW$166,MATCH(B78,'vehicles specifications'!$A$3:$A$166,0),MATCH("Passengers [unit]",'vehicles specifications'!$B$2:$CW$2,0))</f>
        <v>1</v>
      </c>
    </row>
    <row r="85" spans="1:2" x14ac:dyDescent="0.2">
      <c r="A85" t="s">
        <v>129</v>
      </c>
      <c r="B85">
        <f>INDEX('vehicles specifications'!$B$3:$CW$166,MATCH(B78,'vehicles specifications'!$A$3:$A$166,0),MATCH("Servicing [unit]",'vehicles specifications'!$B$2:$CW$2,0))</f>
        <v>1</v>
      </c>
    </row>
    <row r="86" spans="1:2" x14ac:dyDescent="0.2">
      <c r="A86" t="s">
        <v>130</v>
      </c>
      <c r="B86">
        <f>INDEX('vehicles specifications'!$B$3:$CW$166,MATCH(B78,'vehicles specifications'!$A$3:$A$166,0),MATCH("Energy battery replacement [unit]",'vehicles specifications'!$B$2:$CW$2,0))</f>
        <v>0</v>
      </c>
    </row>
    <row r="87" spans="1:2" x14ac:dyDescent="0.2">
      <c r="A87" t="s">
        <v>131</v>
      </c>
      <c r="B87">
        <f>INDEX('vehicles specifications'!$B$3:$CW$166,MATCH(B78,'vehicles specifications'!$A$3:$A$166,0),MATCH("Annual kilometers [km]",'vehicles specifications'!$B$2:$CW$2,0))</f>
        <v>1000</v>
      </c>
    </row>
    <row r="88" spans="1:2" x14ac:dyDescent="0.2">
      <c r="A88" t="s">
        <v>132</v>
      </c>
      <c r="B88">
        <f>INDEX('vehicles specifications'!$B$3:$CW$166,MATCH(B78,'vehicles specifications'!$A$3:$A$166,0),MATCH("Curb mass [kg]",'vehicles specifications'!$B$2:$CW$2,0))</f>
        <v>11.399999999999999</v>
      </c>
    </row>
    <row r="89" spans="1:2" x14ac:dyDescent="0.2">
      <c r="A89" t="s">
        <v>133</v>
      </c>
      <c r="B89">
        <f>INDEX('vehicles specifications'!$B$3:$CW$166,MATCH(B78,'vehicles specifications'!$A$3:$A$166,0),MATCH("Power [kW]",'vehicles specifications'!$B$2:$CW$2,0))</f>
        <v>0</v>
      </c>
    </row>
    <row r="90" spans="1:2" x14ac:dyDescent="0.2">
      <c r="A90" t="s">
        <v>134</v>
      </c>
      <c r="B90" t="str">
        <f>INDEX('vehicles specifications'!$B$3:$CW$166,MATCH(B78,'vehicles specifications'!$A$3:$A$166,0),MATCH("Energy battery mass [kg]",'vehicles specifications'!$B$2:$CW$2,0))</f>
        <v/>
      </c>
    </row>
    <row r="91" spans="1:2" x14ac:dyDescent="0.2">
      <c r="A91" t="s">
        <v>135</v>
      </c>
      <c r="B91">
        <f>INDEX('vehicles specifications'!$B$3:$CW$166,MATCH(B78,'vehicles specifications'!$A$3:$A$166,0),MATCH("Electric energy available [kWh]",'vehicles specifications'!$B$2:$CW$2,0))</f>
        <v>0</v>
      </c>
    </row>
    <row r="92" spans="1:2" x14ac:dyDescent="0.2">
      <c r="A92" t="s">
        <v>138</v>
      </c>
      <c r="B92">
        <f>INDEX('vehicles specifications'!$B$3:$CW$166,MATCH(B78,'vehicles specifications'!$A$3:$A$166,0),MATCH("Oxydation energy stored [kWh]",'vehicles specifications'!$B$2:$CW$2,0))</f>
        <v>0</v>
      </c>
    </row>
    <row r="93" spans="1:2" x14ac:dyDescent="0.2">
      <c r="A93" t="s">
        <v>139</v>
      </c>
      <c r="B93">
        <f>INDEX('vehicles specifications'!$B$3:$CW$166,MATCH(B78,'vehicles specifications'!$A$3:$A$166,0),MATCH("Fuel mass [kg]",'vehicles specifications'!$B$2:$CW$2,0))</f>
        <v>0</v>
      </c>
    </row>
    <row r="94" spans="1:2" x14ac:dyDescent="0.2">
      <c r="A94" t="s">
        <v>136</v>
      </c>
      <c r="B94">
        <f>INDEX('vehicles specifications'!$B$3:$CW$166,MATCH(B78,'vehicles specifications'!$A$3:$A$166,0),MATCH("Range [km]",'vehicles specifications'!$B$2:$CW$2,0))</f>
        <v>0</v>
      </c>
    </row>
    <row r="95" spans="1:2" x14ac:dyDescent="0.2">
      <c r="A95" t="s">
        <v>137</v>
      </c>
      <c r="B95" t="str">
        <f>INDEX('vehicles specifications'!$B$3:$CW$166,MATCH(B78,'vehicles specifications'!$A$3:$A$166,0),MATCH("Emission standard",'vehicles specifications'!$B$2:$CW$2,0))</f>
        <v>None</v>
      </c>
    </row>
    <row r="96" spans="1:2" x14ac:dyDescent="0.2">
      <c r="A96" t="s">
        <v>1174</v>
      </c>
      <c r="B96" s="6">
        <f>INDEX('vehicles specifications'!$B$3:$CW$166,MATCH(B78,'vehicles specifications'!$A$3:$A$166,0),MATCH("Lightweighting rate [%]",'vehicles specifications'!$B$2:$CW$2,0))</f>
        <v>0.05</v>
      </c>
    </row>
    <row r="97" spans="1:8" x14ac:dyDescent="0.2">
      <c r="A97" t="s">
        <v>485</v>
      </c>
      <c r="B97" s="6" t="s">
        <v>486</v>
      </c>
    </row>
    <row r="98" spans="1:8" x14ac:dyDescent="0.2">
      <c r="A98" t="s">
        <v>487</v>
      </c>
      <c r="B98" s="2">
        <v>15900</v>
      </c>
    </row>
    <row r="99" spans="1:8" x14ac:dyDescent="0.2">
      <c r="A99" t="s">
        <v>488</v>
      </c>
      <c r="B99" s="2">
        <v>1000</v>
      </c>
    </row>
    <row r="100" spans="1:8" x14ac:dyDescent="0.2">
      <c r="A100" t="s">
        <v>83</v>
      </c>
      <c r="B100" t="str">
        <f>"Power: "&amp;B89&amp;" kW. Lifetime: "&amp;B83&amp;" km. Annual kilometers: "&amp;ROUND(B87,0)&amp;" km. Number of passengers: "&amp;ROUND(B84,1)&amp;". Curb mass: "&amp;ROUND(B88,1)&amp;" kg. Lightweighting of glider: "&amp;ROUND(B96*100,0)&amp;"%. Emission standard: "&amp;B95&amp;". Service visits throughout lifetime: "&amp;ROUND(B85,1)&amp;". Range: "&amp;ROUND(B94,0)&amp;" km. Fuel tank capacity: "&amp;ROUND(B92,1)&amp;" kWh. Fuel mass: "&amp;ROUND(B93,1)&amp;" kg. Origin of manufacture: "&amp;B97&amp;". Shipping distance: "&amp;B98&amp;" km. Lorry distribution distance: "&amp;B99&amp;" km. Documentation: "&amp;Readmefirst!$B$2&amp;", "&amp;Readmefirst!$B$3&amp;". "&amp;B82</f>
        <v>Power: 0 kW. Lifetime: 15000 km. Annual kilometers: 1000 km. Number of passengers: 1. Curb mass: 11.4 kg. Lightweighting of glider: 5%.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01" spans="1:8" ht="16" x14ac:dyDescent="0.2">
      <c r="A101" s="10" t="s">
        <v>79</v>
      </c>
    </row>
    <row r="102" spans="1:8" x14ac:dyDescent="0.2">
      <c r="A102" t="s">
        <v>80</v>
      </c>
      <c r="B102" t="s">
        <v>81</v>
      </c>
      <c r="C102" t="s">
        <v>72</v>
      </c>
      <c r="D102" t="s">
        <v>76</v>
      </c>
      <c r="E102" t="s">
        <v>82</v>
      </c>
      <c r="F102" t="s">
        <v>74</v>
      </c>
      <c r="G102" t="s">
        <v>83</v>
      </c>
      <c r="H102" t="s">
        <v>73</v>
      </c>
    </row>
    <row r="103" spans="1:8" x14ac:dyDescent="0.2">
      <c r="A103" t="str">
        <f>B73</f>
        <v>Bicycle, conventional, urban, 2040</v>
      </c>
      <c r="B103">
        <v>1</v>
      </c>
      <c r="C103" t="str">
        <f>B74</f>
        <v>CH</v>
      </c>
      <c r="D103" t="str">
        <f>B81</f>
        <v>unit</v>
      </c>
      <c r="F103" t="s">
        <v>84</v>
      </c>
      <c r="G103" t="s">
        <v>85</v>
      </c>
      <c r="H103" t="str">
        <f>B75</f>
        <v>Bicycle, conventional, urban</v>
      </c>
    </row>
    <row r="104" spans="1:8" x14ac:dyDescent="0.2">
      <c r="A104" t="str">
        <f>INDEX('ei names mapping'!$B$4:$R$33,MATCH($B$3,'ei names mapping'!$A$4:$A$33,0),MATCH(G104,'ei names mapping'!$B$3:$R$3,0))</f>
        <v>bicycle production</v>
      </c>
      <c r="B104" s="4">
        <f>INDEX('vehicles specifications'!$B$3:$CW$166,MATCH(B78,'vehicles specifications'!$A$3:$A$166,0),MATCH(G104,'vehicles specifications'!$B$2:$CW$2,0))*INDEX('ei names mapping'!$B$137:$BL$300,MATCH(B78,'ei names mapping'!$A$137:$A$300,0),MATCH(G104,'ei names mapping'!$B$136:$BL$136,0))</f>
        <v>0.70588235294117641</v>
      </c>
      <c r="C104" t="str">
        <f>INDEX('ei names mapping'!$B$38:$R$67,MATCH($B$3,'ei names mapping'!$A$4:$A$33,0),MATCH(G104,'ei names mapping'!$B$3:$R$3,0))</f>
        <v>RER</v>
      </c>
      <c r="D104" t="str">
        <f>INDEX('ei names mapping'!$B$104:$R$133,MATCH(B75,'ei names mapping'!$A$104:$A$133,0),MATCH(G104,'ei names mapping'!$B$3:$R$3,0))</f>
        <v>unit</v>
      </c>
      <c r="F104" t="s">
        <v>89</v>
      </c>
      <c r="G104" t="s">
        <v>15</v>
      </c>
      <c r="H104" t="str">
        <f>INDEX('ei names mapping'!$B$71:$R$100,MATCH($B$3,'ei names mapping'!$A$4:$A$33,0),MATCH(G104,'ei names mapping'!$B$3:$R$3,0))</f>
        <v>bicycle</v>
      </c>
    </row>
    <row r="105" spans="1:8" x14ac:dyDescent="0.2">
      <c r="A105" t="str">
        <f>INDEX('ei names mapping'!$B$4:$R$33,MATCH(B75,'ei names mapping'!$A$4:$A$33,0),MATCH(G105,'ei names mapping'!$B$3:$R$3,0))</f>
        <v>Glider lightweighting</v>
      </c>
      <c r="B105" s="11">
        <f>INDEX('vehicles specifications'!$B$3:$CW$166,MATCH(B78,'vehicles specifications'!$A$3:$A$166,0),MATCH(G105,'vehicles specifications'!$B$2:$CW$2,0))*INDEX('ei names mapping'!$B$137:$BL$300,MATCH(B78,'ei names mapping'!$A$137:$A$300,0),MATCH(G105,'ei names mapping'!$B$136:$BL$136,0))</f>
        <v>0.60000000000000009</v>
      </c>
      <c r="C105" t="str">
        <f>INDEX('ei names mapping'!$B$38:$R$67,MATCH(B75,'ei names mapping'!$A$4:$A$33,0),MATCH(G105,'ei names mapping'!$B$3:$R$3,0))</f>
        <v>GLO</v>
      </c>
      <c r="D105" t="str">
        <f>INDEX('ei names mapping'!$B$104:$R$133,MATCH(B75,'ei names mapping'!$A$104:$A$133,0),MATCH(G105,'ei names mapping'!$B$3:$R$3,0))</f>
        <v>kilogram</v>
      </c>
      <c r="F105" t="s">
        <v>89</v>
      </c>
      <c r="G105" t="s">
        <v>14</v>
      </c>
      <c r="H105" t="str">
        <f>INDEX('ei names mapping'!$B$71:$R$100,MATCH(B75,'ei names mapping'!$A$4:$A$33,0),MATCH(G105,'ei names mapping'!$B$3:$R$3,0))</f>
        <v>Glider lightweighting</v>
      </c>
    </row>
    <row r="106" spans="1:8" x14ac:dyDescent="0.2">
      <c r="A106" s="13" t="s">
        <v>840</v>
      </c>
      <c r="B106">
        <f>(B88/1000)*B99</f>
        <v>11.399999999999999</v>
      </c>
      <c r="C106" t="s">
        <v>92</v>
      </c>
      <c r="D106" t="s">
        <v>233</v>
      </c>
      <c r="F106" t="s">
        <v>89</v>
      </c>
      <c r="H106" s="13" t="s">
        <v>841</v>
      </c>
    </row>
    <row r="107" spans="1:8" x14ac:dyDescent="0.2">
      <c r="A107" s="13" t="s">
        <v>441</v>
      </c>
      <c r="B107" s="2">
        <f>(B88/1000)*B98</f>
        <v>181.26</v>
      </c>
      <c r="C107" t="s">
        <v>95</v>
      </c>
      <c r="D107" t="s">
        <v>233</v>
      </c>
      <c r="F107" t="s">
        <v>89</v>
      </c>
      <c r="H107" s="13" t="s">
        <v>441</v>
      </c>
    </row>
    <row r="109" spans="1:8" ht="16" x14ac:dyDescent="0.2">
      <c r="A109" s="10" t="s">
        <v>71</v>
      </c>
      <c r="B109" s="8" t="str">
        <f>B111&amp;", "&amp;B113</f>
        <v>Bicycle, conventional, urban, 2050</v>
      </c>
    </row>
    <row r="110" spans="1:8" x14ac:dyDescent="0.2">
      <c r="A110" t="s">
        <v>72</v>
      </c>
      <c r="B110" t="s">
        <v>37</v>
      </c>
    </row>
    <row r="111" spans="1:8" x14ac:dyDescent="0.2">
      <c r="A111" t="s">
        <v>86</v>
      </c>
      <c r="B111" t="s">
        <v>33</v>
      </c>
    </row>
    <row r="112" spans="1:8" x14ac:dyDescent="0.2">
      <c r="A112" t="s">
        <v>87</v>
      </c>
    </row>
    <row r="113" spans="1:2" x14ac:dyDescent="0.2">
      <c r="A113" t="s">
        <v>88</v>
      </c>
      <c r="B113">
        <v>2050</v>
      </c>
    </row>
    <row r="114" spans="1:2" x14ac:dyDescent="0.2">
      <c r="A114" t="s">
        <v>126</v>
      </c>
      <c r="B114" t="str">
        <f>B111&amp;" - "&amp;B113&amp;" - "&amp;B110</f>
        <v>Bicycle, conventional, urban - 2050 - CH</v>
      </c>
    </row>
    <row r="115" spans="1:2" x14ac:dyDescent="0.2">
      <c r="A115" t="s">
        <v>73</v>
      </c>
      <c r="B115" t="str">
        <f>B111</f>
        <v>Bicycle, conventional, urban</v>
      </c>
    </row>
    <row r="116" spans="1:2" x14ac:dyDescent="0.2">
      <c r="A116" t="s">
        <v>74</v>
      </c>
      <c r="B116" t="s">
        <v>75</v>
      </c>
    </row>
    <row r="117" spans="1:2" x14ac:dyDescent="0.2">
      <c r="A117" t="s">
        <v>76</v>
      </c>
      <c r="B117" t="s">
        <v>76</v>
      </c>
    </row>
    <row r="118" spans="1:2" x14ac:dyDescent="0.2">
      <c r="A118" t="s">
        <v>78</v>
      </c>
      <c r="B118" t="s">
        <v>1143</v>
      </c>
    </row>
    <row r="119" spans="1:2" x14ac:dyDescent="0.2">
      <c r="A119" t="s">
        <v>127</v>
      </c>
      <c r="B119">
        <f>INDEX('vehicles specifications'!$B$3:$CW$166,MATCH(B114,'vehicles specifications'!$A$3:$A$166,0),MATCH("Lifetime [km]",'vehicles specifications'!$B$2:$CW$2,0))</f>
        <v>15000</v>
      </c>
    </row>
    <row r="120" spans="1:2" x14ac:dyDescent="0.2">
      <c r="A120" t="s">
        <v>128</v>
      </c>
      <c r="B120">
        <f>INDEX('vehicles specifications'!$B$3:$CW$166,MATCH(B114,'vehicles specifications'!$A$3:$A$166,0),MATCH("Passengers [unit]",'vehicles specifications'!$B$2:$CW$2,0))</f>
        <v>1</v>
      </c>
    </row>
    <row r="121" spans="1:2" x14ac:dyDescent="0.2">
      <c r="A121" t="s">
        <v>129</v>
      </c>
      <c r="B121">
        <f>INDEX('vehicles specifications'!$B$3:$CW$166,MATCH(B114,'vehicles specifications'!$A$3:$A$166,0),MATCH("Servicing [unit]",'vehicles specifications'!$B$2:$CW$2,0))</f>
        <v>1</v>
      </c>
    </row>
    <row r="122" spans="1:2" x14ac:dyDescent="0.2">
      <c r="A122" t="s">
        <v>130</v>
      </c>
      <c r="B122">
        <f>INDEX('vehicles specifications'!$B$3:$CW$166,MATCH(B114,'vehicles specifications'!$A$3:$A$166,0),MATCH("Energy battery replacement [unit]",'vehicles specifications'!$B$2:$CW$2,0))</f>
        <v>0</v>
      </c>
    </row>
    <row r="123" spans="1:2" x14ac:dyDescent="0.2">
      <c r="A123" t="s">
        <v>131</v>
      </c>
      <c r="B123">
        <f>INDEX('vehicles specifications'!$B$3:$CW$166,MATCH(B114,'vehicles specifications'!$A$3:$A$166,0),MATCH("Annual kilometers [km]",'vehicles specifications'!$B$2:$CW$2,0))</f>
        <v>1000</v>
      </c>
    </row>
    <row r="124" spans="1:2" x14ac:dyDescent="0.2">
      <c r="A124" t="s">
        <v>132</v>
      </c>
      <c r="B124">
        <f>INDEX('vehicles specifications'!$B$3:$CW$166,MATCH(B114,'vehicles specifications'!$A$3:$A$166,0),MATCH("Curb mass [kg]",'vehicles specifications'!$B$2:$CW$2,0))</f>
        <v>11.16</v>
      </c>
    </row>
    <row r="125" spans="1:2" x14ac:dyDescent="0.2">
      <c r="A125" t="s">
        <v>133</v>
      </c>
      <c r="B125">
        <f>INDEX('vehicles specifications'!$B$3:$CW$166,MATCH(B114,'vehicles specifications'!$A$3:$A$166,0),MATCH("Power [kW]",'vehicles specifications'!$B$2:$CW$2,0))</f>
        <v>0</v>
      </c>
    </row>
    <row r="126" spans="1:2" x14ac:dyDescent="0.2">
      <c r="A126" t="s">
        <v>134</v>
      </c>
      <c r="B126" t="str">
        <f>INDEX('vehicles specifications'!$B$3:$CW$166,MATCH(B114,'vehicles specifications'!$A$3:$A$166,0),MATCH("Energy battery mass [kg]",'vehicles specifications'!$B$2:$CW$2,0))</f>
        <v/>
      </c>
    </row>
    <row r="127" spans="1:2" x14ac:dyDescent="0.2">
      <c r="A127" t="s">
        <v>135</v>
      </c>
      <c r="B127">
        <f>INDEX('vehicles specifications'!$B$3:$CW$166,MATCH(B114,'vehicles specifications'!$A$3:$A$166,0),MATCH("Electric energy available [kWh]",'vehicles specifications'!$B$2:$CW$2,0))</f>
        <v>0</v>
      </c>
    </row>
    <row r="128" spans="1:2" x14ac:dyDescent="0.2">
      <c r="A128" t="s">
        <v>138</v>
      </c>
      <c r="B128">
        <f>INDEX('vehicles specifications'!$B$3:$CW$166,MATCH(B114,'vehicles specifications'!$A$3:$A$166,0),MATCH("Oxydation energy stored [kWh]",'vehicles specifications'!$B$2:$CW$2,0))</f>
        <v>0</v>
      </c>
    </row>
    <row r="129" spans="1:8" x14ac:dyDescent="0.2">
      <c r="A129" t="s">
        <v>139</v>
      </c>
      <c r="B129">
        <f>INDEX('vehicles specifications'!$B$3:$CW$166,MATCH(B114,'vehicles specifications'!$A$3:$A$166,0),MATCH("Fuel mass [kg]",'vehicles specifications'!$B$2:$CW$2,0))</f>
        <v>0</v>
      </c>
    </row>
    <row r="130" spans="1:8" x14ac:dyDescent="0.2">
      <c r="A130" t="s">
        <v>136</v>
      </c>
      <c r="B130">
        <f>INDEX('vehicles specifications'!$B$3:$CW$166,MATCH(B114,'vehicles specifications'!$A$3:$A$166,0),MATCH("Range [km]",'vehicles specifications'!$B$2:$CW$2,0))</f>
        <v>0</v>
      </c>
    </row>
    <row r="131" spans="1:8" x14ac:dyDescent="0.2">
      <c r="A131" t="s">
        <v>137</v>
      </c>
      <c r="B131" t="str">
        <f>INDEX('vehicles specifications'!$B$3:$CW$166,MATCH(B114,'vehicles specifications'!$A$3:$A$166,0),MATCH("Emission standard",'vehicles specifications'!$B$2:$CW$2,0))</f>
        <v>None</v>
      </c>
    </row>
    <row r="132" spans="1:8" x14ac:dyDescent="0.2">
      <c r="A132" t="s">
        <v>1174</v>
      </c>
      <c r="B132" s="6">
        <f>INDEX('vehicles specifications'!$B$3:$CW$166,MATCH(B114,'vehicles specifications'!$A$3:$A$166,0),MATCH("Lightweighting rate [%]",'vehicles specifications'!$B$2:$CW$2,0))</f>
        <v>7.0000000000000007E-2</v>
      </c>
    </row>
    <row r="133" spans="1:8" x14ac:dyDescent="0.2">
      <c r="A133" t="s">
        <v>485</v>
      </c>
      <c r="B133" s="6" t="s">
        <v>486</v>
      </c>
    </row>
    <row r="134" spans="1:8" x14ac:dyDescent="0.2">
      <c r="A134" t="s">
        <v>487</v>
      </c>
      <c r="B134" s="2">
        <v>15900</v>
      </c>
    </row>
    <row r="135" spans="1:8" x14ac:dyDescent="0.2">
      <c r="A135" t="s">
        <v>488</v>
      </c>
      <c r="B135" s="2">
        <v>1000</v>
      </c>
    </row>
    <row r="136" spans="1:8" x14ac:dyDescent="0.2">
      <c r="A136" t="s">
        <v>83</v>
      </c>
      <c r="B136" t="str">
        <f>"Power: "&amp;B125&amp;" kW. Lifetime: "&amp;B119&amp;" km. Annual kilometers: "&amp;ROUND(B123,0)&amp;" km. Number of passengers: "&amp;ROUND(B120,1)&amp;". Curb mass: "&amp;ROUND(B124,1)&amp;" kg. Lightweighting of glider: "&amp;ROUND(B132*100,0)&amp;"%. Emission standard: "&amp;B131&amp;". Service visits throughout lifetime: "&amp;ROUND(B121,1)&amp;". Range: "&amp;ROUND(B130,0)&amp;" km. Fuel tank capacity: "&amp;ROUND(B128,1)&amp;" kWh. Fuel mass: "&amp;ROUND(B129,1)&amp;" kg. Origin of manufacture: "&amp;B133&amp;". Shipping distance: "&amp;B134&amp;" km. Lorry distribution distance: "&amp;B135&amp;" km. Documentation: "&amp;Readmefirst!$B$2&amp;", "&amp;Readmefirst!$B$3&amp;". "&amp;B118</f>
        <v>Power: 0 kW. Lifetime: 15000 km. Annual kilometers: 1000 km. Number of passengers: 1. Curb mass: 11.2 kg. Lightweighting of glider: 7%.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37" spans="1:8" ht="16" x14ac:dyDescent="0.2">
      <c r="A137" s="10" t="s">
        <v>79</v>
      </c>
    </row>
    <row r="138" spans="1:8" x14ac:dyDescent="0.2">
      <c r="A138" t="s">
        <v>80</v>
      </c>
      <c r="B138" t="s">
        <v>81</v>
      </c>
      <c r="C138" t="s">
        <v>72</v>
      </c>
      <c r="D138" t="s">
        <v>76</v>
      </c>
      <c r="E138" t="s">
        <v>82</v>
      </c>
      <c r="F138" t="s">
        <v>74</v>
      </c>
      <c r="G138" t="s">
        <v>83</v>
      </c>
      <c r="H138" t="s">
        <v>73</v>
      </c>
    </row>
    <row r="139" spans="1:8" x14ac:dyDescent="0.2">
      <c r="A139" t="str">
        <f>B109</f>
        <v>Bicycle, conventional, urban, 2050</v>
      </c>
      <c r="B139">
        <v>1</v>
      </c>
      <c r="C139" t="str">
        <f>B110</f>
        <v>CH</v>
      </c>
      <c r="D139" t="str">
        <f>B117</f>
        <v>unit</v>
      </c>
      <c r="F139" t="s">
        <v>84</v>
      </c>
      <c r="G139" t="s">
        <v>85</v>
      </c>
      <c r="H139" t="str">
        <f>B111</f>
        <v>Bicycle, conventional, urban</v>
      </c>
    </row>
    <row r="140" spans="1:8" x14ac:dyDescent="0.2">
      <c r="A140" t="str">
        <f>INDEX('ei names mapping'!$B$4:$R$33,MATCH($B$3,'ei names mapping'!$A$4:$A$33,0),MATCH(G140,'ei names mapping'!$B$3:$R$3,0))</f>
        <v>bicycle production</v>
      </c>
      <c r="B140" s="4">
        <f>INDEX('vehicles specifications'!$B$3:$CW$166,MATCH(B114,'vehicles specifications'!$A$3:$A$166,0),MATCH(G140,'vehicles specifications'!$B$2:$CW$2,0))*INDEX('ei names mapping'!$B$137:$BL$300,MATCH(B114,'ei names mapping'!$A$137:$A$300,0),MATCH(G140,'ei names mapping'!$B$136:$BL$136,0))</f>
        <v>0.70588235294117641</v>
      </c>
      <c r="C140" t="str">
        <f>INDEX('ei names mapping'!$B$38:$R$67,MATCH($B$3,'ei names mapping'!$A$4:$A$33,0),MATCH(G140,'ei names mapping'!$B$3:$R$3,0))</f>
        <v>RER</v>
      </c>
      <c r="D140" t="str">
        <f>INDEX('ei names mapping'!$B$104:$R$133,MATCH(B111,'ei names mapping'!$A$104:$A$133,0),MATCH(G140,'ei names mapping'!$B$3:$R$3,0))</f>
        <v>unit</v>
      </c>
      <c r="F140" t="s">
        <v>89</v>
      </c>
      <c r="G140" t="s">
        <v>15</v>
      </c>
      <c r="H140" t="str">
        <f>INDEX('ei names mapping'!$B$71:$R$100,MATCH($B$3,'ei names mapping'!$A$4:$A$33,0),MATCH(G140,'ei names mapping'!$B$3:$R$3,0))</f>
        <v>bicycle</v>
      </c>
    </row>
    <row r="141" spans="1:8" x14ac:dyDescent="0.2">
      <c r="A141" t="str">
        <f>INDEX('ei names mapping'!$B$4:$R$33,MATCH(B111,'ei names mapping'!$A$4:$A$33,0),MATCH(G141,'ei names mapping'!$B$3:$R$3,0))</f>
        <v>Glider lightweighting</v>
      </c>
      <c r="B141" s="11">
        <f>INDEX('vehicles specifications'!$B$3:$CW$166,MATCH(B114,'vehicles specifications'!$A$3:$A$166,0),MATCH(G141,'vehicles specifications'!$B$2:$CW$2,0))*INDEX('ei names mapping'!$B$137:$BL$300,MATCH(B114,'ei names mapping'!$A$137:$A$300,0),MATCH(G141,'ei names mapping'!$B$136:$BL$136,0))</f>
        <v>0.84000000000000008</v>
      </c>
      <c r="C141" t="str">
        <f>INDEX('ei names mapping'!$B$38:$R$67,MATCH(B111,'ei names mapping'!$A$4:$A$33,0),MATCH(G141,'ei names mapping'!$B$3:$R$3,0))</f>
        <v>GLO</v>
      </c>
      <c r="D141" t="str">
        <f>INDEX('ei names mapping'!$B$104:$R$133,MATCH(B111,'ei names mapping'!$A$104:$A$133,0),MATCH(G141,'ei names mapping'!$B$3:$R$3,0))</f>
        <v>kilogram</v>
      </c>
      <c r="F141" t="s">
        <v>89</v>
      </c>
      <c r="G141" t="s">
        <v>14</v>
      </c>
      <c r="H141" t="str">
        <f>INDEX('ei names mapping'!$B$71:$R$100,MATCH(B111,'ei names mapping'!$A$4:$A$33,0),MATCH(G141,'ei names mapping'!$B$3:$R$3,0))</f>
        <v>Glider lightweighting</v>
      </c>
    </row>
    <row r="142" spans="1:8" x14ac:dyDescent="0.2">
      <c r="A142" s="13" t="s">
        <v>840</v>
      </c>
      <c r="B142">
        <f>(B124/1000)*B135</f>
        <v>11.16</v>
      </c>
      <c r="C142" t="s">
        <v>92</v>
      </c>
      <c r="D142" t="s">
        <v>233</v>
      </c>
      <c r="F142" t="s">
        <v>89</v>
      </c>
      <c r="H142" s="13" t="s">
        <v>841</v>
      </c>
    </row>
    <row r="143" spans="1:8" x14ac:dyDescent="0.2">
      <c r="A143" s="13" t="s">
        <v>441</v>
      </c>
      <c r="B143" s="2">
        <f>(B124/1000)*B134</f>
        <v>177.44399999999999</v>
      </c>
      <c r="C143" t="s">
        <v>95</v>
      </c>
      <c r="D143" t="s">
        <v>233</v>
      </c>
      <c r="F143" t="s">
        <v>89</v>
      </c>
      <c r="H143" s="13" t="s">
        <v>441</v>
      </c>
    </row>
    <row r="145" spans="1:2" ht="16" x14ac:dyDescent="0.2">
      <c r="A145" s="10" t="s">
        <v>71</v>
      </c>
      <c r="B145" s="8" t="str">
        <f>"transport, "&amp;B147&amp;", "&amp;B149</f>
        <v>transport, Bicycle, conventional, urban, 2020</v>
      </c>
    </row>
    <row r="146" spans="1:2" x14ac:dyDescent="0.2">
      <c r="A146" t="s">
        <v>72</v>
      </c>
      <c r="B146" t="s">
        <v>37</v>
      </c>
    </row>
    <row r="147" spans="1:2" x14ac:dyDescent="0.2">
      <c r="A147" t="s">
        <v>86</v>
      </c>
      <c r="B147" t="s">
        <v>33</v>
      </c>
    </row>
    <row r="148" spans="1:2" x14ac:dyDescent="0.2">
      <c r="A148" t="s">
        <v>87</v>
      </c>
    </row>
    <row r="149" spans="1:2" x14ac:dyDescent="0.2">
      <c r="A149" t="s">
        <v>88</v>
      </c>
      <c r="B149">
        <v>2020</v>
      </c>
    </row>
    <row r="150" spans="1:2" x14ac:dyDescent="0.2">
      <c r="A150" t="s">
        <v>126</v>
      </c>
      <c r="B150" t="str">
        <f>B147&amp;" - "&amp;B149&amp;" - "&amp;B146</f>
        <v>Bicycle, conventional, urban - 2020 - CH</v>
      </c>
    </row>
    <row r="151" spans="1:2" x14ac:dyDescent="0.2">
      <c r="A151" t="s">
        <v>73</v>
      </c>
      <c r="B151" t="str">
        <f>"transport, "&amp;B147</f>
        <v>transport, Bicycle, conventional, urban</v>
      </c>
    </row>
    <row r="152" spans="1:2" x14ac:dyDescent="0.2">
      <c r="A152" t="s">
        <v>74</v>
      </c>
      <c r="B152" t="s">
        <v>75</v>
      </c>
    </row>
    <row r="153" spans="1:2" x14ac:dyDescent="0.2">
      <c r="A153" t="s">
        <v>76</v>
      </c>
      <c r="B153" t="s">
        <v>166</v>
      </c>
    </row>
    <row r="154" spans="1:2" x14ac:dyDescent="0.2">
      <c r="A154" t="s">
        <v>78</v>
      </c>
      <c r="B154" t="s">
        <v>1143</v>
      </c>
    </row>
    <row r="155" spans="1:2" x14ac:dyDescent="0.2">
      <c r="A155" t="s">
        <v>127</v>
      </c>
      <c r="B155">
        <f>INDEX('vehicles specifications'!$B$3:$CW$166,MATCH(B150,'vehicles specifications'!$A$3:$A$166,0),MATCH("Lifetime [km]",'vehicles specifications'!$B$2:$CW$2,0))</f>
        <v>15000</v>
      </c>
    </row>
    <row r="156" spans="1:2" x14ac:dyDescent="0.2">
      <c r="A156" t="s">
        <v>128</v>
      </c>
      <c r="B156">
        <f>INDEX('vehicles specifications'!$B$3:$CW$166,MATCH(B150,'vehicles specifications'!$A$3:$A$166,0),MATCH("Passengers [unit]",'vehicles specifications'!$B$2:$CW$2,0))</f>
        <v>1</v>
      </c>
    </row>
    <row r="157" spans="1:2" x14ac:dyDescent="0.2">
      <c r="A157" t="s">
        <v>129</v>
      </c>
      <c r="B157">
        <f>INDEX('vehicles specifications'!$B$3:$CW$166,MATCH(B150,'vehicles specifications'!$A$3:$A$166,0),MATCH("Servicing [unit]",'vehicles specifications'!$B$2:$CW$2,0))</f>
        <v>1</v>
      </c>
    </row>
    <row r="158" spans="1:2" x14ac:dyDescent="0.2">
      <c r="A158" t="s">
        <v>130</v>
      </c>
      <c r="B158">
        <f>INDEX('vehicles specifications'!$B$3:$CW$166,MATCH(B150,'vehicles specifications'!$A$3:$A$166,0),MATCH("Energy battery replacement [unit]",'vehicles specifications'!$B$2:$CW$2,0))</f>
        <v>0</v>
      </c>
    </row>
    <row r="159" spans="1:2" x14ac:dyDescent="0.2">
      <c r="A159" t="s">
        <v>131</v>
      </c>
      <c r="B159">
        <f>INDEX('vehicles specifications'!$B$3:$CW$166,MATCH(B150,'vehicles specifications'!$A$3:$A$166,0),MATCH("Annual kilometers [km]",'vehicles specifications'!$B$2:$CW$2,0))</f>
        <v>1000</v>
      </c>
    </row>
    <row r="160" spans="1:2" x14ac:dyDescent="0.2">
      <c r="A160" t="s">
        <v>132</v>
      </c>
      <c r="B160">
        <f>INDEX('vehicles specifications'!$B$3:$CW$166,MATCH(B150,'vehicles specifications'!$A$3:$A$166,0),MATCH("Curb mass [kg]",'vehicles specifications'!$B$2:$CW$2,0))</f>
        <v>12</v>
      </c>
    </row>
    <row r="161" spans="1:8" x14ac:dyDescent="0.2">
      <c r="A161" t="s">
        <v>133</v>
      </c>
      <c r="B161">
        <f>INDEX('vehicles specifications'!$B$3:$CW$166,MATCH(B150,'vehicles specifications'!$A$3:$A$166,0),MATCH("Power [kW]",'vehicles specifications'!$B$2:$CW$2,0))</f>
        <v>0</v>
      </c>
    </row>
    <row r="162" spans="1:8" x14ac:dyDescent="0.2">
      <c r="A162" t="s">
        <v>134</v>
      </c>
      <c r="B162" t="str">
        <f>INDEX('vehicles specifications'!$B$3:$CW$166,MATCH(B150,'vehicles specifications'!$A$3:$A$166,0),MATCH("Energy battery mass [kg]",'vehicles specifications'!$B$2:$CW$2,0))</f>
        <v/>
      </c>
    </row>
    <row r="163" spans="1:8" x14ac:dyDescent="0.2">
      <c r="A163" t="s">
        <v>135</v>
      </c>
      <c r="B163">
        <f>INDEX('vehicles specifications'!$B$3:$CW$166,MATCH(B150,'vehicles specifications'!$A$3:$A$166,0),MATCH("Electric energy available [kWh]",'vehicles specifications'!$B$2:$CW$2,0))</f>
        <v>0</v>
      </c>
    </row>
    <row r="164" spans="1:8" x14ac:dyDescent="0.2">
      <c r="A164" t="s">
        <v>138</v>
      </c>
      <c r="B164">
        <f>INDEX('vehicles specifications'!$B$3:$CW$166,MATCH(B150,'vehicles specifications'!$A$3:$A$166,0),MATCH("Oxydation energy stored [kWh]",'vehicles specifications'!$B$2:$CW$2,0))</f>
        <v>0</v>
      </c>
    </row>
    <row r="165" spans="1:8" x14ac:dyDescent="0.2">
      <c r="A165" t="s">
        <v>139</v>
      </c>
      <c r="B165">
        <f>INDEX('vehicles specifications'!$B$3:$CW$166,MATCH(B150,'vehicles specifications'!$A$3:$A$166,0),MATCH("Fuel mass [kg]",'vehicles specifications'!$B$2:$CW$2,0))</f>
        <v>0</v>
      </c>
    </row>
    <row r="166" spans="1:8" x14ac:dyDescent="0.2">
      <c r="A166" t="s">
        <v>136</v>
      </c>
      <c r="B166">
        <f>INDEX('vehicles specifications'!$B$3:$CW$166,MATCH(B150,'vehicles specifications'!$A$3:$A$166,0),MATCH("Range [km]",'vehicles specifications'!$B$2:$CW$2,0))</f>
        <v>0</v>
      </c>
    </row>
    <row r="167" spans="1:8" x14ac:dyDescent="0.2">
      <c r="A167" t="s">
        <v>137</v>
      </c>
      <c r="B167" t="str">
        <f>INDEX('vehicles specifications'!$B$3:$CW$166,MATCH(B150,'vehicles specifications'!$A$3:$A$166,0),MATCH("Emission standard",'vehicles specifications'!$B$2:$CW$2,0))</f>
        <v>None</v>
      </c>
    </row>
    <row r="168" spans="1:8" x14ac:dyDescent="0.2">
      <c r="A168" t="s">
        <v>1174</v>
      </c>
      <c r="B168" s="6">
        <f>INDEX('vehicles specifications'!$B$3:$CW$166,MATCH(B150,'vehicles specifications'!$A$3:$A$166,0),MATCH("Lightweighting rate [%]",'vehicles specifications'!$B$2:$CW$2,0))</f>
        <v>0</v>
      </c>
    </row>
    <row r="169" spans="1:8" x14ac:dyDescent="0.2">
      <c r="A169" t="s">
        <v>83</v>
      </c>
      <c r="B169" t="str">
        <f>"Power: "&amp;B161&amp;" kW. Lifetime: "&amp;B155&amp;" km. Annual kilometers: "&amp;B159&amp;" km. Number of passengers: "&amp;B156&amp;". Curb mass: "&amp;ROUND(B160,1)&amp;" kg. Lightweighting of glider: "&amp;ROUND(B168*100,0)&amp;"%. Emission standard: "&amp;B167&amp;". Service visits throughout lifetime: "&amp;ROUND(B157,1)&amp;". Range: "&amp;ROUND(B166,0)&amp;" km. Fuel tank capacity: "&amp;ROUND(B164,1)&amp;" kWh. Fuel mass: "&amp;ROUND(B165,1)&amp;" kg. Documentation: "&amp;Readmefirst!$B$2&amp;", "&amp;Readmefirst!$B$3&amp;". "&amp;B154</f>
        <v>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170" spans="1:8" ht="16" x14ac:dyDescent="0.2">
      <c r="A170" s="10" t="s">
        <v>79</v>
      </c>
    </row>
    <row r="171" spans="1:8" x14ac:dyDescent="0.2">
      <c r="A171" t="s">
        <v>80</v>
      </c>
      <c r="B171" t="s">
        <v>81</v>
      </c>
      <c r="C171" t="s">
        <v>72</v>
      </c>
      <c r="D171" t="s">
        <v>76</v>
      </c>
      <c r="E171" t="s">
        <v>82</v>
      </c>
      <c r="F171" t="s">
        <v>74</v>
      </c>
      <c r="G171" t="s">
        <v>83</v>
      </c>
      <c r="H171" t="s">
        <v>73</v>
      </c>
    </row>
    <row r="172" spans="1:8" x14ac:dyDescent="0.2">
      <c r="A172" t="str">
        <f>B145</f>
        <v>transport, Bicycle, conventional, urban, 2020</v>
      </c>
      <c r="B172">
        <v>1</v>
      </c>
      <c r="C172" t="str">
        <f>B146</f>
        <v>CH</v>
      </c>
      <c r="D172" t="s">
        <v>166</v>
      </c>
      <c r="F172" t="s">
        <v>84</v>
      </c>
      <c r="G172" t="s">
        <v>85</v>
      </c>
      <c r="H172" t="str">
        <f>B151</f>
        <v>transport, Bicycle, conventional, urban</v>
      </c>
    </row>
    <row r="173" spans="1:8" x14ac:dyDescent="0.2">
      <c r="A173" t="str">
        <f>RIGHT(A172,LEN(A172)-11)</f>
        <v>Bicycle, conventional, urban, 2020</v>
      </c>
      <c r="B173" s="7">
        <f>1/B155</f>
        <v>6.666666666666667E-5</v>
      </c>
      <c r="C173" t="str">
        <f>B146</f>
        <v>CH</v>
      </c>
      <c r="D173" t="s">
        <v>76</v>
      </c>
      <c r="F173" t="s">
        <v>89</v>
      </c>
      <c r="H173" t="str">
        <f>RIGHT(H172,LEN(H172)-11)</f>
        <v>Bicycle, conventional, urban</v>
      </c>
    </row>
    <row r="174" spans="1:8" x14ac:dyDescent="0.2">
      <c r="A174" t="str">
        <f>INDEX('ei names mapping'!$B$4:$R$33,MATCH(B147,'ei names mapping'!$A$4:$A$33,0),MATCH(G174,'ei names mapping'!$B$3:$R$3,0))</f>
        <v>road construction</v>
      </c>
      <c r="B174" s="7">
        <f>INDEX('vehicles specifications'!$B$3:$CW$166,MATCH(B150,'vehicles specifications'!$A$3:$A$166,0),MATCH(G174,'vehicles specifications'!$B$2:$CW$2,0))*INDEX('ei names mapping'!$B$137:$BL$300,MATCH(B150,'ei names mapping'!$A$137:$A$300,0),MATCH(G174,'ei names mapping'!$B$136:$BL$136,0))</f>
        <v>4.7256000000000003E-5</v>
      </c>
      <c r="C174" t="str">
        <f>INDEX('ei names mapping'!$B$38:$R$67,MATCH(B147,'ei names mapping'!$A$4:$A$33,0),MATCH(G174,'ei names mapping'!$B$3:$R$3,0))</f>
        <v>CH</v>
      </c>
      <c r="D174" t="str">
        <f>INDEX('ei names mapping'!$B$104:$BL$133,MATCH(B147,'ei names mapping'!$A$4:$A$33,0),MATCH(G174,'ei names mapping'!$B$3:$BL$3,0))</f>
        <v>meter-year</v>
      </c>
      <c r="F174" t="s">
        <v>89</v>
      </c>
      <c r="G174" t="s">
        <v>105</v>
      </c>
      <c r="H174" t="str">
        <f>INDEX('ei names mapping'!$B$71:$BL$100,MATCH(B147,'ei names mapping'!$A$4:$A$33,0),MATCH(G174,'ei names mapping'!$B$3:$BL$3,0))</f>
        <v>road</v>
      </c>
    </row>
    <row r="175" spans="1:8" x14ac:dyDescent="0.2">
      <c r="A175" t="str">
        <f>INDEX('ei names mapping'!$B$4:$R$33,MATCH($B$3,'ei names mapping'!$A$4:$A$33,0),MATCH(G175,'ei names mapping'!$B$3:$R$3,0))</f>
        <v>maintenance, bicycle</v>
      </c>
      <c r="B175" s="7">
        <f>INDEX('vehicles specifications'!$B$3:$CW$166,MATCH(B150,'vehicles specifications'!$A$3:$A$166,0),MATCH(G175,'vehicles specifications'!$B$2:$CW$2,0))*INDEX('ei names mapping'!$B$137:$BL$300,MATCH(B150,'ei names mapping'!$A$137:$A$300,0),MATCH(G175,'ei names mapping'!$B$136:$BL$136,0))</f>
        <v>6.666666666666667E-5</v>
      </c>
      <c r="C175" t="str">
        <f>INDEX('ei names mapping'!$B$38:$R$67,MATCH($B$3,'ei names mapping'!$A$4:$A$33,0),MATCH(G175,'ei names mapping'!$B$3:$R$3,0))</f>
        <v>CH</v>
      </c>
      <c r="D175" t="str">
        <f>INDEX('ei names mapping'!$B$104:$R$133,MATCH($B$3,'ei names mapping'!$A$4:$A$33,0),MATCH(G175,'ei names mapping'!$B$3:$R$3,0))</f>
        <v>unit</v>
      </c>
      <c r="F175" t="s">
        <v>89</v>
      </c>
      <c r="G175" t="s">
        <v>118</v>
      </c>
      <c r="H175" t="str">
        <f>INDEX('ei names mapping'!$B$71:$R$100,MATCH($B$3,'ei names mapping'!$A$4:$A$33,0),MATCH(G175,'ei names mapping'!$B$3:$R$3,0))</f>
        <v>maintenance, bicycle</v>
      </c>
    </row>
    <row r="176" spans="1:8" x14ac:dyDescent="0.2">
      <c r="A176" t="str">
        <f>INDEX('ei names mapping'!$B$4:$BL$33,MATCH($B$147,'ei names mapping'!$A$4:$A$33,0),MATCH(G176,'ei names mapping'!$B$3:$BL$3,0))</f>
        <v>treatment of road wear emissions, passenger car</v>
      </c>
      <c r="B176" s="7">
        <f>INDEX('vehicles specifications'!$B$3:$CW$166,MATCH(B150,'vehicles specifications'!$A$3:$A$166,0),MATCH(G176,'vehicles specifications'!$B$2:$CW$2,0))*INDEX('ei names mapping'!$B$137:$BL$300,MATCH(B150,'ei names mapping'!$A$137:$A$300,0),MATCH(G176,'ei names mapping'!$B$136:$BL$136,0))</f>
        <v>-3.8180456867451752E-6</v>
      </c>
      <c r="C176" t="str">
        <f>INDEX('ei names mapping'!$B$38:$BL$67,MATCH($B$147,'ei names mapping'!$A$4:$A$33,0),MATCH(G176,'ei names mapping'!$B$3:$BL$3,0))</f>
        <v>RER</v>
      </c>
      <c r="D176" t="str">
        <f>INDEX('ei names mapping'!$B$104:$BL$133,MATCH($B$147,'ei names mapping'!$A$4:$A$33,0),MATCH(G176,'ei names mapping'!$B$3:$BL$3,0))</f>
        <v>kilogram</v>
      </c>
      <c r="F176" t="s">
        <v>89</v>
      </c>
      <c r="G176" t="s">
        <v>29</v>
      </c>
      <c r="H176" t="str">
        <f>INDEX('ei names mapping'!$B$71:$BL$100,MATCH(B147,'ei names mapping'!$A$4:$A$33,0),MATCH(G176,'ei names mapping'!$B$3:$BL$3,0))</f>
        <v>road wear emissions, passenger car</v>
      </c>
    </row>
    <row r="177" spans="1:8" x14ac:dyDescent="0.2">
      <c r="A177" t="str">
        <f>INDEX('ei names mapping'!$B$4:$BL$33,MATCH($B$147,'ei names mapping'!$A$4:$A$33,0),MATCH(G177,'ei names mapping'!$B$3:$BL$3,0))</f>
        <v>treatment of tyre wear emissions, passenger car</v>
      </c>
      <c r="B177" s="7">
        <f>INDEX('vehicles specifications'!$B$3:$CW$166,MATCH(B150,'vehicles specifications'!$A$3:$A$166,0),MATCH(G177,'vehicles specifications'!$B$2:$CW$2,0))*INDEX('ei names mapping'!$B$137:$BL$300,MATCH(B150,'ei names mapping'!$A$137:$A$300,0),MATCH(G177,'ei names mapping'!$B$136:$BL$136,0))</f>
        <v>-3.6981099122289053E-6</v>
      </c>
      <c r="C177" t="str">
        <f>INDEX('ei names mapping'!$B$38:$BL$67,MATCH($B$147,'ei names mapping'!$A$4:$A$33,0),MATCH(G177,'ei names mapping'!$B$3:$BL$3,0))</f>
        <v>RER</v>
      </c>
      <c r="D177" t="str">
        <f>INDEX('ei names mapping'!$B$104:$BL$133,MATCH($B$147,'ei names mapping'!$A$4:$A$33,0),MATCH(G177,'ei names mapping'!$B$3:$BL$3,0))</f>
        <v>kilogram</v>
      </c>
      <c r="F177" t="s">
        <v>89</v>
      </c>
      <c r="G177" t="s">
        <v>30</v>
      </c>
      <c r="H177" t="str">
        <f>INDEX('ei names mapping'!$B$71:$BL$100,MATCH($B$147,'ei names mapping'!$A$4:$A$33,0),MATCH(G177,'ei names mapping'!$B$3:$BL$3,0))</f>
        <v>tyre wear emissions, passenger car</v>
      </c>
    </row>
    <row r="178" spans="1:8" x14ac:dyDescent="0.2">
      <c r="A178" t="str">
        <f>INDEX('ei names mapping'!$B$4:$BL$33,MATCH($B$147,'ei names mapping'!$A$4:$A$33,0),MATCH(G178,'ei names mapping'!$B$3:$BL$3,0))</f>
        <v>treatment of brake wear emissions, passenger car</v>
      </c>
      <c r="B178" s="7">
        <f>INDEX('vehicles specifications'!$B$3:$CW$166,MATCH(B150,'vehicles specifications'!$A$3:$A$166,0),MATCH(G178,'vehicles specifications'!$B$2:$CW$2,0))*INDEX('ei names mapping'!$B$137:$BL$300,MATCH(B150,'ei names mapping'!$A$137:$A$300,0),MATCH(G178,'ei names mapping'!$B$136:$BL$136,0))</f>
        <v>-3.470493115296593E-6</v>
      </c>
      <c r="C178" t="str">
        <f>INDEX('ei names mapping'!$B$38:$BL$67,MATCH($B$147,'ei names mapping'!$A$4:$A$33,0),MATCH(G178,'ei names mapping'!$B$3:$BL$3,0))</f>
        <v>RER</v>
      </c>
      <c r="D178" t="str">
        <f>INDEX('ei names mapping'!$B$104:$BL$133,MATCH($B$147,'ei names mapping'!$A$4:$A$33,0),MATCH(G178,'ei names mapping'!$B$3:$BL$3,0))</f>
        <v>kilogram</v>
      </c>
      <c r="F178" t="s">
        <v>89</v>
      </c>
      <c r="G178" t="s">
        <v>31</v>
      </c>
      <c r="H178" t="str">
        <f>INDEX('ei names mapping'!$B$71:$BL$100,MATCH($B$147,'ei names mapping'!$A$4:$A$33,0),MATCH(G178,'ei names mapping'!$B$3:$BL$3,0))</f>
        <v>brake wear emissions, passenger car</v>
      </c>
    </row>
    <row r="180" spans="1:8" ht="16" x14ac:dyDescent="0.2">
      <c r="A180" s="10" t="s">
        <v>71</v>
      </c>
      <c r="B180" s="8" t="str">
        <f>"transport, "&amp;B182&amp;", "&amp;B184</f>
        <v>transport, Bicycle, conventional, urban, 2030</v>
      </c>
    </row>
    <row r="181" spans="1:8" x14ac:dyDescent="0.2">
      <c r="A181" t="s">
        <v>72</v>
      </c>
      <c r="B181" t="s">
        <v>37</v>
      </c>
    </row>
    <row r="182" spans="1:8" x14ac:dyDescent="0.2">
      <c r="A182" t="s">
        <v>86</v>
      </c>
      <c r="B182" t="s">
        <v>33</v>
      </c>
    </row>
    <row r="183" spans="1:8" x14ac:dyDescent="0.2">
      <c r="A183" t="s">
        <v>87</v>
      </c>
    </row>
    <row r="184" spans="1:8" x14ac:dyDescent="0.2">
      <c r="A184" t="s">
        <v>88</v>
      </c>
      <c r="B184">
        <v>2030</v>
      </c>
    </row>
    <row r="185" spans="1:8" x14ac:dyDescent="0.2">
      <c r="A185" t="s">
        <v>126</v>
      </c>
      <c r="B185" t="str">
        <f>B182&amp;" - "&amp;B184&amp;" - "&amp;B181</f>
        <v>Bicycle, conventional, urban - 2030 - CH</v>
      </c>
    </row>
    <row r="186" spans="1:8" x14ac:dyDescent="0.2">
      <c r="A186" t="s">
        <v>73</v>
      </c>
      <c r="B186" t="str">
        <f>"transport, "&amp;B182</f>
        <v>transport, Bicycle, conventional, urban</v>
      </c>
    </row>
    <row r="187" spans="1:8" x14ac:dyDescent="0.2">
      <c r="A187" t="s">
        <v>74</v>
      </c>
      <c r="B187" t="s">
        <v>75</v>
      </c>
    </row>
    <row r="188" spans="1:8" x14ac:dyDescent="0.2">
      <c r="A188" t="s">
        <v>76</v>
      </c>
      <c r="B188" t="s">
        <v>166</v>
      </c>
    </row>
    <row r="189" spans="1:8" x14ac:dyDescent="0.2">
      <c r="A189" t="s">
        <v>78</v>
      </c>
      <c r="B189" t="s">
        <v>1143</v>
      </c>
    </row>
    <row r="190" spans="1:8" x14ac:dyDescent="0.2">
      <c r="A190" t="s">
        <v>127</v>
      </c>
      <c r="B190">
        <f>INDEX('vehicles specifications'!$B$3:$CW$166,MATCH(B185,'vehicles specifications'!$A$3:$A$166,0),MATCH("Lifetime [km]",'vehicles specifications'!$B$2:$CW$2,0))</f>
        <v>15000</v>
      </c>
    </row>
    <row r="191" spans="1:8" x14ac:dyDescent="0.2">
      <c r="A191" t="s">
        <v>128</v>
      </c>
      <c r="B191">
        <f>INDEX('vehicles specifications'!$B$3:$CW$166,MATCH(B185,'vehicles specifications'!$A$3:$A$166,0),MATCH("Passengers [unit]",'vehicles specifications'!$B$2:$CW$2,0))</f>
        <v>1</v>
      </c>
    </row>
    <row r="192" spans="1:8" x14ac:dyDescent="0.2">
      <c r="A192" t="s">
        <v>129</v>
      </c>
      <c r="B192">
        <f>INDEX('vehicles specifications'!$B$3:$CW$166,MATCH(B185,'vehicles specifications'!$A$3:$A$166,0),MATCH("Servicing [unit]",'vehicles specifications'!$B$2:$CW$2,0))</f>
        <v>1</v>
      </c>
    </row>
    <row r="193" spans="1:8" x14ac:dyDescent="0.2">
      <c r="A193" t="s">
        <v>130</v>
      </c>
      <c r="B193">
        <f>INDEX('vehicles specifications'!$B$3:$CW$166,MATCH(B185,'vehicles specifications'!$A$3:$A$166,0),MATCH("Energy battery replacement [unit]",'vehicles specifications'!$B$2:$CW$2,0))</f>
        <v>0</v>
      </c>
    </row>
    <row r="194" spans="1:8" x14ac:dyDescent="0.2">
      <c r="A194" t="s">
        <v>131</v>
      </c>
      <c r="B194">
        <f>INDEX('vehicles specifications'!$B$3:$CW$166,MATCH(B185,'vehicles specifications'!$A$3:$A$166,0),MATCH("Annual kilometers [km]",'vehicles specifications'!$B$2:$CW$2,0))</f>
        <v>1000</v>
      </c>
    </row>
    <row r="195" spans="1:8" x14ac:dyDescent="0.2">
      <c r="A195" t="s">
        <v>132</v>
      </c>
      <c r="B195">
        <f>INDEX('vehicles specifications'!$B$3:$CW$166,MATCH(B185,'vehicles specifications'!$A$3:$A$166,0),MATCH("Curb mass [kg]",'vehicles specifications'!$B$2:$CW$2,0))</f>
        <v>11.64</v>
      </c>
    </row>
    <row r="196" spans="1:8" x14ac:dyDescent="0.2">
      <c r="A196" t="s">
        <v>133</v>
      </c>
      <c r="B196">
        <f>INDEX('vehicles specifications'!$B$3:$CW$166,MATCH(B185,'vehicles specifications'!$A$3:$A$166,0),MATCH("Power [kW]",'vehicles specifications'!$B$2:$CW$2,0))</f>
        <v>0</v>
      </c>
    </row>
    <row r="197" spans="1:8" x14ac:dyDescent="0.2">
      <c r="A197" t="s">
        <v>134</v>
      </c>
      <c r="B197" t="str">
        <f>INDEX('vehicles specifications'!$B$3:$CW$166,MATCH(B185,'vehicles specifications'!$A$3:$A$166,0),MATCH("Energy battery mass [kg]",'vehicles specifications'!$B$2:$CW$2,0))</f>
        <v/>
      </c>
    </row>
    <row r="198" spans="1:8" x14ac:dyDescent="0.2">
      <c r="A198" t="s">
        <v>135</v>
      </c>
      <c r="B198">
        <f>INDEX('vehicles specifications'!$B$3:$CW$166,MATCH(B185,'vehicles specifications'!$A$3:$A$166,0),MATCH("Electric energy available [kWh]",'vehicles specifications'!$B$2:$CW$2,0))</f>
        <v>0</v>
      </c>
    </row>
    <row r="199" spans="1:8" x14ac:dyDescent="0.2">
      <c r="A199" t="s">
        <v>138</v>
      </c>
      <c r="B199">
        <f>INDEX('vehicles specifications'!$B$3:$CW$166,MATCH(B185,'vehicles specifications'!$A$3:$A$166,0),MATCH("Oxydation energy stored [kWh]",'vehicles specifications'!$B$2:$CW$2,0))</f>
        <v>0</v>
      </c>
    </row>
    <row r="200" spans="1:8" x14ac:dyDescent="0.2">
      <c r="A200" t="s">
        <v>139</v>
      </c>
      <c r="B200">
        <f>INDEX('vehicles specifications'!$B$3:$CW$166,MATCH(B185,'vehicles specifications'!$A$3:$A$166,0),MATCH("Fuel mass [kg]",'vehicles specifications'!$B$2:$CW$2,0))</f>
        <v>0</v>
      </c>
    </row>
    <row r="201" spans="1:8" x14ac:dyDescent="0.2">
      <c r="A201" t="s">
        <v>136</v>
      </c>
      <c r="B201">
        <f>INDEX('vehicles specifications'!$B$3:$CW$166,MATCH(B185,'vehicles specifications'!$A$3:$A$166,0),MATCH("Range [km]",'vehicles specifications'!$B$2:$CW$2,0))</f>
        <v>0</v>
      </c>
    </row>
    <row r="202" spans="1:8" x14ac:dyDescent="0.2">
      <c r="A202" t="s">
        <v>137</v>
      </c>
      <c r="B202" t="str">
        <f>INDEX('vehicles specifications'!$B$3:$CW$166,MATCH(B185,'vehicles specifications'!$A$3:$A$166,0),MATCH("Emission standard",'vehicles specifications'!$B$2:$CW$2,0))</f>
        <v>None</v>
      </c>
    </row>
    <row r="203" spans="1:8" x14ac:dyDescent="0.2">
      <c r="A203" t="s">
        <v>1174</v>
      </c>
      <c r="B203" s="6">
        <f>INDEX('vehicles specifications'!$B$3:$CW$166,MATCH(B185,'vehicles specifications'!$A$3:$A$166,0),MATCH("Lightweighting rate [%]",'vehicles specifications'!$B$2:$CW$2,0))</f>
        <v>0.03</v>
      </c>
    </row>
    <row r="204" spans="1:8" x14ac:dyDescent="0.2">
      <c r="A204" t="s">
        <v>83</v>
      </c>
      <c r="B204" t="str">
        <f>"Power: "&amp;B196&amp;" kW. Lifetime: "&amp;B190&amp;" km. Annual kilometers: "&amp;B194&amp;" km. Number of passengers: "&amp;B191&amp;". Curb mass: "&amp;ROUND(B195,1)&amp;" kg. Lightweighting of glider: "&amp;ROUND(B203*100,0)&amp;"%. Emission standard: "&amp;B202&amp;". Service visits throughout lifetime: "&amp;ROUND(B192,1)&amp;". Range: "&amp;ROUND(B201,0)&amp;" km. Fuel tank capacity: "&amp;ROUND(B199,1)&amp;" kWh. Fuel mass: "&amp;ROUND(B200,1)&amp;" kg. Documentation: "&amp;Readmefirst!$B$2&amp;", "&amp;Readmefirst!$B$3&amp;". "&amp;B189</f>
        <v>Power: 0 kW. Lifetime: 15000 km. Annual kilometers: 1000 km. Number of passengers: 1. Curb mass: 11.6 kg. Lightweighting of glider: 3%.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05" spans="1:8" ht="16" x14ac:dyDescent="0.2">
      <c r="A205" s="10" t="s">
        <v>79</v>
      </c>
    </row>
    <row r="206" spans="1:8" x14ac:dyDescent="0.2">
      <c r="A206" t="s">
        <v>80</v>
      </c>
      <c r="B206" t="s">
        <v>81</v>
      </c>
      <c r="C206" t="s">
        <v>72</v>
      </c>
      <c r="D206" t="s">
        <v>76</v>
      </c>
      <c r="E206" t="s">
        <v>82</v>
      </c>
      <c r="F206" t="s">
        <v>74</v>
      </c>
      <c r="G206" t="s">
        <v>83</v>
      </c>
      <c r="H206" t="s">
        <v>73</v>
      </c>
    </row>
    <row r="207" spans="1:8" x14ac:dyDescent="0.2">
      <c r="A207" t="str">
        <f>B180</f>
        <v>transport, Bicycle, conventional, urban, 2030</v>
      </c>
      <c r="B207">
        <v>1</v>
      </c>
      <c r="C207" t="str">
        <f>B181</f>
        <v>CH</v>
      </c>
      <c r="D207" t="s">
        <v>166</v>
      </c>
      <c r="F207" t="s">
        <v>84</v>
      </c>
      <c r="G207" t="s">
        <v>85</v>
      </c>
      <c r="H207" t="str">
        <f>B186</f>
        <v>transport, Bicycle, conventional, urban</v>
      </c>
    </row>
    <row r="208" spans="1:8" x14ac:dyDescent="0.2">
      <c r="A208" t="str">
        <f>RIGHT(A207,LEN(A207)-11)</f>
        <v>Bicycle, conventional, urban, 2030</v>
      </c>
      <c r="B208" s="7">
        <f>1/B190</f>
        <v>6.666666666666667E-5</v>
      </c>
      <c r="C208" t="str">
        <f>B181</f>
        <v>CH</v>
      </c>
      <c r="D208" t="s">
        <v>76</v>
      </c>
      <c r="F208" t="s">
        <v>89</v>
      </c>
      <c r="H208" t="str">
        <f>RIGHT(H207,LEN(H207)-11)</f>
        <v>Bicycle, conventional, urban</v>
      </c>
    </row>
    <row r="209" spans="1:8" x14ac:dyDescent="0.2">
      <c r="A209" t="str">
        <f>INDEX('ei names mapping'!$B$4:$R$33,MATCH(B182,'ei names mapping'!$A$4:$A$33,0),MATCH(G209,'ei names mapping'!$B$3:$R$3,0))</f>
        <v>road construction</v>
      </c>
      <c r="B209" s="7">
        <f>INDEX('vehicles specifications'!$B$3:$CW$166,MATCH(B185,'vehicles specifications'!$A$3:$A$166,0),MATCH(G209,'vehicles specifications'!$B$2:$CW$2,0))*INDEX('ei names mapping'!$B$137:$BL$300,MATCH(B185,'ei names mapping'!$A$137:$A$300,0),MATCH(G209,'ei names mapping'!$B$136:$BL$136,0))</f>
        <v>4.7062679999999998E-5</v>
      </c>
      <c r="C209" t="str">
        <f>INDEX('ei names mapping'!$B$38:$R$67,MATCH(B182,'ei names mapping'!$A$4:$A$33,0),MATCH(G209,'ei names mapping'!$B$3:$R$3,0))</f>
        <v>CH</v>
      </c>
      <c r="D209" t="str">
        <f>INDEX('ei names mapping'!$B$104:$BL$133,MATCH(B182,'ei names mapping'!$A$4:$A$33,0),MATCH(G209,'ei names mapping'!$B$3:$BL$3,0))</f>
        <v>meter-year</v>
      </c>
      <c r="F209" t="s">
        <v>89</v>
      </c>
      <c r="G209" t="s">
        <v>105</v>
      </c>
      <c r="H209" t="str">
        <f>INDEX('ei names mapping'!$B$71:$BL$100,MATCH(B182,'ei names mapping'!$A$4:$A$33,0),MATCH(G209,'ei names mapping'!$B$3:$BL$3,0))</f>
        <v>road</v>
      </c>
    </row>
    <row r="210" spans="1:8" x14ac:dyDescent="0.2">
      <c r="A210" t="str">
        <f>INDEX('ei names mapping'!$B$4:$R$33,MATCH($B$3,'ei names mapping'!$A$4:$A$33,0),MATCH(G210,'ei names mapping'!$B$3:$R$3,0))</f>
        <v>maintenance, bicycle</v>
      </c>
      <c r="B210" s="7">
        <f>INDEX('vehicles specifications'!$B$3:$CW$166,MATCH(B185,'vehicles specifications'!$A$3:$A$166,0),MATCH(G210,'vehicles specifications'!$B$2:$CW$2,0))*INDEX('ei names mapping'!$B$137:$BL$300,MATCH(B185,'ei names mapping'!$A$137:$A$300,0),MATCH(G210,'ei names mapping'!$B$136:$BL$136,0))</f>
        <v>6.666666666666667E-5</v>
      </c>
      <c r="C210" t="str">
        <f>INDEX('ei names mapping'!$B$38:$R$67,MATCH($B$3,'ei names mapping'!$A$4:$A$33,0),MATCH(G210,'ei names mapping'!$B$3:$R$3,0))</f>
        <v>CH</v>
      </c>
      <c r="D210" t="str">
        <f>INDEX('ei names mapping'!$B$104:$R$133,MATCH($B$3,'ei names mapping'!$A$4:$A$33,0),MATCH(G210,'ei names mapping'!$B$3:$R$3,0))</f>
        <v>unit</v>
      </c>
      <c r="F210" t="s">
        <v>89</v>
      </c>
      <c r="G210" t="s">
        <v>118</v>
      </c>
      <c r="H210" t="str">
        <f>INDEX('ei names mapping'!$B$71:$R$100,MATCH($B$3,'ei names mapping'!$A$4:$A$33,0),MATCH(G210,'ei names mapping'!$B$3:$R$3,0))</f>
        <v>maintenance, bicycle</v>
      </c>
    </row>
    <row r="211" spans="1:8" x14ac:dyDescent="0.2">
      <c r="A211" t="str">
        <f>INDEX('ei names mapping'!$B$4:$BL$33,MATCH($B$147,'ei names mapping'!$A$4:$A$33,0),MATCH(G211,'ei names mapping'!$B$3:$BL$3,0))</f>
        <v>treatment of road wear emissions, passenger car</v>
      </c>
      <c r="B211" s="7">
        <f>INDEX('vehicles specifications'!$B$3:$CW$166,MATCH(B185,'vehicles specifications'!$A$3:$A$166,0),MATCH(G211,'vehicles specifications'!$B$2:$CW$2,0))*INDEX('ei names mapping'!$B$137:$BL$300,MATCH(B185,'ei names mapping'!$A$137:$A$300,0),MATCH(G211,'ei names mapping'!$B$136:$BL$136,0))</f>
        <v>-3.8058426632405336E-6</v>
      </c>
      <c r="C211" t="str">
        <f>INDEX('ei names mapping'!$B$38:$BL$67,MATCH($B$147,'ei names mapping'!$A$4:$A$33,0),MATCH(G211,'ei names mapping'!$B$3:$BL$3,0))</f>
        <v>RER</v>
      </c>
      <c r="D211" t="str">
        <f>INDEX('ei names mapping'!$B$104:$BL$133,MATCH($B$147,'ei names mapping'!$A$4:$A$33,0),MATCH(G211,'ei names mapping'!$B$3:$BL$3,0))</f>
        <v>kilogram</v>
      </c>
      <c r="F211" t="s">
        <v>89</v>
      </c>
      <c r="G211" t="s">
        <v>29</v>
      </c>
      <c r="H211" t="str">
        <f>INDEX('ei names mapping'!$B$71:$BL$100,MATCH(B182,'ei names mapping'!$A$4:$A$33,0),MATCH(G211,'ei names mapping'!$B$3:$BL$3,0))</f>
        <v>road wear emissions, passenger car</v>
      </c>
    </row>
    <row r="212" spans="1:8" x14ac:dyDescent="0.2">
      <c r="A212" t="str">
        <f>INDEX('ei names mapping'!$B$4:$BL$33,MATCH($B$147,'ei names mapping'!$A$4:$A$33,0),MATCH(G212,'ei names mapping'!$B$3:$BL$3,0))</f>
        <v>treatment of tyre wear emissions, passenger car</v>
      </c>
      <c r="B212" s="7">
        <f>INDEX('vehicles specifications'!$B$3:$CW$166,MATCH(B185,'vehicles specifications'!$A$3:$A$166,0),MATCH(G212,'vehicles specifications'!$B$2:$CW$2,0))*INDEX('ei names mapping'!$B$137:$BL$300,MATCH(B185,'ei names mapping'!$A$137:$A$300,0),MATCH(G212,'ei names mapping'!$B$136:$BL$136,0))</f>
        <v>-3.6818808942371148E-6</v>
      </c>
      <c r="C212" t="str">
        <f>INDEX('ei names mapping'!$B$38:$BL$67,MATCH($B$147,'ei names mapping'!$A$4:$A$33,0),MATCH(G212,'ei names mapping'!$B$3:$BL$3,0))</f>
        <v>RER</v>
      </c>
      <c r="D212" t="str">
        <f>INDEX('ei names mapping'!$B$104:$BL$133,MATCH($B$147,'ei names mapping'!$A$4:$A$33,0),MATCH(G212,'ei names mapping'!$B$3:$BL$3,0))</f>
        <v>kilogram</v>
      </c>
      <c r="F212" t="s">
        <v>89</v>
      </c>
      <c r="G212" t="s">
        <v>30</v>
      </c>
      <c r="H212" t="str">
        <f>INDEX('ei names mapping'!$B$71:$BL$100,MATCH($B$147,'ei names mapping'!$A$4:$A$33,0),MATCH(G212,'ei names mapping'!$B$3:$BL$3,0))</f>
        <v>tyre wear emissions, passenger car</v>
      </c>
    </row>
    <row r="213" spans="1:8" x14ac:dyDescent="0.2">
      <c r="A213" t="str">
        <f>INDEX('ei names mapping'!$B$4:$BL$33,MATCH($B$147,'ei names mapping'!$A$4:$A$33,0),MATCH(G213,'ei names mapping'!$B$3:$BL$3,0))</f>
        <v>treatment of brake wear emissions, passenger car</v>
      </c>
      <c r="B213" s="7">
        <f>INDEX('vehicles specifications'!$B$3:$CW$166,MATCH(B185,'vehicles specifications'!$A$3:$A$166,0),MATCH(G213,'vehicles specifications'!$B$2:$CW$2,0))*INDEX('ei names mapping'!$B$137:$BL$300,MATCH(B185,'ei names mapping'!$A$137:$A$300,0),MATCH(G213,'ei names mapping'!$B$136:$BL$136,0))</f>
        <v>-3.4573831467413908E-6</v>
      </c>
      <c r="C213" t="str">
        <f>INDEX('ei names mapping'!$B$38:$BL$67,MATCH($B$147,'ei names mapping'!$A$4:$A$33,0),MATCH(G213,'ei names mapping'!$B$3:$BL$3,0))</f>
        <v>RER</v>
      </c>
      <c r="D213" t="str">
        <f>INDEX('ei names mapping'!$B$104:$BL$133,MATCH($B$147,'ei names mapping'!$A$4:$A$33,0),MATCH(G213,'ei names mapping'!$B$3:$BL$3,0))</f>
        <v>kilogram</v>
      </c>
      <c r="F213" t="s">
        <v>89</v>
      </c>
      <c r="G213" t="s">
        <v>31</v>
      </c>
      <c r="H213" t="str">
        <f>INDEX('ei names mapping'!$B$71:$BL$100,MATCH($B$147,'ei names mapping'!$A$4:$A$33,0),MATCH(G213,'ei names mapping'!$B$3:$BL$3,0))</f>
        <v>brake wear emissions, passenger car</v>
      </c>
    </row>
    <row r="215" spans="1:8" ht="16" x14ac:dyDescent="0.2">
      <c r="A215" s="10" t="s">
        <v>71</v>
      </c>
      <c r="B215" s="8" t="str">
        <f>"transport, "&amp;B217&amp;", "&amp;B219</f>
        <v>transport, Bicycle, conventional, urban, 2040</v>
      </c>
    </row>
    <row r="216" spans="1:8" x14ac:dyDescent="0.2">
      <c r="A216" t="s">
        <v>72</v>
      </c>
      <c r="B216" t="s">
        <v>37</v>
      </c>
    </row>
    <row r="217" spans="1:8" x14ac:dyDescent="0.2">
      <c r="A217" t="s">
        <v>86</v>
      </c>
      <c r="B217" t="s">
        <v>33</v>
      </c>
    </row>
    <row r="218" spans="1:8" x14ac:dyDescent="0.2">
      <c r="A218" t="s">
        <v>87</v>
      </c>
    </row>
    <row r="219" spans="1:8" x14ac:dyDescent="0.2">
      <c r="A219" t="s">
        <v>88</v>
      </c>
      <c r="B219">
        <v>2040</v>
      </c>
    </row>
    <row r="220" spans="1:8" x14ac:dyDescent="0.2">
      <c r="A220" t="s">
        <v>126</v>
      </c>
      <c r="B220" t="str">
        <f>B217&amp;" - "&amp;B219&amp;" - "&amp;B216</f>
        <v>Bicycle, conventional, urban - 2040 - CH</v>
      </c>
    </row>
    <row r="221" spans="1:8" x14ac:dyDescent="0.2">
      <c r="A221" t="s">
        <v>73</v>
      </c>
      <c r="B221" t="str">
        <f>"transport, "&amp;B217</f>
        <v>transport, Bicycle, conventional, urban</v>
      </c>
    </row>
    <row r="222" spans="1:8" x14ac:dyDescent="0.2">
      <c r="A222" t="s">
        <v>74</v>
      </c>
      <c r="B222" t="s">
        <v>75</v>
      </c>
    </row>
    <row r="223" spans="1:8" x14ac:dyDescent="0.2">
      <c r="A223" t="s">
        <v>76</v>
      </c>
      <c r="B223" t="s">
        <v>166</v>
      </c>
    </row>
    <row r="224" spans="1:8" x14ac:dyDescent="0.2">
      <c r="A224" t="s">
        <v>78</v>
      </c>
      <c r="B224" t="s">
        <v>1143</v>
      </c>
    </row>
    <row r="225" spans="1:2" x14ac:dyDescent="0.2">
      <c r="A225" t="s">
        <v>127</v>
      </c>
      <c r="B225">
        <f>INDEX('vehicles specifications'!$B$3:$CW$166,MATCH(B220,'vehicles specifications'!$A$3:$A$166,0),MATCH("Lifetime [km]",'vehicles specifications'!$B$2:$CW$2,0))</f>
        <v>15000</v>
      </c>
    </row>
    <row r="226" spans="1:2" x14ac:dyDescent="0.2">
      <c r="A226" t="s">
        <v>128</v>
      </c>
      <c r="B226">
        <f>INDEX('vehicles specifications'!$B$3:$CW$166,MATCH(B220,'vehicles specifications'!$A$3:$A$166,0),MATCH("Passengers [unit]",'vehicles specifications'!$B$2:$CW$2,0))</f>
        <v>1</v>
      </c>
    </row>
    <row r="227" spans="1:2" x14ac:dyDescent="0.2">
      <c r="A227" t="s">
        <v>129</v>
      </c>
      <c r="B227">
        <f>INDEX('vehicles specifications'!$B$3:$CW$166,MATCH(B220,'vehicles specifications'!$A$3:$A$166,0),MATCH("Servicing [unit]",'vehicles specifications'!$B$2:$CW$2,0))</f>
        <v>1</v>
      </c>
    </row>
    <row r="228" spans="1:2" x14ac:dyDescent="0.2">
      <c r="A228" t="s">
        <v>130</v>
      </c>
      <c r="B228">
        <f>INDEX('vehicles specifications'!$B$3:$CW$166,MATCH(B220,'vehicles specifications'!$A$3:$A$166,0),MATCH("Energy battery replacement [unit]",'vehicles specifications'!$B$2:$CW$2,0))</f>
        <v>0</v>
      </c>
    </row>
    <row r="229" spans="1:2" x14ac:dyDescent="0.2">
      <c r="A229" t="s">
        <v>131</v>
      </c>
      <c r="B229">
        <f>INDEX('vehicles specifications'!$B$3:$CW$166,MATCH(B220,'vehicles specifications'!$A$3:$A$166,0),MATCH("Annual kilometers [km]",'vehicles specifications'!$B$2:$CW$2,0))</f>
        <v>1000</v>
      </c>
    </row>
    <row r="230" spans="1:2" x14ac:dyDescent="0.2">
      <c r="A230" t="s">
        <v>132</v>
      </c>
      <c r="B230">
        <f>INDEX('vehicles specifications'!$B$3:$CW$166,MATCH(B220,'vehicles specifications'!$A$3:$A$166,0),MATCH("Curb mass [kg]",'vehicles specifications'!$B$2:$CW$2,0))</f>
        <v>11.399999999999999</v>
      </c>
    </row>
    <row r="231" spans="1:2" x14ac:dyDescent="0.2">
      <c r="A231" t="s">
        <v>133</v>
      </c>
      <c r="B231">
        <f>INDEX('vehicles specifications'!$B$3:$CW$166,MATCH(B220,'vehicles specifications'!$A$3:$A$166,0),MATCH("Power [kW]",'vehicles specifications'!$B$2:$CW$2,0))</f>
        <v>0</v>
      </c>
    </row>
    <row r="232" spans="1:2" x14ac:dyDescent="0.2">
      <c r="A232" t="s">
        <v>134</v>
      </c>
      <c r="B232" t="str">
        <f>INDEX('vehicles specifications'!$B$3:$CW$166,MATCH(B220,'vehicles specifications'!$A$3:$A$166,0),MATCH("Energy battery mass [kg]",'vehicles specifications'!$B$2:$CW$2,0))</f>
        <v/>
      </c>
    </row>
    <row r="233" spans="1:2" x14ac:dyDescent="0.2">
      <c r="A233" t="s">
        <v>135</v>
      </c>
      <c r="B233">
        <f>INDEX('vehicles specifications'!$B$3:$CW$166,MATCH(B220,'vehicles specifications'!$A$3:$A$166,0),MATCH("Electric energy available [kWh]",'vehicles specifications'!$B$2:$CW$2,0))</f>
        <v>0</v>
      </c>
    </row>
    <row r="234" spans="1:2" x14ac:dyDescent="0.2">
      <c r="A234" t="s">
        <v>138</v>
      </c>
      <c r="B234">
        <f>INDEX('vehicles specifications'!$B$3:$CW$166,MATCH(B220,'vehicles specifications'!$A$3:$A$166,0),MATCH("Oxydation energy stored [kWh]",'vehicles specifications'!$B$2:$CW$2,0))</f>
        <v>0</v>
      </c>
    </row>
    <row r="235" spans="1:2" x14ac:dyDescent="0.2">
      <c r="A235" t="s">
        <v>139</v>
      </c>
      <c r="B235">
        <f>INDEX('vehicles specifications'!$B$3:$CW$166,MATCH(B220,'vehicles specifications'!$A$3:$A$166,0),MATCH("Fuel mass [kg]",'vehicles specifications'!$B$2:$CW$2,0))</f>
        <v>0</v>
      </c>
    </row>
    <row r="236" spans="1:2" x14ac:dyDescent="0.2">
      <c r="A236" t="s">
        <v>136</v>
      </c>
      <c r="B236">
        <f>INDEX('vehicles specifications'!$B$3:$CW$166,MATCH(B220,'vehicles specifications'!$A$3:$A$166,0),MATCH("Range [km]",'vehicles specifications'!$B$2:$CW$2,0))</f>
        <v>0</v>
      </c>
    </row>
    <row r="237" spans="1:2" x14ac:dyDescent="0.2">
      <c r="A237" t="s">
        <v>137</v>
      </c>
      <c r="B237" t="str">
        <f>INDEX('vehicles specifications'!$B$3:$CW$166,MATCH(B220,'vehicles specifications'!$A$3:$A$166,0),MATCH("Emission standard",'vehicles specifications'!$B$2:$CW$2,0))</f>
        <v>None</v>
      </c>
    </row>
    <row r="238" spans="1:2" x14ac:dyDescent="0.2">
      <c r="A238" t="s">
        <v>1174</v>
      </c>
      <c r="B238" s="6">
        <f>INDEX('vehicles specifications'!$B$3:$CW$166,MATCH(B220,'vehicles specifications'!$A$3:$A$166,0),MATCH("Lightweighting rate [%]",'vehicles specifications'!$B$2:$CW$2,0))</f>
        <v>0.05</v>
      </c>
    </row>
    <row r="239" spans="1:2" x14ac:dyDescent="0.2">
      <c r="A239" t="s">
        <v>83</v>
      </c>
      <c r="B239" t="str">
        <f>"Power: "&amp;B231&amp;" kW. Lifetime: "&amp;B225&amp;" km. Annual kilometers: "&amp;B229&amp;" km. Number of passengers: "&amp;B226&amp;". Curb mass: "&amp;ROUND(B230,1)&amp;" kg. Lightweighting of glider: "&amp;ROUND(B238*100,0)&amp;"%. Emission standard: "&amp;B237&amp;". Service visits throughout lifetime: "&amp;ROUND(B227,1)&amp;". Range: "&amp;ROUND(B236,0)&amp;" km. Fuel tank capacity: "&amp;ROUND(B234,1)&amp;" kWh. Fuel mass: "&amp;ROUND(B235,1)&amp;" kg. Documentation: "&amp;Readmefirst!$B$2&amp;", "&amp;Readmefirst!$B$3&amp;". "&amp;B224</f>
        <v>Power: 0 kW. Lifetime: 15000 km. Annual kilometers: 1000 km. Number of passengers: 1. Curb mass: 11.4 kg. Lightweighting of glider: 5%.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40" spans="1:2" ht="16" x14ac:dyDescent="0.2">
      <c r="A240" s="10" t="s">
        <v>79</v>
      </c>
    </row>
    <row r="241" spans="1:8" x14ac:dyDescent="0.2">
      <c r="A241" t="s">
        <v>80</v>
      </c>
      <c r="B241" t="s">
        <v>81</v>
      </c>
      <c r="C241" t="s">
        <v>72</v>
      </c>
      <c r="D241" t="s">
        <v>76</v>
      </c>
      <c r="E241" t="s">
        <v>82</v>
      </c>
      <c r="F241" t="s">
        <v>74</v>
      </c>
      <c r="G241" t="s">
        <v>83</v>
      </c>
      <c r="H241" t="s">
        <v>73</v>
      </c>
    </row>
    <row r="242" spans="1:8" x14ac:dyDescent="0.2">
      <c r="A242" t="str">
        <f>B215</f>
        <v>transport, Bicycle, conventional, urban, 2040</v>
      </c>
      <c r="B242">
        <v>1</v>
      </c>
      <c r="C242" t="str">
        <f>B216</f>
        <v>CH</v>
      </c>
      <c r="D242" t="s">
        <v>166</v>
      </c>
      <c r="F242" t="s">
        <v>84</v>
      </c>
      <c r="G242" t="s">
        <v>85</v>
      </c>
      <c r="H242" t="str">
        <f>B221</f>
        <v>transport, Bicycle, conventional, urban</v>
      </c>
    </row>
    <row r="243" spans="1:8" x14ac:dyDescent="0.2">
      <c r="A243" t="str">
        <f>RIGHT(A242,LEN(A242)-11)</f>
        <v>Bicycle, conventional, urban, 2040</v>
      </c>
      <c r="B243" s="7">
        <f>1/B225</f>
        <v>6.666666666666667E-5</v>
      </c>
      <c r="C243" t="str">
        <f>B216</f>
        <v>CH</v>
      </c>
      <c r="D243" t="s">
        <v>76</v>
      </c>
      <c r="F243" t="s">
        <v>89</v>
      </c>
      <c r="H243" t="str">
        <f>RIGHT(H242,LEN(H242)-11)</f>
        <v>Bicycle, conventional, urban</v>
      </c>
    </row>
    <row r="244" spans="1:8" x14ac:dyDescent="0.2">
      <c r="A244" t="str">
        <f>INDEX('ei names mapping'!$B$4:$R$33,MATCH(B217,'ei names mapping'!$A$4:$A$33,0),MATCH(G244,'ei names mapping'!$B$3:$R$3,0))</f>
        <v>road construction</v>
      </c>
      <c r="B244" s="7">
        <f>INDEX('vehicles specifications'!$B$3:$CW$166,MATCH(B220,'vehicles specifications'!$A$3:$A$166,0),MATCH(G244,'vehicles specifications'!$B$2:$CW$2,0))*INDEX('ei names mapping'!$B$137:$BL$300,MATCH(B220,'ei names mapping'!$A$137:$A$300,0),MATCH(G244,'ei names mapping'!$B$136:$BL$136,0))</f>
        <v>4.6933800000000001E-5</v>
      </c>
      <c r="C244" t="str">
        <f>INDEX('ei names mapping'!$B$38:$R$67,MATCH(B217,'ei names mapping'!$A$4:$A$33,0),MATCH(G244,'ei names mapping'!$B$3:$R$3,0))</f>
        <v>CH</v>
      </c>
      <c r="D244" t="str">
        <f>INDEX('ei names mapping'!$B$104:$BL$133,MATCH(B217,'ei names mapping'!$A$4:$A$33,0),MATCH(G244,'ei names mapping'!$B$3:$BL$3,0))</f>
        <v>meter-year</v>
      </c>
      <c r="F244" t="s">
        <v>89</v>
      </c>
      <c r="G244" t="s">
        <v>105</v>
      </c>
      <c r="H244" t="str">
        <f>INDEX('ei names mapping'!$B$71:$BL$100,MATCH(B217,'ei names mapping'!$A$4:$A$33,0),MATCH(G244,'ei names mapping'!$B$3:$BL$3,0))</f>
        <v>road</v>
      </c>
    </row>
    <row r="245" spans="1:8" x14ac:dyDescent="0.2">
      <c r="A245" t="str">
        <f>INDEX('ei names mapping'!$B$4:$R$33,MATCH($B$3,'ei names mapping'!$A$4:$A$33,0),MATCH(G245,'ei names mapping'!$B$3:$R$3,0))</f>
        <v>maintenance, bicycle</v>
      </c>
      <c r="B245" s="7">
        <f>INDEX('vehicles specifications'!$B$3:$CW$166,MATCH(B220,'vehicles specifications'!$A$3:$A$166,0),MATCH(G245,'vehicles specifications'!$B$2:$CW$2,0))*INDEX('ei names mapping'!$B$137:$BL$300,MATCH(B220,'ei names mapping'!$A$137:$A$300,0),MATCH(G245,'ei names mapping'!$B$136:$BL$136,0))</f>
        <v>6.666666666666667E-5</v>
      </c>
      <c r="C245" t="str">
        <f>INDEX('ei names mapping'!$B$38:$R$67,MATCH($B$3,'ei names mapping'!$A$4:$A$33,0),MATCH(G245,'ei names mapping'!$B$3:$R$3,0))</f>
        <v>CH</v>
      </c>
      <c r="D245" t="str">
        <f>INDEX('ei names mapping'!$B$104:$R$133,MATCH($B$3,'ei names mapping'!$A$4:$A$33,0),MATCH(G245,'ei names mapping'!$B$3:$R$3,0))</f>
        <v>unit</v>
      </c>
      <c r="F245" t="s">
        <v>89</v>
      </c>
      <c r="G245" t="s">
        <v>118</v>
      </c>
      <c r="H245" t="str">
        <f>INDEX('ei names mapping'!$B$71:$R$100,MATCH($B$3,'ei names mapping'!$A$4:$A$33,0),MATCH(G245,'ei names mapping'!$B$3:$R$3,0))</f>
        <v>maintenance, bicycle</v>
      </c>
    </row>
    <row r="246" spans="1:8" x14ac:dyDescent="0.2">
      <c r="A246" t="str">
        <f>INDEX('ei names mapping'!$B$4:$BL$33,MATCH($B$147,'ei names mapping'!$A$4:$A$33,0),MATCH(G246,'ei names mapping'!$B$3:$BL$3,0))</f>
        <v>treatment of road wear emissions, passenger car</v>
      </c>
      <c r="B246" s="7">
        <f>INDEX('vehicles specifications'!$B$3:$CW$166,MATCH(B220,'vehicles specifications'!$A$3:$A$166,0),MATCH(G246,'vehicles specifications'!$B$2:$CW$2,0))*INDEX('ei names mapping'!$B$137:$BL$300,MATCH(B220,'ei names mapping'!$A$137:$A$300,0),MATCH(G246,'ei names mapping'!$B$136:$BL$136,0))</f>
        <v>-3.7977017358485391E-6</v>
      </c>
      <c r="C246" t="str">
        <f>INDEX('ei names mapping'!$B$38:$BL$67,MATCH($B$147,'ei names mapping'!$A$4:$A$33,0),MATCH(G246,'ei names mapping'!$B$3:$BL$3,0))</f>
        <v>RER</v>
      </c>
      <c r="D246" t="str">
        <f>INDEX('ei names mapping'!$B$104:$BL$133,MATCH($B$147,'ei names mapping'!$A$4:$A$33,0),MATCH(G246,'ei names mapping'!$B$3:$BL$3,0))</f>
        <v>kilogram</v>
      </c>
      <c r="F246" t="s">
        <v>89</v>
      </c>
      <c r="G246" t="s">
        <v>29</v>
      </c>
      <c r="H246" t="str">
        <f>INDEX('ei names mapping'!$B$71:$BL$100,MATCH(B217,'ei names mapping'!$A$4:$A$33,0),MATCH(G246,'ei names mapping'!$B$3:$BL$3,0))</f>
        <v>road wear emissions, passenger car</v>
      </c>
    </row>
    <row r="247" spans="1:8" x14ac:dyDescent="0.2">
      <c r="A247" t="str">
        <f>INDEX('ei names mapping'!$B$4:$BL$33,MATCH($B$147,'ei names mapping'!$A$4:$A$33,0),MATCH(G247,'ei names mapping'!$B$3:$BL$3,0))</f>
        <v>treatment of tyre wear emissions, passenger car</v>
      </c>
      <c r="B247" s="7">
        <f>INDEX('vehicles specifications'!$B$3:$CW$166,MATCH(B220,'vehicles specifications'!$A$3:$A$166,0),MATCH(G247,'vehicles specifications'!$B$2:$CW$2,0))*INDEX('ei names mapping'!$B$137:$BL$300,MATCH(B220,'ei names mapping'!$A$137:$A$300,0),MATCH(G247,'ei names mapping'!$B$136:$BL$136,0))</f>
        <v>-3.6709463022322847E-6</v>
      </c>
      <c r="C247" t="str">
        <f>INDEX('ei names mapping'!$B$38:$BL$67,MATCH($B$147,'ei names mapping'!$A$4:$A$33,0),MATCH(G247,'ei names mapping'!$B$3:$BL$3,0))</f>
        <v>RER</v>
      </c>
      <c r="D247" t="str">
        <f>INDEX('ei names mapping'!$B$104:$BL$133,MATCH($B$147,'ei names mapping'!$A$4:$A$33,0),MATCH(G247,'ei names mapping'!$B$3:$BL$3,0))</f>
        <v>kilogram</v>
      </c>
      <c r="F247" t="s">
        <v>89</v>
      </c>
      <c r="G247" t="s">
        <v>30</v>
      </c>
      <c r="H247" t="str">
        <f>INDEX('ei names mapping'!$B$71:$BL$100,MATCH($B$147,'ei names mapping'!$A$4:$A$33,0),MATCH(G247,'ei names mapping'!$B$3:$BL$3,0))</f>
        <v>tyre wear emissions, passenger car</v>
      </c>
    </row>
    <row r="248" spans="1:8" x14ac:dyDescent="0.2">
      <c r="A248" t="str">
        <f>INDEX('ei names mapping'!$B$4:$BL$33,MATCH($B$147,'ei names mapping'!$A$4:$A$33,0),MATCH(G248,'ei names mapping'!$B$3:$BL$3,0))</f>
        <v>treatment of brake wear emissions, passenger car</v>
      </c>
      <c r="B248" s="7">
        <f>INDEX('vehicles specifications'!$B$3:$CW$166,MATCH(B220,'vehicles specifications'!$A$3:$A$166,0),MATCH(G248,'vehicles specifications'!$B$2:$CW$2,0))*INDEX('ei names mapping'!$B$137:$BL$300,MATCH(B220,'ei names mapping'!$A$137:$A$300,0),MATCH(G248,'ei names mapping'!$B$136:$BL$136,0))</f>
        <v>-3.4485828989510811E-6</v>
      </c>
      <c r="C248" t="str">
        <f>INDEX('ei names mapping'!$B$38:$BL$67,MATCH($B$147,'ei names mapping'!$A$4:$A$33,0),MATCH(G248,'ei names mapping'!$B$3:$BL$3,0))</f>
        <v>RER</v>
      </c>
      <c r="D248" t="str">
        <f>INDEX('ei names mapping'!$B$104:$BL$133,MATCH($B$147,'ei names mapping'!$A$4:$A$33,0),MATCH(G248,'ei names mapping'!$B$3:$BL$3,0))</f>
        <v>kilogram</v>
      </c>
      <c r="F248" t="s">
        <v>89</v>
      </c>
      <c r="G248" t="s">
        <v>31</v>
      </c>
      <c r="H248" t="str">
        <f>INDEX('ei names mapping'!$B$71:$BL$100,MATCH($B$147,'ei names mapping'!$A$4:$A$33,0),MATCH(G248,'ei names mapping'!$B$3:$BL$3,0))</f>
        <v>brake wear emissions, passenger car</v>
      </c>
    </row>
    <row r="250" spans="1:8" ht="16" x14ac:dyDescent="0.2">
      <c r="A250" s="10" t="s">
        <v>71</v>
      </c>
      <c r="B250" s="8" t="str">
        <f>"transport, "&amp;B252&amp;", "&amp;B254</f>
        <v>transport, Bicycle, conventional, urban, 2050</v>
      </c>
    </row>
    <row r="251" spans="1:8" x14ac:dyDescent="0.2">
      <c r="A251" t="s">
        <v>72</v>
      </c>
      <c r="B251" t="s">
        <v>37</v>
      </c>
    </row>
    <row r="252" spans="1:8" x14ac:dyDescent="0.2">
      <c r="A252" t="s">
        <v>86</v>
      </c>
      <c r="B252" t="s">
        <v>33</v>
      </c>
    </row>
    <row r="253" spans="1:8" x14ac:dyDescent="0.2">
      <c r="A253" t="s">
        <v>87</v>
      </c>
    </row>
    <row r="254" spans="1:8" x14ac:dyDescent="0.2">
      <c r="A254" t="s">
        <v>88</v>
      </c>
      <c r="B254">
        <v>2050</v>
      </c>
    </row>
    <row r="255" spans="1:8" x14ac:dyDescent="0.2">
      <c r="A255" t="s">
        <v>126</v>
      </c>
      <c r="B255" t="str">
        <f>B252&amp;" - "&amp;B254&amp;" - "&amp;B251</f>
        <v>Bicycle, conventional, urban - 2050 - CH</v>
      </c>
    </row>
    <row r="256" spans="1:8" x14ac:dyDescent="0.2">
      <c r="A256" t="s">
        <v>73</v>
      </c>
      <c r="B256" t="str">
        <f>"transport, "&amp;B252</f>
        <v>transport, Bicycle, conventional, urban</v>
      </c>
    </row>
    <row r="257" spans="1:2" x14ac:dyDescent="0.2">
      <c r="A257" t="s">
        <v>74</v>
      </c>
      <c r="B257" t="s">
        <v>75</v>
      </c>
    </row>
    <row r="258" spans="1:2" x14ac:dyDescent="0.2">
      <c r="A258" t="s">
        <v>76</v>
      </c>
      <c r="B258" t="s">
        <v>166</v>
      </c>
    </row>
    <row r="259" spans="1:2" x14ac:dyDescent="0.2">
      <c r="A259" t="s">
        <v>78</v>
      </c>
      <c r="B259" t="s">
        <v>1143</v>
      </c>
    </row>
    <row r="260" spans="1:2" x14ac:dyDescent="0.2">
      <c r="A260" t="s">
        <v>127</v>
      </c>
      <c r="B260">
        <f>INDEX('vehicles specifications'!$B$3:$CW$166,MATCH(B255,'vehicles specifications'!$A$3:$A$166,0),MATCH("Lifetime [km]",'vehicles specifications'!$B$2:$CW$2,0))</f>
        <v>15000</v>
      </c>
    </row>
    <row r="261" spans="1:2" x14ac:dyDescent="0.2">
      <c r="A261" t="s">
        <v>128</v>
      </c>
      <c r="B261">
        <f>INDEX('vehicles specifications'!$B$3:$CW$166,MATCH(B255,'vehicles specifications'!$A$3:$A$166,0),MATCH("Passengers [unit]",'vehicles specifications'!$B$2:$CW$2,0))</f>
        <v>1</v>
      </c>
    </row>
    <row r="262" spans="1:2" x14ac:dyDescent="0.2">
      <c r="A262" t="s">
        <v>129</v>
      </c>
      <c r="B262">
        <f>INDEX('vehicles specifications'!$B$3:$CW$166,MATCH(B255,'vehicles specifications'!$A$3:$A$166,0),MATCH("Servicing [unit]",'vehicles specifications'!$B$2:$CW$2,0))</f>
        <v>1</v>
      </c>
    </row>
    <row r="263" spans="1:2" x14ac:dyDescent="0.2">
      <c r="A263" t="s">
        <v>130</v>
      </c>
      <c r="B263">
        <f>INDEX('vehicles specifications'!$B$3:$CW$166,MATCH(B255,'vehicles specifications'!$A$3:$A$166,0),MATCH("Energy battery replacement [unit]",'vehicles specifications'!$B$2:$CW$2,0))</f>
        <v>0</v>
      </c>
    </row>
    <row r="264" spans="1:2" x14ac:dyDescent="0.2">
      <c r="A264" t="s">
        <v>131</v>
      </c>
      <c r="B264">
        <f>INDEX('vehicles specifications'!$B$3:$CW$166,MATCH(B255,'vehicles specifications'!$A$3:$A$166,0),MATCH("Annual kilometers [km]",'vehicles specifications'!$B$2:$CW$2,0))</f>
        <v>1000</v>
      </c>
    </row>
    <row r="265" spans="1:2" x14ac:dyDescent="0.2">
      <c r="A265" t="s">
        <v>132</v>
      </c>
      <c r="B265">
        <f>INDEX('vehicles specifications'!$B$3:$CW$166,MATCH(B255,'vehicles specifications'!$A$3:$A$166,0),MATCH("Curb mass [kg]",'vehicles specifications'!$B$2:$CW$2,0))</f>
        <v>11.16</v>
      </c>
    </row>
    <row r="266" spans="1:2" x14ac:dyDescent="0.2">
      <c r="A266" t="s">
        <v>133</v>
      </c>
      <c r="B266">
        <f>INDEX('vehicles specifications'!$B$3:$CW$166,MATCH(B255,'vehicles specifications'!$A$3:$A$166,0),MATCH("Power [kW]",'vehicles specifications'!$B$2:$CW$2,0))</f>
        <v>0</v>
      </c>
    </row>
    <row r="267" spans="1:2" x14ac:dyDescent="0.2">
      <c r="A267" t="s">
        <v>134</v>
      </c>
      <c r="B267" t="str">
        <f>INDEX('vehicles specifications'!$B$3:$CW$166,MATCH(B255,'vehicles specifications'!$A$3:$A$166,0),MATCH("Energy battery mass [kg]",'vehicles specifications'!$B$2:$CW$2,0))</f>
        <v/>
      </c>
    </row>
    <row r="268" spans="1:2" x14ac:dyDescent="0.2">
      <c r="A268" t="s">
        <v>135</v>
      </c>
      <c r="B268">
        <f>INDEX('vehicles specifications'!$B$3:$CW$166,MATCH(B255,'vehicles specifications'!$A$3:$A$166,0),MATCH("Electric energy available [kWh]",'vehicles specifications'!$B$2:$CW$2,0))</f>
        <v>0</v>
      </c>
    </row>
    <row r="269" spans="1:2" x14ac:dyDescent="0.2">
      <c r="A269" t="s">
        <v>138</v>
      </c>
      <c r="B269">
        <f>INDEX('vehicles specifications'!$B$3:$CW$166,MATCH(B255,'vehicles specifications'!$A$3:$A$166,0),MATCH("Oxydation energy stored [kWh]",'vehicles specifications'!$B$2:$CW$2,0))</f>
        <v>0</v>
      </c>
    </row>
    <row r="270" spans="1:2" x14ac:dyDescent="0.2">
      <c r="A270" t="s">
        <v>139</v>
      </c>
      <c r="B270">
        <f>INDEX('vehicles specifications'!$B$3:$CW$166,MATCH(B255,'vehicles specifications'!$A$3:$A$166,0),MATCH("Fuel mass [kg]",'vehicles specifications'!$B$2:$CW$2,0))</f>
        <v>0</v>
      </c>
    </row>
    <row r="271" spans="1:2" x14ac:dyDescent="0.2">
      <c r="A271" t="s">
        <v>136</v>
      </c>
      <c r="B271">
        <f>INDEX('vehicles specifications'!$B$3:$CW$166,MATCH(B255,'vehicles specifications'!$A$3:$A$166,0),MATCH("Range [km]",'vehicles specifications'!$B$2:$CW$2,0))</f>
        <v>0</v>
      </c>
    </row>
    <row r="272" spans="1:2" x14ac:dyDescent="0.2">
      <c r="A272" t="s">
        <v>137</v>
      </c>
      <c r="B272" t="str">
        <f>INDEX('vehicles specifications'!$B$3:$CW$166,MATCH(B255,'vehicles specifications'!$A$3:$A$166,0),MATCH("Emission standard",'vehicles specifications'!$B$2:$CW$2,0))</f>
        <v>None</v>
      </c>
    </row>
    <row r="273" spans="1:8" x14ac:dyDescent="0.2">
      <c r="A273" t="s">
        <v>1174</v>
      </c>
      <c r="B273" s="6">
        <f>INDEX('vehicles specifications'!$B$3:$CW$166,MATCH(B255,'vehicles specifications'!$A$3:$A$166,0),MATCH("Lightweighting rate [%]",'vehicles specifications'!$B$2:$CW$2,0))</f>
        <v>7.0000000000000007E-2</v>
      </c>
    </row>
    <row r="274" spans="1:8" x14ac:dyDescent="0.2">
      <c r="A274" t="s">
        <v>83</v>
      </c>
      <c r="B274" t="str">
        <f>"Power: "&amp;B266&amp;" kW. Lifetime: "&amp;B260&amp;" km. Annual kilometers: "&amp;B264&amp;" km. Number of passengers: "&amp;B261&amp;". Curb mass: "&amp;ROUND(B265,1)&amp;" kg. Lightweighting of glider: "&amp;ROUND(B273*100,0)&amp;"%. Emission standard: "&amp;B272&amp;". Service visits throughout lifetime: "&amp;ROUND(B262,1)&amp;". Range: "&amp;ROUND(B271,0)&amp;" km. Fuel tank capacity: "&amp;ROUND(B269,1)&amp;" kWh. Fuel mass: "&amp;ROUND(B270,1)&amp;" kg. Documentation: "&amp;Readmefirst!$B$2&amp;", "&amp;Readmefirst!$B$3&amp;". "&amp;B259</f>
        <v>Power: 0 kW. Lifetime: 15000 km. Annual kilometers: 1000 km. Number of passengers: 1. Curb mass: 11.2 kg. Lightweighting of glider: 7%.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v>
      </c>
    </row>
    <row r="275" spans="1:8" ht="16" x14ac:dyDescent="0.2">
      <c r="A275" s="10" t="s">
        <v>79</v>
      </c>
    </row>
    <row r="276" spans="1:8" x14ac:dyDescent="0.2">
      <c r="A276" t="s">
        <v>80</v>
      </c>
      <c r="B276" t="s">
        <v>81</v>
      </c>
      <c r="C276" t="s">
        <v>72</v>
      </c>
      <c r="D276" t="s">
        <v>76</v>
      </c>
      <c r="E276" t="s">
        <v>82</v>
      </c>
      <c r="F276" t="s">
        <v>74</v>
      </c>
      <c r="G276" t="s">
        <v>83</v>
      </c>
      <c r="H276" t="s">
        <v>73</v>
      </c>
    </row>
    <row r="277" spans="1:8" x14ac:dyDescent="0.2">
      <c r="A277" t="str">
        <f>B250</f>
        <v>transport, Bicycle, conventional, urban, 2050</v>
      </c>
      <c r="B277">
        <v>1</v>
      </c>
      <c r="C277" t="str">
        <f>B251</f>
        <v>CH</v>
      </c>
      <c r="D277" t="s">
        <v>166</v>
      </c>
      <c r="F277" t="s">
        <v>84</v>
      </c>
      <c r="G277" t="s">
        <v>85</v>
      </c>
      <c r="H277" t="str">
        <f>B256</f>
        <v>transport, Bicycle, conventional, urban</v>
      </c>
    </row>
    <row r="278" spans="1:8" x14ac:dyDescent="0.2">
      <c r="A278" t="str">
        <f>RIGHT(A277,LEN(A277)-11)</f>
        <v>Bicycle, conventional, urban, 2050</v>
      </c>
      <c r="B278" s="7">
        <f>1/B260</f>
        <v>6.666666666666667E-5</v>
      </c>
      <c r="C278" t="str">
        <f>B251</f>
        <v>CH</v>
      </c>
      <c r="D278" t="s">
        <v>76</v>
      </c>
      <c r="F278" t="s">
        <v>89</v>
      </c>
      <c r="H278" t="str">
        <f>RIGHT(H277,LEN(H277)-11)</f>
        <v>Bicycle, conventional, urban</v>
      </c>
    </row>
    <row r="279" spans="1:8" x14ac:dyDescent="0.2">
      <c r="A279" t="str">
        <f>INDEX('ei names mapping'!$B$4:$R$33,MATCH(B252,'ei names mapping'!$A$4:$A$33,0),MATCH(G279,'ei names mapping'!$B$3:$R$3,0))</f>
        <v>road construction</v>
      </c>
      <c r="B279" s="7">
        <f>INDEX('vehicles specifications'!$B$3:$CW$166,MATCH(B255,'vehicles specifications'!$A$3:$A$166,0),MATCH(G279,'vehicles specifications'!$B$2:$CW$2,0))*INDEX('ei names mapping'!$B$137:$BL$300,MATCH(B255,'ei names mapping'!$A$137:$A$300,0),MATCH(G279,'ei names mapping'!$B$136:$BL$136,0))</f>
        <v>4.6804919999999998E-5</v>
      </c>
      <c r="C279" t="str">
        <f>INDEX('ei names mapping'!$B$38:$R$67,MATCH(B252,'ei names mapping'!$A$4:$A$33,0),MATCH(G279,'ei names mapping'!$B$3:$R$3,0))</f>
        <v>CH</v>
      </c>
      <c r="D279" t="str">
        <f>INDEX('ei names mapping'!$B$104:$BL$133,MATCH(B252,'ei names mapping'!$A$4:$A$33,0),MATCH(G279,'ei names mapping'!$B$3:$BL$3,0))</f>
        <v>meter-year</v>
      </c>
      <c r="F279" t="s">
        <v>89</v>
      </c>
      <c r="G279" t="s">
        <v>105</v>
      </c>
      <c r="H279" t="str">
        <f>INDEX('ei names mapping'!$B$71:$BL$100,MATCH(B252,'ei names mapping'!$A$4:$A$33,0),MATCH(G279,'ei names mapping'!$B$3:$BL$3,0))</f>
        <v>road</v>
      </c>
    </row>
    <row r="280" spans="1:8" x14ac:dyDescent="0.2">
      <c r="A280" t="str">
        <f>INDEX('ei names mapping'!$B$4:$R$33,MATCH($B$3,'ei names mapping'!$A$4:$A$33,0),MATCH(G280,'ei names mapping'!$B$3:$R$3,0))</f>
        <v>maintenance, bicycle</v>
      </c>
      <c r="B280" s="7">
        <f>INDEX('vehicles specifications'!$B$3:$CW$166,MATCH(B255,'vehicles specifications'!$A$3:$A$166,0),MATCH(G280,'vehicles specifications'!$B$2:$CW$2,0))*INDEX('ei names mapping'!$B$137:$BL$300,MATCH(B255,'ei names mapping'!$A$137:$A$300,0),MATCH(G280,'ei names mapping'!$B$136:$BL$136,0))</f>
        <v>6.666666666666667E-5</v>
      </c>
      <c r="C280" t="str">
        <f>INDEX('ei names mapping'!$B$38:$R$67,MATCH($B$3,'ei names mapping'!$A$4:$A$33,0),MATCH(G280,'ei names mapping'!$B$3:$R$3,0))</f>
        <v>CH</v>
      </c>
      <c r="D280" t="str">
        <f>INDEX('ei names mapping'!$B$104:$R$133,MATCH($B$3,'ei names mapping'!$A$4:$A$33,0),MATCH(G280,'ei names mapping'!$B$3:$R$3,0))</f>
        <v>unit</v>
      </c>
      <c r="F280" t="s">
        <v>89</v>
      </c>
      <c r="G280" t="s">
        <v>118</v>
      </c>
      <c r="H280" t="str">
        <f>INDEX('ei names mapping'!$B$71:$R$100,MATCH($B$3,'ei names mapping'!$A$4:$A$33,0),MATCH(G280,'ei names mapping'!$B$3:$R$3,0))</f>
        <v>maintenance, bicycle</v>
      </c>
    </row>
    <row r="281" spans="1:8" x14ac:dyDescent="0.2">
      <c r="A281" t="str">
        <f>INDEX('ei names mapping'!$B$4:$BL$33,MATCH($B$147,'ei names mapping'!$A$4:$A$33,0),MATCH(G281,'ei names mapping'!$B$3:$BL$3,0))</f>
        <v>treatment of road wear emissions, passenger car</v>
      </c>
      <c r="B281" s="7">
        <f>INDEX('vehicles specifications'!$B$3:$CW$166,MATCH(B255,'vehicles specifications'!$A$3:$A$166,0),MATCH(G281,'vehicles specifications'!$B$2:$CW$2,0))*INDEX('ei names mapping'!$B$137:$BL$300,MATCH(B255,'ei names mapping'!$A$137:$A$300,0),MATCH(G281,'ei names mapping'!$B$136:$BL$136,0))</f>
        <v>-3.7895563275420051E-6</v>
      </c>
      <c r="C281" t="str">
        <f>INDEX('ei names mapping'!$B$38:$BL$67,MATCH($B$147,'ei names mapping'!$A$4:$A$33,0),MATCH(G281,'ei names mapping'!$B$3:$BL$3,0))</f>
        <v>RER</v>
      </c>
      <c r="D281" t="str">
        <f>INDEX('ei names mapping'!$B$104:$BL$133,MATCH($B$147,'ei names mapping'!$A$4:$A$33,0),MATCH(G281,'ei names mapping'!$B$3:$BL$3,0))</f>
        <v>kilogram</v>
      </c>
      <c r="F281" t="s">
        <v>89</v>
      </c>
      <c r="G281" t="s">
        <v>29</v>
      </c>
      <c r="H281" t="str">
        <f>INDEX('ei names mapping'!$B$71:$BL$100,MATCH(B252,'ei names mapping'!$A$4:$A$33,0),MATCH(G281,'ei names mapping'!$B$3:$BL$3,0))</f>
        <v>road wear emissions, passenger car</v>
      </c>
    </row>
    <row r="282" spans="1:8" x14ac:dyDescent="0.2">
      <c r="A282" t="str">
        <f>INDEX('ei names mapping'!$B$4:$BL$33,MATCH($B$147,'ei names mapping'!$A$4:$A$33,0),MATCH(G282,'ei names mapping'!$B$3:$BL$3,0))</f>
        <v>treatment of tyre wear emissions, passenger car</v>
      </c>
      <c r="B282" s="7">
        <f>INDEX('vehicles specifications'!$B$3:$CW$166,MATCH(B255,'vehicles specifications'!$A$3:$A$166,0),MATCH(G282,'vehicles specifications'!$B$2:$CW$2,0))*INDEX('ei names mapping'!$B$137:$BL$300,MATCH(B255,'ei names mapping'!$A$137:$A$300,0),MATCH(G282,'ei names mapping'!$B$136:$BL$136,0))</f>
        <v>-3.6599161272458636E-6</v>
      </c>
      <c r="C282" t="str">
        <f>INDEX('ei names mapping'!$B$38:$BL$67,MATCH($B$147,'ei names mapping'!$A$4:$A$33,0),MATCH(G282,'ei names mapping'!$B$3:$BL$3,0))</f>
        <v>RER</v>
      </c>
      <c r="D282" t="str">
        <f>INDEX('ei names mapping'!$B$104:$BL$133,MATCH($B$147,'ei names mapping'!$A$4:$A$33,0),MATCH(G282,'ei names mapping'!$B$3:$BL$3,0))</f>
        <v>kilogram</v>
      </c>
      <c r="F282" t="s">
        <v>89</v>
      </c>
      <c r="G282" t="s">
        <v>30</v>
      </c>
      <c r="H282" t="str">
        <f>INDEX('ei names mapping'!$B$71:$BL$100,MATCH($B$147,'ei names mapping'!$A$4:$A$33,0),MATCH(G282,'ei names mapping'!$B$3:$BL$3,0))</f>
        <v>tyre wear emissions, passenger car</v>
      </c>
    </row>
    <row r="283" spans="1:8" x14ac:dyDescent="0.2">
      <c r="A283" t="str">
        <f>INDEX('ei names mapping'!$B$4:$BL$33,MATCH($B$147,'ei names mapping'!$A$4:$A$33,0),MATCH(G283,'ei names mapping'!$B$3:$BL$3,0))</f>
        <v>treatment of brake wear emissions, passenger car</v>
      </c>
      <c r="B283" s="7">
        <f>INDEX('vehicles specifications'!$B$3:$CW$166,MATCH(B255,'vehicles specifications'!$A$3:$A$166,0),MATCH(G283,'vehicles specifications'!$B$2:$CW$2,0))*INDEX('ei names mapping'!$B$137:$BL$300,MATCH(B255,'ei names mapping'!$A$137:$A$300,0),MATCH(G283,'ei names mapping'!$B$136:$BL$136,0))</f>
        <v>-3.4397328646650205E-6</v>
      </c>
      <c r="C283" t="str">
        <f>INDEX('ei names mapping'!$B$38:$BL$67,MATCH($B$147,'ei names mapping'!$A$4:$A$33,0),MATCH(G283,'ei names mapping'!$B$3:$BL$3,0))</f>
        <v>RER</v>
      </c>
      <c r="D283" t="str">
        <f>INDEX('ei names mapping'!$B$104:$BL$133,MATCH($B$147,'ei names mapping'!$A$4:$A$33,0),MATCH(G283,'ei names mapping'!$B$3:$BL$3,0))</f>
        <v>kilogram</v>
      </c>
      <c r="F283" t="s">
        <v>89</v>
      </c>
      <c r="G283" t="s">
        <v>31</v>
      </c>
      <c r="H283" t="str">
        <f>INDEX('ei names mapping'!$B$71:$BL$100,MATCH($B$147,'ei names mapping'!$A$4:$A$33,0),MATCH(G283,'ei names mapping'!$B$3:$BL$3,0))</f>
        <v>brake wear emissions, passenger car</v>
      </c>
    </row>
  </sheetData>
  <pageMargins left="0.7" right="0.7" top="0.75" bottom="0.75" header="0.3" footer="0.3"/>
  <pageSetup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332"/>
  <sheetViews>
    <sheetView topLeftCell="A316" workbookViewId="0">
      <selection activeCell="A345" sqref="A345"/>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(&lt;25 km/h), NMC battery, 2020</v>
      </c>
    </row>
    <row r="2" spans="1:2" x14ac:dyDescent="0.2">
      <c r="A2" t="s">
        <v>72</v>
      </c>
      <c r="B2" t="s">
        <v>37</v>
      </c>
    </row>
    <row r="3" spans="1:2" x14ac:dyDescent="0.2">
      <c r="A3" t="s">
        <v>86</v>
      </c>
      <c r="B3" t="s">
        <v>489</v>
      </c>
    </row>
    <row r="4" spans="1:2" x14ac:dyDescent="0.2">
      <c r="A4" t="s">
        <v>87</v>
      </c>
    </row>
    <row r="5" spans="1:2" x14ac:dyDescent="0.2">
      <c r="A5" t="s">
        <v>88</v>
      </c>
      <c r="B5">
        <v>2020</v>
      </c>
    </row>
    <row r="6" spans="1:2" x14ac:dyDescent="0.2">
      <c r="A6" t="s">
        <v>126</v>
      </c>
      <c r="B6" t="str">
        <f>B3&amp;" - "&amp;B5&amp;" - "&amp;B18&amp;" - "&amp;B2</f>
        <v>Bicycle, electric (&lt;25 km/h) - 2020 - NMC - CH</v>
      </c>
    </row>
    <row r="7" spans="1:2" x14ac:dyDescent="0.2">
      <c r="A7" t="s">
        <v>73</v>
      </c>
      <c r="B7" t="str">
        <f>B3</f>
        <v>Bicycle, electric (&lt;25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f>INDEX('vehicles specifications'!$B$3:$CW$166,MATCH(B6,'vehicles specifications'!$A$3:$A$166,0),MATCH("Curb mass [kg]",'vehicles specifications'!$B$2:$CW$2,0))</f>
        <v>23.25</v>
      </c>
    </row>
    <row r="17" spans="1:8" x14ac:dyDescent="0.2">
      <c r="A17" t="s">
        <v>133</v>
      </c>
      <c r="B17">
        <f>INDEX('vehicles specifications'!$B$3:$CW$166,MATCH(B6,'vehicles specifications'!$A$3:$A$166,0),MATCH("Power [kW]",'vehicles specifications'!$B$2:$CW$2,0))</f>
        <v>0.25</v>
      </c>
    </row>
    <row r="18" spans="1:8" x14ac:dyDescent="0.2">
      <c r="A18" t="s">
        <v>652</v>
      </c>
      <c r="B18" s="20" t="s">
        <v>43</v>
      </c>
    </row>
    <row r="19" spans="1:8" x14ac:dyDescent="0.2">
      <c r="A19" t="s">
        <v>134</v>
      </c>
      <c r="B19">
        <f>INDEX('vehicles specifications'!$B$3:$CW$166,MATCH(B6,'vehicles specifications'!$A$3:$A$166,0),MATCH("Energy battery mass [kg]",'vehicles specifications'!$B$2:$CW$2,0))</f>
        <v>3.25</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58.368978251949123</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(&lt;25 km/h), NMC battery, 2020</v>
      </c>
      <c r="B33">
        <v>1</v>
      </c>
      <c r="C33" t="str">
        <f>B2</f>
        <v>CH</v>
      </c>
      <c r="D33" t="str">
        <f>B9</f>
        <v>unit</v>
      </c>
      <c r="F33" t="s">
        <v>84</v>
      </c>
      <c r="G33" t="s">
        <v>85</v>
      </c>
      <c r="H33" t="str">
        <f>B3</f>
        <v>Bicycle, electric (&lt;25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0.94117647058823528</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tr">
        <f>INDEX('ei names mapping'!$B$4:$R$33,MATCH($B$3,'ei names mapping'!$A$4:$A$33,0),MATCH(G37,'ei names mapping'!$B$3:$R$3,0))</f>
        <v>Battery cell, NMC-622</v>
      </c>
      <c r="B37" s="4">
        <f>INDEX('vehicles specifications'!$B$3:$CW$166,MATCH(B6,'vehicles specifications'!$A$3:$A$166,0),MATCH(G37,'vehicles specifications'!$B$2:$CW$2,0))*INDEX('ei names mapping'!$B$137:$BL$300,MATCH(B6,'ei names mapping'!$A$137:$A$300,0),MATCH(G37,'ei names mapping'!$B$136:$BL$136,0))</f>
        <v>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-0.66666666666666663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-6.5</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23.25</v>
      </c>
      <c r="C43" t="s">
        <v>92</v>
      </c>
      <c r="D43" t="s">
        <v>233</v>
      </c>
      <c r="F43" t="s">
        <v>89</v>
      </c>
      <c r="H43" s="13" t="s">
        <v>841</v>
      </c>
    </row>
    <row r="44" spans="1:8" x14ac:dyDescent="0.2">
      <c r="A44" s="13" t="s">
        <v>441</v>
      </c>
      <c r="B44" s="2">
        <f>(B16/1000)*B28</f>
        <v>369.67500000000001</v>
      </c>
      <c r="C44" t="s">
        <v>95</v>
      </c>
      <c r="D44" t="s">
        <v>233</v>
      </c>
      <c r="F44" t="s">
        <v>89</v>
      </c>
      <c r="H44" s="13" t="s">
        <v>441</v>
      </c>
    </row>
    <row r="45" spans="1:8" x14ac:dyDescent="0.2">
      <c r="B45" s="11"/>
    </row>
    <row r="46" spans="1:8" ht="16" x14ac:dyDescent="0.2">
      <c r="A46" s="10" t="s">
        <v>71</v>
      </c>
      <c r="B46" s="8" t="str">
        <f>B48&amp;", "&amp;B63&amp;" battery, "&amp;B50</f>
        <v>Bicycle, electric (&lt;25 km/h), NMC battery, 2030</v>
      </c>
    </row>
    <row r="47" spans="1:8" x14ac:dyDescent="0.2">
      <c r="A47" t="s">
        <v>72</v>
      </c>
      <c r="B47" t="s">
        <v>37</v>
      </c>
    </row>
    <row r="48" spans="1:8" x14ac:dyDescent="0.2">
      <c r="A48" t="s">
        <v>86</v>
      </c>
      <c r="B48" t="s">
        <v>489</v>
      </c>
    </row>
    <row r="49" spans="1:2" x14ac:dyDescent="0.2">
      <c r="A49" t="s">
        <v>87</v>
      </c>
    </row>
    <row r="50" spans="1:2" x14ac:dyDescent="0.2">
      <c r="A50" t="s">
        <v>88</v>
      </c>
      <c r="B50">
        <v>2030</v>
      </c>
    </row>
    <row r="51" spans="1:2" x14ac:dyDescent="0.2">
      <c r="A51" t="s">
        <v>126</v>
      </c>
      <c r="B51" t="str">
        <f>B48&amp;" - "&amp;B50&amp;" - "&amp;B63&amp;" - "&amp;B47</f>
        <v>Bicycle, electric (&lt;25 km/h) - 2030 - NMC - CH</v>
      </c>
    </row>
    <row r="52" spans="1:2" x14ac:dyDescent="0.2">
      <c r="A52" t="s">
        <v>73</v>
      </c>
      <c r="B52" t="str">
        <f>B48</f>
        <v>Bicycle, electric (&lt;25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22.886666666666663</v>
      </c>
    </row>
    <row r="62" spans="1:2" x14ac:dyDescent="0.2">
      <c r="A62" t="s">
        <v>133</v>
      </c>
      <c r="B62">
        <f>INDEX('vehicles specifications'!$B$3:$CW$166,MATCH(B51,'vehicles specifications'!$A$3:$A$166,0),MATCH("Power [kW]",'vehicles specifications'!$B$2:$CW$2,0))</f>
        <v>0.25</v>
      </c>
    </row>
    <row r="63" spans="1:2" x14ac:dyDescent="0.2">
      <c r="A63" t="s">
        <v>652</v>
      </c>
      <c r="B63" s="20" t="s">
        <v>43</v>
      </c>
    </row>
    <row r="64" spans="1:2" x14ac:dyDescent="0.2">
      <c r="A64" t="s">
        <v>134</v>
      </c>
      <c r="B64">
        <f>INDEX('vehicles specifications'!$B$3:$CW$166,MATCH(B51,'vehicles specifications'!$A$3:$A$166,0),MATCH("Energy battery mass [kg]",'vehicles specifications'!$B$2:$CW$2,0))</f>
        <v>3.4666666666666668</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93.390365203118606</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(&lt;25 km/h), NMC battery, 2030</v>
      </c>
      <c r="B78">
        <v>1</v>
      </c>
      <c r="C78" t="str">
        <f>B47</f>
        <v>CH</v>
      </c>
      <c r="D78" t="str">
        <f>B54</f>
        <v>unit</v>
      </c>
      <c r="F78" t="s">
        <v>84</v>
      </c>
      <c r="G78" t="s">
        <v>85</v>
      </c>
      <c r="H78" t="str">
        <f>B48</f>
        <v>Bicycle, electric (&lt;25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0.94117647058823528</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0.48</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tr">
        <f>INDEX('ei names mapping'!$B$4:$R$33,MATCH($B$3,'ei names mapping'!$A$4:$A$33,0),MATCH(G82,'ei names mapping'!$B$3:$R$3,0))</f>
        <v>Battery cell, NMC-622</v>
      </c>
      <c r="B82" s="4">
        <f>INDEX('vehicles specifications'!$B$3:$CW$166,MATCH(B51,'vehicles specifications'!$A$3:$A$166,0),MATCH(G82,'vehicles specifications'!$B$2:$CW$2,0))*INDEX('ei names mapping'!$B$137:$BL$300,MATCH(B51,'ei names mapping'!$A$137:$A$300,0),MATCH(G82,'ei names mapping'!$B$136:$BL$136,0))</f>
        <v>4</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1.2000000000000002</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-0.64666666666666661</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-5.2</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22.886666666666663</v>
      </c>
      <c r="C88" t="s">
        <v>92</v>
      </c>
      <c r="D88" t="s">
        <v>233</v>
      </c>
      <c r="F88" t="s">
        <v>89</v>
      </c>
      <c r="H88" s="13" t="s">
        <v>841</v>
      </c>
    </row>
    <row r="89" spans="1:8" x14ac:dyDescent="0.2">
      <c r="A89" s="13" t="s">
        <v>441</v>
      </c>
      <c r="B89" s="2">
        <f>(B61/1000)*B73</f>
        <v>363.89799999999991</v>
      </c>
      <c r="C89" t="s">
        <v>95</v>
      </c>
      <c r="D89" t="s">
        <v>233</v>
      </c>
      <c r="F89" t="s">
        <v>89</v>
      </c>
      <c r="H89" s="13" t="s">
        <v>441</v>
      </c>
    </row>
    <row r="91" spans="1:8" ht="16" x14ac:dyDescent="0.2">
      <c r="A91" s="10" t="s">
        <v>71</v>
      </c>
      <c r="B91" s="8" t="str">
        <f>B93&amp;", "&amp;B108&amp;" battery, "&amp;B95</f>
        <v>Bicycle, electric (&lt;25 km/h), NMC battery, 2040</v>
      </c>
    </row>
    <row r="92" spans="1:8" x14ac:dyDescent="0.2">
      <c r="A92" t="s">
        <v>72</v>
      </c>
      <c r="B92" t="s">
        <v>37</v>
      </c>
    </row>
    <row r="93" spans="1:8" x14ac:dyDescent="0.2">
      <c r="A93" t="s">
        <v>86</v>
      </c>
      <c r="B93" t="s">
        <v>489</v>
      </c>
    </row>
    <row r="94" spans="1:8" x14ac:dyDescent="0.2">
      <c r="A94" t="s">
        <v>87</v>
      </c>
    </row>
    <row r="95" spans="1:8" x14ac:dyDescent="0.2">
      <c r="A95" t="s">
        <v>88</v>
      </c>
      <c r="B95">
        <v>2040</v>
      </c>
    </row>
    <row r="96" spans="1:8" x14ac:dyDescent="0.2">
      <c r="A96" t="s">
        <v>126</v>
      </c>
      <c r="B96" t="str">
        <f>B93&amp;" - "&amp;B95&amp;" - "&amp;B108&amp;" - "&amp;B92</f>
        <v>Bicycle, electric (&lt;25 km/h) - 2040 - NMC - CH</v>
      </c>
    </row>
    <row r="97" spans="1:2" x14ac:dyDescent="0.2">
      <c r="A97" t="s">
        <v>73</v>
      </c>
      <c r="B97" t="str">
        <f>B93</f>
        <v>Bicycle, electric (&lt;25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22.25</v>
      </c>
    </row>
    <row r="107" spans="1:2" x14ac:dyDescent="0.2">
      <c r="A107" t="s">
        <v>133</v>
      </c>
      <c r="B107">
        <f>INDEX('vehicles specifications'!$B$3:$CW$166,MATCH(B96,'vehicles specifications'!$A$3:$A$166,0),MATCH("Power [kW]",'vehicles specifications'!$B$2:$CW$2,0))</f>
        <v>0.25</v>
      </c>
    </row>
    <row r="108" spans="1:2" x14ac:dyDescent="0.2">
      <c r="A108" t="s">
        <v>652</v>
      </c>
      <c r="B108" s="20" t="s">
        <v>43</v>
      </c>
    </row>
    <row r="109" spans="1:2" x14ac:dyDescent="0.2">
      <c r="A109" t="s">
        <v>134</v>
      </c>
      <c r="B109">
        <f>INDEX('vehicles specifications'!$B$3:$CW$166,MATCH(B96,'vehicles specifications'!$A$3:$A$166,0),MATCH("Energy battery mass [kg]",'vehicles specifications'!$B$2:$CW$2,0))</f>
        <v>3.25</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116.73795650389825</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(&lt;25 km/h), NMC battery, 2040</v>
      </c>
      <c r="B123">
        <v>1</v>
      </c>
      <c r="C123" t="str">
        <f>B92</f>
        <v>CH</v>
      </c>
      <c r="D123" t="str">
        <f>B99</f>
        <v>unit</v>
      </c>
      <c r="F123" t="s">
        <v>84</v>
      </c>
      <c r="G123" t="s">
        <v>85</v>
      </c>
      <c r="H123" t="str">
        <f>B93</f>
        <v>Bicycle, electric (&lt;25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0.94117647058823528</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0.8</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tr">
        <f>INDEX('ei names mapping'!$B$4:$R$33,MATCH($B$3,'ei names mapping'!$A$4:$A$33,0),MATCH(G127,'ei names mapping'!$B$3:$R$3,0))</f>
        <v>Battery cell, NMC-622</v>
      </c>
      <c r="B127" s="4">
        <f>INDEX('vehicles specifications'!$B$3:$CW$166,MATCH(B96,'vehicles specifications'!$A$3:$A$166,0),MATCH(G127,'vehicles specifications'!$B$2:$CW$2,0))*INDEX('ei names mapping'!$B$137:$BL$300,MATCH(B96,'ei names mapping'!$A$137:$A$300,0),MATCH(G127,'ei names mapping'!$B$136:$BL$136,0))</f>
        <v>3.125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0.9375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-0.6333333333333333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-4.0625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22.25</v>
      </c>
      <c r="C133" t="s">
        <v>92</v>
      </c>
      <c r="D133" t="s">
        <v>233</v>
      </c>
      <c r="F133" t="s">
        <v>89</v>
      </c>
      <c r="H133" s="13" t="s">
        <v>841</v>
      </c>
    </row>
    <row r="134" spans="1:8" x14ac:dyDescent="0.2">
      <c r="A134" s="13" t="s">
        <v>441</v>
      </c>
      <c r="B134" s="2">
        <f>(B106/1000)*B118</f>
        <v>353.77499999999998</v>
      </c>
      <c r="C134" t="s">
        <v>95</v>
      </c>
      <c r="D134" t="s">
        <v>233</v>
      </c>
      <c r="F134" t="s">
        <v>89</v>
      </c>
      <c r="H134" s="13" t="s">
        <v>441</v>
      </c>
    </row>
    <row r="136" spans="1:8" ht="16" x14ac:dyDescent="0.2">
      <c r="A136" s="10" t="s">
        <v>71</v>
      </c>
      <c r="B136" s="8" t="str">
        <f>B138&amp;", "&amp;B153&amp;" battery, "&amp;B140</f>
        <v>Bicycle, electric (&lt;25 km/h), NMC battery, 2050</v>
      </c>
    </row>
    <row r="137" spans="1:8" x14ac:dyDescent="0.2">
      <c r="A137" t="s">
        <v>72</v>
      </c>
      <c r="B137" t="s">
        <v>37</v>
      </c>
    </row>
    <row r="138" spans="1:8" x14ac:dyDescent="0.2">
      <c r="A138" t="s">
        <v>86</v>
      </c>
      <c r="B138" t="s">
        <v>489</v>
      </c>
    </row>
    <row r="139" spans="1:8" x14ac:dyDescent="0.2">
      <c r="A139" t="s">
        <v>87</v>
      </c>
    </row>
    <row r="140" spans="1:8" x14ac:dyDescent="0.2">
      <c r="A140" t="s">
        <v>88</v>
      </c>
      <c r="B140">
        <v>2050</v>
      </c>
    </row>
    <row r="141" spans="1:8" x14ac:dyDescent="0.2">
      <c r="A141" t="s">
        <v>126</v>
      </c>
      <c r="B141" t="str">
        <f>B138&amp;" - "&amp;B140&amp;" - "&amp;B153&amp;" - "&amp;B137</f>
        <v>Bicycle, electric (&lt;25 km/h) - 2050 - NMC - CH</v>
      </c>
    </row>
    <row r="142" spans="1:8" x14ac:dyDescent="0.2">
      <c r="A142" t="s">
        <v>73</v>
      </c>
      <c r="B142" t="str">
        <f>B138</f>
        <v>Bicycle, electric (&lt;25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22.479999999999997</v>
      </c>
    </row>
    <row r="152" spans="1:2" x14ac:dyDescent="0.2">
      <c r="A152" t="s">
        <v>133</v>
      </c>
      <c r="B152">
        <f>INDEX('vehicles specifications'!$B$3:$CW$166,MATCH(B141,'vehicles specifications'!$A$3:$A$166,0),MATCH("Power [kW]",'vehicles specifications'!$B$2:$CW$2,0))</f>
        <v>0.25</v>
      </c>
    </row>
    <row r="153" spans="1:2" x14ac:dyDescent="0.2">
      <c r="A153" t="s">
        <v>652</v>
      </c>
      <c r="B153" s="20" t="s">
        <v>43</v>
      </c>
    </row>
    <row r="154" spans="1:2" x14ac:dyDescent="0.2">
      <c r="A154" t="s">
        <v>134</v>
      </c>
      <c r="B154">
        <f>INDEX('vehicles specifications'!$B$3:$CW$166,MATCH(B141,'vehicles specifications'!$A$3:$A$166,0),MATCH("Energy battery mass [kg]",'vehicles specifications'!$B$2:$CW$2,0))</f>
        <v>3.9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175.10693475584739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(&lt;25 km/h), NMC battery, 2050</v>
      </c>
      <c r="B168">
        <v>1</v>
      </c>
      <c r="C168" t="str">
        <f>B137</f>
        <v>CH</v>
      </c>
      <c r="D168" t="str">
        <f>B144</f>
        <v>unit</v>
      </c>
      <c r="F168" t="s">
        <v>84</v>
      </c>
      <c r="G168" t="s">
        <v>85</v>
      </c>
      <c r="H168" t="str">
        <f>B138</f>
        <v>Bicycle, electric (&lt;25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0.94117647058823528</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1.1200000000000001</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tr">
        <f>INDEX('ei names mapping'!$B$4:$R$33,MATCH($B$3,'ei names mapping'!$A$4:$A$33,0),MATCH(G172,'ei names mapping'!$B$3:$R$3,0))</f>
        <v>Battery cell, NMC-622</v>
      </c>
      <c r="B172" s="4">
        <f>INDEX('vehicles specifications'!$B$3:$CW$166,MATCH(B141,'vehicles specifications'!$A$3:$A$166,0),MATCH(G172,'vehicles specifications'!$B$2:$CW$2,0))*INDEX('ei names mapping'!$B$137:$BL$300,MATCH(B141,'ei names mapping'!$A$137:$A$300,0),MATCH(G172,'ei names mapping'!$B$136:$BL$136,0))</f>
        <v>3</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0.89999999999999991</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-0.61999999999999988</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-3.9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22.479999999999997</v>
      </c>
      <c r="C178" t="s">
        <v>92</v>
      </c>
      <c r="D178" t="s">
        <v>233</v>
      </c>
      <c r="F178" t="s">
        <v>89</v>
      </c>
      <c r="H178" s="13" t="s">
        <v>841</v>
      </c>
    </row>
    <row r="179" spans="1:8" x14ac:dyDescent="0.2">
      <c r="A179" s="13" t="s">
        <v>441</v>
      </c>
      <c r="B179" s="2">
        <f>(B151/1000)*B163</f>
        <v>357.43199999999996</v>
      </c>
      <c r="C179" t="s">
        <v>95</v>
      </c>
      <c r="D179" t="s">
        <v>233</v>
      </c>
      <c r="F179" t="s">
        <v>89</v>
      </c>
      <c r="H179" s="13" t="s">
        <v>441</v>
      </c>
    </row>
    <row r="182" spans="1:8" ht="16" x14ac:dyDescent="0.2">
      <c r="A182" s="10" t="s">
        <v>71</v>
      </c>
      <c r="B182" s="8" t="str">
        <f>"transport, "&amp;B184&amp;", "&amp;B199&amp;" battery, "&amp;B186</f>
        <v>transport, Bicycle, electric (&lt;25 km/h), NMC battery, 2020</v>
      </c>
    </row>
    <row r="183" spans="1:8" x14ac:dyDescent="0.2">
      <c r="A183" t="s">
        <v>72</v>
      </c>
      <c r="B183" t="s">
        <v>37</v>
      </c>
    </row>
    <row r="184" spans="1:8" x14ac:dyDescent="0.2">
      <c r="A184" t="s">
        <v>86</v>
      </c>
      <c r="B184" t="s">
        <v>489</v>
      </c>
    </row>
    <row r="185" spans="1:8" x14ac:dyDescent="0.2">
      <c r="A185" t="s">
        <v>87</v>
      </c>
    </row>
    <row r="186" spans="1:8" x14ac:dyDescent="0.2">
      <c r="A186" t="s">
        <v>88</v>
      </c>
      <c r="B186">
        <v>2020</v>
      </c>
    </row>
    <row r="187" spans="1:8" x14ac:dyDescent="0.2">
      <c r="A187" t="s">
        <v>126</v>
      </c>
      <c r="B187" t="str">
        <f>B184&amp;" - "&amp;B186&amp;" - "&amp;B199&amp;" - "&amp;B183</f>
        <v>Bicycle, electric (&lt;25 km/h) - 2020 - NMC - CH</v>
      </c>
    </row>
    <row r="188" spans="1:8" x14ac:dyDescent="0.2">
      <c r="A188" t="s">
        <v>73</v>
      </c>
      <c r="B188" t="str">
        <f>"transport, "&amp;B184</f>
        <v>transport, Bicycle, electric (&lt;25 km/h)</v>
      </c>
    </row>
    <row r="189" spans="1:8" x14ac:dyDescent="0.2">
      <c r="A189" t="s">
        <v>74</v>
      </c>
      <c r="B189" t="s">
        <v>75</v>
      </c>
    </row>
    <row r="190" spans="1:8" x14ac:dyDescent="0.2">
      <c r="A190" t="s">
        <v>76</v>
      </c>
      <c r="B190" t="s">
        <v>166</v>
      </c>
    </row>
    <row r="191" spans="1:8" x14ac:dyDescent="0.2">
      <c r="A191" t="s">
        <v>78</v>
      </c>
      <c r="B191" t="s">
        <v>1143</v>
      </c>
    </row>
    <row r="192" spans="1:8" x14ac:dyDescent="0.2">
      <c r="A192" t="s">
        <v>127</v>
      </c>
      <c r="B192">
        <f>INDEX('vehicles specifications'!$B$3:$CW$166,MATCH(B187,'vehicles specifications'!$A$3:$A$166,0),MATCH("Lifetime [km]",'vehicles specifications'!$B$2:$CW$2,0))</f>
        <v>20000</v>
      </c>
    </row>
    <row r="193" spans="1:2" x14ac:dyDescent="0.2">
      <c r="A193" t="s">
        <v>128</v>
      </c>
      <c r="B193">
        <f>INDEX('vehicles specifications'!$B$3:$CW$166,MATCH(B187,'vehicles specifications'!$A$3:$A$166,0),MATCH("Passengers [unit]",'vehicles specifications'!$B$2:$CW$2,0))</f>
        <v>1</v>
      </c>
    </row>
    <row r="194" spans="1:2" x14ac:dyDescent="0.2">
      <c r="A194" t="s">
        <v>129</v>
      </c>
      <c r="B194">
        <f>INDEX('vehicles specifications'!$B$3:$CW$166,MATCH(B187,'vehicles specifications'!$A$3:$A$166,0),MATCH("Servicing [unit]",'vehicles specifications'!$B$2:$CW$2,0))</f>
        <v>1.3333333333333333</v>
      </c>
    </row>
    <row r="195" spans="1:2" x14ac:dyDescent="0.2">
      <c r="A195" t="s">
        <v>130</v>
      </c>
      <c r="B195">
        <f>INDEX('vehicles specifications'!$B$3:$CW$166,MATCH(B187,'vehicles specifications'!$A$3:$A$166,0),MATCH("Energy battery replacement [unit]",'vehicles specifications'!$B$2:$CW$2,0))</f>
        <v>1</v>
      </c>
    </row>
    <row r="196" spans="1:2" x14ac:dyDescent="0.2">
      <c r="A196" t="s">
        <v>131</v>
      </c>
      <c r="B196">
        <f>INDEX('vehicles specifications'!$B$3:$CW$166,MATCH(B187,'vehicles specifications'!$A$3:$A$166,0),MATCH("Annual kilometers [km]",'vehicles specifications'!$B$2:$CW$2,0))</f>
        <v>2000</v>
      </c>
    </row>
    <row r="197" spans="1:2" x14ac:dyDescent="0.2">
      <c r="A197" t="s">
        <v>132</v>
      </c>
      <c r="B197">
        <f>INDEX('vehicles specifications'!$B$3:$CW$166,MATCH(B187,'vehicles specifications'!$A$3:$A$166,0),MATCH("Curb mass [kg]",'vehicles specifications'!$B$2:$CW$2,0))</f>
        <v>23.25</v>
      </c>
    </row>
    <row r="198" spans="1:2" x14ac:dyDescent="0.2">
      <c r="A198" t="s">
        <v>133</v>
      </c>
      <c r="B198">
        <f>INDEX('vehicles specifications'!$B$3:$CW$166,MATCH(B187,'vehicles specifications'!$A$3:$A$166,0),MATCH("Power [kW]",'vehicles specifications'!$B$2:$CW$2,0))</f>
        <v>0.25</v>
      </c>
    </row>
    <row r="199" spans="1:2" x14ac:dyDescent="0.2">
      <c r="A199" t="s">
        <v>652</v>
      </c>
      <c r="B199" s="20" t="s">
        <v>43</v>
      </c>
    </row>
    <row r="200" spans="1:2" x14ac:dyDescent="0.2">
      <c r="A200" t="s">
        <v>134</v>
      </c>
      <c r="B200">
        <f>INDEX('vehicles specifications'!$B$3:$CW$166,MATCH(B187,'vehicles specifications'!$A$3:$A$166,0),MATCH("Energy battery mass [kg]",'vehicles specifications'!$B$2:$CW$2,0))</f>
        <v>3.25</v>
      </c>
    </row>
    <row r="201" spans="1:2" x14ac:dyDescent="0.2">
      <c r="A201" t="s">
        <v>135</v>
      </c>
      <c r="B201">
        <f>INDEX('vehicles specifications'!$B$3:$CW$166,MATCH(B187,'vehicles specifications'!$A$3:$A$166,0),MATCH("Electric energy stored [kWh]",'vehicles specifications'!$B$2:$CW$2,0))</f>
        <v>0.5</v>
      </c>
    </row>
    <row r="202" spans="1:2" x14ac:dyDescent="0.2">
      <c r="A202" t="s">
        <v>588</v>
      </c>
      <c r="B202">
        <f>INDEX('vehicles specifications'!$B$3:$CW$166,MATCH(B187,'vehicles specifications'!$A$3:$A$166,0),MATCH("Electric energy available [kWh]",'vehicles specifications'!$B$2:$CW$2,0))</f>
        <v>0.4</v>
      </c>
    </row>
    <row r="203" spans="1:2" x14ac:dyDescent="0.2">
      <c r="A203" t="s">
        <v>138</v>
      </c>
      <c r="B203">
        <f>INDEX('vehicles specifications'!$B$3:$CW$166,MATCH(B187,'vehicles specifications'!$A$3:$A$166,0),MATCH("Oxydation energy stored [kWh]",'vehicles specifications'!$B$2:$CW$2,0))</f>
        <v>0</v>
      </c>
    </row>
    <row r="204" spans="1:2" x14ac:dyDescent="0.2">
      <c r="A204" t="s">
        <v>139</v>
      </c>
      <c r="B204">
        <f>INDEX('vehicles specifications'!$B$3:$CW$166,MATCH(B187,'vehicles specifications'!$A$3:$A$166,0),MATCH("Fuel mass [kg]",'vehicles specifications'!$B$2:$CW$2,0))</f>
        <v>0</v>
      </c>
    </row>
    <row r="205" spans="1:2" x14ac:dyDescent="0.2">
      <c r="A205" t="s">
        <v>136</v>
      </c>
      <c r="B205" s="2">
        <f>INDEX('vehicles specifications'!$B$3:$CW$166,MATCH(B187,'vehicles specifications'!$A$3:$A$166,0),MATCH("Range [km]",'vehicles specifications'!$B$2:$CW$2,0))</f>
        <v>58.368978251949123</v>
      </c>
    </row>
    <row r="206" spans="1:2" x14ac:dyDescent="0.2">
      <c r="A206" t="s">
        <v>137</v>
      </c>
      <c r="B206" t="str">
        <f>INDEX('vehicles specifications'!$B$3:$CW$166,MATCH(B187,'vehicles specifications'!$A$3:$A$166,0),MATCH("Emission standard",'vehicles specifications'!$B$2:$CW$2,0))</f>
        <v>None</v>
      </c>
    </row>
    <row r="207" spans="1:2" x14ac:dyDescent="0.2">
      <c r="A207" t="s">
        <v>1174</v>
      </c>
      <c r="B207" s="6">
        <f>INDEX('vehicles specifications'!$B$3:$CW$166,MATCH(B187,'vehicles specifications'!$A$3:$A$166,0),MATCH("Lightweighting rate [%]",'vehicles specifications'!$B$2:$CW$2,0))</f>
        <v>0</v>
      </c>
    </row>
    <row r="208" spans="1:2" x14ac:dyDescent="0.2">
      <c r="A208" t="s">
        <v>83</v>
      </c>
      <c r="B208"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6" x14ac:dyDescent="0.2">
      <c r="A209" s="10" t="s">
        <v>79</v>
      </c>
    </row>
    <row r="210" spans="1:8" x14ac:dyDescent="0.2">
      <c r="A210" t="s">
        <v>80</v>
      </c>
      <c r="B210" t="s">
        <v>81</v>
      </c>
      <c r="C210" t="s">
        <v>72</v>
      </c>
      <c r="D210" t="s">
        <v>76</v>
      </c>
      <c r="E210" t="s">
        <v>82</v>
      </c>
      <c r="F210" t="s">
        <v>74</v>
      </c>
      <c r="G210" t="s">
        <v>83</v>
      </c>
      <c r="H210" t="s">
        <v>73</v>
      </c>
    </row>
    <row r="211" spans="1:8" x14ac:dyDescent="0.2">
      <c r="A211" t="str">
        <f>B182</f>
        <v>transport, Bicycle, electric (&lt;25 km/h), NMC battery, 2020</v>
      </c>
      <c r="B211">
        <v>1</v>
      </c>
      <c r="C211" t="str">
        <f>B183</f>
        <v>CH</v>
      </c>
      <c r="D211" t="s">
        <v>166</v>
      </c>
      <c r="F211" t="s">
        <v>84</v>
      </c>
      <c r="G211" t="s">
        <v>85</v>
      </c>
      <c r="H211" t="str">
        <f>B188</f>
        <v>transport, Bicycle, electric (&lt;25 km/h)</v>
      </c>
    </row>
    <row r="212" spans="1:8" x14ac:dyDescent="0.2">
      <c r="A212" t="str">
        <f>RIGHT(A211,LEN(A211)-11)</f>
        <v>Bicycle, electric (&lt;25 km/h), NMC battery, 2020</v>
      </c>
      <c r="B212" s="7">
        <f>1/B192</f>
        <v>5.0000000000000002E-5</v>
      </c>
      <c r="C212" t="str">
        <f>B183</f>
        <v>CH</v>
      </c>
      <c r="D212" t="s">
        <v>76</v>
      </c>
      <c r="F212" t="s">
        <v>89</v>
      </c>
      <c r="H212" t="str">
        <f>RIGHT(H211,LEN(H211)-11)</f>
        <v>Bicycle, electric (&lt;25 km/h)</v>
      </c>
    </row>
    <row r="213" spans="1:8" x14ac:dyDescent="0.2">
      <c r="A213" t="str">
        <f>INDEX('ei names mapping'!$B$4:$R$33,MATCH(B184,'ei names mapping'!$A$4:$A$33,0),MATCH(G213,'ei names mapping'!$B$3:$R$3,0))</f>
        <v>road construction</v>
      </c>
      <c r="B213" s="7">
        <f>INDEX('vehicles specifications'!$B$3:$CW$166,MATCH(B187,'vehicles specifications'!$A$3:$A$166,0),MATCH(G213,'vehicles specifications'!$B$2:$CW$2,0))*INDEX('ei names mapping'!$B$137:$BL$300,MATCH(B187,'ei names mapping'!$A$137:$A$300,0),MATCH(G213,'ei names mapping'!$B$136:$BL$136,0))</f>
        <v>5.3297249999999999E-5</v>
      </c>
      <c r="C213" t="str">
        <f>INDEX('ei names mapping'!$B$38:$R$67,MATCH(B184,'ei names mapping'!$A$4:$A$33,0),MATCH(G213,'ei names mapping'!$B$3:$R$3,0))</f>
        <v>CH</v>
      </c>
      <c r="D213" t="str">
        <f>INDEX('ei names mapping'!$B$104:$BL$133,MATCH(B184,'ei names mapping'!$A$4:$A$33,0),MATCH(G213,'ei names mapping'!$B$3:$BL$3,0))</f>
        <v>meter-year</v>
      </c>
      <c r="F213" t="s">
        <v>89</v>
      </c>
      <c r="G213" t="s">
        <v>105</v>
      </c>
      <c r="H213" t="str">
        <f>INDEX('ei names mapping'!$B$71:$BL$100,MATCH(B184,'ei names mapping'!$A$4:$A$33,0),MATCH(G213,'ei names mapping'!$B$3:$BL$3,0))</f>
        <v>road</v>
      </c>
    </row>
    <row r="214" spans="1:8" x14ac:dyDescent="0.2">
      <c r="A214" t="str">
        <f>INDEX('ei names mapping'!$B$4:$R$33,MATCH($B$3,'ei names mapping'!$A$4:$A$33,0),MATCH(G214,'ei names mapping'!$B$3:$R$3,0))</f>
        <v>market for electricity, low voltage</v>
      </c>
      <c r="B214" s="7">
        <f>INDEX('vehicles specifications'!$B$3:$CW$166,MATCH(B187,'vehicles specifications'!$A$3:$A$166,0),MATCH(G214,'vehicles specifications'!$B$2:$CW$2,0))*INDEX('ei names mapping'!$B$137:$BL$300,MATCH(B187,'ei names mapping'!$A$137:$A$300,0),MATCH(G214,'ei names mapping'!$B$136:$BL$136,0))</f>
        <v>7.5382508513468297E-3</v>
      </c>
      <c r="C214" t="str">
        <f>INDEX('ei names mapping'!$B$38:$R$67,MATCH($B$3,'ei names mapping'!$A$4:$A$33,0),MATCH(G214,'ei names mapping'!$B$3:$R$3,0))</f>
        <v>CH</v>
      </c>
      <c r="D214" t="str">
        <f>INDEX('ei names mapping'!$B$104:$R$133,MATCH($B$3,'ei names mapping'!$A$4:$A$33,0),MATCH(G214,'ei names mapping'!$B$3:$R$3,0))</f>
        <v>kilowatt hour</v>
      </c>
      <c r="F214" t="s">
        <v>89</v>
      </c>
      <c r="G214" t="s">
        <v>28</v>
      </c>
      <c r="H214" t="str">
        <f>INDEX('ei names mapping'!$B$71:$R$100,MATCH($B$3,'ei names mapping'!$A$4:$A$33,0),MATCH(G214,'ei names mapping'!$B$3:$R$3,0))</f>
        <v>electricity, low voltage</v>
      </c>
    </row>
    <row r="215" spans="1:8" x14ac:dyDescent="0.2">
      <c r="A215" t="str">
        <f>INDEX('ei names mapping'!$B$4:$R$33,MATCH($B$3,'ei names mapping'!$A$4:$A$33,0),MATCH(G215,'ei names mapping'!$B$3:$R$3,0))</f>
        <v>maintenance, electric bicycle, without battery</v>
      </c>
      <c r="B215" s="7">
        <f>INDEX('vehicles specifications'!$B$3:$CW$166,MATCH(B187,'vehicles specifications'!$A$3:$A$166,0),MATCH(G215,'vehicles specifications'!$B$2:$CW$2,0))*INDEX('ei names mapping'!$B$137:$BL$300,MATCH(B187,'ei names mapping'!$A$137:$A$300,0),MATCH(G215,'ei names mapping'!$B$136:$BL$136,0))</f>
        <v>6.666666666666667E-5</v>
      </c>
      <c r="C215" t="str">
        <f>INDEX('ei names mapping'!$B$38:$R$67,MATCH($B$3,'ei names mapping'!$A$4:$A$33,0),MATCH(G215,'ei names mapping'!$B$3:$R$3,0))</f>
        <v>CH</v>
      </c>
      <c r="D215" t="str">
        <f>INDEX('ei names mapping'!$B$104:$R$133,MATCH($B$3,'ei names mapping'!$A$4:$A$33,0),MATCH(G215,'ei names mapping'!$B$3:$R$3,0))</f>
        <v>unit</v>
      </c>
      <c r="F215" t="s">
        <v>89</v>
      </c>
      <c r="G215" t="s">
        <v>118</v>
      </c>
      <c r="H215" t="str">
        <f>INDEX('ei names mapping'!$B$71:$R$100,MATCH($B$3,'ei names mapping'!$A$4:$A$33,0),MATCH(G215,'ei names mapping'!$B$3:$R$3,0))</f>
        <v>maintenance, electric bicycle, without battery</v>
      </c>
    </row>
    <row r="216" spans="1:8" x14ac:dyDescent="0.2">
      <c r="A216" t="str">
        <f>INDEX('ei names mapping'!$B$4:$BL$33,MATCH($B$184,'ei names mapping'!$A$4:$A$33,0),MATCH(G216,'ei names mapping'!$B$3:$BL$3,0))</f>
        <v>treatment of road wear emissions, passenger car</v>
      </c>
      <c r="B216" s="7">
        <f>INDEX('vehicles specifications'!$B$3:$CW$166,MATCH(B187,'vehicles specifications'!$A$3:$A$166,0),MATCH(G216,'vehicles specifications'!$B$2:$CW$2,0))*INDEX('ei names mapping'!$B$137:$BL$300,MATCH(B187,'ei names mapping'!$A$137:$A$300,0),MATCH(G216,'ei names mapping'!$B$136:$BL$136,0))</f>
        <v>-4.1946004585487268E-6</v>
      </c>
      <c r="C216" t="str">
        <f>INDEX('ei names mapping'!$B$38:$BL$67,MATCH($B$184,'ei names mapping'!$A$4:$A$33,0),MATCH(G216,'ei names mapping'!$B$3:$BL$3,0))</f>
        <v>RER</v>
      </c>
      <c r="D216" t="str">
        <f>INDEX('ei names mapping'!$B$104:$BL$133,MATCH($B$184,'ei names mapping'!$A$4:$A$33,0),MATCH(G216,'ei names mapping'!$B$3:$BL$3,0))</f>
        <v>kilogram</v>
      </c>
      <c r="F216" t="s">
        <v>89</v>
      </c>
      <c r="G216" t="s">
        <v>29</v>
      </c>
      <c r="H216" t="str">
        <f>INDEX('ei names mapping'!$B$71:$BL$100,MATCH(B184,'ei names mapping'!$A$4:$A$33,0),MATCH(G216,'ei names mapping'!$B$3:$BL$3,0))</f>
        <v>road wear emissions, passenger car</v>
      </c>
    </row>
    <row r="217" spans="1:8" x14ac:dyDescent="0.2">
      <c r="A217" t="str">
        <f>INDEX('ei names mapping'!$B$4:$BL$33,MATCH($B$184,'ei names mapping'!$A$4:$A$33,0),MATCH(G217,'ei names mapping'!$B$3:$BL$3,0))</f>
        <v>treatment of tyre wear emissions, passenger car</v>
      </c>
      <c r="B217" s="7">
        <f>INDEX('vehicles specifications'!$B$3:$CW$166,MATCH(B187,'vehicles specifications'!$A$3:$A$166,0),MATCH(G217,'vehicles specifications'!$B$2:$CW$2,0))*INDEX('ei names mapping'!$B$137:$BL$300,MATCH(B187,'ei names mapping'!$A$137:$A$300,0),MATCH(G217,'ei names mapping'!$B$136:$BL$136,0))</f>
        <v>-4.1336328964445005E-6</v>
      </c>
      <c r="C217" t="str">
        <f>INDEX('ei names mapping'!$B$38:$BL$67,MATCH($B$184,'ei names mapping'!$A$4:$A$33,0),MATCH(G217,'ei names mapping'!$B$3:$BL$3,0))</f>
        <v>RER</v>
      </c>
      <c r="D217" t="str">
        <f>INDEX('ei names mapping'!$B$104:$BL$133,MATCH($B$184,'ei names mapping'!$A$4:$A$33,0),MATCH(G217,'ei names mapping'!$B$3:$BL$3,0))</f>
        <v>kilogram</v>
      </c>
      <c r="F217" t="s">
        <v>89</v>
      </c>
      <c r="G217" t="s">
        <v>30</v>
      </c>
      <c r="H217" t="str">
        <f>INDEX('ei names mapping'!$B$71:$BL$100,MATCH($B$184,'ei names mapping'!$A$4:$A$33,0),MATCH(G217,'ei names mapping'!$B$3:$BL$3,0))</f>
        <v>tyre wear emissions, passenger car</v>
      </c>
    </row>
    <row r="218" spans="1:8" x14ac:dyDescent="0.2">
      <c r="A218" t="str">
        <f>INDEX('ei names mapping'!$B$4:$BL$33,MATCH($B$184,'ei names mapping'!$A$4:$A$33,0),MATCH(G218,'ei names mapping'!$B$3:$BL$3,0))</f>
        <v>treatment of brake wear emissions, passenger car</v>
      </c>
      <c r="B218" s="7">
        <f>INDEX('vehicles specifications'!$B$3:$CW$166,MATCH(B187,'vehicles specifications'!$A$3:$A$166,0),MATCH(G218,'vehicles specifications'!$B$2:$CW$2,0))*INDEX('ei names mapping'!$B$137:$BL$300,MATCH(B187,'ei names mapping'!$A$137:$A$300,0),MATCH(G218,'ei names mapping'!$B$136:$BL$136,0))</f>
        <v>-3.8410985523805933E-6</v>
      </c>
      <c r="C218" t="str">
        <f>INDEX('ei names mapping'!$B$38:$BL$67,MATCH($B$184,'ei names mapping'!$A$4:$A$33,0),MATCH(G218,'ei names mapping'!$B$3:$BL$3,0))</f>
        <v>RER</v>
      </c>
      <c r="D218" t="str">
        <f>INDEX('ei names mapping'!$B$104:$BL$133,MATCH($B$184,'ei names mapping'!$A$4:$A$33,0),MATCH(G218,'ei names mapping'!$B$3:$BL$3,0))</f>
        <v>kilogram</v>
      </c>
      <c r="F218" t="s">
        <v>89</v>
      </c>
      <c r="G218" t="s">
        <v>31</v>
      </c>
      <c r="H218" t="str">
        <f>INDEX('ei names mapping'!$B$71:$BL$100,MATCH($B$184,'ei names mapping'!$A$4:$A$33,0),MATCH(G218,'ei names mapping'!$B$3:$BL$3,0))</f>
        <v>brake wear emissions, passenger car</v>
      </c>
    </row>
    <row r="220" spans="1:8" ht="16" x14ac:dyDescent="0.2">
      <c r="A220" s="10" t="s">
        <v>71</v>
      </c>
      <c r="B220" s="8" t="str">
        <f>"transport, "&amp;B222&amp;", "&amp;B237&amp;" battery, "&amp;B224</f>
        <v>transport, Bicycle, electric (&lt;25 km/h), NMC battery, 2030</v>
      </c>
    </row>
    <row r="221" spans="1:8" x14ac:dyDescent="0.2">
      <c r="A221" t="s">
        <v>72</v>
      </c>
      <c r="B221" t="s">
        <v>37</v>
      </c>
    </row>
    <row r="222" spans="1:8" x14ac:dyDescent="0.2">
      <c r="A222" t="s">
        <v>86</v>
      </c>
      <c r="B222" t="s">
        <v>489</v>
      </c>
    </row>
    <row r="223" spans="1:8" x14ac:dyDescent="0.2">
      <c r="A223" t="s">
        <v>87</v>
      </c>
    </row>
    <row r="224" spans="1:8" x14ac:dyDescent="0.2">
      <c r="A224" t="s">
        <v>88</v>
      </c>
      <c r="B224">
        <v>2030</v>
      </c>
    </row>
    <row r="225" spans="1:2" x14ac:dyDescent="0.2">
      <c r="A225" t="s">
        <v>126</v>
      </c>
      <c r="B225" t="str">
        <f>B222&amp;" - "&amp;B224&amp;" - "&amp;B237&amp;" - "&amp;B221</f>
        <v>Bicycle, electric (&lt;25 km/h) - 2030 - NMC - CH</v>
      </c>
    </row>
    <row r="226" spans="1:2" x14ac:dyDescent="0.2">
      <c r="A226" t="s">
        <v>73</v>
      </c>
      <c r="B226" t="str">
        <f>"transport, "&amp;B222</f>
        <v>transport, Bicycle, electric (&lt;25 km/h)</v>
      </c>
    </row>
    <row r="227" spans="1:2" x14ac:dyDescent="0.2">
      <c r="A227" t="s">
        <v>74</v>
      </c>
      <c r="B227" t="s">
        <v>75</v>
      </c>
    </row>
    <row r="228" spans="1:2" x14ac:dyDescent="0.2">
      <c r="A228" t="s">
        <v>76</v>
      </c>
      <c r="B228" t="s">
        <v>166</v>
      </c>
    </row>
    <row r="229" spans="1:2" x14ac:dyDescent="0.2">
      <c r="A229" t="s">
        <v>78</v>
      </c>
      <c r="B229" t="s">
        <v>1143</v>
      </c>
    </row>
    <row r="230" spans="1:2" x14ac:dyDescent="0.2">
      <c r="A230" t="s">
        <v>127</v>
      </c>
      <c r="B230">
        <f>INDEX('vehicles specifications'!$B$3:$CW$166,MATCH(B225,'vehicles specifications'!$A$3:$A$166,0),MATCH("Lifetime [km]",'vehicles specifications'!$B$2:$CW$2,0))</f>
        <v>20000</v>
      </c>
    </row>
    <row r="231" spans="1:2" x14ac:dyDescent="0.2">
      <c r="A231" t="s">
        <v>128</v>
      </c>
      <c r="B231">
        <f>INDEX('vehicles specifications'!$B$3:$CW$166,MATCH(B225,'vehicles specifications'!$A$3:$A$166,0),MATCH("Passengers [unit]",'vehicles specifications'!$B$2:$CW$2,0))</f>
        <v>1</v>
      </c>
    </row>
    <row r="232" spans="1:2" x14ac:dyDescent="0.2">
      <c r="A232" t="s">
        <v>129</v>
      </c>
      <c r="B232">
        <f>INDEX('vehicles specifications'!$B$3:$CW$166,MATCH(B225,'vehicles specifications'!$A$3:$A$166,0),MATCH("Servicing [unit]",'vehicles specifications'!$B$2:$CW$2,0))</f>
        <v>1.3333333333333333</v>
      </c>
    </row>
    <row r="233" spans="1:2" x14ac:dyDescent="0.2">
      <c r="A233" t="s">
        <v>130</v>
      </c>
      <c r="B233">
        <f>INDEX('vehicles specifications'!$B$3:$CW$166,MATCH(B225,'vehicles specifications'!$A$3:$A$166,0),MATCH("Energy battery replacement [unit]",'vehicles specifications'!$B$2:$CW$2,0))</f>
        <v>0.5</v>
      </c>
    </row>
    <row r="234" spans="1:2" x14ac:dyDescent="0.2">
      <c r="A234" t="s">
        <v>131</v>
      </c>
      <c r="B234">
        <f>INDEX('vehicles specifications'!$B$3:$CW$166,MATCH(B225,'vehicles specifications'!$A$3:$A$166,0),MATCH("Annual kilometers [km]",'vehicles specifications'!$B$2:$CW$2,0))</f>
        <v>2000</v>
      </c>
    </row>
    <row r="235" spans="1:2" x14ac:dyDescent="0.2">
      <c r="A235" t="s">
        <v>132</v>
      </c>
      <c r="B235">
        <f>INDEX('vehicles specifications'!$B$3:$CW$166,MATCH(B225,'vehicles specifications'!$A$3:$A$166,0),MATCH("Curb mass [kg]",'vehicles specifications'!$B$2:$CW$2,0))</f>
        <v>22.886666666666663</v>
      </c>
    </row>
    <row r="236" spans="1:2" x14ac:dyDescent="0.2">
      <c r="A236" t="s">
        <v>133</v>
      </c>
      <c r="B236">
        <f>INDEX('vehicles specifications'!$B$3:$CW$166,MATCH(B225,'vehicles specifications'!$A$3:$A$166,0),MATCH("Power [kW]",'vehicles specifications'!$B$2:$CW$2,0))</f>
        <v>0.25</v>
      </c>
    </row>
    <row r="237" spans="1:2" x14ac:dyDescent="0.2">
      <c r="A237" t="s">
        <v>652</v>
      </c>
      <c r="B237" s="20" t="s">
        <v>43</v>
      </c>
    </row>
    <row r="238" spans="1:2" x14ac:dyDescent="0.2">
      <c r="A238" t="s">
        <v>134</v>
      </c>
      <c r="B238">
        <f>INDEX('vehicles specifications'!$B$3:$CW$166,MATCH(B225,'vehicles specifications'!$A$3:$A$166,0),MATCH("Energy battery mass [kg]",'vehicles specifications'!$B$2:$CW$2,0))</f>
        <v>3.4666666666666668</v>
      </c>
    </row>
    <row r="239" spans="1:2" x14ac:dyDescent="0.2">
      <c r="A239" t="s">
        <v>135</v>
      </c>
      <c r="B239">
        <f>INDEX('vehicles specifications'!$B$3:$CW$166,MATCH(B225,'vehicles specifications'!$A$3:$A$166,0),MATCH("Electric energy stored [kWh]",'vehicles specifications'!$B$2:$CW$2,0))</f>
        <v>0.8</v>
      </c>
    </row>
    <row r="240" spans="1:2" x14ac:dyDescent="0.2">
      <c r="A240" t="s">
        <v>588</v>
      </c>
      <c r="B240">
        <f>INDEX('vehicles specifications'!$B$3:$CW$166,MATCH(B225,'vehicles specifications'!$A$3:$A$166,0),MATCH("Electric energy available [kWh]",'vehicles specifications'!$B$2:$CW$2,0))</f>
        <v>0.64000000000000012</v>
      </c>
    </row>
    <row r="241" spans="1:8" x14ac:dyDescent="0.2">
      <c r="A241" t="s">
        <v>138</v>
      </c>
      <c r="B241">
        <f>INDEX('vehicles specifications'!$B$3:$CW$166,MATCH(B225,'vehicles specifications'!$A$3:$A$166,0),MATCH("Oxydation energy stored [kWh]",'vehicles specifications'!$B$2:$CW$2,0))</f>
        <v>0</v>
      </c>
    </row>
    <row r="242" spans="1:8" x14ac:dyDescent="0.2">
      <c r="A242" t="s">
        <v>139</v>
      </c>
      <c r="B242">
        <f>INDEX('vehicles specifications'!$B$3:$CW$166,MATCH(B225,'vehicles specifications'!$A$3:$A$166,0),MATCH("Fuel mass [kg]",'vehicles specifications'!$B$2:$CW$2,0))</f>
        <v>0</v>
      </c>
    </row>
    <row r="243" spans="1:8" x14ac:dyDescent="0.2">
      <c r="A243" t="s">
        <v>136</v>
      </c>
      <c r="B243" s="2">
        <f>INDEX('vehicles specifications'!$B$3:$CW$166,MATCH(B225,'vehicles specifications'!$A$3:$A$166,0),MATCH("Range [km]",'vehicles specifications'!$B$2:$CW$2,0))</f>
        <v>93.390365203118606</v>
      </c>
    </row>
    <row r="244" spans="1:8" x14ac:dyDescent="0.2">
      <c r="A244" t="s">
        <v>137</v>
      </c>
      <c r="B244" t="str">
        <f>INDEX('vehicles specifications'!$B$3:$CW$166,MATCH(B225,'vehicles specifications'!$A$3:$A$166,0),MATCH("Emission standard",'vehicles specifications'!$B$2:$CW$2,0))</f>
        <v>None</v>
      </c>
    </row>
    <row r="245" spans="1:8" x14ac:dyDescent="0.2">
      <c r="A245" t="s">
        <v>1174</v>
      </c>
      <c r="B245" s="6">
        <f>INDEX('vehicles specifications'!$B$3:$CW$166,MATCH(B225,'vehicles specifications'!$A$3:$A$166,0),MATCH("Lightweighting rate [%]",'vehicles specifications'!$B$2:$CW$2,0))</f>
        <v>0.03</v>
      </c>
    </row>
    <row r="246" spans="1:8" x14ac:dyDescent="0.2">
      <c r="A246" t="s">
        <v>83</v>
      </c>
      <c r="B246"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6" x14ac:dyDescent="0.2">
      <c r="A247" s="10" t="s">
        <v>79</v>
      </c>
    </row>
    <row r="248" spans="1:8" x14ac:dyDescent="0.2">
      <c r="A248" t="s">
        <v>80</v>
      </c>
      <c r="B248" t="s">
        <v>81</v>
      </c>
      <c r="C248" t="s">
        <v>72</v>
      </c>
      <c r="D248" t="s">
        <v>76</v>
      </c>
      <c r="E248" t="s">
        <v>82</v>
      </c>
      <c r="F248" t="s">
        <v>74</v>
      </c>
      <c r="G248" t="s">
        <v>83</v>
      </c>
      <c r="H248" t="s">
        <v>73</v>
      </c>
    </row>
    <row r="249" spans="1:8" x14ac:dyDescent="0.2">
      <c r="A249" t="str">
        <f>B220</f>
        <v>transport, Bicycle, electric (&lt;25 km/h), NMC battery, 2030</v>
      </c>
      <c r="B249">
        <v>1</v>
      </c>
      <c r="C249" t="str">
        <f>B221</f>
        <v>CH</v>
      </c>
      <c r="D249" t="s">
        <v>166</v>
      </c>
      <c r="F249" t="s">
        <v>84</v>
      </c>
      <c r="G249" t="s">
        <v>85</v>
      </c>
      <c r="H249" t="str">
        <f>B226</f>
        <v>transport, Bicycle, electric (&lt;25 km/h)</v>
      </c>
    </row>
    <row r="250" spans="1:8" x14ac:dyDescent="0.2">
      <c r="A250" t="str">
        <f>RIGHT(A249,LEN(A249)-11)</f>
        <v>Bicycle, electric (&lt;25 km/h), NMC battery, 2030</v>
      </c>
      <c r="B250" s="7">
        <f>1/B230</f>
        <v>5.0000000000000002E-5</v>
      </c>
      <c r="C250" t="str">
        <f>B221</f>
        <v>CH</v>
      </c>
      <c r="D250" t="s">
        <v>76</v>
      </c>
      <c r="F250" t="s">
        <v>89</v>
      </c>
      <c r="H250" t="str">
        <f>RIGHT(H249,LEN(H249)-11)</f>
        <v>Bicycle, electric (&lt;25 km/h)</v>
      </c>
    </row>
    <row r="251" spans="1:8" x14ac:dyDescent="0.2">
      <c r="A251" t="str">
        <f>INDEX('ei names mapping'!$B$4:$R$33,MATCH(B222,'ei names mapping'!$A$4:$A$33,0),MATCH(G251,'ei names mapping'!$B$3:$R$3,0))</f>
        <v>road construction</v>
      </c>
      <c r="B251" s="7">
        <f>INDEX('vehicles specifications'!$B$3:$CW$166,MATCH(B225,'vehicles specifications'!$A$3:$A$166,0),MATCH(G251,'vehicles specifications'!$B$2:$CW$2,0))*INDEX('ei names mapping'!$B$137:$BL$300,MATCH(B225,'ei names mapping'!$A$137:$A$300,0),MATCH(G251,'ei names mapping'!$B$136:$BL$136,0))</f>
        <v>5.3102139999999997E-5</v>
      </c>
      <c r="C251" t="str">
        <f>INDEX('ei names mapping'!$B$38:$R$67,MATCH(B222,'ei names mapping'!$A$4:$A$33,0),MATCH(G251,'ei names mapping'!$B$3:$R$3,0))</f>
        <v>CH</v>
      </c>
      <c r="D251" t="str">
        <f>INDEX('ei names mapping'!$B$104:$BL$133,MATCH(B222,'ei names mapping'!$A$4:$A$33,0),MATCH(G251,'ei names mapping'!$B$3:$BL$3,0))</f>
        <v>meter-year</v>
      </c>
      <c r="F251" t="s">
        <v>89</v>
      </c>
      <c r="G251" t="s">
        <v>105</v>
      </c>
      <c r="H251" t="str">
        <f>INDEX('ei names mapping'!$B$71:$BL$100,MATCH(B222,'ei names mapping'!$A$4:$A$33,0),MATCH(G251,'ei names mapping'!$B$3:$BL$3,0))</f>
        <v>road</v>
      </c>
    </row>
    <row r="252" spans="1:8" x14ac:dyDescent="0.2">
      <c r="A252" t="str">
        <f>INDEX('ei names mapping'!$B$4:$R$33,MATCH($B$3,'ei names mapping'!$A$4:$A$33,0),MATCH(G252,'ei names mapping'!$B$3:$R$3,0))</f>
        <v>market for electricity, low voltage</v>
      </c>
      <c r="B252" s="7">
        <f>INDEX('vehicles specifications'!$B$3:$CW$166,MATCH(B225,'vehicles specifications'!$A$3:$A$166,0),MATCH(G252,'vehicles specifications'!$B$2:$CW$2,0))*INDEX('ei names mapping'!$B$137:$BL$300,MATCH(B225,'ei names mapping'!$A$137:$A$300,0),MATCH(G252,'ei names mapping'!$B$136:$BL$136,0))</f>
        <v>7.5382508513468297E-3</v>
      </c>
      <c r="C252" t="str">
        <f>INDEX('ei names mapping'!$B$38:$R$67,MATCH($B$3,'ei names mapping'!$A$4:$A$33,0),MATCH(G252,'ei names mapping'!$B$3:$R$3,0))</f>
        <v>CH</v>
      </c>
      <c r="D252" t="str">
        <f>INDEX('ei names mapping'!$B$104:$R$133,MATCH($B$3,'ei names mapping'!$A$4:$A$33,0),MATCH(G252,'ei names mapping'!$B$3:$R$3,0))</f>
        <v>kilowatt hour</v>
      </c>
      <c r="F252" t="s">
        <v>89</v>
      </c>
      <c r="G252" t="s">
        <v>28</v>
      </c>
      <c r="H252" t="str">
        <f>INDEX('ei names mapping'!$B$71:$R$100,MATCH($B$3,'ei names mapping'!$A$4:$A$33,0),MATCH(G252,'ei names mapping'!$B$3:$R$3,0))</f>
        <v>electricity, low voltage</v>
      </c>
    </row>
    <row r="253" spans="1:8" x14ac:dyDescent="0.2">
      <c r="A253" t="str">
        <f>INDEX('ei names mapping'!$B$4:$R$33,MATCH($B$3,'ei names mapping'!$A$4:$A$33,0),MATCH(G253,'ei names mapping'!$B$3:$R$3,0))</f>
        <v>maintenance, electric bicycle, without battery</v>
      </c>
      <c r="B253" s="7">
        <f>INDEX('vehicles specifications'!$B$3:$CW$166,MATCH(B225,'vehicles specifications'!$A$3:$A$166,0),MATCH(G253,'vehicles specifications'!$B$2:$CW$2,0))*INDEX('ei names mapping'!$B$137:$BL$300,MATCH(B225,'ei names mapping'!$A$137:$A$300,0),MATCH(G253,'ei names mapping'!$B$136:$BL$136,0))</f>
        <v>6.666666666666667E-5</v>
      </c>
      <c r="C253" t="str">
        <f>INDEX('ei names mapping'!$B$38:$R$67,MATCH($B$3,'ei names mapping'!$A$4:$A$33,0),MATCH(G253,'ei names mapping'!$B$3:$R$3,0))</f>
        <v>CH</v>
      </c>
      <c r="D253" t="str">
        <f>INDEX('ei names mapping'!$B$104:$R$133,MATCH($B$3,'ei names mapping'!$A$4:$A$33,0),MATCH(G253,'ei names mapping'!$B$3:$R$3,0))</f>
        <v>unit</v>
      </c>
      <c r="F253" t="s">
        <v>89</v>
      </c>
      <c r="G253" t="s">
        <v>118</v>
      </c>
      <c r="H253" t="str">
        <f>INDEX('ei names mapping'!$B$71:$R$100,MATCH($B$3,'ei names mapping'!$A$4:$A$33,0),MATCH(G253,'ei names mapping'!$B$3:$R$3,0))</f>
        <v>maintenance, electric bicycle, without battery</v>
      </c>
    </row>
    <row r="254" spans="1:8" x14ac:dyDescent="0.2">
      <c r="A254" t="str">
        <f>INDEX('ei names mapping'!$B$4:$BL$33,MATCH($B$184,'ei names mapping'!$A$4:$A$33,0),MATCH(G254,'ei names mapping'!$B$3:$BL$3,0))</f>
        <v>treatment of road wear emissions, passenger car</v>
      </c>
      <c r="B254" s="7">
        <f>INDEX('vehicles specifications'!$B$3:$CW$166,MATCH(B225,'vehicles specifications'!$A$3:$A$166,0),MATCH(G254,'vehicles specifications'!$B$2:$CW$2,0))*INDEX('ei names mapping'!$B$137:$BL$300,MATCH(B225,'ei names mapping'!$A$137:$A$300,0),MATCH(G254,'ei names mapping'!$B$136:$BL$136,0))</f>
        <v>-4.1825769542466615E-6</v>
      </c>
      <c r="C254" t="str">
        <f>INDEX('ei names mapping'!$B$38:$BL$67,MATCH($B$184,'ei names mapping'!$A$4:$A$33,0),MATCH(G254,'ei names mapping'!$B$3:$BL$3,0))</f>
        <v>RER</v>
      </c>
      <c r="D254" t="str">
        <f>INDEX('ei names mapping'!$B$104:$BL$133,MATCH($B$184,'ei names mapping'!$A$4:$A$33,0),MATCH(G254,'ei names mapping'!$B$3:$BL$3,0))</f>
        <v>kilogram</v>
      </c>
      <c r="F254" t="s">
        <v>89</v>
      </c>
      <c r="G254" t="s">
        <v>29</v>
      </c>
      <c r="H254" t="str">
        <f>INDEX('ei names mapping'!$B$71:$BL$100,MATCH(B222,'ei names mapping'!$A$4:$A$33,0),MATCH(G254,'ei names mapping'!$B$3:$BL$3,0))</f>
        <v>road wear emissions, passenger car</v>
      </c>
    </row>
    <row r="255" spans="1:8" x14ac:dyDescent="0.2">
      <c r="A255" t="str">
        <f>INDEX('ei names mapping'!$B$4:$BL$33,MATCH($B$184,'ei names mapping'!$A$4:$A$33,0),MATCH(G255,'ei names mapping'!$B$3:$BL$3,0))</f>
        <v>treatment of tyre wear emissions, passenger car</v>
      </c>
      <c r="B255" s="7">
        <f>INDEX('vehicles specifications'!$B$3:$CW$166,MATCH(B225,'vehicles specifications'!$A$3:$A$166,0),MATCH(G255,'vehicles specifications'!$B$2:$CW$2,0))*INDEX('ei names mapping'!$B$137:$BL$300,MATCH(B225,'ei names mapping'!$A$137:$A$300,0),MATCH(G255,'ei names mapping'!$B$136:$BL$136,0))</f>
        <v>-4.1211339548960909E-6</v>
      </c>
      <c r="C255" t="str">
        <f>INDEX('ei names mapping'!$B$38:$BL$67,MATCH($B$184,'ei names mapping'!$A$4:$A$33,0),MATCH(G255,'ei names mapping'!$B$3:$BL$3,0))</f>
        <v>RER</v>
      </c>
      <c r="D255" t="str">
        <f>INDEX('ei names mapping'!$B$104:$BL$133,MATCH($B$184,'ei names mapping'!$A$4:$A$33,0),MATCH(G255,'ei names mapping'!$B$3:$BL$3,0))</f>
        <v>kilogram</v>
      </c>
      <c r="F255" t="s">
        <v>89</v>
      </c>
      <c r="G255" t="s">
        <v>30</v>
      </c>
      <c r="H255" t="str">
        <f>INDEX('ei names mapping'!$B$71:$BL$100,MATCH($B$184,'ei names mapping'!$A$4:$A$33,0),MATCH(G255,'ei names mapping'!$B$3:$BL$3,0))</f>
        <v>tyre wear emissions, passenger car</v>
      </c>
    </row>
    <row r="256" spans="1:8" x14ac:dyDescent="0.2">
      <c r="A256" t="str">
        <f>INDEX('ei names mapping'!$B$4:$BL$33,MATCH($B$184,'ei names mapping'!$A$4:$A$33,0),MATCH(G256,'ei names mapping'!$B$3:$BL$3,0))</f>
        <v>treatment of brake wear emissions, passenger car</v>
      </c>
      <c r="B256" s="7">
        <f>INDEX('vehicles specifications'!$B$3:$CW$166,MATCH(B225,'vehicles specifications'!$A$3:$A$166,0),MATCH(G256,'vehicles specifications'!$B$2:$CW$2,0))*INDEX('ei names mapping'!$B$137:$BL$300,MATCH(B225,'ei names mapping'!$A$137:$A$300,0),MATCH(G256,'ei names mapping'!$B$136:$BL$136,0))</f>
        <v>-3.8300212497294276E-6</v>
      </c>
      <c r="C256" t="str">
        <f>INDEX('ei names mapping'!$B$38:$BL$67,MATCH($B$184,'ei names mapping'!$A$4:$A$33,0),MATCH(G256,'ei names mapping'!$B$3:$BL$3,0))</f>
        <v>RER</v>
      </c>
      <c r="D256" t="str">
        <f>INDEX('ei names mapping'!$B$104:$BL$133,MATCH($B$184,'ei names mapping'!$A$4:$A$33,0),MATCH(G256,'ei names mapping'!$B$3:$BL$3,0))</f>
        <v>kilogram</v>
      </c>
      <c r="F256" t="s">
        <v>89</v>
      </c>
      <c r="G256" t="s">
        <v>31</v>
      </c>
      <c r="H256" t="str">
        <f>INDEX('ei names mapping'!$B$71:$BL$100,MATCH($B$184,'ei names mapping'!$A$4:$A$33,0),MATCH(G256,'ei names mapping'!$B$3:$BL$3,0))</f>
        <v>brake wear emissions, passenger car</v>
      </c>
    </row>
    <row r="258" spans="1:2" ht="16" x14ac:dyDescent="0.2">
      <c r="A258" s="10" t="s">
        <v>71</v>
      </c>
      <c r="B258" s="8" t="str">
        <f>"transport, "&amp;B260&amp;", "&amp;B275&amp;" battery, "&amp;B262</f>
        <v>transport, Bicycle, electric (&lt;25 km/h), NMC battery, 2040</v>
      </c>
    </row>
    <row r="259" spans="1:2" x14ac:dyDescent="0.2">
      <c r="A259" t="s">
        <v>72</v>
      </c>
      <c r="B259" t="s">
        <v>37</v>
      </c>
    </row>
    <row r="260" spans="1:2" x14ac:dyDescent="0.2">
      <c r="A260" t="s">
        <v>86</v>
      </c>
      <c r="B260" t="s">
        <v>489</v>
      </c>
    </row>
    <row r="261" spans="1:2" x14ac:dyDescent="0.2">
      <c r="A261" t="s">
        <v>87</v>
      </c>
    </row>
    <row r="262" spans="1:2" x14ac:dyDescent="0.2">
      <c r="A262" t="s">
        <v>88</v>
      </c>
      <c r="B262">
        <v>2040</v>
      </c>
    </row>
    <row r="263" spans="1:2" x14ac:dyDescent="0.2">
      <c r="A263" t="s">
        <v>126</v>
      </c>
      <c r="B263" t="str">
        <f>B260&amp;" - "&amp;B262&amp;" - "&amp;B275&amp;" - "&amp;B259</f>
        <v>Bicycle, electric (&lt;25 km/h) - 2040 - NMC - CH</v>
      </c>
    </row>
    <row r="264" spans="1:2" x14ac:dyDescent="0.2">
      <c r="A264" t="s">
        <v>73</v>
      </c>
      <c r="B264" t="str">
        <f>"transport, "&amp;B260</f>
        <v>transport, Bicycle, electric (&lt;25 km/h)</v>
      </c>
    </row>
    <row r="265" spans="1:2" x14ac:dyDescent="0.2">
      <c r="A265" t="s">
        <v>74</v>
      </c>
      <c r="B265" t="s">
        <v>75</v>
      </c>
    </row>
    <row r="266" spans="1:2" x14ac:dyDescent="0.2">
      <c r="A266" t="s">
        <v>76</v>
      </c>
      <c r="B266" t="s">
        <v>166</v>
      </c>
    </row>
    <row r="267" spans="1:2" x14ac:dyDescent="0.2">
      <c r="A267" t="s">
        <v>78</v>
      </c>
      <c r="B267" t="s">
        <v>1143</v>
      </c>
    </row>
    <row r="268" spans="1:2" x14ac:dyDescent="0.2">
      <c r="A268" t="s">
        <v>127</v>
      </c>
      <c r="B268">
        <f>INDEX('vehicles specifications'!$B$3:$CW$166,MATCH(B263,'vehicles specifications'!$A$3:$A$166,0),MATCH("Lifetime [km]",'vehicles specifications'!$B$2:$CW$2,0))</f>
        <v>20000</v>
      </c>
    </row>
    <row r="269" spans="1:2" x14ac:dyDescent="0.2">
      <c r="A269" t="s">
        <v>128</v>
      </c>
      <c r="B269">
        <f>INDEX('vehicles specifications'!$B$3:$CW$166,MATCH(B263,'vehicles specifications'!$A$3:$A$166,0),MATCH("Passengers [unit]",'vehicles specifications'!$B$2:$CW$2,0))</f>
        <v>1</v>
      </c>
    </row>
    <row r="270" spans="1:2" x14ac:dyDescent="0.2">
      <c r="A270" t="s">
        <v>129</v>
      </c>
      <c r="B270">
        <f>INDEX('vehicles specifications'!$B$3:$CW$166,MATCH(B263,'vehicles specifications'!$A$3:$A$166,0),MATCH("Servicing [unit]",'vehicles specifications'!$B$2:$CW$2,0))</f>
        <v>1.3333333333333333</v>
      </c>
    </row>
    <row r="271" spans="1:2" x14ac:dyDescent="0.2">
      <c r="A271" t="s">
        <v>130</v>
      </c>
      <c r="B271">
        <f>INDEX('vehicles specifications'!$B$3:$CW$166,MATCH(B263,'vehicles specifications'!$A$3:$A$166,0),MATCH("Energy battery replacement [unit]",'vehicles specifications'!$B$2:$CW$2,0))</f>
        <v>0.25</v>
      </c>
    </row>
    <row r="272" spans="1:2" x14ac:dyDescent="0.2">
      <c r="A272" t="s">
        <v>131</v>
      </c>
      <c r="B272">
        <f>INDEX('vehicles specifications'!$B$3:$CW$166,MATCH(B263,'vehicles specifications'!$A$3:$A$166,0),MATCH("Annual kilometers [km]",'vehicles specifications'!$B$2:$CW$2,0))</f>
        <v>2000</v>
      </c>
    </row>
    <row r="273" spans="1:8" x14ac:dyDescent="0.2">
      <c r="A273" t="s">
        <v>132</v>
      </c>
      <c r="B273">
        <f>INDEX('vehicles specifications'!$B$3:$CW$166,MATCH(B263,'vehicles specifications'!$A$3:$A$166,0),MATCH("Curb mass [kg]",'vehicles specifications'!$B$2:$CW$2,0))</f>
        <v>22.25</v>
      </c>
    </row>
    <row r="274" spans="1:8" x14ac:dyDescent="0.2">
      <c r="A274" t="s">
        <v>133</v>
      </c>
      <c r="B274">
        <f>INDEX('vehicles specifications'!$B$3:$CW$166,MATCH(B263,'vehicles specifications'!$A$3:$A$166,0),MATCH("Power [kW]",'vehicles specifications'!$B$2:$CW$2,0))</f>
        <v>0.25</v>
      </c>
    </row>
    <row r="275" spans="1:8" x14ac:dyDescent="0.2">
      <c r="A275" t="s">
        <v>652</v>
      </c>
      <c r="B275" s="20" t="s">
        <v>43</v>
      </c>
    </row>
    <row r="276" spans="1:8" x14ac:dyDescent="0.2">
      <c r="A276" t="s">
        <v>134</v>
      </c>
      <c r="B276">
        <f>INDEX('vehicles specifications'!$B$3:$CW$166,MATCH(B263,'vehicles specifications'!$A$3:$A$166,0),MATCH("Energy battery mass [kg]",'vehicles specifications'!$B$2:$CW$2,0))</f>
        <v>3.25</v>
      </c>
    </row>
    <row r="277" spans="1:8" x14ac:dyDescent="0.2">
      <c r="A277" t="s">
        <v>135</v>
      </c>
      <c r="B277">
        <f>INDEX('vehicles specifications'!$B$3:$CW$166,MATCH(B263,'vehicles specifications'!$A$3:$A$166,0),MATCH("Electric energy stored [kWh]",'vehicles specifications'!$B$2:$CW$2,0))</f>
        <v>1</v>
      </c>
    </row>
    <row r="278" spans="1:8" x14ac:dyDescent="0.2">
      <c r="A278" t="s">
        <v>588</v>
      </c>
      <c r="B278">
        <f>INDEX('vehicles specifications'!$B$3:$CW$166,MATCH(B263,'vehicles specifications'!$A$3:$A$166,0),MATCH("Electric energy available [kWh]",'vehicles specifications'!$B$2:$CW$2,0))</f>
        <v>0.8</v>
      </c>
    </row>
    <row r="279" spans="1:8" x14ac:dyDescent="0.2">
      <c r="A279" t="s">
        <v>138</v>
      </c>
      <c r="B279">
        <f>INDEX('vehicles specifications'!$B$3:$CW$166,MATCH(B263,'vehicles specifications'!$A$3:$A$166,0),MATCH("Oxydation energy stored [kWh]",'vehicles specifications'!$B$2:$CW$2,0))</f>
        <v>0</v>
      </c>
    </row>
    <row r="280" spans="1:8" x14ac:dyDescent="0.2">
      <c r="A280" t="s">
        <v>139</v>
      </c>
      <c r="B280">
        <f>INDEX('vehicles specifications'!$B$3:$CW$166,MATCH(B263,'vehicles specifications'!$A$3:$A$166,0),MATCH("Fuel mass [kg]",'vehicles specifications'!$B$2:$CW$2,0))</f>
        <v>0</v>
      </c>
    </row>
    <row r="281" spans="1:8" x14ac:dyDescent="0.2">
      <c r="A281" t="s">
        <v>136</v>
      </c>
      <c r="B281" s="2">
        <f>INDEX('vehicles specifications'!$B$3:$CW$166,MATCH(B263,'vehicles specifications'!$A$3:$A$166,0),MATCH("Range [km]",'vehicles specifications'!$B$2:$CW$2,0))</f>
        <v>116.73795650389825</v>
      </c>
    </row>
    <row r="282" spans="1:8" x14ac:dyDescent="0.2">
      <c r="A282" t="s">
        <v>137</v>
      </c>
      <c r="B282" t="str">
        <f>INDEX('vehicles specifications'!$B$3:$CW$166,MATCH(B263,'vehicles specifications'!$A$3:$A$166,0),MATCH("Emission standard",'vehicles specifications'!$B$2:$CW$2,0))</f>
        <v>None</v>
      </c>
    </row>
    <row r="283" spans="1:8" x14ac:dyDescent="0.2">
      <c r="A283" t="s">
        <v>1174</v>
      </c>
      <c r="B283" s="6">
        <f>INDEX('vehicles specifications'!$B$3:$CW$166,MATCH(B263,'vehicles specifications'!$A$3:$A$166,0),MATCH("Lightweighting rate [%]",'vehicles specifications'!$B$2:$CW$2,0))</f>
        <v>0.05</v>
      </c>
    </row>
    <row r="284" spans="1:8" x14ac:dyDescent="0.2">
      <c r="A284" t="s">
        <v>83</v>
      </c>
      <c r="B284"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6" x14ac:dyDescent="0.2">
      <c r="A285" s="10" t="s">
        <v>79</v>
      </c>
    </row>
    <row r="286" spans="1:8" x14ac:dyDescent="0.2">
      <c r="A286" t="s">
        <v>80</v>
      </c>
      <c r="B286" t="s">
        <v>81</v>
      </c>
      <c r="C286" t="s">
        <v>72</v>
      </c>
      <c r="D286" t="s">
        <v>76</v>
      </c>
      <c r="E286" t="s">
        <v>82</v>
      </c>
      <c r="F286" t="s">
        <v>74</v>
      </c>
      <c r="G286" t="s">
        <v>83</v>
      </c>
      <c r="H286" t="s">
        <v>73</v>
      </c>
    </row>
    <row r="287" spans="1:8" x14ac:dyDescent="0.2">
      <c r="A287" t="str">
        <f>B258</f>
        <v>transport, Bicycle, electric (&lt;25 km/h), NMC battery, 2040</v>
      </c>
      <c r="B287">
        <v>1</v>
      </c>
      <c r="C287" t="str">
        <f>B259</f>
        <v>CH</v>
      </c>
      <c r="D287" t="s">
        <v>166</v>
      </c>
      <c r="F287" t="s">
        <v>84</v>
      </c>
      <c r="G287" t="s">
        <v>85</v>
      </c>
      <c r="H287" t="str">
        <f>B264</f>
        <v>transport, Bicycle, electric (&lt;25 km/h)</v>
      </c>
    </row>
    <row r="288" spans="1:8" x14ac:dyDescent="0.2">
      <c r="A288" t="str">
        <f>RIGHT(A287,LEN(A287)-11)</f>
        <v>Bicycle, electric (&lt;25 km/h), NMC battery, 2040</v>
      </c>
      <c r="B288" s="7">
        <f>1/B268</f>
        <v>5.0000000000000002E-5</v>
      </c>
      <c r="C288" t="str">
        <f>B259</f>
        <v>CH</v>
      </c>
      <c r="D288" t="s">
        <v>76</v>
      </c>
      <c r="F288" t="s">
        <v>89</v>
      </c>
      <c r="H288" t="str">
        <f>RIGHT(H287,LEN(H287)-11)</f>
        <v>Bicycle, electric (&lt;25 km/h)</v>
      </c>
    </row>
    <row r="289" spans="1:8" x14ac:dyDescent="0.2">
      <c r="A289" t="str">
        <f>INDEX('ei names mapping'!$B$4:$R$33,MATCH(B260,'ei names mapping'!$A$4:$A$33,0),MATCH(G289,'ei names mapping'!$B$3:$R$3,0))</f>
        <v>road construction</v>
      </c>
      <c r="B289" s="7">
        <f>INDEX('vehicles specifications'!$B$3:$CW$166,MATCH(B263,'vehicles specifications'!$A$3:$A$166,0),MATCH(G289,'vehicles specifications'!$B$2:$CW$2,0))*INDEX('ei names mapping'!$B$137:$BL$300,MATCH(B263,'ei names mapping'!$A$137:$A$300,0),MATCH(G289,'ei names mapping'!$B$136:$BL$136,0))</f>
        <v>5.276025E-5</v>
      </c>
      <c r="C289" t="str">
        <f>INDEX('ei names mapping'!$B$38:$R$67,MATCH(B260,'ei names mapping'!$A$4:$A$33,0),MATCH(G289,'ei names mapping'!$B$3:$R$3,0))</f>
        <v>CH</v>
      </c>
      <c r="D289" t="str">
        <f>INDEX('ei names mapping'!$B$104:$BL$133,MATCH(B260,'ei names mapping'!$A$4:$A$33,0),MATCH(G289,'ei names mapping'!$B$3:$BL$3,0))</f>
        <v>meter-year</v>
      </c>
      <c r="F289" t="s">
        <v>89</v>
      </c>
      <c r="G289" t="s">
        <v>105</v>
      </c>
      <c r="H289" t="str">
        <f>INDEX('ei names mapping'!$B$71:$BL$100,MATCH(B260,'ei names mapping'!$A$4:$A$33,0),MATCH(G289,'ei names mapping'!$B$3:$BL$3,0))</f>
        <v>road</v>
      </c>
    </row>
    <row r="290" spans="1:8" x14ac:dyDescent="0.2">
      <c r="A290" t="str">
        <f>INDEX('ei names mapping'!$B$4:$R$33,MATCH($B$3,'ei names mapping'!$A$4:$A$33,0),MATCH(G290,'ei names mapping'!$B$3:$R$3,0))</f>
        <v>market for electricity, low voltage</v>
      </c>
      <c r="B290" s="7">
        <f>INDEX('vehicles specifications'!$B$3:$CW$166,MATCH(B263,'vehicles specifications'!$A$3:$A$166,0),MATCH(G290,'vehicles specifications'!$B$2:$CW$2,0))*INDEX('ei names mapping'!$B$137:$BL$300,MATCH(B263,'ei names mapping'!$A$137:$A$300,0),MATCH(G290,'ei names mapping'!$B$136:$BL$136,0))</f>
        <v>7.5382508513468297E-3</v>
      </c>
      <c r="C290" t="str">
        <f>INDEX('ei names mapping'!$B$38:$R$67,MATCH($B$3,'ei names mapping'!$A$4:$A$33,0),MATCH(G290,'ei names mapping'!$B$3:$R$3,0))</f>
        <v>CH</v>
      </c>
      <c r="D290" t="str">
        <f>INDEX('ei names mapping'!$B$104:$R$133,MATCH($B$3,'ei names mapping'!$A$4:$A$33,0),MATCH(G290,'ei names mapping'!$B$3:$R$3,0))</f>
        <v>kilowatt hour</v>
      </c>
      <c r="F290" t="s">
        <v>89</v>
      </c>
      <c r="G290" t="s">
        <v>28</v>
      </c>
      <c r="H290" t="str">
        <f>INDEX('ei names mapping'!$B$71:$R$100,MATCH($B$3,'ei names mapping'!$A$4:$A$33,0),MATCH(G290,'ei names mapping'!$B$3:$R$3,0))</f>
        <v>electricity, low voltage</v>
      </c>
    </row>
    <row r="291" spans="1:8" x14ac:dyDescent="0.2">
      <c r="A291" t="str">
        <f>INDEX('ei names mapping'!$B$4:$R$33,MATCH($B$3,'ei names mapping'!$A$4:$A$33,0),MATCH(G291,'ei names mapping'!$B$3:$R$3,0))</f>
        <v>maintenance, electric bicycle, without battery</v>
      </c>
      <c r="B291" s="7">
        <f>INDEX('vehicles specifications'!$B$3:$CW$166,MATCH(B263,'vehicles specifications'!$A$3:$A$166,0),MATCH(G291,'vehicles specifications'!$B$2:$CW$2,0))*INDEX('ei names mapping'!$B$137:$BL$300,MATCH(B263,'ei names mapping'!$A$137:$A$300,0),MATCH(G291,'ei names mapping'!$B$136:$BL$136,0))</f>
        <v>6.666666666666667E-5</v>
      </c>
      <c r="C291" t="str">
        <f>INDEX('ei names mapping'!$B$38:$R$67,MATCH($B$3,'ei names mapping'!$A$4:$A$33,0),MATCH(G291,'ei names mapping'!$B$3:$R$3,0))</f>
        <v>CH</v>
      </c>
      <c r="D291" t="str">
        <f>INDEX('ei names mapping'!$B$104:$R$133,MATCH($B$3,'ei names mapping'!$A$4:$A$33,0),MATCH(G291,'ei names mapping'!$B$3:$R$3,0))</f>
        <v>unit</v>
      </c>
      <c r="F291" t="s">
        <v>89</v>
      </c>
      <c r="G291" t="s">
        <v>118</v>
      </c>
      <c r="H291" t="str">
        <f>INDEX('ei names mapping'!$B$71:$R$100,MATCH($B$3,'ei names mapping'!$A$4:$A$33,0),MATCH(G291,'ei names mapping'!$B$3:$R$3,0))</f>
        <v>maintenance, electric bicycle, without battery</v>
      </c>
    </row>
    <row r="292" spans="1:8" x14ac:dyDescent="0.2">
      <c r="A292" t="str">
        <f>INDEX('ei names mapping'!$B$4:$BL$33,MATCH($B$184,'ei names mapping'!$A$4:$A$33,0),MATCH(G292,'ei names mapping'!$B$3:$BL$3,0))</f>
        <v>treatment of road wear emissions, passenger car</v>
      </c>
      <c r="B292" s="7">
        <f>INDEX('vehicles specifications'!$B$3:$CW$166,MATCH(B263,'vehicles specifications'!$A$3:$A$166,0),MATCH(G292,'vehicles specifications'!$B$2:$CW$2,0))*INDEX('ei names mapping'!$B$137:$BL$300,MATCH(B263,'ei names mapping'!$A$137:$A$300,0),MATCH(G292,'ei names mapping'!$B$136:$BL$136,0))</f>
        <v>-4.1614870560677791E-6</v>
      </c>
      <c r="C292" t="str">
        <f>INDEX('ei names mapping'!$B$38:$BL$67,MATCH($B$184,'ei names mapping'!$A$4:$A$33,0),MATCH(G292,'ei names mapping'!$B$3:$BL$3,0))</f>
        <v>RER</v>
      </c>
      <c r="D292" t="str">
        <f>INDEX('ei names mapping'!$B$104:$BL$133,MATCH($B$184,'ei names mapping'!$A$4:$A$33,0),MATCH(G292,'ei names mapping'!$B$3:$BL$3,0))</f>
        <v>kilogram</v>
      </c>
      <c r="F292" t="s">
        <v>89</v>
      </c>
      <c r="G292" t="s">
        <v>29</v>
      </c>
      <c r="H292" t="str">
        <f>INDEX('ei names mapping'!$B$71:$BL$100,MATCH(B260,'ei names mapping'!$A$4:$A$33,0),MATCH(G292,'ei names mapping'!$B$3:$BL$3,0))</f>
        <v>road wear emissions, passenger car</v>
      </c>
    </row>
    <row r="293" spans="1:8" x14ac:dyDescent="0.2">
      <c r="A293" t="str">
        <f>INDEX('ei names mapping'!$B$4:$BL$33,MATCH($B$184,'ei names mapping'!$A$4:$A$33,0),MATCH(G293,'ei names mapping'!$B$3:$BL$3,0))</f>
        <v>treatment of tyre wear emissions, passenger car</v>
      </c>
      <c r="B293" s="7">
        <f>INDEX('vehicles specifications'!$B$3:$CW$166,MATCH(B263,'vehicles specifications'!$A$3:$A$166,0),MATCH(G293,'vehicles specifications'!$B$2:$CW$2,0))*INDEX('ei names mapping'!$B$137:$BL$300,MATCH(B263,'ei names mapping'!$A$137:$A$300,0),MATCH(G293,'ei names mapping'!$B$136:$BL$136,0))</f>
        <v>-4.0990393865404142E-6</v>
      </c>
      <c r="C293" t="str">
        <f>INDEX('ei names mapping'!$B$38:$BL$67,MATCH($B$184,'ei names mapping'!$A$4:$A$33,0),MATCH(G293,'ei names mapping'!$B$3:$BL$3,0))</f>
        <v>RER</v>
      </c>
      <c r="D293" t="str">
        <f>INDEX('ei names mapping'!$B$104:$BL$133,MATCH($B$184,'ei names mapping'!$A$4:$A$33,0),MATCH(G293,'ei names mapping'!$B$3:$BL$3,0))</f>
        <v>kilogram</v>
      </c>
      <c r="F293" t="s">
        <v>89</v>
      </c>
      <c r="G293" t="s">
        <v>30</v>
      </c>
      <c r="H293" t="str">
        <f>INDEX('ei names mapping'!$B$71:$BL$100,MATCH($B$184,'ei names mapping'!$A$4:$A$33,0),MATCH(G293,'ei names mapping'!$B$3:$BL$3,0))</f>
        <v>tyre wear emissions, passenger car</v>
      </c>
    </row>
    <row r="294" spans="1:8" x14ac:dyDescent="0.2">
      <c r="A294" t="str">
        <f>INDEX('ei names mapping'!$B$4:$BL$33,MATCH($B$184,'ei names mapping'!$A$4:$A$33,0),MATCH(G294,'ei names mapping'!$B$3:$BL$3,0))</f>
        <v>treatment of brake wear emissions, passenger car</v>
      </c>
      <c r="B294" s="7">
        <f>INDEX('vehicles specifications'!$B$3:$CW$166,MATCH(B263,'vehicles specifications'!$A$3:$A$166,0),MATCH(G294,'vehicles specifications'!$B$2:$CW$2,0))*INDEX('ei names mapping'!$B$137:$BL$300,MATCH(B263,'ei names mapping'!$A$137:$A$300,0),MATCH(G294,'ei names mapping'!$B$136:$BL$136,0))</f>
        <v>-3.8104964233430331E-6</v>
      </c>
      <c r="C294" t="str">
        <f>INDEX('ei names mapping'!$B$38:$BL$67,MATCH($B$184,'ei names mapping'!$A$4:$A$33,0),MATCH(G294,'ei names mapping'!$B$3:$BL$3,0))</f>
        <v>RER</v>
      </c>
      <c r="D294" t="str">
        <f>INDEX('ei names mapping'!$B$104:$BL$133,MATCH($B$184,'ei names mapping'!$A$4:$A$33,0),MATCH(G294,'ei names mapping'!$B$3:$BL$3,0))</f>
        <v>kilogram</v>
      </c>
      <c r="F294" t="s">
        <v>89</v>
      </c>
      <c r="G294" t="s">
        <v>31</v>
      </c>
      <c r="H294" t="str">
        <f>INDEX('ei names mapping'!$B$71:$BL$100,MATCH($B$184,'ei names mapping'!$A$4:$A$33,0),MATCH(G294,'ei names mapping'!$B$3:$BL$3,0))</f>
        <v>brake wear emissions, passenger car</v>
      </c>
    </row>
    <row r="296" spans="1:8" ht="16" x14ac:dyDescent="0.2">
      <c r="A296" s="10" t="s">
        <v>71</v>
      </c>
      <c r="B296" s="8" t="str">
        <f>"transport, "&amp;B298&amp;", "&amp;B313&amp;" battery, "&amp;B300</f>
        <v>transport, Bicycle, electric (&lt;25 km/h), NMC battery, 2050</v>
      </c>
    </row>
    <row r="297" spans="1:8" x14ac:dyDescent="0.2">
      <c r="A297" t="s">
        <v>72</v>
      </c>
      <c r="B297" t="s">
        <v>37</v>
      </c>
    </row>
    <row r="298" spans="1:8" x14ac:dyDescent="0.2">
      <c r="A298" t="s">
        <v>86</v>
      </c>
      <c r="B298" t="s">
        <v>489</v>
      </c>
    </row>
    <row r="299" spans="1:8" x14ac:dyDescent="0.2">
      <c r="A299" t="s">
        <v>87</v>
      </c>
    </row>
    <row r="300" spans="1:8" x14ac:dyDescent="0.2">
      <c r="A300" t="s">
        <v>88</v>
      </c>
      <c r="B300">
        <v>2050</v>
      </c>
    </row>
    <row r="301" spans="1:8" x14ac:dyDescent="0.2">
      <c r="A301" t="s">
        <v>126</v>
      </c>
      <c r="B301" t="str">
        <f>B298&amp;" - "&amp;B300&amp;" - "&amp;B313&amp;" - "&amp;B297</f>
        <v>Bicycle, electric (&lt;25 km/h) - 2050 - NMC - CH</v>
      </c>
    </row>
    <row r="302" spans="1:8" x14ac:dyDescent="0.2">
      <c r="A302" t="s">
        <v>73</v>
      </c>
      <c r="B302" t="str">
        <f>"transport, "&amp;B298</f>
        <v>transport, Bicycle, electric (&lt;25 km/h)</v>
      </c>
    </row>
    <row r="303" spans="1:8" x14ac:dyDescent="0.2">
      <c r="A303" t="s">
        <v>74</v>
      </c>
      <c r="B303" t="s">
        <v>75</v>
      </c>
    </row>
    <row r="304" spans="1:8" x14ac:dyDescent="0.2">
      <c r="A304" t="s">
        <v>76</v>
      </c>
      <c r="B304" t="s">
        <v>166</v>
      </c>
    </row>
    <row r="305" spans="1:2" x14ac:dyDescent="0.2">
      <c r="A305" t="s">
        <v>78</v>
      </c>
      <c r="B305" t="s">
        <v>1143</v>
      </c>
    </row>
    <row r="306" spans="1:2" x14ac:dyDescent="0.2">
      <c r="A306" t="s">
        <v>127</v>
      </c>
      <c r="B306">
        <f>INDEX('vehicles specifications'!$B$3:$CW$166,MATCH(B301,'vehicles specifications'!$A$3:$A$166,0),MATCH("Lifetime [km]",'vehicles specifications'!$B$2:$CW$2,0))</f>
        <v>20000</v>
      </c>
    </row>
    <row r="307" spans="1:2" x14ac:dyDescent="0.2">
      <c r="A307" t="s">
        <v>128</v>
      </c>
      <c r="B307">
        <f>INDEX('vehicles specifications'!$B$3:$CW$166,MATCH(B301,'vehicles specifications'!$A$3:$A$166,0),MATCH("Passengers [unit]",'vehicles specifications'!$B$2:$CW$2,0))</f>
        <v>1</v>
      </c>
    </row>
    <row r="308" spans="1:2" x14ac:dyDescent="0.2">
      <c r="A308" t="s">
        <v>129</v>
      </c>
      <c r="B308">
        <f>INDEX('vehicles specifications'!$B$3:$CW$166,MATCH(B301,'vehicles specifications'!$A$3:$A$166,0),MATCH("Servicing [unit]",'vehicles specifications'!$B$2:$CW$2,0))</f>
        <v>1.3333333333333333</v>
      </c>
    </row>
    <row r="309" spans="1:2" x14ac:dyDescent="0.2">
      <c r="A309" t="s">
        <v>130</v>
      </c>
      <c r="B309">
        <f>INDEX('vehicles specifications'!$B$3:$CW$166,MATCH(B301,'vehicles specifications'!$A$3:$A$166,0),MATCH("Energy battery replacement [unit]",'vehicles specifications'!$B$2:$CW$2,0))</f>
        <v>0</v>
      </c>
    </row>
    <row r="310" spans="1:2" x14ac:dyDescent="0.2">
      <c r="A310" t="s">
        <v>131</v>
      </c>
      <c r="B310">
        <f>INDEX('vehicles specifications'!$B$3:$CW$166,MATCH(B301,'vehicles specifications'!$A$3:$A$166,0),MATCH("Annual kilometers [km]",'vehicles specifications'!$B$2:$CW$2,0))</f>
        <v>2000</v>
      </c>
    </row>
    <row r="311" spans="1:2" x14ac:dyDescent="0.2">
      <c r="A311" t="s">
        <v>132</v>
      </c>
      <c r="B311">
        <f>INDEX('vehicles specifications'!$B$3:$CW$166,MATCH(B301,'vehicles specifications'!$A$3:$A$166,0),MATCH("Curb mass [kg]",'vehicles specifications'!$B$2:$CW$2,0))</f>
        <v>22.479999999999997</v>
      </c>
    </row>
    <row r="312" spans="1:2" x14ac:dyDescent="0.2">
      <c r="A312" t="s">
        <v>133</v>
      </c>
      <c r="B312">
        <f>INDEX('vehicles specifications'!$B$3:$CW$166,MATCH(B301,'vehicles specifications'!$A$3:$A$166,0),MATCH("Power [kW]",'vehicles specifications'!$B$2:$CW$2,0))</f>
        <v>0.25</v>
      </c>
    </row>
    <row r="313" spans="1:2" x14ac:dyDescent="0.2">
      <c r="A313" t="s">
        <v>652</v>
      </c>
      <c r="B313" s="20" t="s">
        <v>43</v>
      </c>
    </row>
    <row r="314" spans="1:2" x14ac:dyDescent="0.2">
      <c r="A314" t="s">
        <v>134</v>
      </c>
      <c r="B314">
        <f>INDEX('vehicles specifications'!$B$3:$CW$166,MATCH(B301,'vehicles specifications'!$A$3:$A$166,0),MATCH("Energy battery mass [kg]",'vehicles specifications'!$B$2:$CW$2,0))</f>
        <v>3.9</v>
      </c>
    </row>
    <row r="315" spans="1:2" x14ac:dyDescent="0.2">
      <c r="A315" t="s">
        <v>135</v>
      </c>
      <c r="B315">
        <f>INDEX('vehicles specifications'!$B$3:$CW$166,MATCH(B301,'vehicles specifications'!$A$3:$A$166,0),MATCH("Electric energy stored [kWh]",'vehicles specifications'!$B$2:$CW$2,0))</f>
        <v>1.5</v>
      </c>
    </row>
    <row r="316" spans="1:2" x14ac:dyDescent="0.2">
      <c r="A316" t="s">
        <v>588</v>
      </c>
      <c r="B316">
        <f>INDEX('vehicles specifications'!$B$3:$CW$166,MATCH(B301,'vehicles specifications'!$A$3:$A$166,0),MATCH("Electric energy available [kWh]",'vehicles specifications'!$B$2:$CW$2,0))</f>
        <v>1.2000000000000002</v>
      </c>
    </row>
    <row r="317" spans="1:2" x14ac:dyDescent="0.2">
      <c r="A317" t="s">
        <v>138</v>
      </c>
      <c r="B317">
        <f>INDEX('vehicles specifications'!$B$3:$CW$166,MATCH(B301,'vehicles specifications'!$A$3:$A$166,0),MATCH("Oxydation energy stored [kWh]",'vehicles specifications'!$B$2:$CW$2,0))</f>
        <v>0</v>
      </c>
    </row>
    <row r="318" spans="1:2" x14ac:dyDescent="0.2">
      <c r="A318" t="s">
        <v>139</v>
      </c>
      <c r="B318">
        <f>INDEX('vehicles specifications'!$B$3:$CW$166,MATCH(B301,'vehicles specifications'!$A$3:$A$166,0),MATCH("Fuel mass [kg]",'vehicles specifications'!$B$2:$CW$2,0))</f>
        <v>0</v>
      </c>
    </row>
    <row r="319" spans="1:2" x14ac:dyDescent="0.2">
      <c r="A319" t="s">
        <v>136</v>
      </c>
      <c r="B319" s="2">
        <f>INDEX('vehicles specifications'!$B$3:$CW$166,MATCH(B301,'vehicles specifications'!$A$3:$A$166,0),MATCH("Range [km]",'vehicles specifications'!$B$2:$CW$2,0))</f>
        <v>175.10693475584739</v>
      </c>
    </row>
    <row r="320" spans="1:2" x14ac:dyDescent="0.2">
      <c r="A320" t="s">
        <v>137</v>
      </c>
      <c r="B320" t="str">
        <f>INDEX('vehicles specifications'!$B$3:$CW$166,MATCH(B301,'vehicles specifications'!$A$3:$A$166,0),MATCH("Emission standard",'vehicles specifications'!$B$2:$CW$2,0))</f>
        <v>None</v>
      </c>
    </row>
    <row r="321" spans="1:8" x14ac:dyDescent="0.2">
      <c r="A321" t="s">
        <v>1174</v>
      </c>
      <c r="B321" s="6">
        <f>INDEX('vehicles specifications'!$B$3:$CW$166,MATCH(B301,'vehicles specifications'!$A$3:$A$166,0),MATCH("Lightweighting rate [%]",'vehicles specifications'!$B$2:$CW$2,0))</f>
        <v>7.0000000000000007E-2</v>
      </c>
    </row>
    <row r="322" spans="1:8" x14ac:dyDescent="0.2">
      <c r="A322" t="s">
        <v>83</v>
      </c>
      <c r="B322"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6" x14ac:dyDescent="0.2">
      <c r="A323" s="10" t="s">
        <v>79</v>
      </c>
    </row>
    <row r="324" spans="1:8" x14ac:dyDescent="0.2">
      <c r="A324" t="s">
        <v>80</v>
      </c>
      <c r="B324" t="s">
        <v>81</v>
      </c>
      <c r="C324" t="s">
        <v>72</v>
      </c>
      <c r="D324" t="s">
        <v>76</v>
      </c>
      <c r="E324" t="s">
        <v>82</v>
      </c>
      <c r="F324" t="s">
        <v>74</v>
      </c>
      <c r="G324" t="s">
        <v>83</v>
      </c>
      <c r="H324" t="s">
        <v>73</v>
      </c>
    </row>
    <row r="325" spans="1:8" x14ac:dyDescent="0.2">
      <c r="A325" t="str">
        <f>B296</f>
        <v>transport, Bicycle, electric (&lt;25 km/h), NMC battery, 2050</v>
      </c>
      <c r="B325">
        <v>1</v>
      </c>
      <c r="C325" t="str">
        <f>B297</f>
        <v>CH</v>
      </c>
      <c r="D325" t="s">
        <v>166</v>
      </c>
      <c r="F325" t="s">
        <v>84</v>
      </c>
      <c r="G325" t="s">
        <v>85</v>
      </c>
      <c r="H325" t="str">
        <f>B302</f>
        <v>transport, Bicycle, electric (&lt;25 km/h)</v>
      </c>
    </row>
    <row r="326" spans="1:8" x14ac:dyDescent="0.2">
      <c r="A326" t="str">
        <f>RIGHT(A325,LEN(A325)-11)</f>
        <v>Bicycle, electric (&lt;25 km/h), NMC battery, 2050</v>
      </c>
      <c r="B326" s="7">
        <f>1/B306</f>
        <v>5.0000000000000002E-5</v>
      </c>
      <c r="C326" t="str">
        <f>B297</f>
        <v>CH</v>
      </c>
      <c r="D326" t="s">
        <v>76</v>
      </c>
      <c r="F326" t="s">
        <v>89</v>
      </c>
      <c r="H326" t="str">
        <f>RIGHT(H325,LEN(H325)-11)</f>
        <v>Bicycle, electric (&lt;25 km/h)</v>
      </c>
    </row>
    <row r="327" spans="1:8" x14ac:dyDescent="0.2">
      <c r="A327" t="str">
        <f>INDEX('ei names mapping'!$B$4:$R$33,MATCH(B298,'ei names mapping'!$A$4:$A$33,0),MATCH(G327,'ei names mapping'!$B$3:$R$3,0))</f>
        <v>road construction</v>
      </c>
      <c r="B327" s="7">
        <f>INDEX('vehicles specifications'!$B$3:$CW$166,MATCH(B301,'vehicles specifications'!$A$3:$A$166,0),MATCH(G327,'vehicles specifications'!$B$2:$CW$2,0))*INDEX('ei names mapping'!$B$137:$BL$300,MATCH(B301,'ei names mapping'!$A$137:$A$300,0),MATCH(G327,'ei names mapping'!$B$136:$BL$136,0))</f>
        <v>5.2883759999999994E-5</v>
      </c>
      <c r="C327" t="str">
        <f>INDEX('ei names mapping'!$B$38:$R$67,MATCH(B298,'ei names mapping'!$A$4:$A$33,0),MATCH(G327,'ei names mapping'!$B$3:$R$3,0))</f>
        <v>CH</v>
      </c>
      <c r="D327" t="str">
        <f>INDEX('ei names mapping'!$B$104:$BL$133,MATCH(B298,'ei names mapping'!$A$4:$A$33,0),MATCH(G327,'ei names mapping'!$B$3:$BL$3,0))</f>
        <v>meter-year</v>
      </c>
      <c r="F327" t="s">
        <v>89</v>
      </c>
      <c r="G327" t="s">
        <v>105</v>
      </c>
      <c r="H327" t="str">
        <f>INDEX('ei names mapping'!$B$71:$BL$100,MATCH(B298,'ei names mapping'!$A$4:$A$33,0),MATCH(G327,'ei names mapping'!$B$3:$BL$3,0))</f>
        <v>road</v>
      </c>
    </row>
    <row r="328" spans="1:8" x14ac:dyDescent="0.2">
      <c r="A328" t="str">
        <f>INDEX('ei names mapping'!$B$4:$R$33,MATCH($B$3,'ei names mapping'!$A$4:$A$33,0),MATCH(G328,'ei names mapping'!$B$3:$R$3,0))</f>
        <v>market for electricity, low voltage</v>
      </c>
      <c r="B328" s="7">
        <f>INDEX('vehicles specifications'!$B$3:$CW$166,MATCH(B301,'vehicles specifications'!$A$3:$A$166,0),MATCH(G328,'vehicles specifications'!$B$2:$CW$2,0))*INDEX('ei names mapping'!$B$137:$BL$300,MATCH(B301,'ei names mapping'!$A$137:$A$300,0),MATCH(G328,'ei names mapping'!$B$136:$BL$136,0))</f>
        <v>7.5382508513468297E-3</v>
      </c>
      <c r="C328" t="str">
        <f>INDEX('ei names mapping'!$B$38:$R$67,MATCH($B$3,'ei names mapping'!$A$4:$A$33,0),MATCH(G328,'ei names mapping'!$B$3:$R$3,0))</f>
        <v>CH</v>
      </c>
      <c r="D328" t="str">
        <f>INDEX('ei names mapping'!$B$104:$R$133,MATCH($B$3,'ei names mapping'!$A$4:$A$33,0),MATCH(G328,'ei names mapping'!$B$3:$R$3,0))</f>
        <v>kilowatt hour</v>
      </c>
      <c r="F328" t="s">
        <v>89</v>
      </c>
      <c r="G328" t="s">
        <v>28</v>
      </c>
      <c r="H328" t="str">
        <f>INDEX('ei names mapping'!$B$71:$R$100,MATCH($B$3,'ei names mapping'!$A$4:$A$33,0),MATCH(G328,'ei names mapping'!$B$3:$R$3,0))</f>
        <v>electricity, low voltage</v>
      </c>
    </row>
    <row r="329" spans="1:8" x14ac:dyDescent="0.2">
      <c r="A329" t="str">
        <f>INDEX('ei names mapping'!$B$4:$R$33,MATCH($B$3,'ei names mapping'!$A$4:$A$33,0),MATCH(G329,'ei names mapping'!$B$3:$R$3,0))</f>
        <v>maintenance, electric bicycle, without battery</v>
      </c>
      <c r="B329" s="7">
        <f>INDEX('vehicles specifications'!$B$3:$CW$166,MATCH(B301,'vehicles specifications'!$A$3:$A$166,0),MATCH(G329,'vehicles specifications'!$B$2:$CW$2,0))*INDEX('ei names mapping'!$B$137:$BL$300,MATCH(B301,'ei names mapping'!$A$137:$A$300,0),MATCH(G329,'ei names mapping'!$B$136:$BL$136,0))</f>
        <v>6.666666666666667E-5</v>
      </c>
      <c r="C329" t="str">
        <f>INDEX('ei names mapping'!$B$38:$R$67,MATCH($B$3,'ei names mapping'!$A$4:$A$33,0),MATCH(G329,'ei names mapping'!$B$3:$R$3,0))</f>
        <v>CH</v>
      </c>
      <c r="D329" t="str">
        <f>INDEX('ei names mapping'!$B$104:$R$133,MATCH($B$3,'ei names mapping'!$A$4:$A$33,0),MATCH(G329,'ei names mapping'!$B$3:$R$3,0))</f>
        <v>unit</v>
      </c>
      <c r="F329" t="s">
        <v>89</v>
      </c>
      <c r="G329" t="s">
        <v>118</v>
      </c>
      <c r="H329" t="str">
        <f>INDEX('ei names mapping'!$B$71:$R$100,MATCH($B$3,'ei names mapping'!$A$4:$A$33,0),MATCH(G329,'ei names mapping'!$B$3:$R$3,0))</f>
        <v>maintenance, electric bicycle, without battery</v>
      </c>
    </row>
    <row r="330" spans="1:8" x14ac:dyDescent="0.2">
      <c r="A330" t="str">
        <f>INDEX('ei names mapping'!$B$4:$BL$33,MATCH($B$184,'ei names mapping'!$A$4:$A$33,0),MATCH(G330,'ei names mapping'!$B$3:$BL$3,0))</f>
        <v>treatment of road wear emissions, passenger car</v>
      </c>
      <c r="B330" s="7">
        <f>INDEX('vehicles specifications'!$B$3:$CW$166,MATCH(B301,'vehicles specifications'!$A$3:$A$166,0),MATCH(G330,'vehicles specifications'!$B$2:$CW$2,0))*INDEX('ei names mapping'!$B$137:$BL$300,MATCH(B301,'ei names mapping'!$A$137:$A$300,0),MATCH(G330,'ei names mapping'!$B$136:$BL$136,0))</f>
        <v>-4.1691090429791777E-6</v>
      </c>
      <c r="C330" t="str">
        <f>INDEX('ei names mapping'!$B$38:$BL$67,MATCH($B$184,'ei names mapping'!$A$4:$A$33,0),MATCH(G330,'ei names mapping'!$B$3:$BL$3,0))</f>
        <v>RER</v>
      </c>
      <c r="D330" t="str">
        <f>INDEX('ei names mapping'!$B$104:$BL$133,MATCH($B$184,'ei names mapping'!$A$4:$A$33,0),MATCH(G330,'ei names mapping'!$B$3:$BL$3,0))</f>
        <v>kilogram</v>
      </c>
      <c r="F330" t="s">
        <v>89</v>
      </c>
      <c r="G330" t="s">
        <v>29</v>
      </c>
      <c r="H330" t="str">
        <f>INDEX('ei names mapping'!$B$71:$BL$100,MATCH(B298,'ei names mapping'!$A$4:$A$33,0),MATCH(G330,'ei names mapping'!$B$3:$BL$3,0))</f>
        <v>road wear emissions, passenger car</v>
      </c>
    </row>
    <row r="331" spans="1:8" x14ac:dyDescent="0.2">
      <c r="A331" t="str">
        <f>INDEX('ei names mapping'!$B$4:$BL$33,MATCH($B$184,'ei names mapping'!$A$4:$A$33,0),MATCH(G331,'ei names mapping'!$B$3:$BL$3,0))</f>
        <v>treatment of tyre wear emissions, passenger car</v>
      </c>
      <c r="B331" s="7">
        <f>INDEX('vehicles specifications'!$B$3:$CW$166,MATCH(B301,'vehicles specifications'!$A$3:$A$166,0),MATCH(G331,'vehicles specifications'!$B$2:$CW$2,0))*INDEX('ei names mapping'!$B$137:$BL$300,MATCH(B301,'ei names mapping'!$A$137:$A$300,0),MATCH(G331,'ei names mapping'!$B$136:$BL$136,0))</f>
        <v>-4.1070499667251542E-6</v>
      </c>
      <c r="C331" t="str">
        <f>INDEX('ei names mapping'!$B$38:$BL$67,MATCH($B$184,'ei names mapping'!$A$4:$A$33,0),MATCH(G331,'ei names mapping'!$B$3:$BL$3,0))</f>
        <v>RER</v>
      </c>
      <c r="D331" t="str">
        <f>INDEX('ei names mapping'!$B$104:$BL$133,MATCH($B$184,'ei names mapping'!$A$4:$A$33,0),MATCH(G331,'ei names mapping'!$B$3:$BL$3,0))</f>
        <v>kilogram</v>
      </c>
      <c r="F331" t="s">
        <v>89</v>
      </c>
      <c r="G331" t="s">
        <v>30</v>
      </c>
      <c r="H331" t="str">
        <f>INDEX('ei names mapping'!$B$71:$BL$100,MATCH($B$184,'ei names mapping'!$A$4:$A$33,0),MATCH(G331,'ei names mapping'!$B$3:$BL$3,0))</f>
        <v>tyre wear emissions, passenger car</v>
      </c>
    </row>
    <row r="332" spans="1:8" x14ac:dyDescent="0.2">
      <c r="A332" t="str">
        <f>INDEX('ei names mapping'!$B$4:$BL$33,MATCH($B$184,'ei names mapping'!$A$4:$A$33,0),MATCH(G332,'ei names mapping'!$B$3:$BL$3,0))</f>
        <v>treatment of brake wear emissions, passenger car</v>
      </c>
      <c r="B332" s="7">
        <f>INDEX('vehicles specifications'!$B$3:$CW$166,MATCH(B301,'vehicles specifications'!$A$3:$A$166,0),MATCH(G332,'vehicles specifications'!$B$2:$CW$2,0))*INDEX('ei names mapping'!$B$137:$BL$300,MATCH(B301,'ei names mapping'!$A$137:$A$300,0),MATCH(G332,'ei names mapping'!$B$136:$BL$136,0))</f>
        <v>-3.8175668936151024E-6</v>
      </c>
      <c r="C332" t="str">
        <f>INDEX('ei names mapping'!$B$38:$BL$67,MATCH($B$184,'ei names mapping'!$A$4:$A$33,0),MATCH(G332,'ei names mapping'!$B$3:$BL$3,0))</f>
        <v>RER</v>
      </c>
      <c r="D332" t="str">
        <f>INDEX('ei names mapping'!$B$104:$BL$133,MATCH($B$184,'ei names mapping'!$A$4:$A$33,0),MATCH(G332,'ei names mapping'!$B$3:$BL$3,0))</f>
        <v>kilogram</v>
      </c>
      <c r="F332" t="s">
        <v>89</v>
      </c>
      <c r="G332" t="s">
        <v>31</v>
      </c>
      <c r="H332" t="str">
        <f>INDEX('ei names mapping'!$B$71:$BL$100,MATCH($B$184,'ei names mapping'!$A$4:$A$33,0),MATCH(G332,'ei names mapping'!$B$3:$BL$3,0))</f>
        <v>brake wear emissions, passenger car</v>
      </c>
    </row>
  </sheetData>
  <pageMargins left="0.7" right="0.7" top="0.75" bottom="0.75" header="0.3" footer="0.3"/>
  <pageSetup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332"/>
  <sheetViews>
    <sheetView topLeftCell="A316" workbookViewId="0">
      <selection activeCell="A346" sqref="A34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(&lt;25 km/h), LFP battery, 2020</v>
      </c>
    </row>
    <row r="2" spans="1:2" x14ac:dyDescent="0.2">
      <c r="A2" t="s">
        <v>72</v>
      </c>
      <c r="B2" t="s">
        <v>37</v>
      </c>
    </row>
    <row r="3" spans="1:2" x14ac:dyDescent="0.2">
      <c r="A3" t="s">
        <v>86</v>
      </c>
      <c r="B3" t="s">
        <v>489</v>
      </c>
    </row>
    <row r="4" spans="1:2" x14ac:dyDescent="0.2">
      <c r="A4" t="s">
        <v>87</v>
      </c>
    </row>
    <row r="5" spans="1:2" x14ac:dyDescent="0.2">
      <c r="A5" t="s">
        <v>88</v>
      </c>
      <c r="B5">
        <v>2020</v>
      </c>
    </row>
    <row r="6" spans="1:2" x14ac:dyDescent="0.2">
      <c r="A6" t="s">
        <v>126</v>
      </c>
      <c r="B6" t="str">
        <f>B3&amp;" - "&amp;B5&amp;" - "&amp;B18&amp;" - "&amp;B2</f>
        <v>Bicycle, electric (&lt;25 km/h) - 2020 - LFP - CH</v>
      </c>
    </row>
    <row r="7" spans="1:2" x14ac:dyDescent="0.2">
      <c r="A7" t="s">
        <v>73</v>
      </c>
      <c r="B7" t="str">
        <f>B3</f>
        <v>Bicycle, electric (&lt;25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f>INDEX('vehicles specifications'!$B$3:$CW$166,MATCH(B6,'vehicles specifications'!$A$3:$A$166,0),MATCH("Curb mass [kg]",'vehicles specifications'!$B$2:$CW$2,0))</f>
        <v>24</v>
      </c>
    </row>
    <row r="17" spans="1:8" x14ac:dyDescent="0.2">
      <c r="A17" t="s">
        <v>133</v>
      </c>
      <c r="B17">
        <f>INDEX('vehicles specifications'!$B$3:$CW$166,MATCH(B6,'vehicles specifications'!$A$3:$A$166,0),MATCH("Power [kW]",'vehicles specifications'!$B$2:$CW$2,0))</f>
        <v>0.25</v>
      </c>
    </row>
    <row r="18" spans="1:8" x14ac:dyDescent="0.2">
      <c r="A18" t="s">
        <v>652</v>
      </c>
      <c r="B18" s="20" t="s">
        <v>44</v>
      </c>
    </row>
    <row r="19" spans="1:8" x14ac:dyDescent="0.2">
      <c r="A19" t="s">
        <v>134</v>
      </c>
      <c r="B19">
        <f>INDEX('vehicles specifications'!$B$3:$CW$166,MATCH(B6,'vehicles specifications'!$A$3:$A$166,0),MATCH("Energy battery mass [kg]",'vehicles specifications'!$B$2:$CW$2,0))</f>
        <v>4</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58.368978251949123</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(&lt;25 km/h), LFP battery, 2020</v>
      </c>
      <c r="B33">
        <v>1</v>
      </c>
      <c r="C33" t="str">
        <f>B2</f>
        <v>CH</v>
      </c>
      <c r="D33" t="str">
        <f>B9</f>
        <v>unit</v>
      </c>
      <c r="F33" t="s">
        <v>84</v>
      </c>
      <c r="G33" t="s">
        <v>85</v>
      </c>
      <c r="H33" t="str">
        <f>B3</f>
        <v>Bicycle, electric (&lt;25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0.94117647058823528</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759</v>
      </c>
      <c r="B37" s="4">
        <f>INDEX('vehicles specifications'!$B$3:$CW$166,MATCH(B6,'vehicles specifications'!$A$3:$A$166,0),MATCH(G37,'vehicles specifications'!$B$2:$CW$2,0))*INDEX('ei names mapping'!$B$137:$BL$300,MATCH(B6,'ei names mapping'!$A$137:$A$300,0),MATCH(G37,'ei names mapping'!$B$136:$BL$136,0))</f>
        <v>6.666666666666667</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1.3333333333333335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-0.66666666666666663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24</v>
      </c>
      <c r="C43" t="s">
        <v>92</v>
      </c>
      <c r="D43" t="s">
        <v>233</v>
      </c>
      <c r="F43" t="s">
        <v>89</v>
      </c>
      <c r="H43" s="13" t="s">
        <v>841</v>
      </c>
    </row>
    <row r="44" spans="1:8" x14ac:dyDescent="0.2">
      <c r="A44" s="13" t="s">
        <v>441</v>
      </c>
      <c r="B44" s="2">
        <f>(B16/1000)*B28</f>
        <v>381.6</v>
      </c>
      <c r="C44" t="s">
        <v>95</v>
      </c>
      <c r="D44" t="s">
        <v>233</v>
      </c>
      <c r="F44" t="s">
        <v>89</v>
      </c>
      <c r="H44" s="13" t="s">
        <v>441</v>
      </c>
    </row>
    <row r="45" spans="1:8" x14ac:dyDescent="0.2">
      <c r="B45" s="11"/>
    </row>
    <row r="46" spans="1:8" ht="16" x14ac:dyDescent="0.2">
      <c r="A46" s="10" t="s">
        <v>71</v>
      </c>
      <c r="B46" s="8" t="str">
        <f>B48&amp;", "&amp;B63&amp;" battery, "&amp;B50</f>
        <v>Bicycle, electric (&lt;25 km/h), LFP battery, 2030</v>
      </c>
    </row>
    <row r="47" spans="1:8" x14ac:dyDescent="0.2">
      <c r="A47" t="s">
        <v>72</v>
      </c>
      <c r="B47" t="s">
        <v>37</v>
      </c>
    </row>
    <row r="48" spans="1:8" x14ac:dyDescent="0.2">
      <c r="A48" t="s">
        <v>86</v>
      </c>
      <c r="B48" t="s">
        <v>489</v>
      </c>
    </row>
    <row r="49" spans="1:2" x14ac:dyDescent="0.2">
      <c r="A49" t="s">
        <v>87</v>
      </c>
    </row>
    <row r="50" spans="1:2" x14ac:dyDescent="0.2">
      <c r="A50" t="s">
        <v>88</v>
      </c>
      <c r="B50">
        <v>2030</v>
      </c>
    </row>
    <row r="51" spans="1:2" x14ac:dyDescent="0.2">
      <c r="A51" t="s">
        <v>126</v>
      </c>
      <c r="B51" t="str">
        <f>B48&amp;" - "&amp;B50&amp;" - "&amp;B63&amp;" - "&amp;B47</f>
        <v>Bicycle, electric (&lt;25 km/h) - 2030 - LFP - CH</v>
      </c>
    </row>
    <row r="52" spans="1:2" x14ac:dyDescent="0.2">
      <c r="A52" t="s">
        <v>73</v>
      </c>
      <c r="B52" t="str">
        <f>B48</f>
        <v>Bicycle, electric (&lt;25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24.75333333333333</v>
      </c>
    </row>
    <row r="62" spans="1:2" x14ac:dyDescent="0.2">
      <c r="A62" t="s">
        <v>133</v>
      </c>
      <c r="B62">
        <f>INDEX('vehicles specifications'!$B$3:$CW$166,MATCH(B51,'vehicles specifications'!$A$3:$A$166,0),MATCH("Power [kW]",'vehicles specifications'!$B$2:$CW$2,0))</f>
        <v>0.25</v>
      </c>
    </row>
    <row r="63" spans="1:2" x14ac:dyDescent="0.2">
      <c r="A63" t="s">
        <v>652</v>
      </c>
      <c r="B63" s="20" t="s">
        <v>44</v>
      </c>
    </row>
    <row r="64" spans="1:2" x14ac:dyDescent="0.2">
      <c r="A64" t="s">
        <v>134</v>
      </c>
      <c r="B64">
        <f>INDEX('vehicles specifications'!$B$3:$CW$166,MATCH(B51,'vehicles specifications'!$A$3:$A$166,0),MATCH("Energy battery mass [kg]",'vehicles specifications'!$B$2:$CW$2,0))</f>
        <v>5.3333333333333339</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93.390365203118606</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24.8 kg. Lightweighting of glider: 3%. Emission standard: None. Service visits throughout lifetime: 1.3. Range: 93 km. Battery capacity: 0.8 kWh. Available battery capacity: 0.64 kWh. Battery mass: 5.3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(&lt;25 km/h), LFP battery, 2030</v>
      </c>
      <c r="B78">
        <v>1</v>
      </c>
      <c r="C78" t="str">
        <f>B47</f>
        <v>CH</v>
      </c>
      <c r="D78" t="str">
        <f>B54</f>
        <v>unit</v>
      </c>
      <c r="F78" t="s">
        <v>84</v>
      </c>
      <c r="G78" t="s">
        <v>85</v>
      </c>
      <c r="H78" t="str">
        <f>B48</f>
        <v>Bicycle, electric (&lt;25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0.94117647058823528</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0.48</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759</v>
      </c>
      <c r="B82" s="4">
        <f>INDEX('vehicles specifications'!$B$3:$CW$166,MATCH(B51,'vehicles specifications'!$A$3:$A$166,0),MATCH(G82,'vehicles specifications'!$B$2:$CW$2,0))*INDEX('ei names mapping'!$B$137:$BL$300,MATCH(B51,'ei names mapping'!$A$137:$A$300,0),MATCH(G82,'ei names mapping'!$B$136:$BL$136,0))</f>
        <v>6.666666666666667</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1.3333333333333335</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-0.64666666666666661</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-8</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24.75333333333333</v>
      </c>
      <c r="C88" t="s">
        <v>92</v>
      </c>
      <c r="D88" t="s">
        <v>233</v>
      </c>
      <c r="F88" t="s">
        <v>89</v>
      </c>
      <c r="H88" s="13" t="s">
        <v>841</v>
      </c>
    </row>
    <row r="89" spans="1:8" x14ac:dyDescent="0.2">
      <c r="A89" s="13" t="s">
        <v>441</v>
      </c>
      <c r="B89" s="2">
        <f>(B61/1000)*B73</f>
        <v>393.57799999999992</v>
      </c>
      <c r="C89" t="s">
        <v>95</v>
      </c>
      <c r="D89" t="s">
        <v>233</v>
      </c>
      <c r="F89" t="s">
        <v>89</v>
      </c>
      <c r="H89" s="13" t="s">
        <v>441</v>
      </c>
    </row>
    <row r="91" spans="1:8" ht="16" x14ac:dyDescent="0.2">
      <c r="A91" s="10" t="s">
        <v>71</v>
      </c>
      <c r="B91" s="8" t="str">
        <f>B93&amp;", "&amp;B108&amp;" battery, "&amp;B95</f>
        <v>Bicycle, electric (&lt;25 km/h), LFP battery, 2040</v>
      </c>
    </row>
    <row r="92" spans="1:8" x14ac:dyDescent="0.2">
      <c r="A92" t="s">
        <v>72</v>
      </c>
      <c r="B92" t="s">
        <v>37</v>
      </c>
    </row>
    <row r="93" spans="1:8" x14ac:dyDescent="0.2">
      <c r="A93" t="s">
        <v>86</v>
      </c>
      <c r="B93" t="s">
        <v>489</v>
      </c>
    </row>
    <row r="94" spans="1:8" x14ac:dyDescent="0.2">
      <c r="A94" t="s">
        <v>87</v>
      </c>
    </row>
    <row r="95" spans="1:8" x14ac:dyDescent="0.2">
      <c r="A95" t="s">
        <v>88</v>
      </c>
      <c r="B95">
        <v>2040</v>
      </c>
    </row>
    <row r="96" spans="1:8" x14ac:dyDescent="0.2">
      <c r="A96" t="s">
        <v>126</v>
      </c>
      <c r="B96" t="str">
        <f>B93&amp;" - "&amp;B95&amp;" - "&amp;B108&amp;" - "&amp;B92</f>
        <v>Bicycle, electric (&lt;25 km/h) - 2040 - LFP - CH</v>
      </c>
    </row>
    <row r="97" spans="1:2" x14ac:dyDescent="0.2">
      <c r="A97" t="s">
        <v>73</v>
      </c>
      <c r="B97" t="str">
        <f>B93</f>
        <v>Bicycle, electric (&lt;25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25.666666666666664</v>
      </c>
    </row>
    <row r="107" spans="1:2" x14ac:dyDescent="0.2">
      <c r="A107" t="s">
        <v>133</v>
      </c>
      <c r="B107">
        <f>INDEX('vehicles specifications'!$B$3:$CW$166,MATCH(B96,'vehicles specifications'!$A$3:$A$166,0),MATCH("Power [kW]",'vehicles specifications'!$B$2:$CW$2,0))</f>
        <v>0.25</v>
      </c>
    </row>
    <row r="108" spans="1:2" x14ac:dyDescent="0.2">
      <c r="A108" t="s">
        <v>652</v>
      </c>
      <c r="B108" s="20" t="s">
        <v>44</v>
      </c>
    </row>
    <row r="109" spans="1:2" x14ac:dyDescent="0.2">
      <c r="A109" t="s">
        <v>134</v>
      </c>
      <c r="B109">
        <f>INDEX('vehicles specifications'!$B$3:$CW$166,MATCH(B96,'vehicles specifications'!$A$3:$A$166,0),MATCH("Energy battery mass [kg]",'vehicles specifications'!$B$2:$CW$2,0))</f>
        <v>6.6666666666666661</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116.73795650389825</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25.7 kg. Lightweighting of glider: 5%. Emission standard: None. Service visits throughout lifetime: 1.3. Range: 117 km. Battery capacity: 1 kWh. Available battery capacity: 0.8 kWh. Battery mass: 6.7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(&lt;25 km/h), LFP battery, 2040</v>
      </c>
      <c r="B123">
        <v>1</v>
      </c>
      <c r="C123" t="str">
        <f>B92</f>
        <v>CH</v>
      </c>
      <c r="D123" t="str">
        <f>B99</f>
        <v>unit</v>
      </c>
      <c r="F123" t="s">
        <v>84</v>
      </c>
      <c r="G123" t="s">
        <v>85</v>
      </c>
      <c r="H123" t="str">
        <f>B93</f>
        <v>Bicycle, electric (&lt;25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0.94117647058823528</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0.8</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759</v>
      </c>
      <c r="B127" s="4">
        <f>INDEX('vehicles specifications'!$B$3:$CW$166,MATCH(B96,'vehicles specifications'!$A$3:$A$166,0),MATCH(G127,'vehicles specifications'!$B$2:$CW$2,0))*INDEX('ei names mapping'!$B$137:$BL$300,MATCH(B96,'ei names mapping'!$A$137:$A$300,0),MATCH(G127,'ei names mapping'!$B$136:$BL$136,0))</f>
        <v>6.9444444444444446</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1.3888888888888888</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-0.6333333333333333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-8.3333333333333321</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25.666666666666664</v>
      </c>
      <c r="C133" t="s">
        <v>92</v>
      </c>
      <c r="D133" t="s">
        <v>233</v>
      </c>
      <c r="F133" t="s">
        <v>89</v>
      </c>
      <c r="H133" s="13" t="s">
        <v>841</v>
      </c>
    </row>
    <row r="134" spans="1:8" x14ac:dyDescent="0.2">
      <c r="A134" s="13" t="s">
        <v>441</v>
      </c>
      <c r="B134" s="2">
        <f>(B106/1000)*B118</f>
        <v>408.09999999999997</v>
      </c>
      <c r="C134" t="s">
        <v>95</v>
      </c>
      <c r="D134" t="s">
        <v>233</v>
      </c>
      <c r="F134" t="s">
        <v>89</v>
      </c>
      <c r="H134" s="13" t="s">
        <v>441</v>
      </c>
    </row>
    <row r="136" spans="1:8" ht="16" x14ac:dyDescent="0.2">
      <c r="A136" s="10" t="s">
        <v>71</v>
      </c>
      <c r="B136" s="8" t="str">
        <f>B138&amp;", "&amp;B153&amp;" battery, "&amp;B140</f>
        <v>Bicycle, electric (&lt;25 km/h), LFP battery, 2050</v>
      </c>
    </row>
    <row r="137" spans="1:8" x14ac:dyDescent="0.2">
      <c r="A137" t="s">
        <v>72</v>
      </c>
      <c r="B137" t="s">
        <v>37</v>
      </c>
    </row>
    <row r="138" spans="1:8" x14ac:dyDescent="0.2">
      <c r="A138" t="s">
        <v>86</v>
      </c>
      <c r="B138" t="s">
        <v>489</v>
      </c>
    </row>
    <row r="139" spans="1:8" x14ac:dyDescent="0.2">
      <c r="A139" t="s">
        <v>87</v>
      </c>
    </row>
    <row r="140" spans="1:8" x14ac:dyDescent="0.2">
      <c r="A140" t="s">
        <v>88</v>
      </c>
      <c r="B140">
        <v>2050</v>
      </c>
    </row>
    <row r="141" spans="1:8" x14ac:dyDescent="0.2">
      <c r="A141" t="s">
        <v>126</v>
      </c>
      <c r="B141" t="str">
        <f>B138&amp;" - "&amp;B140&amp;" - "&amp;B153&amp;" - "&amp;B137</f>
        <v>Bicycle, electric (&lt;25 km/h) - 2050 - LFP - CH</v>
      </c>
    </row>
    <row r="142" spans="1:8" x14ac:dyDescent="0.2">
      <c r="A142" t="s">
        <v>73</v>
      </c>
      <c r="B142" t="str">
        <f>B138</f>
        <v>Bicycle, electric (&lt;25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27.58</v>
      </c>
    </row>
    <row r="152" spans="1:2" x14ac:dyDescent="0.2">
      <c r="A152" t="s">
        <v>133</v>
      </c>
      <c r="B152">
        <f>INDEX('vehicles specifications'!$B$3:$CW$166,MATCH(B141,'vehicles specifications'!$A$3:$A$166,0),MATCH("Power [kW]",'vehicles specifications'!$B$2:$CW$2,0))</f>
        <v>0.25</v>
      </c>
    </row>
    <row r="153" spans="1:2" x14ac:dyDescent="0.2">
      <c r="A153" t="s">
        <v>652</v>
      </c>
      <c r="B153" s="20" t="s">
        <v>44</v>
      </c>
    </row>
    <row r="154" spans="1:2" x14ac:dyDescent="0.2">
      <c r="A154" t="s">
        <v>134</v>
      </c>
      <c r="B154">
        <f>INDEX('vehicles specifications'!$B$3:$CW$166,MATCH(B141,'vehicles specifications'!$A$3:$A$166,0),MATCH("Energy battery mass [kg]",'vehicles specifications'!$B$2:$CW$2,0))</f>
        <v>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175.10693475584739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27.6 kg. Lightweighting of glider: 7%. Emission standard: None. Service visits throughout lifetime: 1.3. Range: 175 km. Battery capacity: 1.5 kWh. Available battery capacity: 1.2 kWh. Battery mass: 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(&lt;25 km/h), LFP battery, 2050</v>
      </c>
      <c r="B168">
        <v>1</v>
      </c>
      <c r="C168" t="str">
        <f>B137</f>
        <v>CH</v>
      </c>
      <c r="D168" t="str">
        <f>B144</f>
        <v>unit</v>
      </c>
      <c r="F168" t="s">
        <v>84</v>
      </c>
      <c r="G168" t="s">
        <v>85</v>
      </c>
      <c r="H168" t="str">
        <f>B138</f>
        <v>Bicycle, electric (&lt;25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0.94117647058823528</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1.1200000000000001</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759</v>
      </c>
      <c r="B172" s="4">
        <f>INDEX('vehicles specifications'!$B$3:$CW$166,MATCH(B141,'vehicles specifications'!$A$3:$A$166,0),MATCH(G172,'vehicles specifications'!$B$2:$CW$2,0))*INDEX('ei names mapping'!$B$137:$BL$300,MATCH(B141,'ei names mapping'!$A$137:$A$300,0),MATCH(G172,'ei names mapping'!$B$136:$BL$136,0))</f>
        <v>7.5</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1.5</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-0.61999999999999988</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27.58</v>
      </c>
      <c r="C178" t="s">
        <v>92</v>
      </c>
      <c r="D178" t="s">
        <v>233</v>
      </c>
      <c r="F178" t="s">
        <v>89</v>
      </c>
      <c r="H178" s="13" t="s">
        <v>841</v>
      </c>
    </row>
    <row r="179" spans="1:8" x14ac:dyDescent="0.2">
      <c r="A179" s="13" t="s">
        <v>441</v>
      </c>
      <c r="B179" s="2">
        <f>(B151/1000)*B163</f>
        <v>438.52199999999993</v>
      </c>
      <c r="C179" t="s">
        <v>95</v>
      </c>
      <c r="D179" t="s">
        <v>233</v>
      </c>
      <c r="F179" t="s">
        <v>89</v>
      </c>
      <c r="H179" s="13" t="s">
        <v>441</v>
      </c>
    </row>
    <row r="182" spans="1:8" ht="16" x14ac:dyDescent="0.2">
      <c r="A182" s="10" t="s">
        <v>71</v>
      </c>
      <c r="B182" s="8" t="str">
        <f>"transport, "&amp;B184&amp;", "&amp;B199&amp;" battery, "&amp;B186</f>
        <v>transport, Bicycle, electric (&lt;25 km/h), LFP battery, 2020</v>
      </c>
    </row>
    <row r="183" spans="1:8" x14ac:dyDescent="0.2">
      <c r="A183" t="s">
        <v>72</v>
      </c>
      <c r="B183" t="s">
        <v>37</v>
      </c>
    </row>
    <row r="184" spans="1:8" x14ac:dyDescent="0.2">
      <c r="A184" t="s">
        <v>86</v>
      </c>
      <c r="B184" t="s">
        <v>489</v>
      </c>
    </row>
    <row r="185" spans="1:8" x14ac:dyDescent="0.2">
      <c r="A185" t="s">
        <v>87</v>
      </c>
    </row>
    <row r="186" spans="1:8" x14ac:dyDescent="0.2">
      <c r="A186" t="s">
        <v>88</v>
      </c>
      <c r="B186">
        <v>2020</v>
      </c>
    </row>
    <row r="187" spans="1:8" x14ac:dyDescent="0.2">
      <c r="A187" t="s">
        <v>126</v>
      </c>
      <c r="B187" t="str">
        <f>B184&amp;" - "&amp;B186&amp;" - "&amp;B199&amp;" - "&amp;B183</f>
        <v>Bicycle, electric (&lt;25 km/h) - 2020 - LFP - CH</v>
      </c>
    </row>
    <row r="188" spans="1:8" x14ac:dyDescent="0.2">
      <c r="A188" t="s">
        <v>73</v>
      </c>
      <c r="B188" t="str">
        <f>"transport, "&amp;B184</f>
        <v>transport, Bicycle, electric (&lt;25 km/h)</v>
      </c>
    </row>
    <row r="189" spans="1:8" x14ac:dyDescent="0.2">
      <c r="A189" t="s">
        <v>74</v>
      </c>
      <c r="B189" t="s">
        <v>75</v>
      </c>
    </row>
    <row r="190" spans="1:8" x14ac:dyDescent="0.2">
      <c r="A190" t="s">
        <v>76</v>
      </c>
      <c r="B190" t="s">
        <v>166</v>
      </c>
    </row>
    <row r="191" spans="1:8" x14ac:dyDescent="0.2">
      <c r="A191" t="s">
        <v>78</v>
      </c>
      <c r="B191" t="s">
        <v>1143</v>
      </c>
    </row>
    <row r="192" spans="1:8" x14ac:dyDescent="0.2">
      <c r="A192" t="s">
        <v>127</v>
      </c>
      <c r="B192">
        <f>INDEX('vehicles specifications'!$B$3:$CW$166,MATCH(B187,'vehicles specifications'!$A$3:$A$166,0),MATCH("Lifetime [km]",'vehicles specifications'!$B$2:$CW$2,0))</f>
        <v>20000</v>
      </c>
    </row>
    <row r="193" spans="1:2" x14ac:dyDescent="0.2">
      <c r="A193" t="s">
        <v>128</v>
      </c>
      <c r="B193">
        <f>INDEX('vehicles specifications'!$B$3:$CW$166,MATCH(B187,'vehicles specifications'!$A$3:$A$166,0),MATCH("Passengers [unit]",'vehicles specifications'!$B$2:$CW$2,0))</f>
        <v>1</v>
      </c>
    </row>
    <row r="194" spans="1:2" x14ac:dyDescent="0.2">
      <c r="A194" t="s">
        <v>129</v>
      </c>
      <c r="B194">
        <f>INDEX('vehicles specifications'!$B$3:$CW$166,MATCH(B187,'vehicles specifications'!$A$3:$A$166,0),MATCH("Servicing [unit]",'vehicles specifications'!$B$2:$CW$2,0))</f>
        <v>1.3333333333333333</v>
      </c>
    </row>
    <row r="195" spans="1:2" x14ac:dyDescent="0.2">
      <c r="A195" t="s">
        <v>130</v>
      </c>
      <c r="B195">
        <f>INDEX('vehicles specifications'!$B$3:$CW$166,MATCH(B187,'vehicles specifications'!$A$3:$A$166,0),MATCH("Energy battery replacement [unit]",'vehicles specifications'!$B$2:$CW$2,0))</f>
        <v>1</v>
      </c>
    </row>
    <row r="196" spans="1:2" x14ac:dyDescent="0.2">
      <c r="A196" t="s">
        <v>131</v>
      </c>
      <c r="B196">
        <f>INDEX('vehicles specifications'!$B$3:$CW$166,MATCH(B187,'vehicles specifications'!$A$3:$A$166,0),MATCH("Annual kilometers [km]",'vehicles specifications'!$B$2:$CW$2,0))</f>
        <v>2000</v>
      </c>
    </row>
    <row r="197" spans="1:2" x14ac:dyDescent="0.2">
      <c r="A197" t="s">
        <v>132</v>
      </c>
      <c r="B197">
        <f>INDEX('vehicles specifications'!$B$3:$CW$166,MATCH(B187,'vehicles specifications'!$A$3:$A$166,0),MATCH("Curb mass [kg]",'vehicles specifications'!$B$2:$CW$2,0))</f>
        <v>24</v>
      </c>
    </row>
    <row r="198" spans="1:2" x14ac:dyDescent="0.2">
      <c r="A198" t="s">
        <v>133</v>
      </c>
      <c r="B198">
        <f>INDEX('vehicles specifications'!$B$3:$CW$166,MATCH(B187,'vehicles specifications'!$A$3:$A$166,0),MATCH("Power [kW]",'vehicles specifications'!$B$2:$CW$2,0))</f>
        <v>0.25</v>
      </c>
    </row>
    <row r="199" spans="1:2" x14ac:dyDescent="0.2">
      <c r="A199" t="s">
        <v>652</v>
      </c>
      <c r="B199" s="20" t="s">
        <v>44</v>
      </c>
    </row>
    <row r="200" spans="1:2" x14ac:dyDescent="0.2">
      <c r="A200" t="s">
        <v>134</v>
      </c>
      <c r="B200">
        <f>INDEX('vehicles specifications'!$B$3:$CW$166,MATCH(B187,'vehicles specifications'!$A$3:$A$166,0),MATCH("Energy battery mass [kg]",'vehicles specifications'!$B$2:$CW$2,0))</f>
        <v>4</v>
      </c>
    </row>
    <row r="201" spans="1:2" x14ac:dyDescent="0.2">
      <c r="A201" t="s">
        <v>135</v>
      </c>
      <c r="B201">
        <f>INDEX('vehicles specifications'!$B$3:$CW$166,MATCH(B187,'vehicles specifications'!$A$3:$A$166,0),MATCH("Electric energy stored [kWh]",'vehicles specifications'!$B$2:$CW$2,0))</f>
        <v>0.5</v>
      </c>
    </row>
    <row r="202" spans="1:2" x14ac:dyDescent="0.2">
      <c r="A202" t="s">
        <v>588</v>
      </c>
      <c r="B202">
        <f>INDEX('vehicles specifications'!$B$3:$CW$166,MATCH(B187,'vehicles specifications'!$A$3:$A$166,0),MATCH("Electric energy available [kWh]",'vehicles specifications'!$B$2:$CW$2,0))</f>
        <v>0.4</v>
      </c>
    </row>
    <row r="203" spans="1:2" x14ac:dyDescent="0.2">
      <c r="A203" t="s">
        <v>138</v>
      </c>
      <c r="B203">
        <f>INDEX('vehicles specifications'!$B$3:$CW$166,MATCH(B187,'vehicles specifications'!$A$3:$A$166,0),MATCH("Oxydation energy stored [kWh]",'vehicles specifications'!$B$2:$CW$2,0))</f>
        <v>0</v>
      </c>
    </row>
    <row r="204" spans="1:2" x14ac:dyDescent="0.2">
      <c r="A204" t="s">
        <v>139</v>
      </c>
      <c r="B204">
        <f>INDEX('vehicles specifications'!$B$3:$CW$166,MATCH(B187,'vehicles specifications'!$A$3:$A$166,0),MATCH("Fuel mass [kg]",'vehicles specifications'!$B$2:$CW$2,0))</f>
        <v>0</v>
      </c>
    </row>
    <row r="205" spans="1:2" x14ac:dyDescent="0.2">
      <c r="A205" t="s">
        <v>136</v>
      </c>
      <c r="B205" s="2">
        <f>INDEX('vehicles specifications'!$B$3:$CW$166,MATCH(B187,'vehicles specifications'!$A$3:$A$166,0),MATCH("Range [km]",'vehicles specifications'!$B$2:$CW$2,0))</f>
        <v>58.368978251949123</v>
      </c>
    </row>
    <row r="206" spans="1:2" x14ac:dyDescent="0.2">
      <c r="A206" t="s">
        <v>137</v>
      </c>
      <c r="B206" t="str">
        <f>INDEX('vehicles specifications'!$B$3:$CW$166,MATCH(B187,'vehicles specifications'!$A$3:$A$166,0),MATCH("Emission standard",'vehicles specifications'!$B$2:$CW$2,0))</f>
        <v>None</v>
      </c>
    </row>
    <row r="207" spans="1:2" x14ac:dyDescent="0.2">
      <c r="A207" t="s">
        <v>1174</v>
      </c>
      <c r="B207" s="6">
        <f>INDEX('vehicles specifications'!$B$3:$CW$166,MATCH(B187,'vehicles specifications'!$A$3:$A$166,0),MATCH("Lightweighting rate [%]",'vehicles specifications'!$B$2:$CW$2,0))</f>
        <v>0</v>
      </c>
    </row>
    <row r="208" spans="1:2" x14ac:dyDescent="0.2">
      <c r="A208" t="s">
        <v>83</v>
      </c>
      <c r="B208"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24 kg. Lightweighting of glider: 0%. Emission standard: None. Service visits throughout lifetime: 1.3. Range: 58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6" x14ac:dyDescent="0.2">
      <c r="A209" s="10" t="s">
        <v>79</v>
      </c>
    </row>
    <row r="210" spans="1:8" x14ac:dyDescent="0.2">
      <c r="A210" t="s">
        <v>80</v>
      </c>
      <c r="B210" t="s">
        <v>81</v>
      </c>
      <c r="C210" t="s">
        <v>72</v>
      </c>
      <c r="D210" t="s">
        <v>76</v>
      </c>
      <c r="E210" t="s">
        <v>82</v>
      </c>
      <c r="F210" t="s">
        <v>74</v>
      </c>
      <c r="G210" t="s">
        <v>83</v>
      </c>
      <c r="H210" t="s">
        <v>73</v>
      </c>
    </row>
    <row r="211" spans="1:8" x14ac:dyDescent="0.2">
      <c r="A211" t="str">
        <f>B182</f>
        <v>transport, Bicycle, electric (&lt;25 km/h), LFP battery, 2020</v>
      </c>
      <c r="B211">
        <v>1</v>
      </c>
      <c r="C211" t="str">
        <f>B183</f>
        <v>CH</v>
      </c>
      <c r="D211" t="s">
        <v>166</v>
      </c>
      <c r="F211" t="s">
        <v>84</v>
      </c>
      <c r="G211" t="s">
        <v>85</v>
      </c>
      <c r="H211" t="str">
        <f>B188</f>
        <v>transport, Bicycle, electric (&lt;25 km/h)</v>
      </c>
    </row>
    <row r="212" spans="1:8" x14ac:dyDescent="0.2">
      <c r="A212" t="str">
        <f>RIGHT(A211,LEN(A211)-11)</f>
        <v>Bicycle, electric (&lt;25 km/h), LFP battery, 2020</v>
      </c>
      <c r="B212" s="7">
        <f>1/B192</f>
        <v>5.0000000000000002E-5</v>
      </c>
      <c r="C212" t="str">
        <f>B183</f>
        <v>CH</v>
      </c>
      <c r="D212" t="s">
        <v>76</v>
      </c>
      <c r="F212" t="s">
        <v>89</v>
      </c>
      <c r="H212" t="str">
        <f>RIGHT(H211,LEN(H211)-11)</f>
        <v>Bicycle, electric (&lt;25 km/h)</v>
      </c>
    </row>
    <row r="213" spans="1:8" x14ac:dyDescent="0.2">
      <c r="A213" t="str">
        <f>INDEX('ei names mapping'!$B$4:$R$33,MATCH(B184,'ei names mapping'!$A$4:$A$33,0),MATCH(G213,'ei names mapping'!$B$3:$R$3,0))</f>
        <v>road construction</v>
      </c>
      <c r="B213" s="7">
        <f>INDEX('vehicles specifications'!$B$3:$CW$166,MATCH(B187,'vehicles specifications'!$A$3:$A$166,0),MATCH(G213,'vehicles specifications'!$B$2:$CW$2,0))*INDEX('ei names mapping'!$B$137:$BL$300,MATCH(B187,'ei names mapping'!$A$137:$A$300,0),MATCH(G213,'ei names mapping'!$B$136:$BL$136,0))</f>
        <v>5.3699999999999997E-5</v>
      </c>
      <c r="C213" t="str">
        <f>INDEX('ei names mapping'!$B$38:$R$67,MATCH(B184,'ei names mapping'!$A$4:$A$33,0),MATCH(G213,'ei names mapping'!$B$3:$R$3,0))</f>
        <v>CH</v>
      </c>
      <c r="D213" t="str">
        <f>INDEX('ei names mapping'!$B$104:$BL$133,MATCH(B184,'ei names mapping'!$A$4:$A$33,0),MATCH(G213,'ei names mapping'!$B$3:$BL$3,0))</f>
        <v>meter-year</v>
      </c>
      <c r="F213" t="s">
        <v>89</v>
      </c>
      <c r="G213" t="s">
        <v>105</v>
      </c>
      <c r="H213" t="str">
        <f>INDEX('ei names mapping'!$B$71:$BL$100,MATCH(B184,'ei names mapping'!$A$4:$A$33,0),MATCH(G213,'ei names mapping'!$B$3:$BL$3,0))</f>
        <v>road</v>
      </c>
    </row>
    <row r="214" spans="1:8" x14ac:dyDescent="0.2">
      <c r="A214" t="str">
        <f>INDEX('ei names mapping'!$B$4:$R$33,MATCH($B$3,'ei names mapping'!$A$4:$A$33,0),MATCH(G214,'ei names mapping'!$B$3:$R$3,0))</f>
        <v>market for electricity, low voltage</v>
      </c>
      <c r="B214" s="7">
        <f>INDEX('vehicles specifications'!$B$3:$CW$166,MATCH(B187,'vehicles specifications'!$A$3:$A$166,0),MATCH(G214,'vehicles specifications'!$B$2:$CW$2,0))*INDEX('ei names mapping'!$B$137:$BL$300,MATCH(B187,'ei names mapping'!$A$137:$A$300,0),MATCH(G214,'ei names mapping'!$B$136:$BL$136,0))</f>
        <v>7.5382508513468297E-3</v>
      </c>
      <c r="C214" t="str">
        <f>INDEX('ei names mapping'!$B$38:$R$67,MATCH($B$3,'ei names mapping'!$A$4:$A$33,0),MATCH(G214,'ei names mapping'!$B$3:$R$3,0))</f>
        <v>CH</v>
      </c>
      <c r="D214" t="str">
        <f>INDEX('ei names mapping'!$B$104:$R$133,MATCH($B$3,'ei names mapping'!$A$4:$A$33,0),MATCH(G214,'ei names mapping'!$B$3:$R$3,0))</f>
        <v>kilowatt hour</v>
      </c>
      <c r="F214" t="s">
        <v>89</v>
      </c>
      <c r="G214" t="s">
        <v>28</v>
      </c>
      <c r="H214" t="str">
        <f>INDEX('ei names mapping'!$B$71:$R$100,MATCH($B$3,'ei names mapping'!$A$4:$A$33,0),MATCH(G214,'ei names mapping'!$B$3:$R$3,0))</f>
        <v>electricity, low voltage</v>
      </c>
    </row>
    <row r="215" spans="1:8" x14ac:dyDescent="0.2">
      <c r="A215" t="str">
        <f>INDEX('ei names mapping'!$B$4:$R$33,MATCH($B$3,'ei names mapping'!$A$4:$A$33,0),MATCH(G215,'ei names mapping'!$B$3:$R$3,0))</f>
        <v>maintenance, electric bicycle, without battery</v>
      </c>
      <c r="B215" s="7">
        <f>INDEX('vehicles specifications'!$B$3:$CW$166,MATCH(B187,'vehicles specifications'!$A$3:$A$166,0),MATCH(G215,'vehicles specifications'!$B$2:$CW$2,0))*INDEX('ei names mapping'!$B$137:$BL$300,MATCH(B187,'ei names mapping'!$A$137:$A$300,0),MATCH(G215,'ei names mapping'!$B$136:$BL$136,0))</f>
        <v>6.666666666666667E-5</v>
      </c>
      <c r="C215" t="str">
        <f>INDEX('ei names mapping'!$B$38:$R$67,MATCH($B$3,'ei names mapping'!$A$4:$A$33,0),MATCH(G215,'ei names mapping'!$B$3:$R$3,0))</f>
        <v>CH</v>
      </c>
      <c r="D215" t="str">
        <f>INDEX('ei names mapping'!$B$104:$R$133,MATCH($B$3,'ei names mapping'!$A$4:$A$33,0),MATCH(G215,'ei names mapping'!$B$3:$R$3,0))</f>
        <v>unit</v>
      </c>
      <c r="F215" t="s">
        <v>89</v>
      </c>
      <c r="G215" t="s">
        <v>118</v>
      </c>
      <c r="H215" t="str">
        <f>INDEX('ei names mapping'!$B$71:$R$100,MATCH($B$3,'ei names mapping'!$A$4:$A$33,0),MATCH(G215,'ei names mapping'!$B$3:$R$3,0))</f>
        <v>maintenance, electric bicycle, without battery</v>
      </c>
    </row>
    <row r="216" spans="1:8" x14ac:dyDescent="0.2">
      <c r="A216" t="str">
        <f>INDEX('ei names mapping'!$B$4:$BL$33,MATCH($B$184,'ei names mapping'!$A$4:$A$33,0),MATCH(G216,'ei names mapping'!$B$3:$BL$3,0))</f>
        <v>treatment of road wear emissions, passenger car</v>
      </c>
      <c r="B216" s="7">
        <f>INDEX('vehicles specifications'!$B$3:$CW$166,MATCH(B187,'vehicles specifications'!$A$3:$A$166,0),MATCH(G216,'vehicles specifications'!$B$2:$CW$2,0))*INDEX('ei names mapping'!$B$137:$BL$300,MATCH(B187,'ei names mapping'!$A$137:$A$300,0),MATCH(G216,'ei names mapping'!$B$136:$BL$136,0))</f>
        <v>-4.2193920365175101E-6</v>
      </c>
      <c r="C216" t="str">
        <f>INDEX('ei names mapping'!$B$38:$BL$67,MATCH($B$184,'ei names mapping'!$A$4:$A$33,0),MATCH(G216,'ei names mapping'!$B$3:$BL$3,0))</f>
        <v>RER</v>
      </c>
      <c r="D216" t="str">
        <f>INDEX('ei names mapping'!$B$104:$BL$133,MATCH($B$184,'ei names mapping'!$A$4:$A$33,0),MATCH(G216,'ei names mapping'!$B$3:$BL$3,0))</f>
        <v>kilogram</v>
      </c>
      <c r="F216" t="s">
        <v>89</v>
      </c>
      <c r="G216" t="s">
        <v>29</v>
      </c>
      <c r="H216" t="str">
        <f>INDEX('ei names mapping'!$B$71:$BL$100,MATCH(B184,'ei names mapping'!$A$4:$A$33,0),MATCH(G216,'ei names mapping'!$B$3:$BL$3,0))</f>
        <v>road wear emissions, passenger car</v>
      </c>
    </row>
    <row r="217" spans="1:8" x14ac:dyDescent="0.2">
      <c r="A217" t="str">
        <f>INDEX('ei names mapping'!$B$4:$BL$33,MATCH($B$184,'ei names mapping'!$A$4:$A$33,0),MATCH(G217,'ei names mapping'!$B$3:$BL$3,0))</f>
        <v>treatment of tyre wear emissions, passenger car</v>
      </c>
      <c r="B217" s="7">
        <f>INDEX('vehicles specifications'!$B$3:$CW$166,MATCH(B187,'vehicles specifications'!$A$3:$A$166,0),MATCH(G217,'vehicles specifications'!$B$2:$CW$2,0))*INDEX('ei names mapping'!$B$137:$BL$300,MATCH(B187,'ei names mapping'!$A$137:$A$300,0),MATCH(G217,'ei names mapping'!$B$136:$BL$136,0))</f>
        <v>-4.1591895278234826E-6</v>
      </c>
      <c r="C217" t="str">
        <f>INDEX('ei names mapping'!$B$38:$BL$67,MATCH($B$184,'ei names mapping'!$A$4:$A$33,0),MATCH(G217,'ei names mapping'!$B$3:$BL$3,0))</f>
        <v>RER</v>
      </c>
      <c r="D217" t="str">
        <f>INDEX('ei names mapping'!$B$104:$BL$133,MATCH($B$184,'ei names mapping'!$A$4:$A$33,0),MATCH(G217,'ei names mapping'!$B$3:$BL$3,0))</f>
        <v>kilogram</v>
      </c>
      <c r="F217" t="s">
        <v>89</v>
      </c>
      <c r="G217" t="s">
        <v>30</v>
      </c>
      <c r="H217" t="str">
        <f>INDEX('ei names mapping'!$B$71:$BL$100,MATCH($B$184,'ei names mapping'!$A$4:$A$33,0),MATCH(G217,'ei names mapping'!$B$3:$BL$3,0))</f>
        <v>tyre wear emissions, passenger car</v>
      </c>
    </row>
    <row r="218" spans="1:8" x14ac:dyDescent="0.2">
      <c r="A218" t="str">
        <f>INDEX('ei names mapping'!$B$4:$BL$33,MATCH($B$184,'ei names mapping'!$A$4:$A$33,0),MATCH(G218,'ei names mapping'!$B$3:$BL$3,0))</f>
        <v>treatment of brake wear emissions, passenger car</v>
      </c>
      <c r="B218" s="7">
        <f>INDEX('vehicles specifications'!$B$3:$CW$166,MATCH(B187,'vehicles specifications'!$A$3:$A$166,0),MATCH(G218,'vehicles specifications'!$B$2:$CW$2,0))*INDEX('ei names mapping'!$B$137:$BL$300,MATCH(B187,'ei names mapping'!$A$137:$A$300,0),MATCH(G218,'ei names mapping'!$B$136:$BL$136,0))</f>
        <v>-3.86381934741146E-6</v>
      </c>
      <c r="C218" t="str">
        <f>INDEX('ei names mapping'!$B$38:$BL$67,MATCH($B$184,'ei names mapping'!$A$4:$A$33,0),MATCH(G218,'ei names mapping'!$B$3:$BL$3,0))</f>
        <v>RER</v>
      </c>
      <c r="D218" t="str">
        <f>INDEX('ei names mapping'!$B$104:$BL$133,MATCH($B$184,'ei names mapping'!$A$4:$A$33,0),MATCH(G218,'ei names mapping'!$B$3:$BL$3,0))</f>
        <v>kilogram</v>
      </c>
      <c r="F218" t="s">
        <v>89</v>
      </c>
      <c r="G218" t="s">
        <v>31</v>
      </c>
      <c r="H218" t="str">
        <f>INDEX('ei names mapping'!$B$71:$BL$100,MATCH($B$184,'ei names mapping'!$A$4:$A$33,0),MATCH(G218,'ei names mapping'!$B$3:$BL$3,0))</f>
        <v>brake wear emissions, passenger car</v>
      </c>
    </row>
    <row r="220" spans="1:8" ht="16" x14ac:dyDescent="0.2">
      <c r="A220" s="10" t="s">
        <v>71</v>
      </c>
      <c r="B220" s="8" t="str">
        <f>"transport, "&amp;B222&amp;", "&amp;B237&amp;" battery, "&amp;B224</f>
        <v>transport, Bicycle, electric (&lt;25 km/h), LFP battery, 2030</v>
      </c>
    </row>
    <row r="221" spans="1:8" x14ac:dyDescent="0.2">
      <c r="A221" t="s">
        <v>72</v>
      </c>
      <c r="B221" t="s">
        <v>37</v>
      </c>
    </row>
    <row r="222" spans="1:8" x14ac:dyDescent="0.2">
      <c r="A222" t="s">
        <v>86</v>
      </c>
      <c r="B222" t="s">
        <v>489</v>
      </c>
    </row>
    <row r="223" spans="1:8" x14ac:dyDescent="0.2">
      <c r="A223" t="s">
        <v>87</v>
      </c>
    </row>
    <row r="224" spans="1:8" x14ac:dyDescent="0.2">
      <c r="A224" t="s">
        <v>88</v>
      </c>
      <c r="B224">
        <v>2030</v>
      </c>
    </row>
    <row r="225" spans="1:2" x14ac:dyDescent="0.2">
      <c r="A225" t="s">
        <v>126</v>
      </c>
      <c r="B225" t="str">
        <f>B222&amp;" - "&amp;B224&amp;" - "&amp;B237&amp;" - "&amp;B221</f>
        <v>Bicycle, electric (&lt;25 km/h) - 2030 - LFP - CH</v>
      </c>
    </row>
    <row r="226" spans="1:2" x14ac:dyDescent="0.2">
      <c r="A226" t="s">
        <v>73</v>
      </c>
      <c r="B226" t="str">
        <f>"transport, "&amp;B222</f>
        <v>transport, Bicycle, electric (&lt;25 km/h)</v>
      </c>
    </row>
    <row r="227" spans="1:2" x14ac:dyDescent="0.2">
      <c r="A227" t="s">
        <v>74</v>
      </c>
      <c r="B227" t="s">
        <v>75</v>
      </c>
    </row>
    <row r="228" spans="1:2" x14ac:dyDescent="0.2">
      <c r="A228" t="s">
        <v>76</v>
      </c>
      <c r="B228" t="s">
        <v>166</v>
      </c>
    </row>
    <row r="229" spans="1:2" x14ac:dyDescent="0.2">
      <c r="A229" t="s">
        <v>78</v>
      </c>
      <c r="B229" t="s">
        <v>1143</v>
      </c>
    </row>
    <row r="230" spans="1:2" x14ac:dyDescent="0.2">
      <c r="A230" t="s">
        <v>127</v>
      </c>
      <c r="B230">
        <f>INDEX('vehicles specifications'!$B$3:$CW$166,MATCH(B225,'vehicles specifications'!$A$3:$A$166,0),MATCH("Lifetime [km]",'vehicles specifications'!$B$2:$CW$2,0))</f>
        <v>20000</v>
      </c>
    </row>
    <row r="231" spans="1:2" x14ac:dyDescent="0.2">
      <c r="A231" t="s">
        <v>128</v>
      </c>
      <c r="B231">
        <f>INDEX('vehicles specifications'!$B$3:$CW$166,MATCH(B225,'vehicles specifications'!$A$3:$A$166,0),MATCH("Passengers [unit]",'vehicles specifications'!$B$2:$CW$2,0))</f>
        <v>1</v>
      </c>
    </row>
    <row r="232" spans="1:2" x14ac:dyDescent="0.2">
      <c r="A232" t="s">
        <v>129</v>
      </c>
      <c r="B232">
        <f>INDEX('vehicles specifications'!$B$3:$CW$166,MATCH(B225,'vehicles specifications'!$A$3:$A$166,0),MATCH("Servicing [unit]",'vehicles specifications'!$B$2:$CW$2,0))</f>
        <v>1.3333333333333333</v>
      </c>
    </row>
    <row r="233" spans="1:2" x14ac:dyDescent="0.2">
      <c r="A233" t="s">
        <v>130</v>
      </c>
      <c r="B233">
        <f>INDEX('vehicles specifications'!$B$3:$CW$166,MATCH(B225,'vehicles specifications'!$A$3:$A$166,0),MATCH("Energy battery replacement [unit]",'vehicles specifications'!$B$2:$CW$2,0))</f>
        <v>0.5</v>
      </c>
    </row>
    <row r="234" spans="1:2" x14ac:dyDescent="0.2">
      <c r="A234" t="s">
        <v>131</v>
      </c>
      <c r="B234">
        <f>INDEX('vehicles specifications'!$B$3:$CW$166,MATCH(B225,'vehicles specifications'!$A$3:$A$166,0),MATCH("Annual kilometers [km]",'vehicles specifications'!$B$2:$CW$2,0))</f>
        <v>2000</v>
      </c>
    </row>
    <row r="235" spans="1:2" x14ac:dyDescent="0.2">
      <c r="A235" t="s">
        <v>132</v>
      </c>
      <c r="B235">
        <f>INDEX('vehicles specifications'!$B$3:$CW$166,MATCH(B225,'vehicles specifications'!$A$3:$A$166,0),MATCH("Curb mass [kg]",'vehicles specifications'!$B$2:$CW$2,0))</f>
        <v>24.75333333333333</v>
      </c>
    </row>
    <row r="236" spans="1:2" x14ac:dyDescent="0.2">
      <c r="A236" t="s">
        <v>133</v>
      </c>
      <c r="B236">
        <f>INDEX('vehicles specifications'!$B$3:$CW$166,MATCH(B225,'vehicles specifications'!$A$3:$A$166,0),MATCH("Power [kW]",'vehicles specifications'!$B$2:$CW$2,0))</f>
        <v>0.25</v>
      </c>
    </row>
    <row r="237" spans="1:2" x14ac:dyDescent="0.2">
      <c r="A237" t="s">
        <v>652</v>
      </c>
      <c r="B237" s="20" t="s">
        <v>44</v>
      </c>
    </row>
    <row r="238" spans="1:2" x14ac:dyDescent="0.2">
      <c r="A238" t="s">
        <v>134</v>
      </c>
      <c r="B238">
        <f>INDEX('vehicles specifications'!$B$3:$CW$166,MATCH(B225,'vehicles specifications'!$A$3:$A$166,0),MATCH("Energy battery mass [kg]",'vehicles specifications'!$B$2:$CW$2,0))</f>
        <v>5.3333333333333339</v>
      </c>
    </row>
    <row r="239" spans="1:2" x14ac:dyDescent="0.2">
      <c r="A239" t="s">
        <v>135</v>
      </c>
      <c r="B239">
        <f>INDEX('vehicles specifications'!$B$3:$CW$166,MATCH(B225,'vehicles specifications'!$A$3:$A$166,0),MATCH("Electric energy stored [kWh]",'vehicles specifications'!$B$2:$CW$2,0))</f>
        <v>0.8</v>
      </c>
    </row>
    <row r="240" spans="1:2" x14ac:dyDescent="0.2">
      <c r="A240" t="s">
        <v>588</v>
      </c>
      <c r="B240">
        <f>INDEX('vehicles specifications'!$B$3:$CW$166,MATCH(B225,'vehicles specifications'!$A$3:$A$166,0),MATCH("Electric energy available [kWh]",'vehicles specifications'!$B$2:$CW$2,0))</f>
        <v>0.64000000000000012</v>
      </c>
    </row>
    <row r="241" spans="1:8" x14ac:dyDescent="0.2">
      <c r="A241" t="s">
        <v>138</v>
      </c>
      <c r="B241">
        <f>INDEX('vehicles specifications'!$B$3:$CW$166,MATCH(B225,'vehicles specifications'!$A$3:$A$166,0),MATCH("Oxydation energy stored [kWh]",'vehicles specifications'!$B$2:$CW$2,0))</f>
        <v>0</v>
      </c>
    </row>
    <row r="242" spans="1:8" x14ac:dyDescent="0.2">
      <c r="A242" t="s">
        <v>139</v>
      </c>
      <c r="B242">
        <f>INDEX('vehicles specifications'!$B$3:$CW$166,MATCH(B225,'vehicles specifications'!$A$3:$A$166,0),MATCH("Fuel mass [kg]",'vehicles specifications'!$B$2:$CW$2,0))</f>
        <v>0</v>
      </c>
    </row>
    <row r="243" spans="1:8" x14ac:dyDescent="0.2">
      <c r="A243" t="s">
        <v>136</v>
      </c>
      <c r="B243" s="2">
        <f>INDEX('vehicles specifications'!$B$3:$CW$166,MATCH(B225,'vehicles specifications'!$A$3:$A$166,0),MATCH("Range [km]",'vehicles specifications'!$B$2:$CW$2,0))</f>
        <v>93.390365203118606</v>
      </c>
    </row>
    <row r="244" spans="1:8" x14ac:dyDescent="0.2">
      <c r="A244" t="s">
        <v>137</v>
      </c>
      <c r="B244" t="str">
        <f>INDEX('vehicles specifications'!$B$3:$CW$166,MATCH(B225,'vehicles specifications'!$A$3:$A$166,0),MATCH("Emission standard",'vehicles specifications'!$B$2:$CW$2,0))</f>
        <v>None</v>
      </c>
    </row>
    <row r="245" spans="1:8" x14ac:dyDescent="0.2">
      <c r="A245" t="s">
        <v>1174</v>
      </c>
      <c r="B245" s="6">
        <f>INDEX('vehicles specifications'!$B$3:$CW$166,MATCH(B225,'vehicles specifications'!$A$3:$A$166,0),MATCH("Lightweighting rate [%]",'vehicles specifications'!$B$2:$CW$2,0))</f>
        <v>0.03</v>
      </c>
    </row>
    <row r="246" spans="1:8" x14ac:dyDescent="0.2">
      <c r="A246" t="s">
        <v>83</v>
      </c>
      <c r="B246"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24.8 kg. Lightweighting of glider: 3%. Emission standard: None. Service visits throughout lifetime: 1.3. Range: 93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6" x14ac:dyDescent="0.2">
      <c r="A247" s="10" t="s">
        <v>79</v>
      </c>
    </row>
    <row r="248" spans="1:8" x14ac:dyDescent="0.2">
      <c r="A248" t="s">
        <v>80</v>
      </c>
      <c r="B248" t="s">
        <v>81</v>
      </c>
      <c r="C248" t="s">
        <v>72</v>
      </c>
      <c r="D248" t="s">
        <v>76</v>
      </c>
      <c r="E248" t="s">
        <v>82</v>
      </c>
      <c r="F248" t="s">
        <v>74</v>
      </c>
      <c r="G248" t="s">
        <v>83</v>
      </c>
      <c r="H248" t="s">
        <v>73</v>
      </c>
    </row>
    <row r="249" spans="1:8" x14ac:dyDescent="0.2">
      <c r="A249" t="str">
        <f>B220</f>
        <v>transport, Bicycle, electric (&lt;25 km/h), LFP battery, 2030</v>
      </c>
      <c r="B249">
        <v>1</v>
      </c>
      <c r="C249" t="str">
        <f>B221</f>
        <v>CH</v>
      </c>
      <c r="D249" t="s">
        <v>166</v>
      </c>
      <c r="F249" t="s">
        <v>84</v>
      </c>
      <c r="G249" t="s">
        <v>85</v>
      </c>
      <c r="H249" t="str">
        <f>B226</f>
        <v>transport, Bicycle, electric (&lt;25 km/h)</v>
      </c>
    </row>
    <row r="250" spans="1:8" x14ac:dyDescent="0.2">
      <c r="A250" t="str">
        <f>RIGHT(A249,LEN(A249)-11)</f>
        <v>Bicycle, electric (&lt;25 km/h), LFP battery, 2030</v>
      </c>
      <c r="B250" s="7">
        <f>1/B230</f>
        <v>5.0000000000000002E-5</v>
      </c>
      <c r="C250" t="str">
        <f>B221</f>
        <v>CH</v>
      </c>
      <c r="D250" t="s">
        <v>76</v>
      </c>
      <c r="F250" t="s">
        <v>89</v>
      </c>
      <c r="H250" t="str">
        <f>RIGHT(H249,LEN(H249)-11)</f>
        <v>Bicycle, electric (&lt;25 km/h)</v>
      </c>
    </row>
    <row r="251" spans="1:8" x14ac:dyDescent="0.2">
      <c r="A251" t="str">
        <f>INDEX('ei names mapping'!$B$4:$R$33,MATCH(B222,'ei names mapping'!$A$4:$A$33,0),MATCH(G251,'ei names mapping'!$B$3:$R$3,0))</f>
        <v>road construction</v>
      </c>
      <c r="B251" s="7">
        <f>INDEX('vehicles specifications'!$B$3:$CW$166,MATCH(B225,'vehicles specifications'!$A$3:$A$166,0),MATCH(G251,'vehicles specifications'!$B$2:$CW$2,0))*INDEX('ei names mapping'!$B$137:$BL$300,MATCH(B225,'ei names mapping'!$A$137:$A$300,0),MATCH(G251,'ei names mapping'!$B$136:$BL$136,0))</f>
        <v>5.410454E-5</v>
      </c>
      <c r="C251" t="str">
        <f>INDEX('ei names mapping'!$B$38:$R$67,MATCH(B222,'ei names mapping'!$A$4:$A$33,0),MATCH(G251,'ei names mapping'!$B$3:$R$3,0))</f>
        <v>CH</v>
      </c>
      <c r="D251" t="str">
        <f>INDEX('ei names mapping'!$B$104:$BL$133,MATCH(B222,'ei names mapping'!$A$4:$A$33,0),MATCH(G251,'ei names mapping'!$B$3:$BL$3,0))</f>
        <v>meter-year</v>
      </c>
      <c r="F251" t="s">
        <v>89</v>
      </c>
      <c r="G251" t="s">
        <v>105</v>
      </c>
      <c r="H251" t="str">
        <f>INDEX('ei names mapping'!$B$71:$BL$100,MATCH(B222,'ei names mapping'!$A$4:$A$33,0),MATCH(G251,'ei names mapping'!$B$3:$BL$3,0))</f>
        <v>road</v>
      </c>
    </row>
    <row r="252" spans="1:8" x14ac:dyDescent="0.2">
      <c r="A252" t="str">
        <f>INDEX('ei names mapping'!$B$4:$R$33,MATCH($B$3,'ei names mapping'!$A$4:$A$33,0),MATCH(G252,'ei names mapping'!$B$3:$R$3,0))</f>
        <v>market for electricity, low voltage</v>
      </c>
      <c r="B252" s="7">
        <f>INDEX('vehicles specifications'!$B$3:$CW$166,MATCH(B225,'vehicles specifications'!$A$3:$A$166,0),MATCH(G252,'vehicles specifications'!$B$2:$CW$2,0))*INDEX('ei names mapping'!$B$137:$BL$300,MATCH(B225,'ei names mapping'!$A$137:$A$300,0),MATCH(G252,'ei names mapping'!$B$136:$BL$136,0))</f>
        <v>7.5382508513468297E-3</v>
      </c>
      <c r="C252" t="str">
        <f>INDEX('ei names mapping'!$B$38:$R$67,MATCH($B$3,'ei names mapping'!$A$4:$A$33,0),MATCH(G252,'ei names mapping'!$B$3:$R$3,0))</f>
        <v>CH</v>
      </c>
      <c r="D252" t="str">
        <f>INDEX('ei names mapping'!$B$104:$R$133,MATCH($B$3,'ei names mapping'!$A$4:$A$33,0),MATCH(G252,'ei names mapping'!$B$3:$R$3,0))</f>
        <v>kilowatt hour</v>
      </c>
      <c r="F252" t="s">
        <v>89</v>
      </c>
      <c r="G252" t="s">
        <v>28</v>
      </c>
      <c r="H252" t="str">
        <f>INDEX('ei names mapping'!$B$71:$R$100,MATCH($B$3,'ei names mapping'!$A$4:$A$33,0),MATCH(G252,'ei names mapping'!$B$3:$R$3,0))</f>
        <v>electricity, low voltage</v>
      </c>
    </row>
    <row r="253" spans="1:8" x14ac:dyDescent="0.2">
      <c r="A253" t="str">
        <f>INDEX('ei names mapping'!$B$4:$R$33,MATCH($B$3,'ei names mapping'!$A$4:$A$33,0),MATCH(G253,'ei names mapping'!$B$3:$R$3,0))</f>
        <v>maintenance, electric bicycle, without battery</v>
      </c>
      <c r="B253" s="7">
        <f>INDEX('vehicles specifications'!$B$3:$CW$166,MATCH(B225,'vehicles specifications'!$A$3:$A$166,0),MATCH(G253,'vehicles specifications'!$B$2:$CW$2,0))*INDEX('ei names mapping'!$B$137:$BL$300,MATCH(B225,'ei names mapping'!$A$137:$A$300,0),MATCH(G253,'ei names mapping'!$B$136:$BL$136,0))</f>
        <v>6.666666666666667E-5</v>
      </c>
      <c r="C253" t="str">
        <f>INDEX('ei names mapping'!$B$38:$R$67,MATCH($B$3,'ei names mapping'!$A$4:$A$33,0),MATCH(G253,'ei names mapping'!$B$3:$R$3,0))</f>
        <v>CH</v>
      </c>
      <c r="D253" t="str">
        <f>INDEX('ei names mapping'!$B$104:$R$133,MATCH($B$3,'ei names mapping'!$A$4:$A$33,0),MATCH(G253,'ei names mapping'!$B$3:$R$3,0))</f>
        <v>unit</v>
      </c>
      <c r="F253" t="s">
        <v>89</v>
      </c>
      <c r="G253" t="s">
        <v>118</v>
      </c>
      <c r="H253" t="str">
        <f>INDEX('ei names mapping'!$B$71:$R$100,MATCH($B$3,'ei names mapping'!$A$4:$A$33,0),MATCH(G253,'ei names mapping'!$B$3:$R$3,0))</f>
        <v>maintenance, electric bicycle, without battery</v>
      </c>
    </row>
    <row r="254" spans="1:8" x14ac:dyDescent="0.2">
      <c r="A254" t="str">
        <f>INDEX('ei names mapping'!$B$4:$BL$33,MATCH($B$184,'ei names mapping'!$A$4:$A$33,0),MATCH(G254,'ei names mapping'!$B$3:$BL$3,0))</f>
        <v>treatment of road wear emissions, passenger car</v>
      </c>
      <c r="B254" s="7">
        <f>INDEX('vehicles specifications'!$B$3:$CW$166,MATCH(B225,'vehicles specifications'!$A$3:$A$166,0),MATCH(G254,'vehicles specifications'!$B$2:$CW$2,0))*INDEX('ei names mapping'!$B$137:$BL$300,MATCH(B225,'ei names mapping'!$A$137:$A$300,0),MATCH(G254,'ei names mapping'!$B$136:$BL$136,0))</f>
        <v>-4.2442566849175639E-6</v>
      </c>
      <c r="C254" t="str">
        <f>INDEX('ei names mapping'!$B$38:$BL$67,MATCH($B$184,'ei names mapping'!$A$4:$A$33,0),MATCH(G254,'ei names mapping'!$B$3:$BL$3,0))</f>
        <v>RER</v>
      </c>
      <c r="D254" t="str">
        <f>INDEX('ei names mapping'!$B$104:$BL$133,MATCH($B$184,'ei names mapping'!$A$4:$A$33,0),MATCH(G254,'ei names mapping'!$B$3:$BL$3,0))</f>
        <v>kilogram</v>
      </c>
      <c r="F254" t="s">
        <v>89</v>
      </c>
      <c r="G254" t="s">
        <v>29</v>
      </c>
      <c r="H254" t="str">
        <f>INDEX('ei names mapping'!$B$71:$BL$100,MATCH(B222,'ei names mapping'!$A$4:$A$33,0),MATCH(G254,'ei names mapping'!$B$3:$BL$3,0))</f>
        <v>road wear emissions, passenger car</v>
      </c>
    </row>
    <row r="255" spans="1:8" x14ac:dyDescent="0.2">
      <c r="A255" t="str">
        <f>INDEX('ei names mapping'!$B$4:$BL$33,MATCH($B$184,'ei names mapping'!$A$4:$A$33,0),MATCH(G255,'ei names mapping'!$B$3:$BL$3,0))</f>
        <v>treatment of tyre wear emissions, passenger car</v>
      </c>
      <c r="B255" s="7">
        <f>INDEX('vehicles specifications'!$B$3:$CW$166,MATCH(B225,'vehicles specifications'!$A$3:$A$166,0),MATCH(G255,'vehicles specifications'!$B$2:$CW$2,0))*INDEX('ei names mapping'!$B$137:$BL$300,MATCH(B225,'ei names mapping'!$A$137:$A$300,0),MATCH(G255,'ei names mapping'!$B$136:$BL$136,0))</f>
        <v>-4.1845408894143447E-6</v>
      </c>
      <c r="C255" t="str">
        <f>INDEX('ei names mapping'!$B$38:$BL$67,MATCH($B$184,'ei names mapping'!$A$4:$A$33,0),MATCH(G255,'ei names mapping'!$B$3:$BL$3,0))</f>
        <v>RER</v>
      </c>
      <c r="D255" t="str">
        <f>INDEX('ei names mapping'!$B$104:$BL$133,MATCH($B$184,'ei names mapping'!$A$4:$A$33,0),MATCH(G255,'ei names mapping'!$B$3:$BL$3,0))</f>
        <v>kilogram</v>
      </c>
      <c r="F255" t="s">
        <v>89</v>
      </c>
      <c r="G255" t="s">
        <v>30</v>
      </c>
      <c r="H255" t="str">
        <f>INDEX('ei names mapping'!$B$71:$BL$100,MATCH($B$184,'ei names mapping'!$A$4:$A$33,0),MATCH(G255,'ei names mapping'!$B$3:$BL$3,0))</f>
        <v>tyre wear emissions, passenger car</v>
      </c>
    </row>
    <row r="256" spans="1:8" x14ac:dyDescent="0.2">
      <c r="A256" t="str">
        <f>INDEX('ei names mapping'!$B$4:$BL$33,MATCH($B$184,'ei names mapping'!$A$4:$A$33,0),MATCH(G256,'ei names mapping'!$B$3:$BL$3,0))</f>
        <v>treatment of brake wear emissions, passenger car</v>
      </c>
      <c r="B256" s="7">
        <f>INDEX('vehicles specifications'!$B$3:$CW$166,MATCH(B225,'vehicles specifications'!$A$3:$A$166,0),MATCH(G256,'vehicles specifications'!$B$2:$CW$2,0))*INDEX('ei names mapping'!$B$137:$BL$300,MATCH(B225,'ei names mapping'!$A$137:$A$300,0),MATCH(G256,'ei names mapping'!$B$136:$BL$136,0))</f>
        <v>-3.8864503090339279E-6</v>
      </c>
      <c r="C256" t="str">
        <f>INDEX('ei names mapping'!$B$38:$BL$67,MATCH($B$184,'ei names mapping'!$A$4:$A$33,0),MATCH(G256,'ei names mapping'!$B$3:$BL$3,0))</f>
        <v>RER</v>
      </c>
      <c r="D256" t="str">
        <f>INDEX('ei names mapping'!$B$104:$BL$133,MATCH($B$184,'ei names mapping'!$A$4:$A$33,0),MATCH(G256,'ei names mapping'!$B$3:$BL$3,0))</f>
        <v>kilogram</v>
      </c>
      <c r="F256" t="s">
        <v>89</v>
      </c>
      <c r="G256" t="s">
        <v>31</v>
      </c>
      <c r="H256" t="str">
        <f>INDEX('ei names mapping'!$B$71:$BL$100,MATCH($B$184,'ei names mapping'!$A$4:$A$33,0),MATCH(G256,'ei names mapping'!$B$3:$BL$3,0))</f>
        <v>brake wear emissions, passenger car</v>
      </c>
    </row>
    <row r="258" spans="1:2" ht="16" x14ac:dyDescent="0.2">
      <c r="A258" s="10" t="s">
        <v>71</v>
      </c>
      <c r="B258" s="8" t="str">
        <f>"transport, "&amp;B260&amp;", "&amp;B275&amp;" battery, "&amp;B262</f>
        <v>transport, Bicycle, electric (&lt;25 km/h), LFP battery, 2040</v>
      </c>
    </row>
    <row r="259" spans="1:2" x14ac:dyDescent="0.2">
      <c r="A259" t="s">
        <v>72</v>
      </c>
      <c r="B259" t="s">
        <v>37</v>
      </c>
    </row>
    <row r="260" spans="1:2" x14ac:dyDescent="0.2">
      <c r="A260" t="s">
        <v>86</v>
      </c>
      <c r="B260" t="s">
        <v>489</v>
      </c>
    </row>
    <row r="261" spans="1:2" x14ac:dyDescent="0.2">
      <c r="A261" t="s">
        <v>87</v>
      </c>
    </row>
    <row r="262" spans="1:2" x14ac:dyDescent="0.2">
      <c r="A262" t="s">
        <v>88</v>
      </c>
      <c r="B262">
        <v>2040</v>
      </c>
    </row>
    <row r="263" spans="1:2" x14ac:dyDescent="0.2">
      <c r="A263" t="s">
        <v>126</v>
      </c>
      <c r="B263" t="str">
        <f>B260&amp;" - "&amp;B262&amp;" - "&amp;B275&amp;" - "&amp;B259</f>
        <v>Bicycle, electric (&lt;25 km/h) - 2040 - LFP - CH</v>
      </c>
    </row>
    <row r="264" spans="1:2" x14ac:dyDescent="0.2">
      <c r="A264" t="s">
        <v>73</v>
      </c>
      <c r="B264" t="str">
        <f>"transport, "&amp;B260</f>
        <v>transport, Bicycle, electric (&lt;25 km/h)</v>
      </c>
    </row>
    <row r="265" spans="1:2" x14ac:dyDescent="0.2">
      <c r="A265" t="s">
        <v>74</v>
      </c>
      <c r="B265" t="s">
        <v>75</v>
      </c>
    </row>
    <row r="266" spans="1:2" x14ac:dyDescent="0.2">
      <c r="A266" t="s">
        <v>76</v>
      </c>
      <c r="B266" t="s">
        <v>166</v>
      </c>
    </row>
    <row r="267" spans="1:2" x14ac:dyDescent="0.2">
      <c r="A267" t="s">
        <v>78</v>
      </c>
      <c r="B267" t="s">
        <v>1143</v>
      </c>
    </row>
    <row r="268" spans="1:2" x14ac:dyDescent="0.2">
      <c r="A268" t="s">
        <v>127</v>
      </c>
      <c r="B268">
        <f>INDEX('vehicles specifications'!$B$3:$CW$166,MATCH(B263,'vehicles specifications'!$A$3:$A$166,0),MATCH("Lifetime [km]",'vehicles specifications'!$B$2:$CW$2,0))</f>
        <v>20000</v>
      </c>
    </row>
    <row r="269" spans="1:2" x14ac:dyDescent="0.2">
      <c r="A269" t="s">
        <v>128</v>
      </c>
      <c r="B269">
        <f>INDEX('vehicles specifications'!$B$3:$CW$166,MATCH(B263,'vehicles specifications'!$A$3:$A$166,0),MATCH("Passengers [unit]",'vehicles specifications'!$B$2:$CW$2,0))</f>
        <v>1</v>
      </c>
    </row>
    <row r="270" spans="1:2" x14ac:dyDescent="0.2">
      <c r="A270" t="s">
        <v>129</v>
      </c>
      <c r="B270">
        <f>INDEX('vehicles specifications'!$B$3:$CW$166,MATCH(B263,'vehicles specifications'!$A$3:$A$166,0),MATCH("Servicing [unit]",'vehicles specifications'!$B$2:$CW$2,0))</f>
        <v>1.3333333333333333</v>
      </c>
    </row>
    <row r="271" spans="1:2" x14ac:dyDescent="0.2">
      <c r="A271" t="s">
        <v>130</v>
      </c>
      <c r="B271">
        <f>INDEX('vehicles specifications'!$B$3:$CW$166,MATCH(B263,'vehicles specifications'!$A$3:$A$166,0),MATCH("Energy battery replacement [unit]",'vehicles specifications'!$B$2:$CW$2,0))</f>
        <v>0.25</v>
      </c>
    </row>
    <row r="272" spans="1:2" x14ac:dyDescent="0.2">
      <c r="A272" t="s">
        <v>131</v>
      </c>
      <c r="B272">
        <f>INDEX('vehicles specifications'!$B$3:$CW$166,MATCH(B263,'vehicles specifications'!$A$3:$A$166,0),MATCH("Annual kilometers [km]",'vehicles specifications'!$B$2:$CW$2,0))</f>
        <v>2000</v>
      </c>
    </row>
    <row r="273" spans="1:8" x14ac:dyDescent="0.2">
      <c r="A273" t="s">
        <v>132</v>
      </c>
      <c r="B273">
        <f>INDEX('vehicles specifications'!$B$3:$CW$166,MATCH(B263,'vehicles specifications'!$A$3:$A$166,0),MATCH("Curb mass [kg]",'vehicles specifications'!$B$2:$CW$2,0))</f>
        <v>25.666666666666664</v>
      </c>
    </row>
    <row r="274" spans="1:8" x14ac:dyDescent="0.2">
      <c r="A274" t="s">
        <v>133</v>
      </c>
      <c r="B274">
        <f>INDEX('vehicles specifications'!$B$3:$CW$166,MATCH(B263,'vehicles specifications'!$A$3:$A$166,0),MATCH("Power [kW]",'vehicles specifications'!$B$2:$CW$2,0))</f>
        <v>0.25</v>
      </c>
    </row>
    <row r="275" spans="1:8" x14ac:dyDescent="0.2">
      <c r="A275" t="s">
        <v>652</v>
      </c>
      <c r="B275" s="20" t="s">
        <v>44</v>
      </c>
    </row>
    <row r="276" spans="1:8" x14ac:dyDescent="0.2">
      <c r="A276" t="s">
        <v>134</v>
      </c>
      <c r="B276">
        <f>INDEX('vehicles specifications'!$B$3:$CW$166,MATCH(B263,'vehicles specifications'!$A$3:$A$166,0),MATCH("Energy battery mass [kg]",'vehicles specifications'!$B$2:$CW$2,0))</f>
        <v>6.6666666666666661</v>
      </c>
    </row>
    <row r="277" spans="1:8" x14ac:dyDescent="0.2">
      <c r="A277" t="s">
        <v>135</v>
      </c>
      <c r="B277">
        <f>INDEX('vehicles specifications'!$B$3:$CW$166,MATCH(B263,'vehicles specifications'!$A$3:$A$166,0),MATCH("Electric energy stored [kWh]",'vehicles specifications'!$B$2:$CW$2,0))</f>
        <v>1</v>
      </c>
    </row>
    <row r="278" spans="1:8" x14ac:dyDescent="0.2">
      <c r="A278" t="s">
        <v>588</v>
      </c>
      <c r="B278">
        <f>INDEX('vehicles specifications'!$B$3:$CW$166,MATCH(B263,'vehicles specifications'!$A$3:$A$166,0),MATCH("Electric energy available [kWh]",'vehicles specifications'!$B$2:$CW$2,0))</f>
        <v>0.8</v>
      </c>
    </row>
    <row r="279" spans="1:8" x14ac:dyDescent="0.2">
      <c r="A279" t="s">
        <v>138</v>
      </c>
      <c r="B279">
        <f>INDEX('vehicles specifications'!$B$3:$CW$166,MATCH(B263,'vehicles specifications'!$A$3:$A$166,0),MATCH("Oxydation energy stored [kWh]",'vehicles specifications'!$B$2:$CW$2,0))</f>
        <v>0</v>
      </c>
    </row>
    <row r="280" spans="1:8" x14ac:dyDescent="0.2">
      <c r="A280" t="s">
        <v>139</v>
      </c>
      <c r="B280">
        <f>INDEX('vehicles specifications'!$B$3:$CW$166,MATCH(B263,'vehicles specifications'!$A$3:$A$166,0),MATCH("Fuel mass [kg]",'vehicles specifications'!$B$2:$CW$2,0))</f>
        <v>0</v>
      </c>
    </row>
    <row r="281" spans="1:8" x14ac:dyDescent="0.2">
      <c r="A281" t="s">
        <v>136</v>
      </c>
      <c r="B281" s="2">
        <f>INDEX('vehicles specifications'!$B$3:$CW$166,MATCH(B263,'vehicles specifications'!$A$3:$A$166,0),MATCH("Range [km]",'vehicles specifications'!$B$2:$CW$2,0))</f>
        <v>116.73795650389825</v>
      </c>
    </row>
    <row r="282" spans="1:8" x14ac:dyDescent="0.2">
      <c r="A282" t="s">
        <v>137</v>
      </c>
      <c r="B282" t="str">
        <f>INDEX('vehicles specifications'!$B$3:$CW$166,MATCH(B263,'vehicles specifications'!$A$3:$A$166,0),MATCH("Emission standard",'vehicles specifications'!$B$2:$CW$2,0))</f>
        <v>None</v>
      </c>
    </row>
    <row r="283" spans="1:8" x14ac:dyDescent="0.2">
      <c r="A283" t="s">
        <v>1174</v>
      </c>
      <c r="B283" s="6">
        <f>INDEX('vehicles specifications'!$B$3:$CW$166,MATCH(B263,'vehicles specifications'!$A$3:$A$166,0),MATCH("Lightweighting rate [%]",'vehicles specifications'!$B$2:$CW$2,0))</f>
        <v>0.05</v>
      </c>
    </row>
    <row r="284" spans="1:8" x14ac:dyDescent="0.2">
      <c r="A284" t="s">
        <v>83</v>
      </c>
      <c r="B284"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25.7 kg. Lightweighting of glider: 5%. Emission standard: None. Service visits throughout lifetime: 1.3. Range: 117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6" x14ac:dyDescent="0.2">
      <c r="A285" s="10" t="s">
        <v>79</v>
      </c>
    </row>
    <row r="286" spans="1:8" x14ac:dyDescent="0.2">
      <c r="A286" t="s">
        <v>80</v>
      </c>
      <c r="B286" t="s">
        <v>81</v>
      </c>
      <c r="C286" t="s">
        <v>72</v>
      </c>
      <c r="D286" t="s">
        <v>76</v>
      </c>
      <c r="E286" t="s">
        <v>82</v>
      </c>
      <c r="F286" t="s">
        <v>74</v>
      </c>
      <c r="G286" t="s">
        <v>83</v>
      </c>
      <c r="H286" t="s">
        <v>73</v>
      </c>
    </row>
    <row r="287" spans="1:8" x14ac:dyDescent="0.2">
      <c r="A287" t="str">
        <f>B258</f>
        <v>transport, Bicycle, electric (&lt;25 km/h), LFP battery, 2040</v>
      </c>
      <c r="B287">
        <v>1</v>
      </c>
      <c r="C287" t="str">
        <f>B259</f>
        <v>CH</v>
      </c>
      <c r="D287" t="s">
        <v>166</v>
      </c>
      <c r="F287" t="s">
        <v>84</v>
      </c>
      <c r="G287" t="s">
        <v>85</v>
      </c>
      <c r="H287" t="str">
        <f>B264</f>
        <v>transport, Bicycle, electric (&lt;25 km/h)</v>
      </c>
    </row>
    <row r="288" spans="1:8" x14ac:dyDescent="0.2">
      <c r="A288" t="str">
        <f>RIGHT(A287,LEN(A287)-11)</f>
        <v>Bicycle, electric (&lt;25 km/h), LFP battery, 2040</v>
      </c>
      <c r="B288" s="7">
        <f>1/B268</f>
        <v>5.0000000000000002E-5</v>
      </c>
      <c r="C288" t="str">
        <f>B259</f>
        <v>CH</v>
      </c>
      <c r="D288" t="s">
        <v>76</v>
      </c>
      <c r="F288" t="s">
        <v>89</v>
      </c>
      <c r="H288" t="str">
        <f>RIGHT(H287,LEN(H287)-11)</f>
        <v>Bicycle, electric (&lt;25 km/h)</v>
      </c>
    </row>
    <row r="289" spans="1:8" x14ac:dyDescent="0.2">
      <c r="A289" t="str">
        <f>INDEX('ei names mapping'!$B$4:$R$33,MATCH(B260,'ei names mapping'!$A$4:$A$33,0),MATCH(G289,'ei names mapping'!$B$3:$R$3,0))</f>
        <v>road construction</v>
      </c>
      <c r="B289" s="7">
        <f>INDEX('vehicles specifications'!$B$3:$CW$166,MATCH(B263,'vehicles specifications'!$A$3:$A$166,0),MATCH(G289,'vehicles specifications'!$B$2:$CW$2,0))*INDEX('ei names mapping'!$B$137:$BL$300,MATCH(B263,'ei names mapping'!$A$137:$A$300,0),MATCH(G289,'ei names mapping'!$B$136:$BL$136,0))</f>
        <v>5.4594999999999995E-5</v>
      </c>
      <c r="C289" t="str">
        <f>INDEX('ei names mapping'!$B$38:$R$67,MATCH(B260,'ei names mapping'!$A$4:$A$33,0),MATCH(G289,'ei names mapping'!$B$3:$R$3,0))</f>
        <v>CH</v>
      </c>
      <c r="D289" t="str">
        <f>INDEX('ei names mapping'!$B$104:$BL$133,MATCH(B260,'ei names mapping'!$A$4:$A$33,0),MATCH(G289,'ei names mapping'!$B$3:$BL$3,0))</f>
        <v>meter-year</v>
      </c>
      <c r="F289" t="s">
        <v>89</v>
      </c>
      <c r="G289" t="s">
        <v>105</v>
      </c>
      <c r="H289" t="str">
        <f>INDEX('ei names mapping'!$B$71:$BL$100,MATCH(B260,'ei names mapping'!$A$4:$A$33,0),MATCH(G289,'ei names mapping'!$B$3:$BL$3,0))</f>
        <v>road</v>
      </c>
    </row>
    <row r="290" spans="1:8" x14ac:dyDescent="0.2">
      <c r="A290" t="str">
        <f>INDEX('ei names mapping'!$B$4:$R$33,MATCH($B$3,'ei names mapping'!$A$4:$A$33,0),MATCH(G290,'ei names mapping'!$B$3:$R$3,0))</f>
        <v>market for electricity, low voltage</v>
      </c>
      <c r="B290" s="7">
        <f>INDEX('vehicles specifications'!$B$3:$CW$166,MATCH(B263,'vehicles specifications'!$A$3:$A$166,0),MATCH(G290,'vehicles specifications'!$B$2:$CW$2,0))*INDEX('ei names mapping'!$B$137:$BL$300,MATCH(B263,'ei names mapping'!$A$137:$A$300,0),MATCH(G290,'ei names mapping'!$B$136:$BL$136,0))</f>
        <v>7.5382508513468297E-3</v>
      </c>
      <c r="C290" t="str">
        <f>INDEX('ei names mapping'!$B$38:$R$67,MATCH($B$3,'ei names mapping'!$A$4:$A$33,0),MATCH(G290,'ei names mapping'!$B$3:$R$3,0))</f>
        <v>CH</v>
      </c>
      <c r="D290" t="str">
        <f>INDEX('ei names mapping'!$B$104:$R$133,MATCH($B$3,'ei names mapping'!$A$4:$A$33,0),MATCH(G290,'ei names mapping'!$B$3:$R$3,0))</f>
        <v>kilowatt hour</v>
      </c>
      <c r="F290" t="s">
        <v>89</v>
      </c>
      <c r="G290" t="s">
        <v>28</v>
      </c>
      <c r="H290" t="str">
        <f>INDEX('ei names mapping'!$B$71:$R$100,MATCH($B$3,'ei names mapping'!$A$4:$A$33,0),MATCH(G290,'ei names mapping'!$B$3:$R$3,0))</f>
        <v>electricity, low voltage</v>
      </c>
    </row>
    <row r="291" spans="1:8" x14ac:dyDescent="0.2">
      <c r="A291" t="str">
        <f>INDEX('ei names mapping'!$B$4:$R$33,MATCH($B$3,'ei names mapping'!$A$4:$A$33,0),MATCH(G291,'ei names mapping'!$B$3:$R$3,0))</f>
        <v>maintenance, electric bicycle, without battery</v>
      </c>
      <c r="B291" s="7">
        <f>INDEX('vehicles specifications'!$B$3:$CW$166,MATCH(B263,'vehicles specifications'!$A$3:$A$166,0),MATCH(G291,'vehicles specifications'!$B$2:$CW$2,0))*INDEX('ei names mapping'!$B$137:$BL$300,MATCH(B263,'ei names mapping'!$A$137:$A$300,0),MATCH(G291,'ei names mapping'!$B$136:$BL$136,0))</f>
        <v>6.666666666666667E-5</v>
      </c>
      <c r="C291" t="str">
        <f>INDEX('ei names mapping'!$B$38:$R$67,MATCH($B$3,'ei names mapping'!$A$4:$A$33,0),MATCH(G291,'ei names mapping'!$B$3:$R$3,0))</f>
        <v>CH</v>
      </c>
      <c r="D291" t="str">
        <f>INDEX('ei names mapping'!$B$104:$R$133,MATCH($B$3,'ei names mapping'!$A$4:$A$33,0),MATCH(G291,'ei names mapping'!$B$3:$R$3,0))</f>
        <v>unit</v>
      </c>
      <c r="F291" t="s">
        <v>89</v>
      </c>
      <c r="G291" t="s">
        <v>118</v>
      </c>
      <c r="H291" t="str">
        <f>INDEX('ei names mapping'!$B$71:$R$100,MATCH($B$3,'ei names mapping'!$A$4:$A$33,0),MATCH(G291,'ei names mapping'!$B$3:$R$3,0))</f>
        <v>maintenance, electric bicycle, without battery</v>
      </c>
    </row>
    <row r="292" spans="1:8" x14ac:dyDescent="0.2">
      <c r="A292" t="str">
        <f>INDEX('ei names mapping'!$B$4:$BL$33,MATCH($B$184,'ei names mapping'!$A$4:$A$33,0),MATCH(G292,'ei names mapping'!$B$3:$BL$3,0))</f>
        <v>treatment of road wear emissions, passenger car</v>
      </c>
      <c r="B292" s="7">
        <f>INDEX('vehicles specifications'!$B$3:$CW$166,MATCH(B263,'vehicles specifications'!$A$3:$A$166,0),MATCH(G292,'vehicles specifications'!$B$2:$CW$2,0))*INDEX('ei names mapping'!$B$137:$BL$300,MATCH(B263,'ei names mapping'!$A$137:$A$300,0),MATCH(G292,'ei names mapping'!$B$136:$BL$136,0))</f>
        <v>-4.2743529408913396E-6</v>
      </c>
      <c r="C292" t="str">
        <f>INDEX('ei names mapping'!$B$38:$BL$67,MATCH($B$184,'ei names mapping'!$A$4:$A$33,0),MATCH(G292,'ei names mapping'!$B$3:$BL$3,0))</f>
        <v>RER</v>
      </c>
      <c r="D292" t="str">
        <f>INDEX('ei names mapping'!$B$104:$BL$133,MATCH($B$184,'ei names mapping'!$A$4:$A$33,0),MATCH(G292,'ei names mapping'!$B$3:$BL$3,0))</f>
        <v>kilogram</v>
      </c>
      <c r="F292" t="s">
        <v>89</v>
      </c>
      <c r="G292" t="s">
        <v>29</v>
      </c>
      <c r="H292" t="str">
        <f>INDEX('ei names mapping'!$B$71:$BL$100,MATCH(B260,'ei names mapping'!$A$4:$A$33,0),MATCH(G292,'ei names mapping'!$B$3:$BL$3,0))</f>
        <v>road wear emissions, passenger car</v>
      </c>
    </row>
    <row r="293" spans="1:8" x14ac:dyDescent="0.2">
      <c r="A293" t="str">
        <f>INDEX('ei names mapping'!$B$4:$BL$33,MATCH($B$184,'ei names mapping'!$A$4:$A$33,0),MATCH(G293,'ei names mapping'!$B$3:$BL$3,0))</f>
        <v>treatment of tyre wear emissions, passenger car</v>
      </c>
      <c r="B293" s="7">
        <f>INDEX('vehicles specifications'!$B$3:$CW$166,MATCH(B263,'vehicles specifications'!$A$3:$A$166,0),MATCH(G293,'vehicles specifications'!$B$2:$CW$2,0))*INDEX('ei names mapping'!$B$137:$BL$300,MATCH(B263,'ei names mapping'!$A$137:$A$300,0),MATCH(G293,'ei names mapping'!$B$136:$BL$136,0))</f>
        <v>-4.214867464251057E-6</v>
      </c>
      <c r="C293" t="str">
        <f>INDEX('ei names mapping'!$B$38:$BL$67,MATCH($B$184,'ei names mapping'!$A$4:$A$33,0),MATCH(G293,'ei names mapping'!$B$3:$BL$3,0))</f>
        <v>RER</v>
      </c>
      <c r="D293" t="str">
        <f>INDEX('ei names mapping'!$B$104:$BL$133,MATCH($B$184,'ei names mapping'!$A$4:$A$33,0),MATCH(G293,'ei names mapping'!$B$3:$BL$3,0))</f>
        <v>kilogram</v>
      </c>
      <c r="F293" t="s">
        <v>89</v>
      </c>
      <c r="G293" t="s">
        <v>30</v>
      </c>
      <c r="H293" t="str">
        <f>INDEX('ei names mapping'!$B$71:$BL$100,MATCH($B$184,'ei names mapping'!$A$4:$A$33,0),MATCH(G293,'ei names mapping'!$B$3:$BL$3,0))</f>
        <v>tyre wear emissions, passenger car</v>
      </c>
    </row>
    <row r="294" spans="1:8" x14ac:dyDescent="0.2">
      <c r="A294" t="str">
        <f>INDEX('ei names mapping'!$B$4:$BL$33,MATCH($B$184,'ei names mapping'!$A$4:$A$33,0),MATCH(G294,'ei names mapping'!$B$3:$BL$3,0))</f>
        <v>treatment of brake wear emissions, passenger car</v>
      </c>
      <c r="B294" s="7">
        <f>INDEX('vehicles specifications'!$B$3:$CW$166,MATCH(B263,'vehicles specifications'!$A$3:$A$166,0),MATCH(G294,'vehicles specifications'!$B$2:$CW$2,0))*INDEX('ei names mapping'!$B$137:$BL$300,MATCH(B263,'ei names mapping'!$A$137:$A$300,0),MATCH(G294,'ei names mapping'!$B$136:$BL$136,0))</f>
        <v>-3.9136413205889548E-6</v>
      </c>
      <c r="C294" t="str">
        <f>INDEX('ei names mapping'!$B$38:$BL$67,MATCH($B$184,'ei names mapping'!$A$4:$A$33,0),MATCH(G294,'ei names mapping'!$B$3:$BL$3,0))</f>
        <v>RER</v>
      </c>
      <c r="D294" t="str">
        <f>INDEX('ei names mapping'!$B$104:$BL$133,MATCH($B$184,'ei names mapping'!$A$4:$A$33,0),MATCH(G294,'ei names mapping'!$B$3:$BL$3,0))</f>
        <v>kilogram</v>
      </c>
      <c r="F294" t="s">
        <v>89</v>
      </c>
      <c r="G294" t="s">
        <v>31</v>
      </c>
      <c r="H294" t="str">
        <f>INDEX('ei names mapping'!$B$71:$BL$100,MATCH($B$184,'ei names mapping'!$A$4:$A$33,0),MATCH(G294,'ei names mapping'!$B$3:$BL$3,0))</f>
        <v>brake wear emissions, passenger car</v>
      </c>
    </row>
    <row r="296" spans="1:8" ht="16" x14ac:dyDescent="0.2">
      <c r="A296" s="10" t="s">
        <v>71</v>
      </c>
      <c r="B296" s="8" t="str">
        <f>"transport, "&amp;B298&amp;", "&amp;B313&amp;" battery, "&amp;B300</f>
        <v>transport, Bicycle, electric (&lt;25 km/h), LFP battery, 2050</v>
      </c>
    </row>
    <row r="297" spans="1:8" x14ac:dyDescent="0.2">
      <c r="A297" t="s">
        <v>72</v>
      </c>
      <c r="B297" t="s">
        <v>37</v>
      </c>
    </row>
    <row r="298" spans="1:8" x14ac:dyDescent="0.2">
      <c r="A298" t="s">
        <v>86</v>
      </c>
      <c r="B298" t="s">
        <v>489</v>
      </c>
    </row>
    <row r="299" spans="1:8" x14ac:dyDescent="0.2">
      <c r="A299" t="s">
        <v>87</v>
      </c>
    </row>
    <row r="300" spans="1:8" x14ac:dyDescent="0.2">
      <c r="A300" t="s">
        <v>88</v>
      </c>
      <c r="B300">
        <v>2050</v>
      </c>
    </row>
    <row r="301" spans="1:8" x14ac:dyDescent="0.2">
      <c r="A301" t="s">
        <v>126</v>
      </c>
      <c r="B301" t="str">
        <f>B298&amp;" - "&amp;B300&amp;" - "&amp;B313&amp;" - "&amp;B297</f>
        <v>Bicycle, electric (&lt;25 km/h) - 2050 - LFP - CH</v>
      </c>
    </row>
    <row r="302" spans="1:8" x14ac:dyDescent="0.2">
      <c r="A302" t="s">
        <v>73</v>
      </c>
      <c r="B302" t="str">
        <f>"transport, "&amp;B298</f>
        <v>transport, Bicycle, electric (&lt;25 km/h)</v>
      </c>
    </row>
    <row r="303" spans="1:8" x14ac:dyDescent="0.2">
      <c r="A303" t="s">
        <v>74</v>
      </c>
      <c r="B303" t="s">
        <v>75</v>
      </c>
    </row>
    <row r="304" spans="1:8" x14ac:dyDescent="0.2">
      <c r="A304" t="s">
        <v>76</v>
      </c>
      <c r="B304" t="s">
        <v>166</v>
      </c>
    </row>
    <row r="305" spans="1:2" x14ac:dyDescent="0.2">
      <c r="A305" t="s">
        <v>78</v>
      </c>
      <c r="B305" t="s">
        <v>1143</v>
      </c>
    </row>
    <row r="306" spans="1:2" x14ac:dyDescent="0.2">
      <c r="A306" t="s">
        <v>127</v>
      </c>
      <c r="B306">
        <f>INDEX('vehicles specifications'!$B$3:$CW$166,MATCH(B301,'vehicles specifications'!$A$3:$A$166,0),MATCH("Lifetime [km]",'vehicles specifications'!$B$2:$CW$2,0))</f>
        <v>20000</v>
      </c>
    </row>
    <row r="307" spans="1:2" x14ac:dyDescent="0.2">
      <c r="A307" t="s">
        <v>128</v>
      </c>
      <c r="B307">
        <f>INDEX('vehicles specifications'!$B$3:$CW$166,MATCH(B301,'vehicles specifications'!$A$3:$A$166,0),MATCH("Passengers [unit]",'vehicles specifications'!$B$2:$CW$2,0))</f>
        <v>1</v>
      </c>
    </row>
    <row r="308" spans="1:2" x14ac:dyDescent="0.2">
      <c r="A308" t="s">
        <v>129</v>
      </c>
      <c r="B308">
        <f>INDEX('vehicles specifications'!$B$3:$CW$166,MATCH(B301,'vehicles specifications'!$A$3:$A$166,0),MATCH("Servicing [unit]",'vehicles specifications'!$B$2:$CW$2,0))</f>
        <v>1.3333333333333333</v>
      </c>
    </row>
    <row r="309" spans="1:2" x14ac:dyDescent="0.2">
      <c r="A309" t="s">
        <v>130</v>
      </c>
      <c r="B309">
        <f>INDEX('vehicles specifications'!$B$3:$CW$166,MATCH(B301,'vehicles specifications'!$A$3:$A$166,0),MATCH("Energy battery replacement [unit]",'vehicles specifications'!$B$2:$CW$2,0))</f>
        <v>0</v>
      </c>
    </row>
    <row r="310" spans="1:2" x14ac:dyDescent="0.2">
      <c r="A310" t="s">
        <v>131</v>
      </c>
      <c r="B310">
        <f>INDEX('vehicles specifications'!$B$3:$CW$166,MATCH(B301,'vehicles specifications'!$A$3:$A$166,0),MATCH("Annual kilometers [km]",'vehicles specifications'!$B$2:$CW$2,0))</f>
        <v>2000</v>
      </c>
    </row>
    <row r="311" spans="1:2" x14ac:dyDescent="0.2">
      <c r="A311" t="s">
        <v>132</v>
      </c>
      <c r="B311">
        <f>INDEX('vehicles specifications'!$B$3:$CW$166,MATCH(B301,'vehicles specifications'!$A$3:$A$166,0),MATCH("Curb mass [kg]",'vehicles specifications'!$B$2:$CW$2,0))</f>
        <v>27.58</v>
      </c>
    </row>
    <row r="312" spans="1:2" x14ac:dyDescent="0.2">
      <c r="A312" t="s">
        <v>133</v>
      </c>
      <c r="B312">
        <f>INDEX('vehicles specifications'!$B$3:$CW$166,MATCH(B301,'vehicles specifications'!$A$3:$A$166,0),MATCH("Power [kW]",'vehicles specifications'!$B$2:$CW$2,0))</f>
        <v>0.25</v>
      </c>
    </row>
    <row r="313" spans="1:2" x14ac:dyDescent="0.2">
      <c r="A313" t="s">
        <v>652</v>
      </c>
      <c r="B313" s="20" t="s">
        <v>44</v>
      </c>
    </row>
    <row r="314" spans="1:2" x14ac:dyDescent="0.2">
      <c r="A314" t="s">
        <v>134</v>
      </c>
      <c r="B314">
        <f>INDEX('vehicles specifications'!$B$3:$CW$166,MATCH(B301,'vehicles specifications'!$A$3:$A$166,0),MATCH("Energy battery mass [kg]",'vehicles specifications'!$B$2:$CW$2,0))</f>
        <v>9</v>
      </c>
    </row>
    <row r="315" spans="1:2" x14ac:dyDescent="0.2">
      <c r="A315" t="s">
        <v>135</v>
      </c>
      <c r="B315">
        <f>INDEX('vehicles specifications'!$B$3:$CW$166,MATCH(B301,'vehicles specifications'!$A$3:$A$166,0),MATCH("Electric energy stored [kWh]",'vehicles specifications'!$B$2:$CW$2,0))</f>
        <v>1.5</v>
      </c>
    </row>
    <row r="316" spans="1:2" x14ac:dyDescent="0.2">
      <c r="A316" t="s">
        <v>588</v>
      </c>
      <c r="B316">
        <f>INDEX('vehicles specifications'!$B$3:$CW$166,MATCH(B301,'vehicles specifications'!$A$3:$A$166,0),MATCH("Electric energy available [kWh]",'vehicles specifications'!$B$2:$CW$2,0))</f>
        <v>1.2000000000000002</v>
      </c>
    </row>
    <row r="317" spans="1:2" x14ac:dyDescent="0.2">
      <c r="A317" t="s">
        <v>138</v>
      </c>
      <c r="B317">
        <f>INDEX('vehicles specifications'!$B$3:$CW$166,MATCH(B301,'vehicles specifications'!$A$3:$A$166,0),MATCH("Oxydation energy stored [kWh]",'vehicles specifications'!$B$2:$CW$2,0))</f>
        <v>0</v>
      </c>
    </row>
    <row r="318" spans="1:2" x14ac:dyDescent="0.2">
      <c r="A318" t="s">
        <v>139</v>
      </c>
      <c r="B318">
        <f>INDEX('vehicles specifications'!$B$3:$CW$166,MATCH(B301,'vehicles specifications'!$A$3:$A$166,0),MATCH("Fuel mass [kg]",'vehicles specifications'!$B$2:$CW$2,0))</f>
        <v>0</v>
      </c>
    </row>
    <row r="319" spans="1:2" x14ac:dyDescent="0.2">
      <c r="A319" t="s">
        <v>136</v>
      </c>
      <c r="B319" s="2">
        <f>INDEX('vehicles specifications'!$B$3:$CW$166,MATCH(B301,'vehicles specifications'!$A$3:$A$166,0),MATCH("Range [km]",'vehicles specifications'!$B$2:$CW$2,0))</f>
        <v>175.10693475584739</v>
      </c>
    </row>
    <row r="320" spans="1:2" x14ac:dyDescent="0.2">
      <c r="A320" t="s">
        <v>137</v>
      </c>
      <c r="B320" t="str">
        <f>INDEX('vehicles specifications'!$B$3:$CW$166,MATCH(B301,'vehicles specifications'!$A$3:$A$166,0),MATCH("Emission standard",'vehicles specifications'!$B$2:$CW$2,0))</f>
        <v>None</v>
      </c>
    </row>
    <row r="321" spans="1:8" x14ac:dyDescent="0.2">
      <c r="A321" t="s">
        <v>1174</v>
      </c>
      <c r="B321" s="6">
        <f>INDEX('vehicles specifications'!$B$3:$CW$166,MATCH(B301,'vehicles specifications'!$A$3:$A$166,0),MATCH("Lightweighting rate [%]",'vehicles specifications'!$B$2:$CW$2,0))</f>
        <v>7.0000000000000007E-2</v>
      </c>
    </row>
    <row r="322" spans="1:8" x14ac:dyDescent="0.2">
      <c r="A322" t="s">
        <v>83</v>
      </c>
      <c r="B322"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27.6 kg. Lightweighting of glider: 7%. Emission standard: None. Service visits throughout lifetime: 1.3. Range: 175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6" x14ac:dyDescent="0.2">
      <c r="A323" s="10" t="s">
        <v>79</v>
      </c>
    </row>
    <row r="324" spans="1:8" x14ac:dyDescent="0.2">
      <c r="A324" t="s">
        <v>80</v>
      </c>
      <c r="B324" t="s">
        <v>81</v>
      </c>
      <c r="C324" t="s">
        <v>72</v>
      </c>
      <c r="D324" t="s">
        <v>76</v>
      </c>
      <c r="E324" t="s">
        <v>82</v>
      </c>
      <c r="F324" t="s">
        <v>74</v>
      </c>
      <c r="G324" t="s">
        <v>83</v>
      </c>
      <c r="H324" t="s">
        <v>73</v>
      </c>
    </row>
    <row r="325" spans="1:8" x14ac:dyDescent="0.2">
      <c r="A325" t="str">
        <f>B296</f>
        <v>transport, Bicycle, electric (&lt;25 km/h), LFP battery, 2050</v>
      </c>
      <c r="B325">
        <v>1</v>
      </c>
      <c r="C325" t="str">
        <f>B297</f>
        <v>CH</v>
      </c>
      <c r="D325" t="s">
        <v>166</v>
      </c>
      <c r="F325" t="s">
        <v>84</v>
      </c>
      <c r="G325" t="s">
        <v>85</v>
      </c>
      <c r="H325" t="str">
        <f>B302</f>
        <v>transport, Bicycle, electric (&lt;25 km/h)</v>
      </c>
    </row>
    <row r="326" spans="1:8" x14ac:dyDescent="0.2">
      <c r="A326" t="str">
        <f>RIGHT(A325,LEN(A325)-11)</f>
        <v>Bicycle, electric (&lt;25 km/h), LFP battery, 2050</v>
      </c>
      <c r="B326" s="7">
        <f>1/B306</f>
        <v>5.0000000000000002E-5</v>
      </c>
      <c r="C326" t="str">
        <f>B297</f>
        <v>CH</v>
      </c>
      <c r="D326" t="s">
        <v>76</v>
      </c>
      <c r="F326" t="s">
        <v>89</v>
      </c>
      <c r="H326" t="str">
        <f>RIGHT(H325,LEN(H325)-11)</f>
        <v>Bicycle, electric (&lt;25 km/h)</v>
      </c>
    </row>
    <row r="327" spans="1:8" x14ac:dyDescent="0.2">
      <c r="A327" t="str">
        <f>INDEX('ei names mapping'!$B$4:$R$33,MATCH(B298,'ei names mapping'!$A$4:$A$33,0),MATCH(G327,'ei names mapping'!$B$3:$R$3,0))</f>
        <v>road construction</v>
      </c>
      <c r="B327" s="7">
        <f>INDEX('vehicles specifications'!$B$3:$CW$166,MATCH(B301,'vehicles specifications'!$A$3:$A$166,0),MATCH(G327,'vehicles specifications'!$B$2:$CW$2,0))*INDEX('ei names mapping'!$B$137:$BL$300,MATCH(B301,'ei names mapping'!$A$137:$A$300,0),MATCH(G327,'ei names mapping'!$B$136:$BL$136,0))</f>
        <v>5.5622460000000002E-5</v>
      </c>
      <c r="C327" t="str">
        <f>INDEX('ei names mapping'!$B$38:$R$67,MATCH(B298,'ei names mapping'!$A$4:$A$33,0),MATCH(G327,'ei names mapping'!$B$3:$R$3,0))</f>
        <v>CH</v>
      </c>
      <c r="D327" t="str">
        <f>INDEX('ei names mapping'!$B$104:$BL$133,MATCH(B298,'ei names mapping'!$A$4:$A$33,0),MATCH(G327,'ei names mapping'!$B$3:$BL$3,0))</f>
        <v>meter-year</v>
      </c>
      <c r="F327" t="s">
        <v>89</v>
      </c>
      <c r="G327" t="s">
        <v>105</v>
      </c>
      <c r="H327" t="str">
        <f>INDEX('ei names mapping'!$B$71:$BL$100,MATCH(B298,'ei names mapping'!$A$4:$A$33,0),MATCH(G327,'ei names mapping'!$B$3:$BL$3,0))</f>
        <v>road</v>
      </c>
    </row>
    <row r="328" spans="1:8" x14ac:dyDescent="0.2">
      <c r="A328" t="str">
        <f>INDEX('ei names mapping'!$B$4:$R$33,MATCH($B$3,'ei names mapping'!$A$4:$A$33,0),MATCH(G328,'ei names mapping'!$B$3:$R$3,0))</f>
        <v>market for electricity, low voltage</v>
      </c>
      <c r="B328" s="7">
        <f>INDEX('vehicles specifications'!$B$3:$CW$166,MATCH(B301,'vehicles specifications'!$A$3:$A$166,0),MATCH(G328,'vehicles specifications'!$B$2:$CW$2,0))*INDEX('ei names mapping'!$B$137:$BL$300,MATCH(B301,'ei names mapping'!$A$137:$A$300,0),MATCH(G328,'ei names mapping'!$B$136:$BL$136,0))</f>
        <v>7.5382508513468297E-3</v>
      </c>
      <c r="C328" t="str">
        <f>INDEX('ei names mapping'!$B$38:$R$67,MATCH($B$3,'ei names mapping'!$A$4:$A$33,0),MATCH(G328,'ei names mapping'!$B$3:$R$3,0))</f>
        <v>CH</v>
      </c>
      <c r="D328" t="str">
        <f>INDEX('ei names mapping'!$B$104:$R$133,MATCH($B$3,'ei names mapping'!$A$4:$A$33,0),MATCH(G328,'ei names mapping'!$B$3:$R$3,0))</f>
        <v>kilowatt hour</v>
      </c>
      <c r="F328" t="s">
        <v>89</v>
      </c>
      <c r="G328" t="s">
        <v>28</v>
      </c>
      <c r="H328" t="str">
        <f>INDEX('ei names mapping'!$B$71:$R$100,MATCH($B$3,'ei names mapping'!$A$4:$A$33,0),MATCH(G328,'ei names mapping'!$B$3:$R$3,0))</f>
        <v>electricity, low voltage</v>
      </c>
    </row>
    <row r="329" spans="1:8" x14ac:dyDescent="0.2">
      <c r="A329" t="str">
        <f>INDEX('ei names mapping'!$B$4:$R$33,MATCH($B$3,'ei names mapping'!$A$4:$A$33,0),MATCH(G329,'ei names mapping'!$B$3:$R$3,0))</f>
        <v>maintenance, electric bicycle, without battery</v>
      </c>
      <c r="B329" s="7">
        <f>INDEX('vehicles specifications'!$B$3:$CW$166,MATCH(B301,'vehicles specifications'!$A$3:$A$166,0),MATCH(G329,'vehicles specifications'!$B$2:$CW$2,0))*INDEX('ei names mapping'!$B$137:$BL$300,MATCH(B301,'ei names mapping'!$A$137:$A$300,0),MATCH(G329,'ei names mapping'!$B$136:$BL$136,0))</f>
        <v>6.666666666666667E-5</v>
      </c>
      <c r="C329" t="str">
        <f>INDEX('ei names mapping'!$B$38:$R$67,MATCH($B$3,'ei names mapping'!$A$4:$A$33,0),MATCH(G329,'ei names mapping'!$B$3:$R$3,0))</f>
        <v>CH</v>
      </c>
      <c r="D329" t="str">
        <f>INDEX('ei names mapping'!$B$104:$R$133,MATCH($B$3,'ei names mapping'!$A$4:$A$33,0),MATCH(G329,'ei names mapping'!$B$3:$R$3,0))</f>
        <v>unit</v>
      </c>
      <c r="F329" t="s">
        <v>89</v>
      </c>
      <c r="G329" t="s">
        <v>118</v>
      </c>
      <c r="H329" t="str">
        <f>INDEX('ei names mapping'!$B$71:$R$100,MATCH($B$3,'ei names mapping'!$A$4:$A$33,0),MATCH(G329,'ei names mapping'!$B$3:$R$3,0))</f>
        <v>maintenance, electric bicycle, without battery</v>
      </c>
    </row>
    <row r="330" spans="1:8" x14ac:dyDescent="0.2">
      <c r="A330" t="str">
        <f>INDEX('ei names mapping'!$B$4:$BL$33,MATCH($B$184,'ei names mapping'!$A$4:$A$33,0),MATCH(G330,'ei names mapping'!$B$3:$BL$3,0))</f>
        <v>treatment of road wear emissions, passenger car</v>
      </c>
      <c r="B330" s="7">
        <f>INDEX('vehicles specifications'!$B$3:$CW$166,MATCH(B301,'vehicles specifications'!$A$3:$A$166,0),MATCH(G330,'vehicles specifications'!$B$2:$CW$2,0))*INDEX('ei names mapping'!$B$137:$BL$300,MATCH(B301,'ei names mapping'!$A$137:$A$300,0),MATCH(G330,'ei names mapping'!$B$136:$BL$136,0))</f>
        <v>-4.3372284590789695E-6</v>
      </c>
      <c r="C330" t="str">
        <f>INDEX('ei names mapping'!$B$38:$BL$67,MATCH($B$184,'ei names mapping'!$A$4:$A$33,0),MATCH(G330,'ei names mapping'!$B$3:$BL$3,0))</f>
        <v>RER</v>
      </c>
      <c r="D330" t="str">
        <f>INDEX('ei names mapping'!$B$104:$BL$133,MATCH($B$184,'ei names mapping'!$A$4:$A$33,0),MATCH(G330,'ei names mapping'!$B$3:$BL$3,0))</f>
        <v>kilogram</v>
      </c>
      <c r="F330" t="s">
        <v>89</v>
      </c>
      <c r="G330" t="s">
        <v>29</v>
      </c>
      <c r="H330" t="str">
        <f>INDEX('ei names mapping'!$B$71:$BL$100,MATCH(B298,'ei names mapping'!$A$4:$A$33,0),MATCH(G330,'ei names mapping'!$B$3:$BL$3,0))</f>
        <v>road wear emissions, passenger car</v>
      </c>
    </row>
    <row r="331" spans="1:8" x14ac:dyDescent="0.2">
      <c r="A331" t="str">
        <f>INDEX('ei names mapping'!$B$4:$BL$33,MATCH($B$184,'ei names mapping'!$A$4:$A$33,0),MATCH(G331,'ei names mapping'!$B$3:$BL$3,0))</f>
        <v>treatment of tyre wear emissions, passenger car</v>
      </c>
      <c r="B331" s="7">
        <f>INDEX('vehicles specifications'!$B$3:$CW$166,MATCH(B301,'vehicles specifications'!$A$3:$A$166,0),MATCH(G331,'vehicles specifications'!$B$2:$CW$2,0))*INDEX('ei names mapping'!$B$137:$BL$300,MATCH(B301,'ei names mapping'!$A$137:$A$300,0),MATCH(G331,'ei names mapping'!$B$136:$BL$136,0))</f>
        <v>-4.2770365426043568E-6</v>
      </c>
      <c r="C331" t="str">
        <f>INDEX('ei names mapping'!$B$38:$BL$67,MATCH($B$184,'ei names mapping'!$A$4:$A$33,0),MATCH(G331,'ei names mapping'!$B$3:$BL$3,0))</f>
        <v>RER</v>
      </c>
      <c r="D331" t="str">
        <f>INDEX('ei names mapping'!$B$104:$BL$133,MATCH($B$184,'ei names mapping'!$A$4:$A$33,0),MATCH(G331,'ei names mapping'!$B$3:$BL$3,0))</f>
        <v>kilogram</v>
      </c>
      <c r="F331" t="s">
        <v>89</v>
      </c>
      <c r="G331" t="s">
        <v>30</v>
      </c>
      <c r="H331" t="str">
        <f>INDEX('ei names mapping'!$B$71:$BL$100,MATCH($B$184,'ei names mapping'!$A$4:$A$33,0),MATCH(G331,'ei names mapping'!$B$3:$BL$3,0))</f>
        <v>tyre wear emissions, passenger car</v>
      </c>
    </row>
    <row r="332" spans="1:8" x14ac:dyDescent="0.2">
      <c r="A332" t="str">
        <f>INDEX('ei names mapping'!$B$4:$BL$33,MATCH($B$184,'ei names mapping'!$A$4:$A$33,0),MATCH(G332,'ei names mapping'!$B$3:$BL$3,0))</f>
        <v>treatment of brake wear emissions, passenger car</v>
      </c>
      <c r="B332" s="7">
        <f>INDEX('vehicles specifications'!$B$3:$CW$166,MATCH(B301,'vehicles specifications'!$A$3:$A$166,0),MATCH(G332,'vehicles specifications'!$B$2:$CW$2,0))*INDEX('ei names mapping'!$B$137:$BL$300,MATCH(B301,'ei names mapping'!$A$137:$A$300,0),MATCH(G332,'ei names mapping'!$B$136:$BL$136,0))</f>
        <v>-3.9697750071375261E-6</v>
      </c>
      <c r="C332" t="str">
        <f>INDEX('ei names mapping'!$B$38:$BL$67,MATCH($B$184,'ei names mapping'!$A$4:$A$33,0),MATCH(G332,'ei names mapping'!$B$3:$BL$3,0))</f>
        <v>RER</v>
      </c>
      <c r="D332" t="str">
        <f>INDEX('ei names mapping'!$B$104:$BL$133,MATCH($B$184,'ei names mapping'!$A$4:$A$33,0),MATCH(G332,'ei names mapping'!$B$3:$BL$3,0))</f>
        <v>kilogram</v>
      </c>
      <c r="F332" t="s">
        <v>89</v>
      </c>
      <c r="G332" t="s">
        <v>31</v>
      </c>
      <c r="H332" t="str">
        <f>INDEX('ei names mapping'!$B$71:$BL$100,MATCH($B$184,'ei names mapping'!$A$4:$A$33,0),MATCH(G332,'ei names mapping'!$B$3:$BL$3,0))</f>
        <v>brake wear emissions, passenger car</v>
      </c>
    </row>
  </sheetData>
  <pageMargins left="0.7" right="0.7" top="0.75" bottom="0.75" header="0.3" footer="0.3"/>
  <pageSetup orientation="portrait" horizontalDpi="300" verticalDpi="3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332"/>
  <sheetViews>
    <sheetView topLeftCell="A316" workbookViewId="0">
      <selection activeCell="A340" sqref="A340"/>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(&lt;25 km/h), NCA battery, 2020</v>
      </c>
    </row>
    <row r="2" spans="1:2" x14ac:dyDescent="0.2">
      <c r="A2" t="s">
        <v>72</v>
      </c>
      <c r="B2" t="s">
        <v>37</v>
      </c>
    </row>
    <row r="3" spans="1:2" x14ac:dyDescent="0.2">
      <c r="A3" t="s">
        <v>86</v>
      </c>
      <c r="B3" t="s">
        <v>489</v>
      </c>
    </row>
    <row r="4" spans="1:2" x14ac:dyDescent="0.2">
      <c r="A4" t="s">
        <v>87</v>
      </c>
    </row>
    <row r="5" spans="1:2" x14ac:dyDescent="0.2">
      <c r="A5" t="s">
        <v>88</v>
      </c>
      <c r="B5">
        <v>2020</v>
      </c>
    </row>
    <row r="6" spans="1:2" x14ac:dyDescent="0.2">
      <c r="A6" t="s">
        <v>126</v>
      </c>
      <c r="B6" t="str">
        <f>B3&amp;" - "&amp;B5&amp;" - "&amp;B18&amp;" - "&amp;B2</f>
        <v>Bicycle, electric (&lt;25 km/h) - 2020 - NCA - CH</v>
      </c>
    </row>
    <row r="7" spans="1:2" x14ac:dyDescent="0.2">
      <c r="A7" t="s">
        <v>73</v>
      </c>
      <c r="B7" t="str">
        <f>B3</f>
        <v>Bicycle, electric (&lt;25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f>INDEX('vehicles specifications'!$B$3:$CW$166,MATCH(B6,'vehicles specifications'!$A$3:$A$166,0),MATCH("Curb mass [kg]",'vehicles specifications'!$B$2:$CW$2,0))</f>
        <v>22.826086956521738</v>
      </c>
    </row>
    <row r="17" spans="1:8" x14ac:dyDescent="0.2">
      <c r="A17" t="s">
        <v>133</v>
      </c>
      <c r="B17">
        <f>INDEX('vehicles specifications'!$B$3:$CW$166,MATCH(B6,'vehicles specifications'!$A$3:$A$166,0),MATCH("Power [kW]",'vehicles specifications'!$B$2:$CW$2,0))</f>
        <v>0.25</v>
      </c>
    </row>
    <row r="18" spans="1:8" x14ac:dyDescent="0.2">
      <c r="A18" t="s">
        <v>652</v>
      </c>
      <c r="B18" s="20" t="s">
        <v>45</v>
      </c>
    </row>
    <row r="19" spans="1:8" x14ac:dyDescent="0.2">
      <c r="A19" t="s">
        <v>134</v>
      </c>
      <c r="B19">
        <f>INDEX('vehicles specifications'!$B$3:$CW$166,MATCH(B6,'vehicles specifications'!$A$3:$A$166,0),MATCH("Energy battery mass [kg]",'vehicles specifications'!$B$2:$CW$2,0))</f>
        <v>2.8260869565217388</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58.368978251949123</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(&lt;25 km/h), NCA battery, 2020</v>
      </c>
      <c r="B33">
        <v>1</v>
      </c>
      <c r="C33" t="str">
        <f>B2</f>
        <v>CH</v>
      </c>
      <c r="D33" t="str">
        <f>B9</f>
        <v>unit</v>
      </c>
      <c r="F33" t="s">
        <v>84</v>
      </c>
      <c r="G33" t="s">
        <v>85</v>
      </c>
      <c r="H33" t="str">
        <f>B3</f>
        <v>Bicycle, electric (&lt;25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0.94117647058823528</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760</v>
      </c>
      <c r="B37" s="4">
        <f>INDEX('vehicles specifications'!$B$3:$CW$166,MATCH(B6,'vehicles specifications'!$A$3:$A$166,0),MATCH(G37,'vehicles specifications'!$B$2:$CW$2,0))*INDEX('ei names mapping'!$B$137:$BL$300,MATCH(B6,'ei names mapping'!$A$137:$A$300,0),MATCH(G37,'ei names mapping'!$B$136:$BL$136,0))</f>
        <v>4.3478260869565215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1.3043478260869563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-0.66666666666666663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-5.6521739130434776</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22.826086956521738</v>
      </c>
      <c r="C43" t="s">
        <v>92</v>
      </c>
      <c r="D43" t="s">
        <v>233</v>
      </c>
      <c r="F43" t="s">
        <v>89</v>
      </c>
      <c r="H43" s="13" t="s">
        <v>841</v>
      </c>
    </row>
    <row r="44" spans="1:8" x14ac:dyDescent="0.2">
      <c r="A44" s="13" t="s">
        <v>441</v>
      </c>
      <c r="B44" s="2">
        <f>(B16/1000)*B28</f>
        <v>362.93478260869563</v>
      </c>
      <c r="C44" t="s">
        <v>95</v>
      </c>
      <c r="D44" t="s">
        <v>233</v>
      </c>
      <c r="F44" t="s">
        <v>89</v>
      </c>
      <c r="H44" s="13" t="s">
        <v>441</v>
      </c>
    </row>
    <row r="45" spans="1:8" x14ac:dyDescent="0.2">
      <c r="B45" s="11"/>
    </row>
    <row r="46" spans="1:8" ht="16" x14ac:dyDescent="0.2">
      <c r="A46" s="10" t="s">
        <v>71</v>
      </c>
      <c r="B46" s="8" t="str">
        <f>B48&amp;", "&amp;B63&amp;" battery, "&amp;B50</f>
        <v>Bicycle, electric (&lt;25 km/h), NCA battery, 2030</v>
      </c>
    </row>
    <row r="47" spans="1:8" x14ac:dyDescent="0.2">
      <c r="A47" t="s">
        <v>72</v>
      </c>
      <c r="B47" t="s">
        <v>37</v>
      </c>
    </row>
    <row r="48" spans="1:8" x14ac:dyDescent="0.2">
      <c r="A48" t="s">
        <v>86</v>
      </c>
      <c r="B48" t="s">
        <v>489</v>
      </c>
    </row>
    <row r="49" spans="1:2" x14ac:dyDescent="0.2">
      <c r="A49" t="s">
        <v>87</v>
      </c>
    </row>
    <row r="50" spans="1:2" x14ac:dyDescent="0.2">
      <c r="A50" t="s">
        <v>88</v>
      </c>
      <c r="B50">
        <v>2030</v>
      </c>
    </row>
    <row r="51" spans="1:2" x14ac:dyDescent="0.2">
      <c r="A51" t="s">
        <v>126</v>
      </c>
      <c r="B51" t="str">
        <f>B48&amp;" - "&amp;B50&amp;" - "&amp;B63&amp;" - "&amp;B47</f>
        <v>Bicycle, electric (&lt;25 km/h) - 2030 - NCA - CH</v>
      </c>
    </row>
    <row r="52" spans="1:2" x14ac:dyDescent="0.2">
      <c r="A52" t="s">
        <v>73</v>
      </c>
      <c r="B52" t="str">
        <f>B48</f>
        <v>Bicycle, electric (&lt;25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22.886666666666663</v>
      </c>
    </row>
    <row r="62" spans="1:2" x14ac:dyDescent="0.2">
      <c r="A62" t="s">
        <v>133</v>
      </c>
      <c r="B62">
        <f>INDEX('vehicles specifications'!$B$3:$CW$166,MATCH(B51,'vehicles specifications'!$A$3:$A$166,0),MATCH("Power [kW]",'vehicles specifications'!$B$2:$CW$2,0))</f>
        <v>0.25</v>
      </c>
    </row>
    <row r="63" spans="1:2" x14ac:dyDescent="0.2">
      <c r="A63" t="s">
        <v>652</v>
      </c>
      <c r="B63" s="20" t="s">
        <v>45</v>
      </c>
    </row>
    <row r="64" spans="1:2" x14ac:dyDescent="0.2">
      <c r="A64" t="s">
        <v>134</v>
      </c>
      <c r="B64">
        <f>INDEX('vehicles specifications'!$B$3:$CW$166,MATCH(B51,'vehicles specifications'!$A$3:$A$166,0),MATCH("Energy battery mass [kg]",'vehicles specifications'!$B$2:$CW$2,0))</f>
        <v>3.4666666666666668</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93.390365203118606</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(&lt;25 km/h), NCA battery, 2030</v>
      </c>
      <c r="B78">
        <v>1</v>
      </c>
      <c r="C78" t="str">
        <f>B47</f>
        <v>CH</v>
      </c>
      <c r="D78" t="str">
        <f>B54</f>
        <v>unit</v>
      </c>
      <c r="F78" t="s">
        <v>84</v>
      </c>
      <c r="G78" t="s">
        <v>85</v>
      </c>
      <c r="H78" t="str">
        <f>B48</f>
        <v>Bicycle, electric (&lt;25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0.94117647058823528</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0.48</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760</v>
      </c>
      <c r="B82" s="4">
        <f>INDEX('vehicles specifications'!$B$3:$CW$166,MATCH(B51,'vehicles specifications'!$A$3:$A$166,0),MATCH(G82,'vehicles specifications'!$B$2:$CW$2,0))*INDEX('ei names mapping'!$B$137:$BL$300,MATCH(B51,'ei names mapping'!$A$137:$A$300,0),MATCH(G82,'ei names mapping'!$B$136:$BL$136,0))</f>
        <v>4</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1.2000000000000002</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-0.64666666666666661</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-5.2</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22.886666666666663</v>
      </c>
      <c r="C88" t="s">
        <v>92</v>
      </c>
      <c r="D88" t="s">
        <v>233</v>
      </c>
      <c r="F88" t="s">
        <v>89</v>
      </c>
      <c r="H88" s="13" t="s">
        <v>841</v>
      </c>
    </row>
    <row r="89" spans="1:8" x14ac:dyDescent="0.2">
      <c r="A89" s="13" t="s">
        <v>441</v>
      </c>
      <c r="B89" s="2">
        <f>(B61/1000)*B73</f>
        <v>363.89799999999991</v>
      </c>
      <c r="C89" t="s">
        <v>95</v>
      </c>
      <c r="D89" t="s">
        <v>233</v>
      </c>
      <c r="F89" t="s">
        <v>89</v>
      </c>
      <c r="H89" s="13" t="s">
        <v>441</v>
      </c>
    </row>
    <row r="91" spans="1:8" ht="16" x14ac:dyDescent="0.2">
      <c r="A91" s="10" t="s">
        <v>71</v>
      </c>
      <c r="B91" s="8" t="str">
        <f>B93&amp;", "&amp;B108&amp;" battery, "&amp;B95</f>
        <v>Bicycle, electric (&lt;25 km/h), NCA battery, 2040</v>
      </c>
    </row>
    <row r="92" spans="1:8" x14ac:dyDescent="0.2">
      <c r="A92" t="s">
        <v>72</v>
      </c>
      <c r="B92" t="s">
        <v>37</v>
      </c>
    </row>
    <row r="93" spans="1:8" x14ac:dyDescent="0.2">
      <c r="A93" t="s">
        <v>86</v>
      </c>
      <c r="B93" t="s">
        <v>489</v>
      </c>
    </row>
    <row r="94" spans="1:8" x14ac:dyDescent="0.2">
      <c r="A94" t="s">
        <v>87</v>
      </c>
    </row>
    <row r="95" spans="1:8" x14ac:dyDescent="0.2">
      <c r="A95" t="s">
        <v>88</v>
      </c>
      <c r="B95">
        <v>2040</v>
      </c>
    </row>
    <row r="96" spans="1:8" x14ac:dyDescent="0.2">
      <c r="A96" t="s">
        <v>126</v>
      </c>
      <c r="B96" t="str">
        <f>B93&amp;" - "&amp;B95&amp;" - "&amp;B108&amp;" - "&amp;B92</f>
        <v>Bicycle, electric (&lt;25 km/h) - 2040 - NCA - CH</v>
      </c>
    </row>
    <row r="97" spans="1:2" x14ac:dyDescent="0.2">
      <c r="A97" t="s">
        <v>73</v>
      </c>
      <c r="B97" t="str">
        <f>B93</f>
        <v>Bicycle, electric (&lt;25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22.25</v>
      </c>
    </row>
    <row r="107" spans="1:2" x14ac:dyDescent="0.2">
      <c r="A107" t="s">
        <v>133</v>
      </c>
      <c r="B107">
        <f>INDEX('vehicles specifications'!$B$3:$CW$166,MATCH(B96,'vehicles specifications'!$A$3:$A$166,0),MATCH("Power [kW]",'vehicles specifications'!$B$2:$CW$2,0))</f>
        <v>0.25</v>
      </c>
    </row>
    <row r="108" spans="1:2" x14ac:dyDescent="0.2">
      <c r="A108" t="s">
        <v>652</v>
      </c>
      <c r="B108" s="20" t="s">
        <v>45</v>
      </c>
    </row>
    <row r="109" spans="1:2" x14ac:dyDescent="0.2">
      <c r="A109" t="s">
        <v>134</v>
      </c>
      <c r="B109">
        <f>INDEX('vehicles specifications'!$B$3:$CW$166,MATCH(B96,'vehicles specifications'!$A$3:$A$166,0),MATCH("Energy battery mass [kg]",'vehicles specifications'!$B$2:$CW$2,0))</f>
        <v>3.25</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116.73795650389825</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(&lt;25 km/h), NCA battery, 2040</v>
      </c>
      <c r="B123">
        <v>1</v>
      </c>
      <c r="C123" t="str">
        <f>B92</f>
        <v>CH</v>
      </c>
      <c r="D123" t="str">
        <f>B99</f>
        <v>unit</v>
      </c>
      <c r="F123" t="s">
        <v>84</v>
      </c>
      <c r="G123" t="s">
        <v>85</v>
      </c>
      <c r="H123" t="str">
        <f>B93</f>
        <v>Bicycle, electric (&lt;25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0.94117647058823528</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0.8</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760</v>
      </c>
      <c r="B127" s="4">
        <f>INDEX('vehicles specifications'!$B$3:$CW$166,MATCH(B96,'vehicles specifications'!$A$3:$A$166,0),MATCH(G127,'vehicles specifications'!$B$2:$CW$2,0))*INDEX('ei names mapping'!$B$137:$BL$300,MATCH(B96,'ei names mapping'!$A$137:$A$300,0),MATCH(G127,'ei names mapping'!$B$136:$BL$136,0))</f>
        <v>3.125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0.9375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-0.6333333333333333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-4.0625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22.25</v>
      </c>
      <c r="C133" t="s">
        <v>92</v>
      </c>
      <c r="D133" t="s">
        <v>233</v>
      </c>
      <c r="F133" t="s">
        <v>89</v>
      </c>
      <c r="H133" s="13" t="s">
        <v>841</v>
      </c>
    </row>
    <row r="134" spans="1:8" x14ac:dyDescent="0.2">
      <c r="A134" s="13" t="s">
        <v>441</v>
      </c>
      <c r="B134" s="2">
        <f>(B106/1000)*B118</f>
        <v>353.77499999999998</v>
      </c>
      <c r="C134" t="s">
        <v>95</v>
      </c>
      <c r="D134" t="s">
        <v>233</v>
      </c>
      <c r="F134" t="s">
        <v>89</v>
      </c>
      <c r="H134" s="13" t="s">
        <v>441</v>
      </c>
    </row>
    <row r="136" spans="1:8" ht="16" x14ac:dyDescent="0.2">
      <c r="A136" s="10" t="s">
        <v>71</v>
      </c>
      <c r="B136" s="8" t="str">
        <f>B138&amp;", "&amp;B153&amp;" battery, "&amp;B140</f>
        <v>Bicycle, electric (&lt;25 km/h), NCA battery, 2050</v>
      </c>
    </row>
    <row r="137" spans="1:8" x14ac:dyDescent="0.2">
      <c r="A137" t="s">
        <v>72</v>
      </c>
      <c r="B137" t="s">
        <v>37</v>
      </c>
    </row>
    <row r="138" spans="1:8" x14ac:dyDescent="0.2">
      <c r="A138" t="s">
        <v>86</v>
      </c>
      <c r="B138" t="s">
        <v>489</v>
      </c>
    </row>
    <row r="139" spans="1:8" x14ac:dyDescent="0.2">
      <c r="A139" t="s">
        <v>87</v>
      </c>
    </row>
    <row r="140" spans="1:8" x14ac:dyDescent="0.2">
      <c r="A140" t="s">
        <v>88</v>
      </c>
      <c r="B140">
        <v>2050</v>
      </c>
    </row>
    <row r="141" spans="1:8" x14ac:dyDescent="0.2">
      <c r="A141" t="s">
        <v>126</v>
      </c>
      <c r="B141" t="str">
        <f>B138&amp;" - "&amp;B140&amp;" - "&amp;B153&amp;" - "&amp;B137</f>
        <v>Bicycle, electric (&lt;25 km/h) - 2050 - NCA - CH</v>
      </c>
    </row>
    <row r="142" spans="1:8" x14ac:dyDescent="0.2">
      <c r="A142" t="s">
        <v>73</v>
      </c>
      <c r="B142" t="str">
        <f>B138</f>
        <v>Bicycle, electric (&lt;25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22.479999999999997</v>
      </c>
    </row>
    <row r="152" spans="1:2" x14ac:dyDescent="0.2">
      <c r="A152" t="s">
        <v>133</v>
      </c>
      <c r="B152">
        <f>INDEX('vehicles specifications'!$B$3:$CW$166,MATCH(B141,'vehicles specifications'!$A$3:$A$166,0),MATCH("Power [kW]",'vehicles specifications'!$B$2:$CW$2,0))</f>
        <v>0.25</v>
      </c>
    </row>
    <row r="153" spans="1:2" x14ac:dyDescent="0.2">
      <c r="A153" t="s">
        <v>652</v>
      </c>
      <c r="B153" s="20" t="s">
        <v>45</v>
      </c>
    </row>
    <row r="154" spans="1:2" x14ac:dyDescent="0.2">
      <c r="A154" t="s">
        <v>134</v>
      </c>
      <c r="B154">
        <f>INDEX('vehicles specifications'!$B$3:$CW$166,MATCH(B141,'vehicles specifications'!$A$3:$A$166,0),MATCH("Energy battery mass [kg]",'vehicles specifications'!$B$2:$CW$2,0))</f>
        <v>3.9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175.10693475584739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(&lt;25 km/h), NCA battery, 2050</v>
      </c>
      <c r="B168">
        <v>1</v>
      </c>
      <c r="C168" t="str">
        <f>B137</f>
        <v>CH</v>
      </c>
      <c r="D168" t="str">
        <f>B144</f>
        <v>unit</v>
      </c>
      <c r="F168" t="s">
        <v>84</v>
      </c>
      <c r="G168" t="s">
        <v>85</v>
      </c>
      <c r="H168" t="str">
        <f>B138</f>
        <v>Bicycle, electric (&lt;25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0.94117647058823528</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1.1200000000000001</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760</v>
      </c>
      <c r="B172" s="4">
        <f>INDEX('vehicles specifications'!$B$3:$CW$166,MATCH(B141,'vehicles specifications'!$A$3:$A$166,0),MATCH(G172,'vehicles specifications'!$B$2:$CW$2,0))*INDEX('ei names mapping'!$B$137:$BL$300,MATCH(B141,'ei names mapping'!$A$137:$A$300,0),MATCH(G172,'ei names mapping'!$B$136:$BL$136,0))</f>
        <v>3</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0.89999999999999991</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-0.61999999999999988</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-3.9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22.479999999999997</v>
      </c>
      <c r="C178" t="s">
        <v>92</v>
      </c>
      <c r="D178" t="s">
        <v>233</v>
      </c>
      <c r="F178" t="s">
        <v>89</v>
      </c>
      <c r="H178" s="13" t="s">
        <v>841</v>
      </c>
    </row>
    <row r="179" spans="1:8" x14ac:dyDescent="0.2">
      <c r="A179" s="13" t="s">
        <v>441</v>
      </c>
      <c r="B179" s="2">
        <f>(B151/1000)*B163</f>
        <v>357.43199999999996</v>
      </c>
      <c r="C179" t="s">
        <v>95</v>
      </c>
      <c r="D179" t="s">
        <v>233</v>
      </c>
      <c r="F179" t="s">
        <v>89</v>
      </c>
      <c r="H179" s="13" t="s">
        <v>441</v>
      </c>
    </row>
    <row r="182" spans="1:8" ht="16" x14ac:dyDescent="0.2">
      <c r="A182" s="10" t="s">
        <v>71</v>
      </c>
      <c r="B182" s="8" t="str">
        <f>"transport, "&amp;B184&amp;", "&amp;B199&amp;" battery, "&amp;B186</f>
        <v>transport, Bicycle, electric (&lt;25 km/h), NCA battery, 2020</v>
      </c>
    </row>
    <row r="183" spans="1:8" x14ac:dyDescent="0.2">
      <c r="A183" t="s">
        <v>72</v>
      </c>
      <c r="B183" t="s">
        <v>37</v>
      </c>
    </row>
    <row r="184" spans="1:8" x14ac:dyDescent="0.2">
      <c r="A184" t="s">
        <v>86</v>
      </c>
      <c r="B184" t="s">
        <v>489</v>
      </c>
    </row>
    <row r="185" spans="1:8" x14ac:dyDescent="0.2">
      <c r="A185" t="s">
        <v>87</v>
      </c>
    </row>
    <row r="186" spans="1:8" x14ac:dyDescent="0.2">
      <c r="A186" t="s">
        <v>88</v>
      </c>
      <c r="B186">
        <v>2020</v>
      </c>
    </row>
    <row r="187" spans="1:8" x14ac:dyDescent="0.2">
      <c r="A187" t="s">
        <v>126</v>
      </c>
      <c r="B187" t="str">
        <f>B184&amp;" - "&amp;B186&amp;" - "&amp;B199&amp;" - "&amp;B183</f>
        <v>Bicycle, electric (&lt;25 km/h) - 2020 - NCA - CH</v>
      </c>
    </row>
    <row r="188" spans="1:8" x14ac:dyDescent="0.2">
      <c r="A188" t="s">
        <v>73</v>
      </c>
      <c r="B188" t="str">
        <f>"transport, "&amp;B184</f>
        <v>transport, Bicycle, electric (&lt;25 km/h)</v>
      </c>
    </row>
    <row r="189" spans="1:8" x14ac:dyDescent="0.2">
      <c r="A189" t="s">
        <v>74</v>
      </c>
      <c r="B189" t="s">
        <v>75</v>
      </c>
    </row>
    <row r="190" spans="1:8" x14ac:dyDescent="0.2">
      <c r="A190" t="s">
        <v>76</v>
      </c>
      <c r="B190" t="s">
        <v>166</v>
      </c>
    </row>
    <row r="191" spans="1:8" x14ac:dyDescent="0.2">
      <c r="A191" t="s">
        <v>78</v>
      </c>
      <c r="B191" t="s">
        <v>1143</v>
      </c>
    </row>
    <row r="192" spans="1:8" x14ac:dyDescent="0.2">
      <c r="A192" t="s">
        <v>127</v>
      </c>
      <c r="B192">
        <f>INDEX('vehicles specifications'!$B$3:$CW$166,MATCH(B187,'vehicles specifications'!$A$3:$A$166,0),MATCH("Lifetime [km]",'vehicles specifications'!$B$2:$CW$2,0))</f>
        <v>20000</v>
      </c>
    </row>
    <row r="193" spans="1:2" x14ac:dyDescent="0.2">
      <c r="A193" t="s">
        <v>128</v>
      </c>
      <c r="B193">
        <f>INDEX('vehicles specifications'!$B$3:$CW$166,MATCH(B187,'vehicles specifications'!$A$3:$A$166,0),MATCH("Passengers [unit]",'vehicles specifications'!$B$2:$CW$2,0))</f>
        <v>1</v>
      </c>
    </row>
    <row r="194" spans="1:2" x14ac:dyDescent="0.2">
      <c r="A194" t="s">
        <v>129</v>
      </c>
      <c r="B194">
        <f>INDEX('vehicles specifications'!$B$3:$CW$166,MATCH(B187,'vehicles specifications'!$A$3:$A$166,0),MATCH("Servicing [unit]",'vehicles specifications'!$B$2:$CW$2,0))</f>
        <v>1.3333333333333333</v>
      </c>
    </row>
    <row r="195" spans="1:2" x14ac:dyDescent="0.2">
      <c r="A195" t="s">
        <v>130</v>
      </c>
      <c r="B195">
        <f>INDEX('vehicles specifications'!$B$3:$CW$166,MATCH(B187,'vehicles specifications'!$A$3:$A$166,0),MATCH("Energy battery replacement [unit]",'vehicles specifications'!$B$2:$CW$2,0))</f>
        <v>1</v>
      </c>
    </row>
    <row r="196" spans="1:2" x14ac:dyDescent="0.2">
      <c r="A196" t="s">
        <v>131</v>
      </c>
      <c r="B196">
        <f>INDEX('vehicles specifications'!$B$3:$CW$166,MATCH(B187,'vehicles specifications'!$A$3:$A$166,0),MATCH("Annual kilometers [km]",'vehicles specifications'!$B$2:$CW$2,0))</f>
        <v>2000</v>
      </c>
    </row>
    <row r="197" spans="1:2" x14ac:dyDescent="0.2">
      <c r="A197" t="s">
        <v>132</v>
      </c>
      <c r="B197">
        <f>INDEX('vehicles specifications'!$B$3:$CW$166,MATCH(B187,'vehicles specifications'!$A$3:$A$166,0),MATCH("Curb mass [kg]",'vehicles specifications'!$B$2:$CW$2,0))</f>
        <v>22.826086956521738</v>
      </c>
    </row>
    <row r="198" spans="1:2" x14ac:dyDescent="0.2">
      <c r="A198" t="s">
        <v>133</v>
      </c>
      <c r="B198">
        <f>INDEX('vehicles specifications'!$B$3:$CW$166,MATCH(B187,'vehicles specifications'!$A$3:$A$166,0),MATCH("Power [kW]",'vehicles specifications'!$B$2:$CW$2,0))</f>
        <v>0.25</v>
      </c>
    </row>
    <row r="199" spans="1:2" x14ac:dyDescent="0.2">
      <c r="A199" t="s">
        <v>652</v>
      </c>
      <c r="B199" s="20" t="s">
        <v>45</v>
      </c>
    </row>
    <row r="200" spans="1:2" x14ac:dyDescent="0.2">
      <c r="A200" t="s">
        <v>134</v>
      </c>
      <c r="B200">
        <f>INDEX('vehicles specifications'!$B$3:$CW$166,MATCH(B187,'vehicles specifications'!$A$3:$A$166,0),MATCH("Energy battery mass [kg]",'vehicles specifications'!$B$2:$CW$2,0))</f>
        <v>2.8260869565217388</v>
      </c>
    </row>
    <row r="201" spans="1:2" x14ac:dyDescent="0.2">
      <c r="A201" t="s">
        <v>135</v>
      </c>
      <c r="B201">
        <f>INDEX('vehicles specifications'!$B$3:$CW$166,MATCH(B187,'vehicles specifications'!$A$3:$A$166,0),MATCH("Electric energy stored [kWh]",'vehicles specifications'!$B$2:$CW$2,0))</f>
        <v>0.5</v>
      </c>
    </row>
    <row r="202" spans="1:2" x14ac:dyDescent="0.2">
      <c r="A202" t="s">
        <v>588</v>
      </c>
      <c r="B202">
        <f>INDEX('vehicles specifications'!$B$3:$CW$166,MATCH(B187,'vehicles specifications'!$A$3:$A$166,0),MATCH("Electric energy available [kWh]",'vehicles specifications'!$B$2:$CW$2,0))</f>
        <v>0.4</v>
      </c>
    </row>
    <row r="203" spans="1:2" x14ac:dyDescent="0.2">
      <c r="A203" t="s">
        <v>138</v>
      </c>
      <c r="B203">
        <f>INDEX('vehicles specifications'!$B$3:$CW$166,MATCH(B187,'vehicles specifications'!$A$3:$A$166,0),MATCH("Oxydation energy stored [kWh]",'vehicles specifications'!$B$2:$CW$2,0))</f>
        <v>0</v>
      </c>
    </row>
    <row r="204" spans="1:2" x14ac:dyDescent="0.2">
      <c r="A204" t="s">
        <v>139</v>
      </c>
      <c r="B204">
        <f>INDEX('vehicles specifications'!$B$3:$CW$166,MATCH(B187,'vehicles specifications'!$A$3:$A$166,0),MATCH("Fuel mass [kg]",'vehicles specifications'!$B$2:$CW$2,0))</f>
        <v>0</v>
      </c>
    </row>
    <row r="205" spans="1:2" x14ac:dyDescent="0.2">
      <c r="A205" t="s">
        <v>136</v>
      </c>
      <c r="B205" s="2">
        <f>INDEX('vehicles specifications'!$B$3:$CW$166,MATCH(B187,'vehicles specifications'!$A$3:$A$166,0),MATCH("Range [km]",'vehicles specifications'!$B$2:$CW$2,0))</f>
        <v>58.368978251949123</v>
      </c>
    </row>
    <row r="206" spans="1:2" x14ac:dyDescent="0.2">
      <c r="A206" t="s">
        <v>137</v>
      </c>
      <c r="B206" t="str">
        <f>INDEX('vehicles specifications'!$B$3:$CW$166,MATCH(B187,'vehicles specifications'!$A$3:$A$166,0),MATCH("Emission standard",'vehicles specifications'!$B$2:$CW$2,0))</f>
        <v>None</v>
      </c>
    </row>
    <row r="207" spans="1:2" x14ac:dyDescent="0.2">
      <c r="A207" t="s">
        <v>1174</v>
      </c>
      <c r="B207" s="6">
        <f>INDEX('vehicles specifications'!$B$3:$CW$166,MATCH(B187,'vehicles specifications'!$A$3:$A$166,0),MATCH("Lightweighting rate [%]",'vehicles specifications'!$B$2:$CW$2,0))</f>
        <v>0</v>
      </c>
    </row>
    <row r="208" spans="1:2" x14ac:dyDescent="0.2">
      <c r="A208" t="s">
        <v>83</v>
      </c>
      <c r="B208" t="str">
        <f>"Power: "&amp;B198&amp;" kW. Lifetime: "&amp;B192&amp;" km. Annual kilometers: "&amp;B196&amp;" km. Number of passengers: "&amp;B193&amp;". Curb mass: "&amp;ROUND(B197,1)&amp;" kg. Lightweighting of glider: "&amp;ROUND(B207*100,0)&amp;"%. Emission standard: "&amp;B206&amp;". Service visits throughout lifetime: "&amp;ROUND(B194,1)&amp;". Range: "&amp;ROUND(B205,0)&amp;" km. Battery capacity: "&amp;ROUND(B201,1)&amp;" kWh. Available battery capacity: "&amp;B202&amp;" kWh. Battery mass: "&amp;ROUND(B200,1)&amp; " kg. Battery replacement throughout lifetime: "&amp;ROUND(B195,1)&amp;". Fuel tank capacity: "&amp;ROUND(B203,1)&amp;" kWh. Fuel mass: "&amp;ROUND(B204,1)&amp;" kg. Documentation: "&amp;Readmefirst!$B$2&amp;", "&amp;Readmefirst!$B$3&amp;". "&amp;B191</f>
        <v>Power: 0.25 kW. Lifetime: 20000 km. Annual kilometers: 2000 km. Number of passengers: 1. Curb mass: 22.8 kg. Lightweighting of glider: 0%. Emission standard: None. Service visits throughout lifetime: 1.3. Range: 58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9" spans="1:8" ht="16" x14ac:dyDescent="0.2">
      <c r="A209" s="10" t="s">
        <v>79</v>
      </c>
    </row>
    <row r="210" spans="1:8" x14ac:dyDescent="0.2">
      <c r="A210" t="s">
        <v>80</v>
      </c>
      <c r="B210" t="s">
        <v>81</v>
      </c>
      <c r="C210" t="s">
        <v>72</v>
      </c>
      <c r="D210" t="s">
        <v>76</v>
      </c>
      <c r="E210" t="s">
        <v>82</v>
      </c>
      <c r="F210" t="s">
        <v>74</v>
      </c>
      <c r="G210" t="s">
        <v>83</v>
      </c>
      <c r="H210" t="s">
        <v>73</v>
      </c>
    </row>
    <row r="211" spans="1:8" x14ac:dyDescent="0.2">
      <c r="A211" t="str">
        <f>B182</f>
        <v>transport, Bicycle, electric (&lt;25 km/h), NCA battery, 2020</v>
      </c>
      <c r="B211">
        <v>1</v>
      </c>
      <c r="C211" t="str">
        <f>B183</f>
        <v>CH</v>
      </c>
      <c r="D211" t="s">
        <v>166</v>
      </c>
      <c r="F211" t="s">
        <v>84</v>
      </c>
      <c r="G211" t="s">
        <v>85</v>
      </c>
      <c r="H211" t="str">
        <f>B188</f>
        <v>transport, Bicycle, electric (&lt;25 km/h)</v>
      </c>
    </row>
    <row r="212" spans="1:8" x14ac:dyDescent="0.2">
      <c r="A212" t="str">
        <f>RIGHT(A211,LEN(A211)-11)</f>
        <v>Bicycle, electric (&lt;25 km/h), NCA battery, 2020</v>
      </c>
      <c r="B212" s="7">
        <f>1/B192</f>
        <v>5.0000000000000002E-5</v>
      </c>
      <c r="C212" t="str">
        <f>B183</f>
        <v>CH</v>
      </c>
      <c r="D212" t="s">
        <v>76</v>
      </c>
      <c r="F212" t="s">
        <v>89</v>
      </c>
      <c r="H212" t="str">
        <f>RIGHT(H211,LEN(H211)-11)</f>
        <v>Bicycle, electric (&lt;25 km/h)</v>
      </c>
    </row>
    <row r="213" spans="1:8" x14ac:dyDescent="0.2">
      <c r="A213" t="str">
        <f>INDEX('ei names mapping'!$B$4:$R$33,MATCH(B184,'ei names mapping'!$A$4:$A$33,0),MATCH(G213,'ei names mapping'!$B$3:$R$3,0))</f>
        <v>road construction</v>
      </c>
      <c r="B213" s="7">
        <f>INDEX('vehicles specifications'!$B$3:$CW$166,MATCH(B187,'vehicles specifications'!$A$3:$A$166,0),MATCH(G213,'vehicles specifications'!$B$2:$CW$2,0))*INDEX('ei names mapping'!$B$137:$BL$300,MATCH(B187,'ei names mapping'!$A$137:$A$300,0),MATCH(G213,'ei names mapping'!$B$136:$BL$136,0))</f>
        <v>5.3069608695652174E-5</v>
      </c>
      <c r="C213" t="str">
        <f>INDEX('ei names mapping'!$B$38:$R$67,MATCH(B184,'ei names mapping'!$A$4:$A$33,0),MATCH(G213,'ei names mapping'!$B$3:$R$3,0))</f>
        <v>CH</v>
      </c>
      <c r="D213" t="str">
        <f>INDEX('ei names mapping'!$B$104:$BL$133,MATCH(B184,'ei names mapping'!$A$4:$A$33,0),MATCH(G213,'ei names mapping'!$B$3:$BL$3,0))</f>
        <v>meter-year</v>
      </c>
      <c r="F213" t="s">
        <v>89</v>
      </c>
      <c r="G213" t="s">
        <v>105</v>
      </c>
      <c r="H213" t="str">
        <f>INDEX('ei names mapping'!$B$71:$BL$100,MATCH(B184,'ei names mapping'!$A$4:$A$33,0),MATCH(G213,'ei names mapping'!$B$3:$BL$3,0))</f>
        <v>road</v>
      </c>
    </row>
    <row r="214" spans="1:8" x14ac:dyDescent="0.2">
      <c r="A214" t="str">
        <f>INDEX('ei names mapping'!$B$4:$R$33,MATCH($B$3,'ei names mapping'!$A$4:$A$33,0),MATCH(G214,'ei names mapping'!$B$3:$R$3,0))</f>
        <v>market for electricity, low voltage</v>
      </c>
      <c r="B214" s="7">
        <f>INDEX('vehicles specifications'!$B$3:$CW$166,MATCH(B187,'vehicles specifications'!$A$3:$A$166,0),MATCH(G214,'vehicles specifications'!$B$2:$CW$2,0))*INDEX('ei names mapping'!$B$137:$BL$300,MATCH(B187,'ei names mapping'!$A$137:$A$300,0),MATCH(G214,'ei names mapping'!$B$136:$BL$136,0))</f>
        <v>7.5382508513468297E-3</v>
      </c>
      <c r="C214" t="str">
        <f>INDEX('ei names mapping'!$B$38:$R$67,MATCH($B$3,'ei names mapping'!$A$4:$A$33,0),MATCH(G214,'ei names mapping'!$B$3:$R$3,0))</f>
        <v>CH</v>
      </c>
      <c r="D214" t="str">
        <f>INDEX('ei names mapping'!$B$104:$R$133,MATCH($B$3,'ei names mapping'!$A$4:$A$33,0),MATCH(G214,'ei names mapping'!$B$3:$R$3,0))</f>
        <v>kilowatt hour</v>
      </c>
      <c r="F214" t="s">
        <v>89</v>
      </c>
      <c r="G214" t="s">
        <v>28</v>
      </c>
      <c r="H214" t="str">
        <f>INDEX('ei names mapping'!$B$71:$R$100,MATCH($B$3,'ei names mapping'!$A$4:$A$33,0),MATCH(G214,'ei names mapping'!$B$3:$R$3,0))</f>
        <v>electricity, low voltage</v>
      </c>
    </row>
    <row r="215" spans="1:8" x14ac:dyDescent="0.2">
      <c r="A215" t="str">
        <f>INDEX('ei names mapping'!$B$4:$R$33,MATCH($B$3,'ei names mapping'!$A$4:$A$33,0),MATCH(G215,'ei names mapping'!$B$3:$R$3,0))</f>
        <v>maintenance, electric bicycle, without battery</v>
      </c>
      <c r="B215" s="7">
        <f>INDEX('vehicles specifications'!$B$3:$CW$166,MATCH(B187,'vehicles specifications'!$A$3:$A$166,0),MATCH(G215,'vehicles specifications'!$B$2:$CW$2,0))*INDEX('ei names mapping'!$B$137:$BL$300,MATCH(B187,'ei names mapping'!$A$137:$A$300,0),MATCH(G215,'ei names mapping'!$B$136:$BL$136,0))</f>
        <v>6.666666666666667E-5</v>
      </c>
      <c r="C215" t="str">
        <f>INDEX('ei names mapping'!$B$38:$R$67,MATCH($B$3,'ei names mapping'!$A$4:$A$33,0),MATCH(G215,'ei names mapping'!$B$3:$R$3,0))</f>
        <v>CH</v>
      </c>
      <c r="D215" t="str">
        <f>INDEX('ei names mapping'!$B$104:$R$133,MATCH($B$3,'ei names mapping'!$A$4:$A$33,0),MATCH(G215,'ei names mapping'!$B$3:$R$3,0))</f>
        <v>unit</v>
      </c>
      <c r="F215" t="s">
        <v>89</v>
      </c>
      <c r="G215" t="s">
        <v>118</v>
      </c>
      <c r="H215" t="str">
        <f>INDEX('ei names mapping'!$B$71:$R$100,MATCH($B$3,'ei names mapping'!$A$4:$A$33,0),MATCH(G215,'ei names mapping'!$B$3:$R$3,0))</f>
        <v>maintenance, electric bicycle, without battery</v>
      </c>
    </row>
    <row r="216" spans="1:8" x14ac:dyDescent="0.2">
      <c r="A216" t="str">
        <f>INDEX('ei names mapping'!$B$4:$BL$33,MATCH($B$184,'ei names mapping'!$A$4:$A$33,0),MATCH(G216,'ei names mapping'!$B$3:$BL$3,0))</f>
        <v>treatment of road wear emissions, passenger car</v>
      </c>
      <c r="B216" s="7">
        <f>INDEX('vehicles specifications'!$B$3:$CW$166,MATCH(B187,'vehicles specifications'!$A$3:$A$166,0),MATCH(G216,'vehicles specifications'!$B$2:$CW$2,0))*INDEX('ei names mapping'!$B$137:$BL$300,MATCH(B187,'ei names mapping'!$A$137:$A$300,0),MATCH(G216,'ei names mapping'!$B$136:$BL$136,0))</f>
        <v>-4.1805713849765551E-6</v>
      </c>
      <c r="C216" t="str">
        <f>INDEX('ei names mapping'!$B$38:$BL$67,MATCH($B$184,'ei names mapping'!$A$4:$A$33,0),MATCH(G216,'ei names mapping'!$B$3:$BL$3,0))</f>
        <v>RER</v>
      </c>
      <c r="D216" t="str">
        <f>INDEX('ei names mapping'!$B$104:$BL$133,MATCH($B$184,'ei names mapping'!$A$4:$A$33,0),MATCH(G216,'ei names mapping'!$B$3:$BL$3,0))</f>
        <v>kilogram</v>
      </c>
      <c r="F216" t="s">
        <v>89</v>
      </c>
      <c r="G216" t="s">
        <v>29</v>
      </c>
      <c r="H216" t="str">
        <f>INDEX('ei names mapping'!$B$71:$BL$100,MATCH(B184,'ei names mapping'!$A$4:$A$33,0),MATCH(G216,'ei names mapping'!$B$3:$BL$3,0))</f>
        <v>road wear emissions, passenger car</v>
      </c>
    </row>
    <row r="217" spans="1:8" x14ac:dyDescent="0.2">
      <c r="A217" t="str">
        <f>INDEX('ei names mapping'!$B$4:$BL$33,MATCH($B$184,'ei names mapping'!$A$4:$A$33,0),MATCH(G217,'ei names mapping'!$B$3:$BL$3,0))</f>
        <v>treatment of tyre wear emissions, passenger car</v>
      </c>
      <c r="B217" s="7">
        <f>INDEX('vehicles specifications'!$B$3:$CW$166,MATCH(B187,'vehicles specifications'!$A$3:$A$166,0),MATCH(G217,'vehicles specifications'!$B$2:$CW$2,0))*INDEX('ei names mapping'!$B$137:$BL$300,MATCH(B187,'ei names mapping'!$A$137:$A$300,0),MATCH(G217,'ei names mapping'!$B$136:$BL$136,0))</f>
        <v>-4.1190422847669845E-6</v>
      </c>
      <c r="C217" t="str">
        <f>INDEX('ei names mapping'!$B$38:$BL$67,MATCH($B$184,'ei names mapping'!$A$4:$A$33,0),MATCH(G217,'ei names mapping'!$B$3:$BL$3,0))</f>
        <v>RER</v>
      </c>
      <c r="D217" t="str">
        <f>INDEX('ei names mapping'!$B$104:$BL$133,MATCH($B$184,'ei names mapping'!$A$4:$A$33,0),MATCH(G217,'ei names mapping'!$B$3:$BL$3,0))</f>
        <v>kilogram</v>
      </c>
      <c r="F217" t="s">
        <v>89</v>
      </c>
      <c r="G217" t="s">
        <v>30</v>
      </c>
      <c r="H217" t="str">
        <f>INDEX('ei names mapping'!$B$71:$BL$100,MATCH($B$184,'ei names mapping'!$A$4:$A$33,0),MATCH(G217,'ei names mapping'!$B$3:$BL$3,0))</f>
        <v>tyre wear emissions, passenger car</v>
      </c>
    </row>
    <row r="218" spans="1:8" x14ac:dyDescent="0.2">
      <c r="A218" t="str">
        <f>INDEX('ei names mapping'!$B$4:$BL$33,MATCH($B$184,'ei names mapping'!$A$4:$A$33,0),MATCH(G218,'ei names mapping'!$B$3:$BL$3,0))</f>
        <v>treatment of brake wear emissions, passenger car</v>
      </c>
      <c r="B218" s="7">
        <f>INDEX('vehicles specifications'!$B$3:$CW$166,MATCH(B187,'vehicles specifications'!$A$3:$A$166,0),MATCH(G218,'vehicles specifications'!$B$2:$CW$2,0))*INDEX('ei names mapping'!$B$137:$BL$300,MATCH(B187,'ei names mapping'!$A$137:$A$300,0),MATCH(G218,'ei names mapping'!$B$136:$BL$136,0))</f>
        <v>-3.8281697391828444E-6</v>
      </c>
      <c r="C218" t="str">
        <f>INDEX('ei names mapping'!$B$38:$BL$67,MATCH($B$184,'ei names mapping'!$A$4:$A$33,0),MATCH(G218,'ei names mapping'!$B$3:$BL$3,0))</f>
        <v>RER</v>
      </c>
      <c r="D218" t="str">
        <f>INDEX('ei names mapping'!$B$104:$BL$133,MATCH($B$184,'ei names mapping'!$A$4:$A$33,0),MATCH(G218,'ei names mapping'!$B$3:$BL$3,0))</f>
        <v>kilogram</v>
      </c>
      <c r="F218" t="s">
        <v>89</v>
      </c>
      <c r="G218" t="s">
        <v>31</v>
      </c>
      <c r="H218" t="str">
        <f>INDEX('ei names mapping'!$B$71:$BL$100,MATCH($B$184,'ei names mapping'!$A$4:$A$33,0),MATCH(G218,'ei names mapping'!$B$3:$BL$3,0))</f>
        <v>brake wear emissions, passenger car</v>
      </c>
    </row>
    <row r="220" spans="1:8" ht="16" x14ac:dyDescent="0.2">
      <c r="A220" s="10" t="s">
        <v>71</v>
      </c>
      <c r="B220" s="8" t="str">
        <f>"transport, "&amp;B222&amp;", "&amp;B237&amp;" battery, "&amp;B224</f>
        <v>transport, Bicycle, electric (&lt;25 km/h), NCA battery, 2030</v>
      </c>
    </row>
    <row r="221" spans="1:8" x14ac:dyDescent="0.2">
      <c r="A221" t="s">
        <v>72</v>
      </c>
      <c r="B221" t="s">
        <v>37</v>
      </c>
    </row>
    <row r="222" spans="1:8" x14ac:dyDescent="0.2">
      <c r="A222" t="s">
        <v>86</v>
      </c>
      <c r="B222" t="s">
        <v>489</v>
      </c>
    </row>
    <row r="223" spans="1:8" x14ac:dyDescent="0.2">
      <c r="A223" t="s">
        <v>87</v>
      </c>
    </row>
    <row r="224" spans="1:8" x14ac:dyDescent="0.2">
      <c r="A224" t="s">
        <v>88</v>
      </c>
      <c r="B224">
        <v>2030</v>
      </c>
    </row>
    <row r="225" spans="1:2" x14ac:dyDescent="0.2">
      <c r="A225" t="s">
        <v>126</v>
      </c>
      <c r="B225" t="str">
        <f>B222&amp;" - "&amp;B224&amp;" - "&amp;B237&amp;" - "&amp;B221</f>
        <v>Bicycle, electric (&lt;25 km/h) - 2030 - NCA - CH</v>
      </c>
    </row>
    <row r="226" spans="1:2" x14ac:dyDescent="0.2">
      <c r="A226" t="s">
        <v>73</v>
      </c>
      <c r="B226" t="str">
        <f>"transport, "&amp;B222</f>
        <v>transport, Bicycle, electric (&lt;25 km/h)</v>
      </c>
    </row>
    <row r="227" spans="1:2" x14ac:dyDescent="0.2">
      <c r="A227" t="s">
        <v>74</v>
      </c>
      <c r="B227" t="s">
        <v>75</v>
      </c>
    </row>
    <row r="228" spans="1:2" x14ac:dyDescent="0.2">
      <c r="A228" t="s">
        <v>76</v>
      </c>
      <c r="B228" t="s">
        <v>166</v>
      </c>
    </row>
    <row r="229" spans="1:2" x14ac:dyDescent="0.2">
      <c r="A229" t="s">
        <v>78</v>
      </c>
      <c r="B229" t="s">
        <v>1143</v>
      </c>
    </row>
    <row r="230" spans="1:2" x14ac:dyDescent="0.2">
      <c r="A230" t="s">
        <v>127</v>
      </c>
      <c r="B230">
        <f>INDEX('vehicles specifications'!$B$3:$CW$166,MATCH(B225,'vehicles specifications'!$A$3:$A$166,0),MATCH("Lifetime [km]",'vehicles specifications'!$B$2:$CW$2,0))</f>
        <v>20000</v>
      </c>
    </row>
    <row r="231" spans="1:2" x14ac:dyDescent="0.2">
      <c r="A231" t="s">
        <v>128</v>
      </c>
      <c r="B231">
        <f>INDEX('vehicles specifications'!$B$3:$CW$166,MATCH(B225,'vehicles specifications'!$A$3:$A$166,0),MATCH("Passengers [unit]",'vehicles specifications'!$B$2:$CW$2,0))</f>
        <v>1</v>
      </c>
    </row>
    <row r="232" spans="1:2" x14ac:dyDescent="0.2">
      <c r="A232" t="s">
        <v>129</v>
      </c>
      <c r="B232">
        <f>INDEX('vehicles specifications'!$B$3:$CW$166,MATCH(B225,'vehicles specifications'!$A$3:$A$166,0),MATCH("Servicing [unit]",'vehicles specifications'!$B$2:$CW$2,0))</f>
        <v>1.3333333333333333</v>
      </c>
    </row>
    <row r="233" spans="1:2" x14ac:dyDescent="0.2">
      <c r="A233" t="s">
        <v>130</v>
      </c>
      <c r="B233">
        <f>INDEX('vehicles specifications'!$B$3:$CW$166,MATCH(B225,'vehicles specifications'!$A$3:$A$166,0),MATCH("Energy battery replacement [unit]",'vehicles specifications'!$B$2:$CW$2,0))</f>
        <v>0.5</v>
      </c>
    </row>
    <row r="234" spans="1:2" x14ac:dyDescent="0.2">
      <c r="A234" t="s">
        <v>131</v>
      </c>
      <c r="B234">
        <f>INDEX('vehicles specifications'!$B$3:$CW$166,MATCH(B225,'vehicles specifications'!$A$3:$A$166,0),MATCH("Annual kilometers [km]",'vehicles specifications'!$B$2:$CW$2,0))</f>
        <v>2000</v>
      </c>
    </row>
    <row r="235" spans="1:2" x14ac:dyDescent="0.2">
      <c r="A235" t="s">
        <v>132</v>
      </c>
      <c r="B235">
        <f>INDEX('vehicles specifications'!$B$3:$CW$166,MATCH(B225,'vehicles specifications'!$A$3:$A$166,0),MATCH("Curb mass [kg]",'vehicles specifications'!$B$2:$CW$2,0))</f>
        <v>22.886666666666663</v>
      </c>
    </row>
    <row r="236" spans="1:2" x14ac:dyDescent="0.2">
      <c r="A236" t="s">
        <v>133</v>
      </c>
      <c r="B236">
        <f>INDEX('vehicles specifications'!$B$3:$CW$166,MATCH(B225,'vehicles specifications'!$A$3:$A$166,0),MATCH("Power [kW]",'vehicles specifications'!$B$2:$CW$2,0))</f>
        <v>0.25</v>
      </c>
    </row>
    <row r="237" spans="1:2" x14ac:dyDescent="0.2">
      <c r="A237" t="s">
        <v>652</v>
      </c>
      <c r="B237" s="20" t="s">
        <v>45</v>
      </c>
    </row>
    <row r="238" spans="1:2" x14ac:dyDescent="0.2">
      <c r="A238" t="s">
        <v>134</v>
      </c>
      <c r="B238">
        <f>INDEX('vehicles specifications'!$B$3:$CW$166,MATCH(B225,'vehicles specifications'!$A$3:$A$166,0),MATCH("Energy battery mass [kg]",'vehicles specifications'!$B$2:$CW$2,0))</f>
        <v>3.4666666666666668</v>
      </c>
    </row>
    <row r="239" spans="1:2" x14ac:dyDescent="0.2">
      <c r="A239" t="s">
        <v>135</v>
      </c>
      <c r="B239">
        <f>INDEX('vehicles specifications'!$B$3:$CW$166,MATCH(B225,'vehicles specifications'!$A$3:$A$166,0),MATCH("Electric energy stored [kWh]",'vehicles specifications'!$B$2:$CW$2,0))</f>
        <v>0.8</v>
      </c>
    </row>
    <row r="240" spans="1:2" x14ac:dyDescent="0.2">
      <c r="A240" t="s">
        <v>588</v>
      </c>
      <c r="B240">
        <f>INDEX('vehicles specifications'!$B$3:$CW$166,MATCH(B225,'vehicles specifications'!$A$3:$A$166,0),MATCH("Electric energy available [kWh]",'vehicles specifications'!$B$2:$CW$2,0))</f>
        <v>0.64000000000000012</v>
      </c>
    </row>
    <row r="241" spans="1:8" x14ac:dyDescent="0.2">
      <c r="A241" t="s">
        <v>138</v>
      </c>
      <c r="B241">
        <f>INDEX('vehicles specifications'!$B$3:$CW$166,MATCH(B225,'vehicles specifications'!$A$3:$A$166,0),MATCH("Oxydation energy stored [kWh]",'vehicles specifications'!$B$2:$CW$2,0))</f>
        <v>0</v>
      </c>
    </row>
    <row r="242" spans="1:8" x14ac:dyDescent="0.2">
      <c r="A242" t="s">
        <v>139</v>
      </c>
      <c r="B242">
        <f>INDEX('vehicles specifications'!$B$3:$CW$166,MATCH(B225,'vehicles specifications'!$A$3:$A$166,0),MATCH("Fuel mass [kg]",'vehicles specifications'!$B$2:$CW$2,0))</f>
        <v>0</v>
      </c>
    </row>
    <row r="243" spans="1:8" x14ac:dyDescent="0.2">
      <c r="A243" t="s">
        <v>136</v>
      </c>
      <c r="B243" s="2">
        <f>INDEX('vehicles specifications'!$B$3:$CW$166,MATCH(B225,'vehicles specifications'!$A$3:$A$166,0),MATCH("Range [km]",'vehicles specifications'!$B$2:$CW$2,0))</f>
        <v>93.390365203118606</v>
      </c>
    </row>
    <row r="244" spans="1:8" x14ac:dyDescent="0.2">
      <c r="A244" t="s">
        <v>137</v>
      </c>
      <c r="B244" t="str">
        <f>INDEX('vehicles specifications'!$B$3:$CW$166,MATCH(B225,'vehicles specifications'!$A$3:$A$166,0),MATCH("Emission standard",'vehicles specifications'!$B$2:$CW$2,0))</f>
        <v>None</v>
      </c>
    </row>
    <row r="245" spans="1:8" x14ac:dyDescent="0.2">
      <c r="A245" t="s">
        <v>1174</v>
      </c>
      <c r="B245" s="6">
        <f>INDEX('vehicles specifications'!$B$3:$CW$166,MATCH(B225,'vehicles specifications'!$A$3:$A$166,0),MATCH("Lightweighting rate [%]",'vehicles specifications'!$B$2:$CW$2,0))</f>
        <v>0.03</v>
      </c>
    </row>
    <row r="246" spans="1:8" x14ac:dyDescent="0.2">
      <c r="A246" t="s">
        <v>83</v>
      </c>
      <c r="B246"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"&amp;B229</f>
        <v>Power: 0.25 kW. Lifetime: 20000 km. Annual kilometers: 2000 km. Number of passengers: 1. Curb mass: 22.9 kg. Lightweighting of glider: 3%. Emission standard: None. Service visits throughout lifetime: 1.3. Range: 93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7" spans="1:8" ht="16" x14ac:dyDescent="0.2">
      <c r="A247" s="10" t="s">
        <v>79</v>
      </c>
    </row>
    <row r="248" spans="1:8" x14ac:dyDescent="0.2">
      <c r="A248" t="s">
        <v>80</v>
      </c>
      <c r="B248" t="s">
        <v>81</v>
      </c>
      <c r="C248" t="s">
        <v>72</v>
      </c>
      <c r="D248" t="s">
        <v>76</v>
      </c>
      <c r="E248" t="s">
        <v>82</v>
      </c>
      <c r="F248" t="s">
        <v>74</v>
      </c>
      <c r="G248" t="s">
        <v>83</v>
      </c>
      <c r="H248" t="s">
        <v>73</v>
      </c>
    </row>
    <row r="249" spans="1:8" x14ac:dyDescent="0.2">
      <c r="A249" t="str">
        <f>B220</f>
        <v>transport, Bicycle, electric (&lt;25 km/h), NCA battery, 2030</v>
      </c>
      <c r="B249">
        <v>1</v>
      </c>
      <c r="C249" t="str">
        <f>B221</f>
        <v>CH</v>
      </c>
      <c r="D249" t="s">
        <v>166</v>
      </c>
      <c r="F249" t="s">
        <v>84</v>
      </c>
      <c r="G249" t="s">
        <v>85</v>
      </c>
      <c r="H249" t="str">
        <f>B226</f>
        <v>transport, Bicycle, electric (&lt;25 km/h)</v>
      </c>
    </row>
    <row r="250" spans="1:8" x14ac:dyDescent="0.2">
      <c r="A250" t="str">
        <f>RIGHT(A249,LEN(A249)-11)</f>
        <v>Bicycle, electric (&lt;25 km/h), NCA battery, 2030</v>
      </c>
      <c r="B250" s="7">
        <f>1/B230</f>
        <v>5.0000000000000002E-5</v>
      </c>
      <c r="C250" t="str">
        <f>B221</f>
        <v>CH</v>
      </c>
      <c r="D250" t="s">
        <v>76</v>
      </c>
      <c r="F250" t="s">
        <v>89</v>
      </c>
      <c r="H250" t="str">
        <f>RIGHT(H249,LEN(H249)-11)</f>
        <v>Bicycle, electric (&lt;25 km/h)</v>
      </c>
    </row>
    <row r="251" spans="1:8" x14ac:dyDescent="0.2">
      <c r="A251" t="str">
        <f>INDEX('ei names mapping'!$B$4:$R$33,MATCH(B222,'ei names mapping'!$A$4:$A$33,0),MATCH(G251,'ei names mapping'!$B$3:$R$3,0))</f>
        <v>road construction</v>
      </c>
      <c r="B251" s="7">
        <f>INDEX('vehicles specifications'!$B$3:$CW$166,MATCH(B225,'vehicles specifications'!$A$3:$A$166,0),MATCH(G251,'vehicles specifications'!$B$2:$CW$2,0))*INDEX('ei names mapping'!$B$137:$BL$300,MATCH(B225,'ei names mapping'!$A$137:$A$300,0),MATCH(G251,'ei names mapping'!$B$136:$BL$136,0))</f>
        <v>5.3102139999999997E-5</v>
      </c>
      <c r="C251" t="str">
        <f>INDEX('ei names mapping'!$B$38:$R$67,MATCH(B222,'ei names mapping'!$A$4:$A$33,0),MATCH(G251,'ei names mapping'!$B$3:$R$3,0))</f>
        <v>CH</v>
      </c>
      <c r="D251" t="str">
        <f>INDEX('ei names mapping'!$B$104:$BL$133,MATCH(B222,'ei names mapping'!$A$4:$A$33,0),MATCH(G251,'ei names mapping'!$B$3:$BL$3,0))</f>
        <v>meter-year</v>
      </c>
      <c r="F251" t="s">
        <v>89</v>
      </c>
      <c r="G251" t="s">
        <v>105</v>
      </c>
      <c r="H251" t="str">
        <f>INDEX('ei names mapping'!$B$71:$BL$100,MATCH(B222,'ei names mapping'!$A$4:$A$33,0),MATCH(G251,'ei names mapping'!$B$3:$BL$3,0))</f>
        <v>road</v>
      </c>
    </row>
    <row r="252" spans="1:8" x14ac:dyDescent="0.2">
      <c r="A252" t="str">
        <f>INDEX('ei names mapping'!$B$4:$R$33,MATCH($B$3,'ei names mapping'!$A$4:$A$33,0),MATCH(G252,'ei names mapping'!$B$3:$R$3,0))</f>
        <v>market for electricity, low voltage</v>
      </c>
      <c r="B252" s="7">
        <f>INDEX('vehicles specifications'!$B$3:$CW$166,MATCH(B225,'vehicles specifications'!$A$3:$A$166,0),MATCH(G252,'vehicles specifications'!$B$2:$CW$2,0))*INDEX('ei names mapping'!$B$137:$BL$300,MATCH(B225,'ei names mapping'!$A$137:$A$300,0),MATCH(G252,'ei names mapping'!$B$136:$BL$136,0))</f>
        <v>7.5382508513468297E-3</v>
      </c>
      <c r="C252" t="str">
        <f>INDEX('ei names mapping'!$B$38:$R$67,MATCH($B$3,'ei names mapping'!$A$4:$A$33,0),MATCH(G252,'ei names mapping'!$B$3:$R$3,0))</f>
        <v>CH</v>
      </c>
      <c r="D252" t="str">
        <f>INDEX('ei names mapping'!$B$104:$R$133,MATCH($B$3,'ei names mapping'!$A$4:$A$33,0),MATCH(G252,'ei names mapping'!$B$3:$R$3,0))</f>
        <v>kilowatt hour</v>
      </c>
      <c r="F252" t="s">
        <v>89</v>
      </c>
      <c r="G252" t="s">
        <v>28</v>
      </c>
      <c r="H252" t="str">
        <f>INDEX('ei names mapping'!$B$71:$R$100,MATCH($B$3,'ei names mapping'!$A$4:$A$33,0),MATCH(G252,'ei names mapping'!$B$3:$R$3,0))</f>
        <v>electricity, low voltage</v>
      </c>
    </row>
    <row r="253" spans="1:8" x14ac:dyDescent="0.2">
      <c r="A253" t="str">
        <f>INDEX('ei names mapping'!$B$4:$R$33,MATCH($B$3,'ei names mapping'!$A$4:$A$33,0),MATCH(G253,'ei names mapping'!$B$3:$R$3,0))</f>
        <v>maintenance, electric bicycle, without battery</v>
      </c>
      <c r="B253" s="7">
        <f>INDEX('vehicles specifications'!$B$3:$CW$166,MATCH(B225,'vehicles specifications'!$A$3:$A$166,0),MATCH(G253,'vehicles specifications'!$B$2:$CW$2,0))*INDEX('ei names mapping'!$B$137:$BL$300,MATCH(B225,'ei names mapping'!$A$137:$A$300,0),MATCH(G253,'ei names mapping'!$B$136:$BL$136,0))</f>
        <v>6.666666666666667E-5</v>
      </c>
      <c r="C253" t="str">
        <f>INDEX('ei names mapping'!$B$38:$R$67,MATCH($B$3,'ei names mapping'!$A$4:$A$33,0),MATCH(G253,'ei names mapping'!$B$3:$R$3,0))</f>
        <v>CH</v>
      </c>
      <c r="D253" t="str">
        <f>INDEX('ei names mapping'!$B$104:$R$133,MATCH($B$3,'ei names mapping'!$A$4:$A$33,0),MATCH(G253,'ei names mapping'!$B$3:$R$3,0))</f>
        <v>unit</v>
      </c>
      <c r="F253" t="s">
        <v>89</v>
      </c>
      <c r="G253" t="s">
        <v>118</v>
      </c>
      <c r="H253" t="str">
        <f>INDEX('ei names mapping'!$B$71:$R$100,MATCH($B$3,'ei names mapping'!$A$4:$A$33,0),MATCH(G253,'ei names mapping'!$B$3:$R$3,0))</f>
        <v>maintenance, electric bicycle, without battery</v>
      </c>
    </row>
    <row r="254" spans="1:8" x14ac:dyDescent="0.2">
      <c r="A254" t="str">
        <f>INDEX('ei names mapping'!$B$4:$BL$33,MATCH($B$184,'ei names mapping'!$A$4:$A$33,0),MATCH(G254,'ei names mapping'!$B$3:$BL$3,0))</f>
        <v>treatment of road wear emissions, passenger car</v>
      </c>
      <c r="B254" s="7">
        <f>INDEX('vehicles specifications'!$B$3:$CW$166,MATCH(B225,'vehicles specifications'!$A$3:$A$166,0),MATCH(G254,'vehicles specifications'!$B$2:$CW$2,0))*INDEX('ei names mapping'!$B$137:$BL$300,MATCH(B225,'ei names mapping'!$A$137:$A$300,0),MATCH(G254,'ei names mapping'!$B$136:$BL$136,0))</f>
        <v>-4.1825769542466615E-6</v>
      </c>
      <c r="C254" t="str">
        <f>INDEX('ei names mapping'!$B$38:$BL$67,MATCH($B$184,'ei names mapping'!$A$4:$A$33,0),MATCH(G254,'ei names mapping'!$B$3:$BL$3,0))</f>
        <v>RER</v>
      </c>
      <c r="D254" t="str">
        <f>INDEX('ei names mapping'!$B$104:$BL$133,MATCH($B$184,'ei names mapping'!$A$4:$A$33,0),MATCH(G254,'ei names mapping'!$B$3:$BL$3,0))</f>
        <v>kilogram</v>
      </c>
      <c r="F254" t="s">
        <v>89</v>
      </c>
      <c r="G254" t="s">
        <v>29</v>
      </c>
      <c r="H254" t="str">
        <f>INDEX('ei names mapping'!$B$71:$BL$100,MATCH(B222,'ei names mapping'!$A$4:$A$33,0),MATCH(G254,'ei names mapping'!$B$3:$BL$3,0))</f>
        <v>road wear emissions, passenger car</v>
      </c>
    </row>
    <row r="255" spans="1:8" x14ac:dyDescent="0.2">
      <c r="A255" t="str">
        <f>INDEX('ei names mapping'!$B$4:$BL$33,MATCH($B$184,'ei names mapping'!$A$4:$A$33,0),MATCH(G255,'ei names mapping'!$B$3:$BL$3,0))</f>
        <v>treatment of tyre wear emissions, passenger car</v>
      </c>
      <c r="B255" s="7">
        <f>INDEX('vehicles specifications'!$B$3:$CW$166,MATCH(B225,'vehicles specifications'!$A$3:$A$166,0),MATCH(G255,'vehicles specifications'!$B$2:$CW$2,0))*INDEX('ei names mapping'!$B$137:$BL$300,MATCH(B225,'ei names mapping'!$A$137:$A$300,0),MATCH(G255,'ei names mapping'!$B$136:$BL$136,0))</f>
        <v>-4.1211339548960909E-6</v>
      </c>
      <c r="C255" t="str">
        <f>INDEX('ei names mapping'!$B$38:$BL$67,MATCH($B$184,'ei names mapping'!$A$4:$A$33,0),MATCH(G255,'ei names mapping'!$B$3:$BL$3,0))</f>
        <v>RER</v>
      </c>
      <c r="D255" t="str">
        <f>INDEX('ei names mapping'!$B$104:$BL$133,MATCH($B$184,'ei names mapping'!$A$4:$A$33,0),MATCH(G255,'ei names mapping'!$B$3:$BL$3,0))</f>
        <v>kilogram</v>
      </c>
      <c r="F255" t="s">
        <v>89</v>
      </c>
      <c r="G255" t="s">
        <v>30</v>
      </c>
      <c r="H255" t="str">
        <f>INDEX('ei names mapping'!$B$71:$BL$100,MATCH($B$184,'ei names mapping'!$A$4:$A$33,0),MATCH(G255,'ei names mapping'!$B$3:$BL$3,0))</f>
        <v>tyre wear emissions, passenger car</v>
      </c>
    </row>
    <row r="256" spans="1:8" x14ac:dyDescent="0.2">
      <c r="A256" t="str">
        <f>INDEX('ei names mapping'!$B$4:$BL$33,MATCH($B$184,'ei names mapping'!$A$4:$A$33,0),MATCH(G256,'ei names mapping'!$B$3:$BL$3,0))</f>
        <v>treatment of brake wear emissions, passenger car</v>
      </c>
      <c r="B256" s="7">
        <f>INDEX('vehicles specifications'!$B$3:$CW$166,MATCH(B225,'vehicles specifications'!$A$3:$A$166,0),MATCH(G256,'vehicles specifications'!$B$2:$CW$2,0))*INDEX('ei names mapping'!$B$137:$BL$300,MATCH(B225,'ei names mapping'!$A$137:$A$300,0),MATCH(G256,'ei names mapping'!$B$136:$BL$136,0))</f>
        <v>-3.8300212497294276E-6</v>
      </c>
      <c r="C256" t="str">
        <f>INDEX('ei names mapping'!$B$38:$BL$67,MATCH($B$184,'ei names mapping'!$A$4:$A$33,0),MATCH(G256,'ei names mapping'!$B$3:$BL$3,0))</f>
        <v>RER</v>
      </c>
      <c r="D256" t="str">
        <f>INDEX('ei names mapping'!$B$104:$BL$133,MATCH($B$184,'ei names mapping'!$A$4:$A$33,0),MATCH(G256,'ei names mapping'!$B$3:$BL$3,0))</f>
        <v>kilogram</v>
      </c>
      <c r="F256" t="s">
        <v>89</v>
      </c>
      <c r="G256" t="s">
        <v>31</v>
      </c>
      <c r="H256" t="str">
        <f>INDEX('ei names mapping'!$B$71:$BL$100,MATCH($B$184,'ei names mapping'!$A$4:$A$33,0),MATCH(G256,'ei names mapping'!$B$3:$BL$3,0))</f>
        <v>brake wear emissions, passenger car</v>
      </c>
    </row>
    <row r="258" spans="1:2" ht="16" x14ac:dyDescent="0.2">
      <c r="A258" s="10" t="s">
        <v>71</v>
      </c>
      <c r="B258" s="8" t="str">
        <f>"transport, "&amp;B260&amp;", "&amp;B275&amp;" battery, "&amp;B262</f>
        <v>transport, Bicycle, electric (&lt;25 km/h), NCA battery, 2040</v>
      </c>
    </row>
    <row r="259" spans="1:2" x14ac:dyDescent="0.2">
      <c r="A259" t="s">
        <v>72</v>
      </c>
      <c r="B259" t="s">
        <v>37</v>
      </c>
    </row>
    <row r="260" spans="1:2" x14ac:dyDescent="0.2">
      <c r="A260" t="s">
        <v>86</v>
      </c>
      <c r="B260" t="s">
        <v>489</v>
      </c>
    </row>
    <row r="261" spans="1:2" x14ac:dyDescent="0.2">
      <c r="A261" t="s">
        <v>87</v>
      </c>
    </row>
    <row r="262" spans="1:2" x14ac:dyDescent="0.2">
      <c r="A262" t="s">
        <v>88</v>
      </c>
      <c r="B262">
        <v>2040</v>
      </c>
    </row>
    <row r="263" spans="1:2" x14ac:dyDescent="0.2">
      <c r="A263" t="s">
        <v>126</v>
      </c>
      <c r="B263" t="str">
        <f>B260&amp;" - "&amp;B262&amp;" - "&amp;B275&amp;" - "&amp;B259</f>
        <v>Bicycle, electric (&lt;25 km/h) - 2040 - NCA - CH</v>
      </c>
    </row>
    <row r="264" spans="1:2" x14ac:dyDescent="0.2">
      <c r="A264" t="s">
        <v>73</v>
      </c>
      <c r="B264" t="str">
        <f>"transport, "&amp;B260</f>
        <v>transport, Bicycle, electric (&lt;25 km/h)</v>
      </c>
    </row>
    <row r="265" spans="1:2" x14ac:dyDescent="0.2">
      <c r="A265" t="s">
        <v>74</v>
      </c>
      <c r="B265" t="s">
        <v>75</v>
      </c>
    </row>
    <row r="266" spans="1:2" x14ac:dyDescent="0.2">
      <c r="A266" t="s">
        <v>76</v>
      </c>
      <c r="B266" t="s">
        <v>166</v>
      </c>
    </row>
    <row r="267" spans="1:2" x14ac:dyDescent="0.2">
      <c r="A267" t="s">
        <v>78</v>
      </c>
      <c r="B267" t="s">
        <v>1143</v>
      </c>
    </row>
    <row r="268" spans="1:2" x14ac:dyDescent="0.2">
      <c r="A268" t="s">
        <v>127</v>
      </c>
      <c r="B268">
        <f>INDEX('vehicles specifications'!$B$3:$CW$166,MATCH(B263,'vehicles specifications'!$A$3:$A$166,0),MATCH("Lifetime [km]",'vehicles specifications'!$B$2:$CW$2,0))</f>
        <v>20000</v>
      </c>
    </row>
    <row r="269" spans="1:2" x14ac:dyDescent="0.2">
      <c r="A269" t="s">
        <v>128</v>
      </c>
      <c r="B269">
        <f>INDEX('vehicles specifications'!$B$3:$CW$166,MATCH(B263,'vehicles specifications'!$A$3:$A$166,0),MATCH("Passengers [unit]",'vehicles specifications'!$B$2:$CW$2,0))</f>
        <v>1</v>
      </c>
    </row>
    <row r="270" spans="1:2" x14ac:dyDescent="0.2">
      <c r="A270" t="s">
        <v>129</v>
      </c>
      <c r="B270">
        <f>INDEX('vehicles specifications'!$B$3:$CW$166,MATCH(B263,'vehicles specifications'!$A$3:$A$166,0),MATCH("Servicing [unit]",'vehicles specifications'!$B$2:$CW$2,0))</f>
        <v>1.3333333333333333</v>
      </c>
    </row>
    <row r="271" spans="1:2" x14ac:dyDescent="0.2">
      <c r="A271" t="s">
        <v>130</v>
      </c>
      <c r="B271">
        <f>INDEX('vehicles specifications'!$B$3:$CW$166,MATCH(B263,'vehicles specifications'!$A$3:$A$166,0),MATCH("Energy battery replacement [unit]",'vehicles specifications'!$B$2:$CW$2,0))</f>
        <v>0.25</v>
      </c>
    </row>
    <row r="272" spans="1:2" x14ac:dyDescent="0.2">
      <c r="A272" t="s">
        <v>131</v>
      </c>
      <c r="B272">
        <f>INDEX('vehicles specifications'!$B$3:$CW$166,MATCH(B263,'vehicles specifications'!$A$3:$A$166,0),MATCH("Annual kilometers [km]",'vehicles specifications'!$B$2:$CW$2,0))</f>
        <v>2000</v>
      </c>
    </row>
    <row r="273" spans="1:8" x14ac:dyDescent="0.2">
      <c r="A273" t="s">
        <v>132</v>
      </c>
      <c r="B273">
        <f>INDEX('vehicles specifications'!$B$3:$CW$166,MATCH(B263,'vehicles specifications'!$A$3:$A$166,0),MATCH("Curb mass [kg]",'vehicles specifications'!$B$2:$CW$2,0))</f>
        <v>22.25</v>
      </c>
    </row>
    <row r="274" spans="1:8" x14ac:dyDescent="0.2">
      <c r="A274" t="s">
        <v>133</v>
      </c>
      <c r="B274">
        <f>INDEX('vehicles specifications'!$B$3:$CW$166,MATCH(B263,'vehicles specifications'!$A$3:$A$166,0),MATCH("Power [kW]",'vehicles specifications'!$B$2:$CW$2,0))</f>
        <v>0.25</v>
      </c>
    </row>
    <row r="275" spans="1:8" x14ac:dyDescent="0.2">
      <c r="A275" t="s">
        <v>652</v>
      </c>
      <c r="B275" s="20" t="s">
        <v>45</v>
      </c>
    </row>
    <row r="276" spans="1:8" x14ac:dyDescent="0.2">
      <c r="A276" t="s">
        <v>134</v>
      </c>
      <c r="B276">
        <f>INDEX('vehicles specifications'!$B$3:$CW$166,MATCH(B263,'vehicles specifications'!$A$3:$A$166,0),MATCH("Energy battery mass [kg]",'vehicles specifications'!$B$2:$CW$2,0))</f>
        <v>3.25</v>
      </c>
    </row>
    <row r="277" spans="1:8" x14ac:dyDescent="0.2">
      <c r="A277" t="s">
        <v>135</v>
      </c>
      <c r="B277">
        <f>INDEX('vehicles specifications'!$B$3:$CW$166,MATCH(B263,'vehicles specifications'!$A$3:$A$166,0),MATCH("Electric energy stored [kWh]",'vehicles specifications'!$B$2:$CW$2,0))</f>
        <v>1</v>
      </c>
    </row>
    <row r="278" spans="1:8" x14ac:dyDescent="0.2">
      <c r="A278" t="s">
        <v>588</v>
      </c>
      <c r="B278">
        <f>INDEX('vehicles specifications'!$B$3:$CW$166,MATCH(B263,'vehicles specifications'!$A$3:$A$166,0),MATCH("Electric energy available [kWh]",'vehicles specifications'!$B$2:$CW$2,0))</f>
        <v>0.8</v>
      </c>
    </row>
    <row r="279" spans="1:8" x14ac:dyDescent="0.2">
      <c r="A279" t="s">
        <v>138</v>
      </c>
      <c r="B279">
        <f>INDEX('vehicles specifications'!$B$3:$CW$166,MATCH(B263,'vehicles specifications'!$A$3:$A$166,0),MATCH("Oxydation energy stored [kWh]",'vehicles specifications'!$B$2:$CW$2,0))</f>
        <v>0</v>
      </c>
    </row>
    <row r="280" spans="1:8" x14ac:dyDescent="0.2">
      <c r="A280" t="s">
        <v>139</v>
      </c>
      <c r="B280">
        <f>INDEX('vehicles specifications'!$B$3:$CW$166,MATCH(B263,'vehicles specifications'!$A$3:$A$166,0),MATCH("Fuel mass [kg]",'vehicles specifications'!$B$2:$CW$2,0))</f>
        <v>0</v>
      </c>
    </row>
    <row r="281" spans="1:8" x14ac:dyDescent="0.2">
      <c r="A281" t="s">
        <v>136</v>
      </c>
      <c r="B281" s="2">
        <f>INDEX('vehicles specifications'!$B$3:$CW$166,MATCH(B263,'vehicles specifications'!$A$3:$A$166,0),MATCH("Range [km]",'vehicles specifications'!$B$2:$CW$2,0))</f>
        <v>116.73795650389825</v>
      </c>
    </row>
    <row r="282" spans="1:8" x14ac:dyDescent="0.2">
      <c r="A282" t="s">
        <v>137</v>
      </c>
      <c r="B282" t="str">
        <f>INDEX('vehicles specifications'!$B$3:$CW$166,MATCH(B263,'vehicles specifications'!$A$3:$A$166,0),MATCH("Emission standard",'vehicles specifications'!$B$2:$CW$2,0))</f>
        <v>None</v>
      </c>
    </row>
    <row r="283" spans="1:8" x14ac:dyDescent="0.2">
      <c r="A283" t="s">
        <v>1174</v>
      </c>
      <c r="B283" s="6">
        <f>INDEX('vehicles specifications'!$B$3:$CW$166,MATCH(B263,'vehicles specifications'!$A$3:$A$166,0),MATCH("Lightweighting rate [%]",'vehicles specifications'!$B$2:$CW$2,0))</f>
        <v>0.05</v>
      </c>
    </row>
    <row r="284" spans="1:8" x14ac:dyDescent="0.2">
      <c r="A284" t="s">
        <v>83</v>
      </c>
      <c r="B284" t="str">
        <f>"Power: "&amp;B274&amp;" kW. Lifetime: "&amp;B268&amp;" km. Annual kilometers: "&amp;B272&amp;" km. Number of passengers: "&amp;B269&amp;". Curb mass: "&amp;ROUND(B273,1)&amp;" kg. Lightweighting of glider: "&amp;ROUND(B283*100,0)&amp;"%. Emission standard: "&amp;B282&amp;". Service visits throughout lifetime: "&amp;ROUND(B270,1)&amp;". Range: "&amp;ROUND(B281,0)&amp;" km. Battery capacity: "&amp;ROUND(B277,1)&amp;" kWh. Available battery capacity: "&amp;B278&amp;" kWh. Battery mass: "&amp;ROUND(B276,1)&amp; " kg. Battery replacement throughout lifetime: "&amp;ROUND(B271,1)&amp;". Fuel tank capacity: "&amp;ROUND(B279,1)&amp;" kWh. Fuel mass: "&amp;ROUND(B280,1)&amp;" kg. Documentation: "&amp;Readmefirst!$B$2&amp;", "&amp;Readmefirst!$B$3&amp;". "&amp;B267</f>
        <v>Power: 0.25 kW. Lifetime: 20000 km. Annual kilometers: 2000 km. Number of passengers: 1. Curb mass: 22.3 kg. Lightweighting of glider: 5%. Emission standard: None. Service visits throughout lifetime: 1.3. Range: 117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5" spans="1:8" ht="16" x14ac:dyDescent="0.2">
      <c r="A285" s="10" t="s">
        <v>79</v>
      </c>
    </row>
    <row r="286" spans="1:8" x14ac:dyDescent="0.2">
      <c r="A286" t="s">
        <v>80</v>
      </c>
      <c r="B286" t="s">
        <v>81</v>
      </c>
      <c r="C286" t="s">
        <v>72</v>
      </c>
      <c r="D286" t="s">
        <v>76</v>
      </c>
      <c r="E286" t="s">
        <v>82</v>
      </c>
      <c r="F286" t="s">
        <v>74</v>
      </c>
      <c r="G286" t="s">
        <v>83</v>
      </c>
      <c r="H286" t="s">
        <v>73</v>
      </c>
    </row>
    <row r="287" spans="1:8" x14ac:dyDescent="0.2">
      <c r="A287" t="str">
        <f>B258</f>
        <v>transport, Bicycle, electric (&lt;25 km/h), NCA battery, 2040</v>
      </c>
      <c r="B287">
        <v>1</v>
      </c>
      <c r="C287" t="str">
        <f>B259</f>
        <v>CH</v>
      </c>
      <c r="D287" t="s">
        <v>166</v>
      </c>
      <c r="F287" t="s">
        <v>84</v>
      </c>
      <c r="G287" t="s">
        <v>85</v>
      </c>
      <c r="H287" t="str">
        <f>B264</f>
        <v>transport, Bicycle, electric (&lt;25 km/h)</v>
      </c>
    </row>
    <row r="288" spans="1:8" x14ac:dyDescent="0.2">
      <c r="A288" t="str">
        <f>RIGHT(A287,LEN(A287)-11)</f>
        <v>Bicycle, electric (&lt;25 km/h), NCA battery, 2040</v>
      </c>
      <c r="B288" s="7">
        <f>1/B268</f>
        <v>5.0000000000000002E-5</v>
      </c>
      <c r="C288" t="str">
        <f>B259</f>
        <v>CH</v>
      </c>
      <c r="D288" t="s">
        <v>76</v>
      </c>
      <c r="F288" t="s">
        <v>89</v>
      </c>
      <c r="H288" t="str">
        <f>RIGHT(H287,LEN(H287)-11)</f>
        <v>Bicycle, electric (&lt;25 km/h)</v>
      </c>
    </row>
    <row r="289" spans="1:8" x14ac:dyDescent="0.2">
      <c r="A289" t="str">
        <f>INDEX('ei names mapping'!$B$4:$R$33,MATCH(B260,'ei names mapping'!$A$4:$A$33,0),MATCH(G289,'ei names mapping'!$B$3:$R$3,0))</f>
        <v>road construction</v>
      </c>
      <c r="B289" s="7">
        <f>INDEX('vehicles specifications'!$B$3:$CW$166,MATCH(B263,'vehicles specifications'!$A$3:$A$166,0),MATCH(G289,'vehicles specifications'!$B$2:$CW$2,0))*INDEX('ei names mapping'!$B$137:$BL$300,MATCH(B263,'ei names mapping'!$A$137:$A$300,0),MATCH(G289,'ei names mapping'!$B$136:$BL$136,0))</f>
        <v>5.276025E-5</v>
      </c>
      <c r="C289" t="str">
        <f>INDEX('ei names mapping'!$B$38:$R$67,MATCH(B260,'ei names mapping'!$A$4:$A$33,0),MATCH(G289,'ei names mapping'!$B$3:$R$3,0))</f>
        <v>CH</v>
      </c>
      <c r="D289" t="str">
        <f>INDEX('ei names mapping'!$B$104:$BL$133,MATCH(B260,'ei names mapping'!$A$4:$A$33,0),MATCH(G289,'ei names mapping'!$B$3:$BL$3,0))</f>
        <v>meter-year</v>
      </c>
      <c r="F289" t="s">
        <v>89</v>
      </c>
      <c r="G289" t="s">
        <v>105</v>
      </c>
      <c r="H289" t="str">
        <f>INDEX('ei names mapping'!$B$71:$BL$100,MATCH(B260,'ei names mapping'!$A$4:$A$33,0),MATCH(G289,'ei names mapping'!$B$3:$BL$3,0))</f>
        <v>road</v>
      </c>
    </row>
    <row r="290" spans="1:8" x14ac:dyDescent="0.2">
      <c r="A290" t="str">
        <f>INDEX('ei names mapping'!$B$4:$R$33,MATCH($B$3,'ei names mapping'!$A$4:$A$33,0),MATCH(G290,'ei names mapping'!$B$3:$R$3,0))</f>
        <v>market for electricity, low voltage</v>
      </c>
      <c r="B290" s="7">
        <f>INDEX('vehicles specifications'!$B$3:$CW$166,MATCH(B263,'vehicles specifications'!$A$3:$A$166,0),MATCH(G290,'vehicles specifications'!$B$2:$CW$2,0))*INDEX('ei names mapping'!$B$137:$BL$300,MATCH(B263,'ei names mapping'!$A$137:$A$300,0),MATCH(G290,'ei names mapping'!$B$136:$BL$136,0))</f>
        <v>7.5382508513468297E-3</v>
      </c>
      <c r="C290" t="str">
        <f>INDEX('ei names mapping'!$B$38:$R$67,MATCH($B$3,'ei names mapping'!$A$4:$A$33,0),MATCH(G290,'ei names mapping'!$B$3:$R$3,0))</f>
        <v>CH</v>
      </c>
      <c r="D290" t="str">
        <f>INDEX('ei names mapping'!$B$104:$R$133,MATCH($B$3,'ei names mapping'!$A$4:$A$33,0),MATCH(G290,'ei names mapping'!$B$3:$R$3,0))</f>
        <v>kilowatt hour</v>
      </c>
      <c r="F290" t="s">
        <v>89</v>
      </c>
      <c r="G290" t="s">
        <v>28</v>
      </c>
      <c r="H290" t="str">
        <f>INDEX('ei names mapping'!$B$71:$R$100,MATCH($B$3,'ei names mapping'!$A$4:$A$33,0),MATCH(G290,'ei names mapping'!$B$3:$R$3,0))</f>
        <v>electricity, low voltage</v>
      </c>
    </row>
    <row r="291" spans="1:8" x14ac:dyDescent="0.2">
      <c r="A291" t="str">
        <f>INDEX('ei names mapping'!$B$4:$R$33,MATCH($B$3,'ei names mapping'!$A$4:$A$33,0),MATCH(G291,'ei names mapping'!$B$3:$R$3,0))</f>
        <v>maintenance, electric bicycle, without battery</v>
      </c>
      <c r="B291" s="7">
        <f>INDEX('vehicles specifications'!$B$3:$CW$166,MATCH(B263,'vehicles specifications'!$A$3:$A$166,0),MATCH(G291,'vehicles specifications'!$B$2:$CW$2,0))*INDEX('ei names mapping'!$B$137:$BL$300,MATCH(B263,'ei names mapping'!$A$137:$A$300,0),MATCH(G291,'ei names mapping'!$B$136:$BL$136,0))</f>
        <v>6.666666666666667E-5</v>
      </c>
      <c r="C291" t="str">
        <f>INDEX('ei names mapping'!$B$38:$R$67,MATCH($B$3,'ei names mapping'!$A$4:$A$33,0),MATCH(G291,'ei names mapping'!$B$3:$R$3,0))</f>
        <v>CH</v>
      </c>
      <c r="D291" t="str">
        <f>INDEX('ei names mapping'!$B$104:$R$133,MATCH($B$3,'ei names mapping'!$A$4:$A$33,0),MATCH(G291,'ei names mapping'!$B$3:$R$3,0))</f>
        <v>unit</v>
      </c>
      <c r="F291" t="s">
        <v>89</v>
      </c>
      <c r="G291" t="s">
        <v>118</v>
      </c>
      <c r="H291" t="str">
        <f>INDEX('ei names mapping'!$B$71:$R$100,MATCH($B$3,'ei names mapping'!$A$4:$A$33,0),MATCH(G291,'ei names mapping'!$B$3:$R$3,0))</f>
        <v>maintenance, electric bicycle, without battery</v>
      </c>
    </row>
    <row r="292" spans="1:8" x14ac:dyDescent="0.2">
      <c r="A292" t="str">
        <f>INDEX('ei names mapping'!$B$4:$BL$33,MATCH($B$184,'ei names mapping'!$A$4:$A$33,0),MATCH(G292,'ei names mapping'!$B$3:$BL$3,0))</f>
        <v>treatment of road wear emissions, passenger car</v>
      </c>
      <c r="B292" s="7">
        <f>INDEX('vehicles specifications'!$B$3:$CW$166,MATCH(B263,'vehicles specifications'!$A$3:$A$166,0),MATCH(G292,'vehicles specifications'!$B$2:$CW$2,0))*INDEX('ei names mapping'!$B$137:$BL$300,MATCH(B263,'ei names mapping'!$A$137:$A$300,0),MATCH(G292,'ei names mapping'!$B$136:$BL$136,0))</f>
        <v>-4.1614870560677791E-6</v>
      </c>
      <c r="C292" t="str">
        <f>INDEX('ei names mapping'!$B$38:$BL$67,MATCH($B$184,'ei names mapping'!$A$4:$A$33,0),MATCH(G292,'ei names mapping'!$B$3:$BL$3,0))</f>
        <v>RER</v>
      </c>
      <c r="D292" t="str">
        <f>INDEX('ei names mapping'!$B$104:$BL$133,MATCH($B$184,'ei names mapping'!$A$4:$A$33,0),MATCH(G292,'ei names mapping'!$B$3:$BL$3,0))</f>
        <v>kilogram</v>
      </c>
      <c r="F292" t="s">
        <v>89</v>
      </c>
      <c r="G292" t="s">
        <v>29</v>
      </c>
      <c r="H292" t="str">
        <f>INDEX('ei names mapping'!$B$71:$BL$100,MATCH(B260,'ei names mapping'!$A$4:$A$33,0),MATCH(G292,'ei names mapping'!$B$3:$BL$3,0))</f>
        <v>road wear emissions, passenger car</v>
      </c>
    </row>
    <row r="293" spans="1:8" x14ac:dyDescent="0.2">
      <c r="A293" t="str">
        <f>INDEX('ei names mapping'!$B$4:$BL$33,MATCH($B$184,'ei names mapping'!$A$4:$A$33,0),MATCH(G293,'ei names mapping'!$B$3:$BL$3,0))</f>
        <v>treatment of tyre wear emissions, passenger car</v>
      </c>
      <c r="B293" s="7">
        <f>INDEX('vehicles specifications'!$B$3:$CW$166,MATCH(B263,'vehicles specifications'!$A$3:$A$166,0),MATCH(G293,'vehicles specifications'!$B$2:$CW$2,0))*INDEX('ei names mapping'!$B$137:$BL$300,MATCH(B263,'ei names mapping'!$A$137:$A$300,0),MATCH(G293,'ei names mapping'!$B$136:$BL$136,0))</f>
        <v>-4.0990393865404142E-6</v>
      </c>
      <c r="C293" t="str">
        <f>INDEX('ei names mapping'!$B$38:$BL$67,MATCH($B$184,'ei names mapping'!$A$4:$A$33,0),MATCH(G293,'ei names mapping'!$B$3:$BL$3,0))</f>
        <v>RER</v>
      </c>
      <c r="D293" t="str">
        <f>INDEX('ei names mapping'!$B$104:$BL$133,MATCH($B$184,'ei names mapping'!$A$4:$A$33,0),MATCH(G293,'ei names mapping'!$B$3:$BL$3,0))</f>
        <v>kilogram</v>
      </c>
      <c r="F293" t="s">
        <v>89</v>
      </c>
      <c r="G293" t="s">
        <v>30</v>
      </c>
      <c r="H293" t="str">
        <f>INDEX('ei names mapping'!$B$71:$BL$100,MATCH($B$184,'ei names mapping'!$A$4:$A$33,0),MATCH(G293,'ei names mapping'!$B$3:$BL$3,0))</f>
        <v>tyre wear emissions, passenger car</v>
      </c>
    </row>
    <row r="294" spans="1:8" x14ac:dyDescent="0.2">
      <c r="A294" t="str">
        <f>INDEX('ei names mapping'!$B$4:$BL$33,MATCH($B$184,'ei names mapping'!$A$4:$A$33,0),MATCH(G294,'ei names mapping'!$B$3:$BL$3,0))</f>
        <v>treatment of brake wear emissions, passenger car</v>
      </c>
      <c r="B294" s="7">
        <f>INDEX('vehicles specifications'!$B$3:$CW$166,MATCH(B263,'vehicles specifications'!$A$3:$A$166,0),MATCH(G294,'vehicles specifications'!$B$2:$CW$2,0))*INDEX('ei names mapping'!$B$137:$BL$300,MATCH(B263,'ei names mapping'!$A$137:$A$300,0),MATCH(G294,'ei names mapping'!$B$136:$BL$136,0))</f>
        <v>-3.8104964233430331E-6</v>
      </c>
      <c r="C294" t="str">
        <f>INDEX('ei names mapping'!$B$38:$BL$67,MATCH($B$184,'ei names mapping'!$A$4:$A$33,0),MATCH(G294,'ei names mapping'!$B$3:$BL$3,0))</f>
        <v>RER</v>
      </c>
      <c r="D294" t="str">
        <f>INDEX('ei names mapping'!$B$104:$BL$133,MATCH($B$184,'ei names mapping'!$A$4:$A$33,0),MATCH(G294,'ei names mapping'!$B$3:$BL$3,0))</f>
        <v>kilogram</v>
      </c>
      <c r="F294" t="s">
        <v>89</v>
      </c>
      <c r="G294" t="s">
        <v>31</v>
      </c>
      <c r="H294" t="str">
        <f>INDEX('ei names mapping'!$B$71:$BL$100,MATCH($B$184,'ei names mapping'!$A$4:$A$33,0),MATCH(G294,'ei names mapping'!$B$3:$BL$3,0))</f>
        <v>brake wear emissions, passenger car</v>
      </c>
    </row>
    <row r="296" spans="1:8" ht="16" x14ac:dyDescent="0.2">
      <c r="A296" s="10" t="s">
        <v>71</v>
      </c>
      <c r="B296" s="8" t="str">
        <f>"transport, "&amp;B298&amp;", "&amp;B313&amp;" battery, "&amp;B300</f>
        <v>transport, Bicycle, electric (&lt;25 km/h), NCA battery, 2050</v>
      </c>
    </row>
    <row r="297" spans="1:8" x14ac:dyDescent="0.2">
      <c r="A297" t="s">
        <v>72</v>
      </c>
      <c r="B297" t="s">
        <v>37</v>
      </c>
    </row>
    <row r="298" spans="1:8" x14ac:dyDescent="0.2">
      <c r="A298" t="s">
        <v>86</v>
      </c>
      <c r="B298" t="s">
        <v>489</v>
      </c>
    </row>
    <row r="299" spans="1:8" x14ac:dyDescent="0.2">
      <c r="A299" t="s">
        <v>87</v>
      </c>
    </row>
    <row r="300" spans="1:8" x14ac:dyDescent="0.2">
      <c r="A300" t="s">
        <v>88</v>
      </c>
      <c r="B300">
        <v>2050</v>
      </c>
    </row>
    <row r="301" spans="1:8" x14ac:dyDescent="0.2">
      <c r="A301" t="s">
        <v>126</v>
      </c>
      <c r="B301" t="str">
        <f>B298&amp;" - "&amp;B300&amp;" - "&amp;B313&amp;" - "&amp;B297</f>
        <v>Bicycle, electric (&lt;25 km/h) - 2050 - NCA - CH</v>
      </c>
    </row>
    <row r="302" spans="1:8" x14ac:dyDescent="0.2">
      <c r="A302" t="s">
        <v>73</v>
      </c>
      <c r="B302" t="str">
        <f>"transport, "&amp;B298</f>
        <v>transport, Bicycle, electric (&lt;25 km/h)</v>
      </c>
    </row>
    <row r="303" spans="1:8" x14ac:dyDescent="0.2">
      <c r="A303" t="s">
        <v>74</v>
      </c>
      <c r="B303" t="s">
        <v>75</v>
      </c>
    </row>
    <row r="304" spans="1:8" x14ac:dyDescent="0.2">
      <c r="A304" t="s">
        <v>76</v>
      </c>
      <c r="B304" t="s">
        <v>166</v>
      </c>
    </row>
    <row r="305" spans="1:2" x14ac:dyDescent="0.2">
      <c r="A305" t="s">
        <v>78</v>
      </c>
      <c r="B305" t="s">
        <v>1143</v>
      </c>
    </row>
    <row r="306" spans="1:2" x14ac:dyDescent="0.2">
      <c r="A306" t="s">
        <v>127</v>
      </c>
      <c r="B306">
        <f>INDEX('vehicles specifications'!$B$3:$CW$166,MATCH(B301,'vehicles specifications'!$A$3:$A$166,0),MATCH("Lifetime [km]",'vehicles specifications'!$B$2:$CW$2,0))</f>
        <v>20000</v>
      </c>
    </row>
    <row r="307" spans="1:2" x14ac:dyDescent="0.2">
      <c r="A307" t="s">
        <v>128</v>
      </c>
      <c r="B307">
        <f>INDEX('vehicles specifications'!$B$3:$CW$166,MATCH(B301,'vehicles specifications'!$A$3:$A$166,0),MATCH("Passengers [unit]",'vehicles specifications'!$B$2:$CW$2,0))</f>
        <v>1</v>
      </c>
    </row>
    <row r="308" spans="1:2" x14ac:dyDescent="0.2">
      <c r="A308" t="s">
        <v>129</v>
      </c>
      <c r="B308">
        <f>INDEX('vehicles specifications'!$B$3:$CW$166,MATCH(B301,'vehicles specifications'!$A$3:$A$166,0),MATCH("Servicing [unit]",'vehicles specifications'!$B$2:$CW$2,0))</f>
        <v>1.3333333333333333</v>
      </c>
    </row>
    <row r="309" spans="1:2" x14ac:dyDescent="0.2">
      <c r="A309" t="s">
        <v>130</v>
      </c>
      <c r="B309">
        <f>INDEX('vehicles specifications'!$B$3:$CW$166,MATCH(B301,'vehicles specifications'!$A$3:$A$166,0),MATCH("Energy battery replacement [unit]",'vehicles specifications'!$B$2:$CW$2,0))</f>
        <v>0</v>
      </c>
    </row>
    <row r="310" spans="1:2" x14ac:dyDescent="0.2">
      <c r="A310" t="s">
        <v>131</v>
      </c>
      <c r="B310">
        <f>INDEX('vehicles specifications'!$B$3:$CW$166,MATCH(B301,'vehicles specifications'!$A$3:$A$166,0),MATCH("Annual kilometers [km]",'vehicles specifications'!$B$2:$CW$2,0))</f>
        <v>2000</v>
      </c>
    </row>
    <row r="311" spans="1:2" x14ac:dyDescent="0.2">
      <c r="A311" t="s">
        <v>132</v>
      </c>
      <c r="B311">
        <f>INDEX('vehicles specifications'!$B$3:$CW$166,MATCH(B301,'vehicles specifications'!$A$3:$A$166,0),MATCH("Curb mass [kg]",'vehicles specifications'!$B$2:$CW$2,0))</f>
        <v>22.479999999999997</v>
      </c>
    </row>
    <row r="312" spans="1:2" x14ac:dyDescent="0.2">
      <c r="A312" t="s">
        <v>133</v>
      </c>
      <c r="B312">
        <f>INDEX('vehicles specifications'!$B$3:$CW$166,MATCH(B301,'vehicles specifications'!$A$3:$A$166,0),MATCH("Power [kW]",'vehicles specifications'!$B$2:$CW$2,0))</f>
        <v>0.25</v>
      </c>
    </row>
    <row r="313" spans="1:2" x14ac:dyDescent="0.2">
      <c r="A313" t="s">
        <v>652</v>
      </c>
      <c r="B313" s="20" t="s">
        <v>45</v>
      </c>
    </row>
    <row r="314" spans="1:2" x14ac:dyDescent="0.2">
      <c r="A314" t="s">
        <v>134</v>
      </c>
      <c r="B314">
        <f>INDEX('vehicles specifications'!$B$3:$CW$166,MATCH(B301,'vehicles specifications'!$A$3:$A$166,0),MATCH("Energy battery mass [kg]",'vehicles specifications'!$B$2:$CW$2,0))</f>
        <v>3.9</v>
      </c>
    </row>
    <row r="315" spans="1:2" x14ac:dyDescent="0.2">
      <c r="A315" t="s">
        <v>135</v>
      </c>
      <c r="B315">
        <f>INDEX('vehicles specifications'!$B$3:$CW$166,MATCH(B301,'vehicles specifications'!$A$3:$A$166,0),MATCH("Electric energy stored [kWh]",'vehicles specifications'!$B$2:$CW$2,0))</f>
        <v>1.5</v>
      </c>
    </row>
    <row r="316" spans="1:2" x14ac:dyDescent="0.2">
      <c r="A316" t="s">
        <v>588</v>
      </c>
      <c r="B316">
        <f>INDEX('vehicles specifications'!$B$3:$CW$166,MATCH(B301,'vehicles specifications'!$A$3:$A$166,0),MATCH("Electric energy available [kWh]",'vehicles specifications'!$B$2:$CW$2,0))</f>
        <v>1.2000000000000002</v>
      </c>
    </row>
    <row r="317" spans="1:2" x14ac:dyDescent="0.2">
      <c r="A317" t="s">
        <v>138</v>
      </c>
      <c r="B317">
        <f>INDEX('vehicles specifications'!$B$3:$CW$166,MATCH(B301,'vehicles specifications'!$A$3:$A$166,0),MATCH("Oxydation energy stored [kWh]",'vehicles specifications'!$B$2:$CW$2,0))</f>
        <v>0</v>
      </c>
    </row>
    <row r="318" spans="1:2" x14ac:dyDescent="0.2">
      <c r="A318" t="s">
        <v>139</v>
      </c>
      <c r="B318">
        <f>INDEX('vehicles specifications'!$B$3:$CW$166,MATCH(B301,'vehicles specifications'!$A$3:$A$166,0),MATCH("Fuel mass [kg]",'vehicles specifications'!$B$2:$CW$2,0))</f>
        <v>0</v>
      </c>
    </row>
    <row r="319" spans="1:2" x14ac:dyDescent="0.2">
      <c r="A319" t="s">
        <v>136</v>
      </c>
      <c r="B319" s="2">
        <f>INDEX('vehicles specifications'!$B$3:$CW$166,MATCH(B301,'vehicles specifications'!$A$3:$A$166,0),MATCH("Range [km]",'vehicles specifications'!$B$2:$CW$2,0))</f>
        <v>175.10693475584739</v>
      </c>
    </row>
    <row r="320" spans="1:2" x14ac:dyDescent="0.2">
      <c r="A320" t="s">
        <v>137</v>
      </c>
      <c r="B320" t="str">
        <f>INDEX('vehicles specifications'!$B$3:$CW$166,MATCH(B301,'vehicles specifications'!$A$3:$A$166,0),MATCH("Emission standard",'vehicles specifications'!$B$2:$CW$2,0))</f>
        <v>None</v>
      </c>
    </row>
    <row r="321" spans="1:8" x14ac:dyDescent="0.2">
      <c r="A321" t="s">
        <v>1174</v>
      </c>
      <c r="B321" s="6">
        <f>INDEX('vehicles specifications'!$B$3:$CW$166,MATCH(B301,'vehicles specifications'!$A$3:$A$166,0),MATCH("Lightweighting rate [%]",'vehicles specifications'!$B$2:$CW$2,0))</f>
        <v>7.0000000000000007E-2</v>
      </c>
    </row>
    <row r="322" spans="1:8" x14ac:dyDescent="0.2">
      <c r="A322" t="s">
        <v>83</v>
      </c>
      <c r="B322" t="str">
        <f>"Power: "&amp;B312&amp;" kW. Lifetime: "&amp;B306&amp;" km. Annual kilometers: "&amp;B310&amp;" km. Number of passengers: "&amp;B307&amp;". Curb mass: "&amp;ROUND(B311,1)&amp;" kg. Lightweighting of glider: "&amp;ROUND(B321*100,0)&amp;"%. Emission standard: "&amp;B320&amp;". Service visits throughout lifetime: "&amp;ROUND(B308,1)&amp;". Range: "&amp;ROUND(B319,0)&amp;" km. Battery capacity: "&amp;ROUND(B315,1)&amp;" kWh. Available battery capacity: "&amp;B316&amp;" kWh. Battery mass: "&amp;ROUND(B314,1)&amp; " kg. Battery replacement throughout lifetime: "&amp;ROUND(B309,1)&amp;". Fuel tank capacity: "&amp;ROUND(B317,1)&amp;" kWh. Fuel mass: "&amp;ROUND(B318,1)&amp;" kg. Documentation: "&amp;Readmefirst!$B$2&amp;", "&amp;Readmefirst!$B$3&amp;". "&amp;B305</f>
        <v>Power: 0.25 kW. Lifetime: 20000 km. Annual kilometers: 2000 km. Number of passengers: 1. Curb mass: 22.5 kg. Lightweighting of glider: 7%. Emission standard: None. Service visits throughout lifetime: 1.3. Range: 175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3" spans="1:8" ht="16" x14ac:dyDescent="0.2">
      <c r="A323" s="10" t="s">
        <v>79</v>
      </c>
    </row>
    <row r="324" spans="1:8" x14ac:dyDescent="0.2">
      <c r="A324" t="s">
        <v>80</v>
      </c>
      <c r="B324" t="s">
        <v>81</v>
      </c>
      <c r="C324" t="s">
        <v>72</v>
      </c>
      <c r="D324" t="s">
        <v>76</v>
      </c>
      <c r="E324" t="s">
        <v>82</v>
      </c>
      <c r="F324" t="s">
        <v>74</v>
      </c>
      <c r="G324" t="s">
        <v>83</v>
      </c>
      <c r="H324" t="s">
        <v>73</v>
      </c>
    </row>
    <row r="325" spans="1:8" x14ac:dyDescent="0.2">
      <c r="A325" t="str">
        <f>B296</f>
        <v>transport, Bicycle, electric (&lt;25 km/h), NCA battery, 2050</v>
      </c>
      <c r="B325">
        <v>1</v>
      </c>
      <c r="C325" t="str">
        <f>B297</f>
        <v>CH</v>
      </c>
      <c r="D325" t="s">
        <v>166</v>
      </c>
      <c r="F325" t="s">
        <v>84</v>
      </c>
      <c r="G325" t="s">
        <v>85</v>
      </c>
      <c r="H325" t="str">
        <f>B302</f>
        <v>transport, Bicycle, electric (&lt;25 km/h)</v>
      </c>
    </row>
    <row r="326" spans="1:8" x14ac:dyDescent="0.2">
      <c r="A326" t="str">
        <f>RIGHT(A325,LEN(A325)-11)</f>
        <v>Bicycle, electric (&lt;25 km/h), NCA battery, 2050</v>
      </c>
      <c r="B326" s="7">
        <f>1/B306</f>
        <v>5.0000000000000002E-5</v>
      </c>
      <c r="C326" t="str">
        <f>B297</f>
        <v>CH</v>
      </c>
      <c r="D326" t="s">
        <v>76</v>
      </c>
      <c r="F326" t="s">
        <v>89</v>
      </c>
      <c r="H326" t="str">
        <f>RIGHT(H325,LEN(H325)-11)</f>
        <v>Bicycle, electric (&lt;25 km/h)</v>
      </c>
    </row>
    <row r="327" spans="1:8" x14ac:dyDescent="0.2">
      <c r="A327" t="str">
        <f>INDEX('ei names mapping'!$B$4:$R$33,MATCH(B298,'ei names mapping'!$A$4:$A$33,0),MATCH(G327,'ei names mapping'!$B$3:$R$3,0))</f>
        <v>road construction</v>
      </c>
      <c r="B327" s="7">
        <f>INDEX('vehicles specifications'!$B$3:$CW$166,MATCH(B301,'vehicles specifications'!$A$3:$A$166,0),MATCH(G327,'vehicles specifications'!$B$2:$CW$2,0))*INDEX('ei names mapping'!$B$137:$BL$300,MATCH(B301,'ei names mapping'!$A$137:$A$300,0),MATCH(G327,'ei names mapping'!$B$136:$BL$136,0))</f>
        <v>5.2883759999999994E-5</v>
      </c>
      <c r="C327" t="str">
        <f>INDEX('ei names mapping'!$B$38:$R$67,MATCH(B298,'ei names mapping'!$A$4:$A$33,0),MATCH(G327,'ei names mapping'!$B$3:$R$3,0))</f>
        <v>CH</v>
      </c>
      <c r="D327" t="str">
        <f>INDEX('ei names mapping'!$B$104:$BL$133,MATCH(B298,'ei names mapping'!$A$4:$A$33,0),MATCH(G327,'ei names mapping'!$B$3:$BL$3,0))</f>
        <v>meter-year</v>
      </c>
      <c r="F327" t="s">
        <v>89</v>
      </c>
      <c r="G327" t="s">
        <v>105</v>
      </c>
      <c r="H327" t="str">
        <f>INDEX('ei names mapping'!$B$71:$BL$100,MATCH(B298,'ei names mapping'!$A$4:$A$33,0),MATCH(G327,'ei names mapping'!$B$3:$BL$3,0))</f>
        <v>road</v>
      </c>
    </row>
    <row r="328" spans="1:8" x14ac:dyDescent="0.2">
      <c r="A328" t="str">
        <f>INDEX('ei names mapping'!$B$4:$R$33,MATCH($B$3,'ei names mapping'!$A$4:$A$33,0),MATCH(G328,'ei names mapping'!$B$3:$R$3,0))</f>
        <v>market for electricity, low voltage</v>
      </c>
      <c r="B328" s="7">
        <f>INDEX('vehicles specifications'!$B$3:$CW$166,MATCH(B301,'vehicles specifications'!$A$3:$A$166,0),MATCH(G328,'vehicles specifications'!$B$2:$CW$2,0))*INDEX('ei names mapping'!$B$137:$BL$300,MATCH(B301,'ei names mapping'!$A$137:$A$300,0),MATCH(G328,'ei names mapping'!$B$136:$BL$136,0))</f>
        <v>7.5382508513468297E-3</v>
      </c>
      <c r="C328" t="str">
        <f>INDEX('ei names mapping'!$B$38:$R$67,MATCH($B$3,'ei names mapping'!$A$4:$A$33,0),MATCH(G328,'ei names mapping'!$B$3:$R$3,0))</f>
        <v>CH</v>
      </c>
      <c r="D328" t="str">
        <f>INDEX('ei names mapping'!$B$104:$R$133,MATCH($B$3,'ei names mapping'!$A$4:$A$33,0),MATCH(G328,'ei names mapping'!$B$3:$R$3,0))</f>
        <v>kilowatt hour</v>
      </c>
      <c r="F328" t="s">
        <v>89</v>
      </c>
      <c r="G328" t="s">
        <v>28</v>
      </c>
      <c r="H328" t="str">
        <f>INDEX('ei names mapping'!$B$71:$R$100,MATCH($B$3,'ei names mapping'!$A$4:$A$33,0),MATCH(G328,'ei names mapping'!$B$3:$R$3,0))</f>
        <v>electricity, low voltage</v>
      </c>
    </row>
    <row r="329" spans="1:8" x14ac:dyDescent="0.2">
      <c r="A329" t="str">
        <f>INDEX('ei names mapping'!$B$4:$R$33,MATCH($B$3,'ei names mapping'!$A$4:$A$33,0),MATCH(G329,'ei names mapping'!$B$3:$R$3,0))</f>
        <v>maintenance, electric bicycle, without battery</v>
      </c>
      <c r="B329" s="7">
        <f>INDEX('vehicles specifications'!$B$3:$CW$166,MATCH(B301,'vehicles specifications'!$A$3:$A$166,0),MATCH(G329,'vehicles specifications'!$B$2:$CW$2,0))*INDEX('ei names mapping'!$B$137:$BL$300,MATCH(B301,'ei names mapping'!$A$137:$A$300,0),MATCH(G329,'ei names mapping'!$B$136:$BL$136,0))</f>
        <v>6.666666666666667E-5</v>
      </c>
      <c r="C329" t="str">
        <f>INDEX('ei names mapping'!$B$38:$R$67,MATCH($B$3,'ei names mapping'!$A$4:$A$33,0),MATCH(G329,'ei names mapping'!$B$3:$R$3,0))</f>
        <v>CH</v>
      </c>
      <c r="D329" t="str">
        <f>INDEX('ei names mapping'!$B$104:$R$133,MATCH($B$3,'ei names mapping'!$A$4:$A$33,0),MATCH(G329,'ei names mapping'!$B$3:$R$3,0))</f>
        <v>unit</v>
      </c>
      <c r="F329" t="s">
        <v>89</v>
      </c>
      <c r="G329" t="s">
        <v>118</v>
      </c>
      <c r="H329" t="str">
        <f>INDEX('ei names mapping'!$B$71:$R$100,MATCH($B$3,'ei names mapping'!$A$4:$A$33,0),MATCH(G329,'ei names mapping'!$B$3:$R$3,0))</f>
        <v>maintenance, electric bicycle, without battery</v>
      </c>
    </row>
    <row r="330" spans="1:8" x14ac:dyDescent="0.2">
      <c r="A330" t="str">
        <f>INDEX('ei names mapping'!$B$4:$BL$33,MATCH($B$184,'ei names mapping'!$A$4:$A$33,0),MATCH(G330,'ei names mapping'!$B$3:$BL$3,0))</f>
        <v>treatment of road wear emissions, passenger car</v>
      </c>
      <c r="B330" s="7">
        <f>INDEX('vehicles specifications'!$B$3:$CW$166,MATCH(B301,'vehicles specifications'!$A$3:$A$166,0),MATCH(G330,'vehicles specifications'!$B$2:$CW$2,0))*INDEX('ei names mapping'!$B$137:$BL$300,MATCH(B301,'ei names mapping'!$A$137:$A$300,0),MATCH(G330,'ei names mapping'!$B$136:$BL$136,0))</f>
        <v>-4.1691090429791777E-6</v>
      </c>
      <c r="C330" t="str">
        <f>INDEX('ei names mapping'!$B$38:$BL$67,MATCH($B$184,'ei names mapping'!$A$4:$A$33,0),MATCH(G330,'ei names mapping'!$B$3:$BL$3,0))</f>
        <v>RER</v>
      </c>
      <c r="D330" t="str">
        <f>INDEX('ei names mapping'!$B$104:$BL$133,MATCH($B$184,'ei names mapping'!$A$4:$A$33,0),MATCH(G330,'ei names mapping'!$B$3:$BL$3,0))</f>
        <v>kilogram</v>
      </c>
      <c r="F330" t="s">
        <v>89</v>
      </c>
      <c r="G330" t="s">
        <v>29</v>
      </c>
      <c r="H330" t="str">
        <f>INDEX('ei names mapping'!$B$71:$BL$100,MATCH(B298,'ei names mapping'!$A$4:$A$33,0),MATCH(G330,'ei names mapping'!$B$3:$BL$3,0))</f>
        <v>road wear emissions, passenger car</v>
      </c>
    </row>
    <row r="331" spans="1:8" x14ac:dyDescent="0.2">
      <c r="A331" t="str">
        <f>INDEX('ei names mapping'!$B$4:$BL$33,MATCH($B$184,'ei names mapping'!$A$4:$A$33,0),MATCH(G331,'ei names mapping'!$B$3:$BL$3,0))</f>
        <v>treatment of tyre wear emissions, passenger car</v>
      </c>
      <c r="B331" s="7">
        <f>INDEX('vehicles specifications'!$B$3:$CW$166,MATCH(B301,'vehicles specifications'!$A$3:$A$166,0),MATCH(G331,'vehicles specifications'!$B$2:$CW$2,0))*INDEX('ei names mapping'!$B$137:$BL$300,MATCH(B301,'ei names mapping'!$A$137:$A$300,0),MATCH(G331,'ei names mapping'!$B$136:$BL$136,0))</f>
        <v>-4.1070499667251542E-6</v>
      </c>
      <c r="C331" t="str">
        <f>INDEX('ei names mapping'!$B$38:$BL$67,MATCH($B$184,'ei names mapping'!$A$4:$A$33,0),MATCH(G331,'ei names mapping'!$B$3:$BL$3,0))</f>
        <v>RER</v>
      </c>
      <c r="D331" t="str">
        <f>INDEX('ei names mapping'!$B$104:$BL$133,MATCH($B$184,'ei names mapping'!$A$4:$A$33,0),MATCH(G331,'ei names mapping'!$B$3:$BL$3,0))</f>
        <v>kilogram</v>
      </c>
      <c r="F331" t="s">
        <v>89</v>
      </c>
      <c r="G331" t="s">
        <v>30</v>
      </c>
      <c r="H331" t="str">
        <f>INDEX('ei names mapping'!$B$71:$BL$100,MATCH($B$184,'ei names mapping'!$A$4:$A$33,0),MATCH(G331,'ei names mapping'!$B$3:$BL$3,0))</f>
        <v>tyre wear emissions, passenger car</v>
      </c>
    </row>
    <row r="332" spans="1:8" x14ac:dyDescent="0.2">
      <c r="A332" t="str">
        <f>INDEX('ei names mapping'!$B$4:$BL$33,MATCH($B$184,'ei names mapping'!$A$4:$A$33,0),MATCH(G332,'ei names mapping'!$B$3:$BL$3,0))</f>
        <v>treatment of brake wear emissions, passenger car</v>
      </c>
      <c r="B332" s="7">
        <f>INDEX('vehicles specifications'!$B$3:$CW$166,MATCH(B301,'vehicles specifications'!$A$3:$A$166,0),MATCH(G332,'vehicles specifications'!$B$2:$CW$2,0))*INDEX('ei names mapping'!$B$137:$BL$300,MATCH(B301,'ei names mapping'!$A$137:$A$300,0),MATCH(G332,'ei names mapping'!$B$136:$BL$136,0))</f>
        <v>-3.8175668936151024E-6</v>
      </c>
      <c r="C332" t="str">
        <f>INDEX('ei names mapping'!$B$38:$BL$67,MATCH($B$184,'ei names mapping'!$A$4:$A$33,0),MATCH(G332,'ei names mapping'!$B$3:$BL$3,0))</f>
        <v>RER</v>
      </c>
      <c r="D332" t="str">
        <f>INDEX('ei names mapping'!$B$104:$BL$133,MATCH($B$184,'ei names mapping'!$A$4:$A$33,0),MATCH(G332,'ei names mapping'!$B$3:$BL$3,0))</f>
        <v>kilogram</v>
      </c>
      <c r="F332" t="s">
        <v>89</v>
      </c>
      <c r="G332" t="s">
        <v>31</v>
      </c>
      <c r="H332" t="str">
        <f>INDEX('ei names mapping'!$B$71:$BL$100,MATCH($B$184,'ei names mapping'!$A$4:$A$33,0),MATCH(G332,'ei names mapping'!$B$3:$BL$3,0))</f>
        <v>brake wear emissions, passenger car</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P296" zoomScale="70" zoomScaleNormal="70" workbookViewId="0">
      <selection activeCell="S305" sqref="S305:BI335"/>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501</v>
      </c>
      <c r="F3" t="s">
        <v>19</v>
      </c>
      <c r="G3" t="s">
        <v>20</v>
      </c>
      <c r="H3" t="s">
        <v>22</v>
      </c>
      <c r="I3" t="s">
        <v>24</v>
      </c>
      <c r="J3" t="s">
        <v>52</v>
      </c>
      <c r="K3" t="s">
        <v>27</v>
      </c>
      <c r="L3" t="s">
        <v>28</v>
      </c>
      <c r="M3" t="s">
        <v>118</v>
      </c>
      <c r="N3" t="s">
        <v>105</v>
      </c>
      <c r="O3" t="s">
        <v>112</v>
      </c>
      <c r="P3" t="s">
        <v>144</v>
      </c>
      <c r="Q3" t="s">
        <v>145</v>
      </c>
      <c r="R3" t="s">
        <v>146</v>
      </c>
      <c r="S3" t="s">
        <v>66</v>
      </c>
      <c r="T3" t="s">
        <v>843</v>
      </c>
      <c r="U3" t="s">
        <v>67</v>
      </c>
      <c r="V3" t="s">
        <v>55</v>
      </c>
      <c r="W3" t="s">
        <v>56</v>
      </c>
      <c r="X3" t="s">
        <v>57</v>
      </c>
      <c r="Y3" t="s">
        <v>58</v>
      </c>
      <c r="Z3" t="s">
        <v>59</v>
      </c>
      <c r="AA3" t="s">
        <v>61</v>
      </c>
      <c r="AB3" t="s">
        <v>60</v>
      </c>
      <c r="AC3" t="s">
        <v>62</v>
      </c>
      <c r="AD3" t="s">
        <v>593</v>
      </c>
      <c r="AE3" t="s">
        <v>541</v>
      </c>
      <c r="AF3" t="s">
        <v>542</v>
      </c>
      <c r="AG3" t="s">
        <v>543</v>
      </c>
      <c r="AH3" t="s">
        <v>544</v>
      </c>
      <c r="AI3" t="s">
        <v>545</v>
      </c>
      <c r="AJ3" t="s">
        <v>546</v>
      </c>
      <c r="AK3" t="s">
        <v>547</v>
      </c>
      <c r="AL3" t="s">
        <v>548</v>
      </c>
      <c r="AM3" t="s">
        <v>549</v>
      </c>
      <c r="AN3" t="s">
        <v>550</v>
      </c>
      <c r="AO3" t="s">
        <v>55</v>
      </c>
      <c r="AP3" t="s">
        <v>551</v>
      </c>
      <c r="AQ3" t="s">
        <v>552</v>
      </c>
      <c r="AR3" t="s">
        <v>553</v>
      </c>
      <c r="AS3" t="s">
        <v>554</v>
      </c>
      <c r="AT3" t="s">
        <v>555</v>
      </c>
      <c r="AU3" t="s">
        <v>556</v>
      </c>
      <c r="AV3" t="s">
        <v>557</v>
      </c>
      <c r="AW3" t="s">
        <v>560</v>
      </c>
      <c r="AX3" t="s">
        <v>558</v>
      </c>
      <c r="AY3" t="s">
        <v>559</v>
      </c>
      <c r="AZ3" t="s">
        <v>561</v>
      </c>
      <c r="BA3" t="s">
        <v>562</v>
      </c>
      <c r="BB3" t="s">
        <v>563</v>
      </c>
      <c r="BC3" t="s">
        <v>564</v>
      </c>
      <c r="BD3" t="s">
        <v>522</v>
      </c>
      <c r="BE3" t="s">
        <v>524</v>
      </c>
      <c r="BF3" t="s">
        <v>523</v>
      </c>
      <c r="BG3" t="s">
        <v>567</v>
      </c>
      <c r="BH3" t="s">
        <v>565</v>
      </c>
      <c r="BI3" t="s">
        <v>566</v>
      </c>
      <c r="BJ3" t="s">
        <v>29</v>
      </c>
      <c r="BK3" t="s">
        <v>30</v>
      </c>
      <c r="BL3" t="s">
        <v>31</v>
      </c>
    </row>
    <row r="4" spans="1:64" x14ac:dyDescent="0.2">
      <c r="A4" t="s">
        <v>618</v>
      </c>
      <c r="B4" t="s">
        <v>91</v>
      </c>
      <c r="C4" t="s">
        <v>1174</v>
      </c>
      <c r="D4" t="s">
        <v>91</v>
      </c>
      <c r="E4" t="s">
        <v>452</v>
      </c>
      <c r="F4" t="s">
        <v>1169</v>
      </c>
      <c r="G4" t="s">
        <v>97</v>
      </c>
      <c r="J4" t="s">
        <v>591</v>
      </c>
      <c r="L4" t="s">
        <v>100</v>
      </c>
      <c r="M4" t="s">
        <v>119</v>
      </c>
      <c r="N4" t="s">
        <v>109</v>
      </c>
      <c r="O4" t="s">
        <v>113</v>
      </c>
      <c r="P4" t="s">
        <v>514</v>
      </c>
      <c r="Q4" t="s">
        <v>149</v>
      </c>
      <c r="R4" t="s">
        <v>147</v>
      </c>
      <c r="S4" t="s">
        <v>154</v>
      </c>
      <c r="T4" t="s">
        <v>845</v>
      </c>
      <c r="U4" t="s">
        <v>437</v>
      </c>
      <c r="V4" t="s">
        <v>55</v>
      </c>
      <c r="W4" t="s">
        <v>155</v>
      </c>
      <c r="X4" t="s">
        <v>156</v>
      </c>
      <c r="Y4" t="s">
        <v>438</v>
      </c>
      <c r="Z4" t="s">
        <v>157</v>
      </c>
      <c r="AB4" t="s">
        <v>158</v>
      </c>
      <c r="AC4" t="s">
        <v>439</v>
      </c>
      <c r="AD4" t="s">
        <v>338</v>
      </c>
      <c r="AE4" t="s">
        <v>541</v>
      </c>
      <c r="AF4" t="s">
        <v>542</v>
      </c>
      <c r="AG4" t="s">
        <v>543</v>
      </c>
      <c r="AH4" t="s">
        <v>544</v>
      </c>
      <c r="AI4" t="s">
        <v>545</v>
      </c>
      <c r="AJ4" t="s">
        <v>546</v>
      </c>
      <c r="AK4" t="s">
        <v>547</v>
      </c>
      <c r="AL4" t="s">
        <v>548</v>
      </c>
      <c r="AM4" t="s">
        <v>549</v>
      </c>
      <c r="AN4" t="s">
        <v>550</v>
      </c>
      <c r="AO4" t="s">
        <v>55</v>
      </c>
      <c r="AP4" t="s">
        <v>551</v>
      </c>
      <c r="AQ4" t="s">
        <v>552</v>
      </c>
      <c r="AR4" t="s">
        <v>553</v>
      </c>
      <c r="AS4" t="s">
        <v>554</v>
      </c>
      <c r="AT4" t="s">
        <v>555</v>
      </c>
      <c r="AU4" t="s">
        <v>556</v>
      </c>
      <c r="AV4" t="s">
        <v>557</v>
      </c>
      <c r="AW4" t="s">
        <v>560</v>
      </c>
      <c r="AX4" t="s">
        <v>558</v>
      </c>
      <c r="AY4" t="s">
        <v>559</v>
      </c>
      <c r="AZ4" t="s">
        <v>568</v>
      </c>
      <c r="BA4" t="s">
        <v>562</v>
      </c>
      <c r="BB4" t="s">
        <v>563</v>
      </c>
      <c r="BC4" t="s">
        <v>564</v>
      </c>
      <c r="BD4" t="s">
        <v>522</v>
      </c>
      <c r="BE4" t="s">
        <v>524</v>
      </c>
      <c r="BF4" t="s">
        <v>523</v>
      </c>
      <c r="BG4" t="s">
        <v>567</v>
      </c>
      <c r="BH4" t="s">
        <v>565</v>
      </c>
      <c r="BI4" t="s">
        <v>566</v>
      </c>
      <c r="BJ4" t="s">
        <v>159</v>
      </c>
      <c r="BK4" t="s">
        <v>160</v>
      </c>
      <c r="BL4" t="s">
        <v>168</v>
      </c>
    </row>
    <row r="5" spans="1:64" x14ac:dyDescent="0.2">
      <c r="A5" t="s">
        <v>33</v>
      </c>
      <c r="B5" t="s">
        <v>91</v>
      </c>
      <c r="C5" t="s">
        <v>1174</v>
      </c>
      <c r="D5" t="s">
        <v>91</v>
      </c>
      <c r="F5" t="s">
        <v>1169</v>
      </c>
      <c r="G5" t="s">
        <v>97</v>
      </c>
      <c r="J5" t="s">
        <v>188</v>
      </c>
      <c r="L5" t="s">
        <v>100</v>
      </c>
      <c r="M5" t="s">
        <v>119</v>
      </c>
      <c r="N5" t="s">
        <v>109</v>
      </c>
      <c r="O5" t="s">
        <v>113</v>
      </c>
      <c r="P5" t="s">
        <v>514</v>
      </c>
      <c r="R5" t="s">
        <v>147</v>
      </c>
      <c r="S5" t="s">
        <v>154</v>
      </c>
      <c r="T5" t="s">
        <v>845</v>
      </c>
      <c r="U5" t="s">
        <v>437</v>
      </c>
      <c r="V5" t="s">
        <v>55</v>
      </c>
      <c r="W5" t="s">
        <v>155</v>
      </c>
      <c r="X5" t="s">
        <v>156</v>
      </c>
      <c r="Y5" t="s">
        <v>438</v>
      </c>
      <c r="Z5" t="s">
        <v>157</v>
      </c>
      <c r="AB5" t="s">
        <v>158</v>
      </c>
      <c r="AC5" t="s">
        <v>439</v>
      </c>
      <c r="AD5" t="s">
        <v>338</v>
      </c>
      <c r="AE5" t="s">
        <v>541</v>
      </c>
      <c r="AF5" t="s">
        <v>542</v>
      </c>
      <c r="AG5" t="s">
        <v>543</v>
      </c>
      <c r="AH5" t="s">
        <v>544</v>
      </c>
      <c r="AI5" t="s">
        <v>545</v>
      </c>
      <c r="AJ5" t="s">
        <v>546</v>
      </c>
      <c r="AK5" t="s">
        <v>547</v>
      </c>
      <c r="AL5" t="s">
        <v>548</v>
      </c>
      <c r="AM5" t="s">
        <v>549</v>
      </c>
      <c r="AN5" t="s">
        <v>550</v>
      </c>
      <c r="AO5" t="s">
        <v>55</v>
      </c>
      <c r="AP5" t="s">
        <v>551</v>
      </c>
      <c r="AQ5" t="s">
        <v>552</v>
      </c>
      <c r="AR5" t="s">
        <v>553</v>
      </c>
      <c r="AS5" t="s">
        <v>554</v>
      </c>
      <c r="AT5" t="s">
        <v>555</v>
      </c>
      <c r="AU5" t="s">
        <v>556</v>
      </c>
      <c r="AV5" t="s">
        <v>557</v>
      </c>
      <c r="AW5" t="s">
        <v>560</v>
      </c>
      <c r="AX5" t="s">
        <v>558</v>
      </c>
      <c r="AY5" t="s">
        <v>559</v>
      </c>
      <c r="AZ5" t="s">
        <v>568</v>
      </c>
      <c r="BA5" t="s">
        <v>562</v>
      </c>
      <c r="BB5" t="s">
        <v>563</v>
      </c>
      <c r="BC5" t="s">
        <v>564</v>
      </c>
      <c r="BD5" t="s">
        <v>522</v>
      </c>
      <c r="BE5" t="s">
        <v>524</v>
      </c>
      <c r="BF5" t="s">
        <v>523</v>
      </c>
      <c r="BG5" t="s">
        <v>567</v>
      </c>
      <c r="BH5" t="s">
        <v>565</v>
      </c>
      <c r="BI5" t="s">
        <v>566</v>
      </c>
      <c r="BJ5" t="s">
        <v>159</v>
      </c>
      <c r="BK5" t="s">
        <v>160</v>
      </c>
      <c r="BL5" t="s">
        <v>168</v>
      </c>
    </row>
    <row r="6" spans="1:64" x14ac:dyDescent="0.2">
      <c r="A6" t="s">
        <v>489</v>
      </c>
      <c r="B6" t="s">
        <v>474</v>
      </c>
      <c r="C6" t="s">
        <v>1174</v>
      </c>
      <c r="D6" t="s">
        <v>474</v>
      </c>
      <c r="E6" t="s">
        <v>452</v>
      </c>
      <c r="F6" t="s">
        <v>1169</v>
      </c>
      <c r="G6" t="s">
        <v>97</v>
      </c>
      <c r="J6" t="s">
        <v>188</v>
      </c>
      <c r="L6" t="s">
        <v>100</v>
      </c>
      <c r="M6" t="s">
        <v>475</v>
      </c>
      <c r="N6" t="s">
        <v>109</v>
      </c>
      <c r="O6" t="s">
        <v>113</v>
      </c>
      <c r="P6" t="s">
        <v>149</v>
      </c>
      <c r="Q6" t="s">
        <v>149</v>
      </c>
      <c r="R6" t="s">
        <v>147</v>
      </c>
      <c r="S6" t="s">
        <v>154</v>
      </c>
      <c r="T6" t="s">
        <v>845</v>
      </c>
      <c r="U6" t="s">
        <v>437</v>
      </c>
      <c r="V6" t="s">
        <v>55</v>
      </c>
      <c r="W6" t="s">
        <v>155</v>
      </c>
      <c r="X6" t="s">
        <v>156</v>
      </c>
      <c r="Y6" t="s">
        <v>438</v>
      </c>
      <c r="Z6" t="s">
        <v>157</v>
      </c>
      <c r="AB6" t="s">
        <v>158</v>
      </c>
      <c r="AC6" t="s">
        <v>439</v>
      </c>
      <c r="AD6" t="s">
        <v>338</v>
      </c>
      <c r="AE6" t="s">
        <v>541</v>
      </c>
      <c r="AF6" t="s">
        <v>542</v>
      </c>
      <c r="AG6" t="s">
        <v>543</v>
      </c>
      <c r="AH6" t="s">
        <v>544</v>
      </c>
      <c r="AI6" t="s">
        <v>545</v>
      </c>
      <c r="AJ6" t="s">
        <v>546</v>
      </c>
      <c r="AK6" t="s">
        <v>547</v>
      </c>
      <c r="AL6" t="s">
        <v>548</v>
      </c>
      <c r="AM6" t="s">
        <v>549</v>
      </c>
      <c r="AN6" t="s">
        <v>550</v>
      </c>
      <c r="AO6" t="s">
        <v>55</v>
      </c>
      <c r="AP6" t="s">
        <v>551</v>
      </c>
      <c r="AQ6" t="s">
        <v>552</v>
      </c>
      <c r="AR6" t="s">
        <v>553</v>
      </c>
      <c r="AS6" t="s">
        <v>554</v>
      </c>
      <c r="AT6" t="s">
        <v>555</v>
      </c>
      <c r="AU6" t="s">
        <v>556</v>
      </c>
      <c r="AV6" t="s">
        <v>557</v>
      </c>
      <c r="AW6" t="s">
        <v>560</v>
      </c>
      <c r="AX6" t="s">
        <v>558</v>
      </c>
      <c r="AY6" t="s">
        <v>559</v>
      </c>
      <c r="AZ6" t="s">
        <v>568</v>
      </c>
      <c r="BA6" t="s">
        <v>562</v>
      </c>
      <c r="BB6" t="s">
        <v>563</v>
      </c>
      <c r="BC6" t="s">
        <v>564</v>
      </c>
      <c r="BD6" t="s">
        <v>522</v>
      </c>
      <c r="BE6" t="s">
        <v>524</v>
      </c>
      <c r="BF6" t="s">
        <v>523</v>
      </c>
      <c r="BG6" t="s">
        <v>567</v>
      </c>
      <c r="BH6" t="s">
        <v>565</v>
      </c>
      <c r="BI6" t="s">
        <v>566</v>
      </c>
      <c r="BJ6" t="s">
        <v>159</v>
      </c>
      <c r="BK6" t="s">
        <v>160</v>
      </c>
      <c r="BL6" t="s">
        <v>168</v>
      </c>
    </row>
    <row r="7" spans="1:64" x14ac:dyDescent="0.2">
      <c r="A7" t="s">
        <v>490</v>
      </c>
      <c r="B7" t="s">
        <v>474</v>
      </c>
      <c r="C7" t="s">
        <v>1174</v>
      </c>
      <c r="D7" t="s">
        <v>474</v>
      </c>
      <c r="E7" t="s">
        <v>452</v>
      </c>
      <c r="F7" t="s">
        <v>1169</v>
      </c>
      <c r="G7" t="s">
        <v>97</v>
      </c>
      <c r="J7" t="s">
        <v>188</v>
      </c>
      <c r="L7" t="s">
        <v>100</v>
      </c>
      <c r="M7" t="s">
        <v>475</v>
      </c>
      <c r="N7" t="s">
        <v>109</v>
      </c>
      <c r="O7" t="s">
        <v>113</v>
      </c>
      <c r="P7" t="s">
        <v>149</v>
      </c>
      <c r="Q7" t="s">
        <v>149</v>
      </c>
      <c r="R7" t="s">
        <v>147</v>
      </c>
      <c r="S7" t="s">
        <v>154</v>
      </c>
      <c r="T7" t="s">
        <v>845</v>
      </c>
      <c r="U7" t="s">
        <v>437</v>
      </c>
      <c r="V7" t="s">
        <v>55</v>
      </c>
      <c r="W7" t="s">
        <v>155</v>
      </c>
      <c r="X7" t="s">
        <v>156</v>
      </c>
      <c r="Y7" t="s">
        <v>438</v>
      </c>
      <c r="Z7" t="s">
        <v>157</v>
      </c>
      <c r="AB7" t="s">
        <v>158</v>
      </c>
      <c r="AC7" t="s">
        <v>439</v>
      </c>
      <c r="AD7" t="s">
        <v>338</v>
      </c>
      <c r="AE7" t="s">
        <v>541</v>
      </c>
      <c r="AF7" t="s">
        <v>542</v>
      </c>
      <c r="AG7" t="s">
        <v>543</v>
      </c>
      <c r="AH7" t="s">
        <v>544</v>
      </c>
      <c r="AI7" t="s">
        <v>545</v>
      </c>
      <c r="AJ7" t="s">
        <v>546</v>
      </c>
      <c r="AK7" t="s">
        <v>547</v>
      </c>
      <c r="AL7" t="s">
        <v>548</v>
      </c>
      <c r="AM7" t="s">
        <v>549</v>
      </c>
      <c r="AN7" t="s">
        <v>550</v>
      </c>
      <c r="AO7" t="s">
        <v>55</v>
      </c>
      <c r="AP7" t="s">
        <v>551</v>
      </c>
      <c r="AQ7" t="s">
        <v>552</v>
      </c>
      <c r="AR7" t="s">
        <v>553</v>
      </c>
      <c r="AS7" t="s">
        <v>554</v>
      </c>
      <c r="AT7" t="s">
        <v>555</v>
      </c>
      <c r="AU7" t="s">
        <v>556</v>
      </c>
      <c r="AV7" t="s">
        <v>557</v>
      </c>
      <c r="AW7" t="s">
        <v>560</v>
      </c>
      <c r="AX7" t="s">
        <v>558</v>
      </c>
      <c r="AY7" t="s">
        <v>559</v>
      </c>
      <c r="AZ7" t="s">
        <v>568</v>
      </c>
      <c r="BA7" t="s">
        <v>562</v>
      </c>
      <c r="BB7" t="s">
        <v>563</v>
      </c>
      <c r="BC7" t="s">
        <v>564</v>
      </c>
      <c r="BD7" t="s">
        <v>522</v>
      </c>
      <c r="BE7" t="s">
        <v>524</v>
      </c>
      <c r="BF7" t="s">
        <v>523</v>
      </c>
      <c r="BG7" t="s">
        <v>567</v>
      </c>
      <c r="BH7" t="s">
        <v>565</v>
      </c>
      <c r="BI7" t="s">
        <v>566</v>
      </c>
      <c r="BJ7" t="s">
        <v>159</v>
      </c>
      <c r="BK7" t="s">
        <v>160</v>
      </c>
      <c r="BL7" t="s">
        <v>168</v>
      </c>
    </row>
    <row r="8" spans="1:64" x14ac:dyDescent="0.2">
      <c r="A8" t="s">
        <v>496</v>
      </c>
      <c r="B8" t="s">
        <v>474</v>
      </c>
      <c r="C8" t="s">
        <v>1174</v>
      </c>
      <c r="D8" t="s">
        <v>474</v>
      </c>
      <c r="E8" t="s">
        <v>452</v>
      </c>
      <c r="F8" t="s">
        <v>1169</v>
      </c>
      <c r="G8" t="s">
        <v>97</v>
      </c>
      <c r="J8" t="s">
        <v>188</v>
      </c>
      <c r="L8" t="s">
        <v>100</v>
      </c>
      <c r="M8" t="s">
        <v>475</v>
      </c>
      <c r="N8" t="s">
        <v>109</v>
      </c>
      <c r="O8" t="s">
        <v>113</v>
      </c>
      <c r="P8" t="s">
        <v>149</v>
      </c>
      <c r="Q8" t="s">
        <v>149</v>
      </c>
      <c r="R8" t="s">
        <v>147</v>
      </c>
      <c r="S8" t="s">
        <v>154</v>
      </c>
      <c r="T8" t="s">
        <v>845</v>
      </c>
      <c r="U8" t="s">
        <v>437</v>
      </c>
      <c r="V8" t="s">
        <v>55</v>
      </c>
      <c r="W8" t="s">
        <v>155</v>
      </c>
      <c r="X8" t="s">
        <v>156</v>
      </c>
      <c r="Y8" t="s">
        <v>438</v>
      </c>
      <c r="Z8" t="s">
        <v>157</v>
      </c>
      <c r="AB8" t="s">
        <v>158</v>
      </c>
      <c r="AC8" t="s">
        <v>439</v>
      </c>
      <c r="AD8" t="s">
        <v>338</v>
      </c>
      <c r="AE8" t="s">
        <v>541</v>
      </c>
      <c r="AF8" t="s">
        <v>542</v>
      </c>
      <c r="AG8" t="s">
        <v>543</v>
      </c>
      <c r="AH8" t="s">
        <v>544</v>
      </c>
      <c r="AI8" t="s">
        <v>545</v>
      </c>
      <c r="AJ8" t="s">
        <v>546</v>
      </c>
      <c r="AK8" t="s">
        <v>547</v>
      </c>
      <c r="AL8" t="s">
        <v>548</v>
      </c>
      <c r="AM8" t="s">
        <v>549</v>
      </c>
      <c r="AN8" t="s">
        <v>550</v>
      </c>
      <c r="AO8" t="s">
        <v>55</v>
      </c>
      <c r="AP8" t="s">
        <v>551</v>
      </c>
      <c r="AQ8" t="s">
        <v>552</v>
      </c>
      <c r="AR8" t="s">
        <v>553</v>
      </c>
      <c r="AS8" t="s">
        <v>554</v>
      </c>
      <c r="AT8" t="s">
        <v>555</v>
      </c>
      <c r="AU8" t="s">
        <v>556</v>
      </c>
      <c r="AV8" t="s">
        <v>557</v>
      </c>
      <c r="AW8" t="s">
        <v>560</v>
      </c>
      <c r="AX8" t="s">
        <v>558</v>
      </c>
      <c r="AY8" t="s">
        <v>559</v>
      </c>
      <c r="AZ8" t="s">
        <v>568</v>
      </c>
      <c r="BA8" t="s">
        <v>562</v>
      </c>
      <c r="BB8" t="s">
        <v>563</v>
      </c>
      <c r="BC8" t="s">
        <v>564</v>
      </c>
      <c r="BD8" t="s">
        <v>522</v>
      </c>
      <c r="BE8" t="s">
        <v>524</v>
      </c>
      <c r="BF8" t="s">
        <v>523</v>
      </c>
      <c r="BG8" t="s">
        <v>567</v>
      </c>
      <c r="BH8" t="s">
        <v>565</v>
      </c>
      <c r="BI8" t="s">
        <v>566</v>
      </c>
      <c r="BJ8" t="s">
        <v>159</v>
      </c>
      <c r="BK8" t="s">
        <v>160</v>
      </c>
      <c r="BL8" t="s">
        <v>168</v>
      </c>
    </row>
    <row r="9" spans="1:64" x14ac:dyDescent="0.2">
      <c r="A9" t="s">
        <v>491</v>
      </c>
      <c r="B9" t="s">
        <v>104</v>
      </c>
      <c r="C9" t="s">
        <v>1174</v>
      </c>
      <c r="D9" t="s">
        <v>104</v>
      </c>
      <c r="E9" t="s">
        <v>104</v>
      </c>
      <c r="F9" t="s">
        <v>1169</v>
      </c>
      <c r="G9" t="s">
        <v>97</v>
      </c>
      <c r="L9" t="s">
        <v>111</v>
      </c>
      <c r="M9" t="s">
        <v>120</v>
      </c>
      <c r="N9" t="s">
        <v>106</v>
      </c>
      <c r="P9" t="s">
        <v>509</v>
      </c>
      <c r="Q9" t="s">
        <v>509</v>
      </c>
      <c r="R9" t="s">
        <v>147</v>
      </c>
      <c r="S9" t="s">
        <v>154</v>
      </c>
      <c r="T9" t="s">
        <v>845</v>
      </c>
      <c r="U9" t="s">
        <v>437</v>
      </c>
      <c r="V9" t="s">
        <v>55</v>
      </c>
      <c r="W9" t="s">
        <v>155</v>
      </c>
      <c r="X9" t="s">
        <v>156</v>
      </c>
      <c r="Y9" t="s">
        <v>438</v>
      </c>
      <c r="Z9" t="s">
        <v>157</v>
      </c>
      <c r="AB9" t="s">
        <v>158</v>
      </c>
      <c r="AC9" t="s">
        <v>439</v>
      </c>
      <c r="AD9" t="s">
        <v>338</v>
      </c>
      <c r="AE9" t="s">
        <v>541</v>
      </c>
      <c r="AF9" t="s">
        <v>542</v>
      </c>
      <c r="AG9" t="s">
        <v>543</v>
      </c>
      <c r="AH9" t="s">
        <v>544</v>
      </c>
      <c r="AI9" t="s">
        <v>545</v>
      </c>
      <c r="AJ9" t="s">
        <v>546</v>
      </c>
      <c r="AK9" t="s">
        <v>547</v>
      </c>
      <c r="AL9" t="s">
        <v>548</v>
      </c>
      <c r="AM9" t="s">
        <v>549</v>
      </c>
      <c r="AN9" t="s">
        <v>550</v>
      </c>
      <c r="AO9" t="s">
        <v>55</v>
      </c>
      <c r="AP9" t="s">
        <v>551</v>
      </c>
      <c r="AQ9" t="s">
        <v>552</v>
      </c>
      <c r="AR9" t="s">
        <v>553</v>
      </c>
      <c r="AS9" t="s">
        <v>554</v>
      </c>
      <c r="AT9" t="s">
        <v>555</v>
      </c>
      <c r="AU9" t="s">
        <v>556</v>
      </c>
      <c r="AV9" t="s">
        <v>557</v>
      </c>
      <c r="AW9" t="s">
        <v>560</v>
      </c>
      <c r="AX9" t="s">
        <v>558</v>
      </c>
      <c r="AY9" t="s">
        <v>559</v>
      </c>
      <c r="AZ9" t="s">
        <v>568</v>
      </c>
      <c r="BA9" t="s">
        <v>562</v>
      </c>
      <c r="BB9" t="s">
        <v>563</v>
      </c>
      <c r="BC9" t="s">
        <v>564</v>
      </c>
      <c r="BD9" t="s">
        <v>522</v>
      </c>
      <c r="BE9" t="s">
        <v>524</v>
      </c>
      <c r="BF9" t="s">
        <v>523</v>
      </c>
      <c r="BG9" t="s">
        <v>567</v>
      </c>
      <c r="BH9" t="s">
        <v>565</v>
      </c>
      <c r="BI9" t="s">
        <v>566</v>
      </c>
      <c r="BJ9" t="s">
        <v>159</v>
      </c>
      <c r="BK9" t="s">
        <v>160</v>
      </c>
      <c r="BL9" t="s">
        <v>168</v>
      </c>
    </row>
    <row r="10" spans="1:64" x14ac:dyDescent="0.2">
      <c r="A10" t="s">
        <v>579</v>
      </c>
      <c r="B10" t="s">
        <v>114</v>
      </c>
      <c r="C10" t="s">
        <v>1174</v>
      </c>
      <c r="D10" t="s">
        <v>114</v>
      </c>
      <c r="I10" t="s">
        <v>116</v>
      </c>
      <c r="K10" t="s">
        <v>589</v>
      </c>
      <c r="M10" t="s">
        <v>121</v>
      </c>
      <c r="N10" t="s">
        <v>109</v>
      </c>
      <c r="O10" t="s">
        <v>113</v>
      </c>
      <c r="S10" t="s">
        <v>154</v>
      </c>
      <c r="T10" t="s">
        <v>845</v>
      </c>
      <c r="U10" t="s">
        <v>437</v>
      </c>
      <c r="V10" t="s">
        <v>55</v>
      </c>
      <c r="W10" t="s">
        <v>155</v>
      </c>
      <c r="X10" t="s">
        <v>156</v>
      </c>
      <c r="Y10" t="s">
        <v>438</v>
      </c>
      <c r="Z10" t="s">
        <v>157</v>
      </c>
      <c r="AB10" t="s">
        <v>158</v>
      </c>
      <c r="AC10" t="s">
        <v>439</v>
      </c>
      <c r="AD10" t="s">
        <v>338</v>
      </c>
      <c r="AE10" t="s">
        <v>541</v>
      </c>
      <c r="AF10" t="s">
        <v>542</v>
      </c>
      <c r="AG10" t="s">
        <v>543</v>
      </c>
      <c r="AH10" t="s">
        <v>544</v>
      </c>
      <c r="AI10" t="s">
        <v>545</v>
      </c>
      <c r="AJ10" t="s">
        <v>546</v>
      </c>
      <c r="AK10" t="s">
        <v>547</v>
      </c>
      <c r="AL10" t="s">
        <v>548</v>
      </c>
      <c r="AM10" t="s">
        <v>549</v>
      </c>
      <c r="AN10" t="s">
        <v>550</v>
      </c>
      <c r="AO10" t="s">
        <v>55</v>
      </c>
      <c r="AP10" t="s">
        <v>551</v>
      </c>
      <c r="AQ10" t="s">
        <v>552</v>
      </c>
      <c r="AR10" t="s">
        <v>553</v>
      </c>
      <c r="AS10" t="s">
        <v>554</v>
      </c>
      <c r="AT10" t="s">
        <v>555</v>
      </c>
      <c r="AU10" t="s">
        <v>556</v>
      </c>
      <c r="AV10" t="s">
        <v>557</v>
      </c>
      <c r="AW10" t="s">
        <v>560</v>
      </c>
      <c r="AX10" t="s">
        <v>558</v>
      </c>
      <c r="AY10" t="s">
        <v>559</v>
      </c>
      <c r="AZ10" t="s">
        <v>568</v>
      </c>
      <c r="BA10" t="s">
        <v>562</v>
      </c>
      <c r="BB10" t="s">
        <v>563</v>
      </c>
      <c r="BC10" t="s">
        <v>564</v>
      </c>
      <c r="BD10" t="s">
        <v>522</v>
      </c>
      <c r="BE10" t="s">
        <v>524</v>
      </c>
      <c r="BF10" t="s">
        <v>523</v>
      </c>
      <c r="BG10" t="s">
        <v>567</v>
      </c>
      <c r="BH10" t="s">
        <v>565</v>
      </c>
      <c r="BI10" t="s">
        <v>566</v>
      </c>
      <c r="BJ10" t="s">
        <v>159</v>
      </c>
      <c r="BK10" t="s">
        <v>160</v>
      </c>
      <c r="BL10" t="s">
        <v>168</v>
      </c>
    </row>
    <row r="11" spans="1:64" x14ac:dyDescent="0.2">
      <c r="A11" t="s">
        <v>580</v>
      </c>
      <c r="B11" t="s">
        <v>114</v>
      </c>
      <c r="C11" t="s">
        <v>1174</v>
      </c>
      <c r="D11" t="s">
        <v>114</v>
      </c>
      <c r="I11" t="s">
        <v>116</v>
      </c>
      <c r="K11" t="s">
        <v>589</v>
      </c>
      <c r="M11" t="s">
        <v>121</v>
      </c>
      <c r="N11" t="s">
        <v>109</v>
      </c>
      <c r="O11" t="s">
        <v>113</v>
      </c>
      <c r="S11" t="s">
        <v>154</v>
      </c>
      <c r="T11" t="s">
        <v>845</v>
      </c>
      <c r="U11" t="s">
        <v>437</v>
      </c>
      <c r="V11" t="s">
        <v>55</v>
      </c>
      <c r="W11" t="s">
        <v>155</v>
      </c>
      <c r="X11" t="s">
        <v>156</v>
      </c>
      <c r="Y11" t="s">
        <v>438</v>
      </c>
      <c r="Z11" t="s">
        <v>157</v>
      </c>
      <c r="AB11" t="s">
        <v>158</v>
      </c>
      <c r="AC11" t="s">
        <v>439</v>
      </c>
      <c r="AD11" t="s">
        <v>338</v>
      </c>
      <c r="AE11" t="s">
        <v>541</v>
      </c>
      <c r="AF11" t="s">
        <v>542</v>
      </c>
      <c r="AG11" t="s">
        <v>543</v>
      </c>
      <c r="AH11" t="s">
        <v>544</v>
      </c>
      <c r="AI11" t="s">
        <v>545</v>
      </c>
      <c r="AJ11" t="s">
        <v>546</v>
      </c>
      <c r="AK11" t="s">
        <v>547</v>
      </c>
      <c r="AL11" t="s">
        <v>548</v>
      </c>
      <c r="AM11" t="s">
        <v>549</v>
      </c>
      <c r="AN11" t="s">
        <v>550</v>
      </c>
      <c r="AO11" t="s">
        <v>55</v>
      </c>
      <c r="AP11" t="s">
        <v>551</v>
      </c>
      <c r="AQ11" t="s">
        <v>552</v>
      </c>
      <c r="AR11" t="s">
        <v>553</v>
      </c>
      <c r="AS11" t="s">
        <v>554</v>
      </c>
      <c r="AT11" t="s">
        <v>555</v>
      </c>
      <c r="AU11" t="s">
        <v>556</v>
      </c>
      <c r="AV11" t="s">
        <v>557</v>
      </c>
      <c r="AW11" t="s">
        <v>560</v>
      </c>
      <c r="AX11" t="s">
        <v>558</v>
      </c>
      <c r="AY11" t="s">
        <v>559</v>
      </c>
      <c r="AZ11" t="s">
        <v>568</v>
      </c>
      <c r="BA11" t="s">
        <v>562</v>
      </c>
      <c r="BB11" t="s">
        <v>563</v>
      </c>
      <c r="BC11" t="s">
        <v>564</v>
      </c>
      <c r="BD11" t="s">
        <v>522</v>
      </c>
      <c r="BE11" t="s">
        <v>524</v>
      </c>
      <c r="BF11" t="s">
        <v>523</v>
      </c>
      <c r="BG11" t="s">
        <v>567</v>
      </c>
      <c r="BH11" t="s">
        <v>565</v>
      </c>
      <c r="BI11" t="s">
        <v>566</v>
      </c>
      <c r="BJ11" t="s">
        <v>159</v>
      </c>
      <c r="BK11" t="s">
        <v>160</v>
      </c>
      <c r="BL11" t="s">
        <v>168</v>
      </c>
    </row>
    <row r="12" spans="1:64" x14ac:dyDescent="0.2">
      <c r="A12" t="s">
        <v>581</v>
      </c>
      <c r="B12" t="s">
        <v>114</v>
      </c>
      <c r="C12" t="s">
        <v>1174</v>
      </c>
      <c r="D12" t="s">
        <v>114</v>
      </c>
      <c r="I12" t="s">
        <v>116</v>
      </c>
      <c r="K12" t="s">
        <v>589</v>
      </c>
      <c r="M12" t="s">
        <v>121</v>
      </c>
      <c r="N12" t="s">
        <v>109</v>
      </c>
      <c r="O12" t="s">
        <v>113</v>
      </c>
      <c r="S12" t="s">
        <v>154</v>
      </c>
      <c r="T12" t="s">
        <v>845</v>
      </c>
      <c r="U12" t="s">
        <v>437</v>
      </c>
      <c r="V12" t="s">
        <v>55</v>
      </c>
      <c r="W12" t="s">
        <v>155</v>
      </c>
      <c r="X12" t="s">
        <v>156</v>
      </c>
      <c r="Y12" t="s">
        <v>438</v>
      </c>
      <c r="Z12" t="s">
        <v>157</v>
      </c>
      <c r="AB12" t="s">
        <v>158</v>
      </c>
      <c r="AC12" t="s">
        <v>439</v>
      </c>
      <c r="AD12" t="s">
        <v>338</v>
      </c>
      <c r="AE12" t="s">
        <v>541</v>
      </c>
      <c r="AF12" t="s">
        <v>542</v>
      </c>
      <c r="AG12" t="s">
        <v>543</v>
      </c>
      <c r="AH12" t="s">
        <v>544</v>
      </c>
      <c r="AI12" t="s">
        <v>545</v>
      </c>
      <c r="AJ12" t="s">
        <v>546</v>
      </c>
      <c r="AK12" t="s">
        <v>547</v>
      </c>
      <c r="AL12" t="s">
        <v>548</v>
      </c>
      <c r="AM12" t="s">
        <v>549</v>
      </c>
      <c r="AN12" t="s">
        <v>550</v>
      </c>
      <c r="AO12" t="s">
        <v>55</v>
      </c>
      <c r="AP12" t="s">
        <v>551</v>
      </c>
      <c r="AQ12" t="s">
        <v>552</v>
      </c>
      <c r="AR12" t="s">
        <v>553</v>
      </c>
      <c r="AS12" t="s">
        <v>554</v>
      </c>
      <c r="AT12" t="s">
        <v>555</v>
      </c>
      <c r="AU12" t="s">
        <v>556</v>
      </c>
      <c r="AV12" t="s">
        <v>557</v>
      </c>
      <c r="AW12" t="s">
        <v>560</v>
      </c>
      <c r="AX12" t="s">
        <v>558</v>
      </c>
      <c r="AY12" t="s">
        <v>559</v>
      </c>
      <c r="AZ12" t="s">
        <v>568</v>
      </c>
      <c r="BA12" t="s">
        <v>562</v>
      </c>
      <c r="BB12" t="s">
        <v>563</v>
      </c>
      <c r="BC12" t="s">
        <v>564</v>
      </c>
      <c r="BD12" t="s">
        <v>522</v>
      </c>
      <c r="BE12" t="s">
        <v>524</v>
      </c>
      <c r="BF12" t="s">
        <v>523</v>
      </c>
      <c r="BG12" t="s">
        <v>567</v>
      </c>
      <c r="BH12" t="s">
        <v>565</v>
      </c>
      <c r="BI12" t="s">
        <v>566</v>
      </c>
      <c r="BJ12" t="s">
        <v>159</v>
      </c>
      <c r="BK12" t="s">
        <v>160</v>
      </c>
      <c r="BL12" t="s">
        <v>168</v>
      </c>
    </row>
    <row r="13" spans="1:64" x14ac:dyDescent="0.2">
      <c r="A13" t="s">
        <v>609</v>
      </c>
      <c r="B13" t="s">
        <v>114</v>
      </c>
      <c r="C13" t="s">
        <v>1174</v>
      </c>
      <c r="D13" t="s">
        <v>114</v>
      </c>
      <c r="I13" t="s">
        <v>116</v>
      </c>
      <c r="K13" t="s">
        <v>589</v>
      </c>
      <c r="M13" t="s">
        <v>121</v>
      </c>
      <c r="N13" t="s">
        <v>109</v>
      </c>
      <c r="O13" t="s">
        <v>113</v>
      </c>
      <c r="S13" t="s">
        <v>154</v>
      </c>
      <c r="T13" t="s">
        <v>845</v>
      </c>
      <c r="U13" t="s">
        <v>437</v>
      </c>
      <c r="V13" t="s">
        <v>55</v>
      </c>
      <c r="W13" t="s">
        <v>155</v>
      </c>
      <c r="X13" t="s">
        <v>156</v>
      </c>
      <c r="Y13" t="s">
        <v>438</v>
      </c>
      <c r="Z13" t="s">
        <v>157</v>
      </c>
      <c r="AB13" t="s">
        <v>158</v>
      </c>
      <c r="AC13" t="s">
        <v>439</v>
      </c>
      <c r="AD13" t="s">
        <v>338</v>
      </c>
      <c r="AE13" t="s">
        <v>541</v>
      </c>
      <c r="AF13" t="s">
        <v>542</v>
      </c>
      <c r="AG13" t="s">
        <v>543</v>
      </c>
      <c r="AH13" t="s">
        <v>544</v>
      </c>
      <c r="AI13" t="s">
        <v>545</v>
      </c>
      <c r="AJ13" t="s">
        <v>546</v>
      </c>
      <c r="AK13" t="s">
        <v>547</v>
      </c>
      <c r="AL13" t="s">
        <v>548</v>
      </c>
      <c r="AM13" t="s">
        <v>549</v>
      </c>
      <c r="AN13" t="s">
        <v>550</v>
      </c>
      <c r="AO13" t="s">
        <v>55</v>
      </c>
      <c r="AP13" t="s">
        <v>551</v>
      </c>
      <c r="AQ13" t="s">
        <v>552</v>
      </c>
      <c r="AR13" t="s">
        <v>553</v>
      </c>
      <c r="AS13" t="s">
        <v>554</v>
      </c>
      <c r="AT13" t="s">
        <v>555</v>
      </c>
      <c r="AU13" t="s">
        <v>556</v>
      </c>
      <c r="AV13" t="s">
        <v>557</v>
      </c>
      <c r="AW13" t="s">
        <v>560</v>
      </c>
      <c r="AX13" t="s">
        <v>558</v>
      </c>
      <c r="AY13" t="s">
        <v>559</v>
      </c>
      <c r="AZ13" t="s">
        <v>568</v>
      </c>
      <c r="BA13" t="s">
        <v>562</v>
      </c>
      <c r="BB13" t="s">
        <v>563</v>
      </c>
      <c r="BC13" t="s">
        <v>564</v>
      </c>
      <c r="BD13" t="s">
        <v>522</v>
      </c>
      <c r="BE13" t="s">
        <v>524</v>
      </c>
      <c r="BF13" t="s">
        <v>523</v>
      </c>
      <c r="BG13" t="s">
        <v>567</v>
      </c>
      <c r="BH13" t="s">
        <v>565</v>
      </c>
      <c r="BI13" t="s">
        <v>566</v>
      </c>
      <c r="BJ13" t="s">
        <v>159</v>
      </c>
      <c r="BK13" t="s">
        <v>160</v>
      </c>
      <c r="BL13" t="s">
        <v>168</v>
      </c>
    </row>
    <row r="14" spans="1:64" x14ac:dyDescent="0.2">
      <c r="A14" t="s">
        <v>610</v>
      </c>
      <c r="B14" t="s">
        <v>114</v>
      </c>
      <c r="C14" t="s">
        <v>1174</v>
      </c>
      <c r="D14" t="s">
        <v>114</v>
      </c>
      <c r="I14" t="s">
        <v>116</v>
      </c>
      <c r="K14" t="s">
        <v>589</v>
      </c>
      <c r="M14" t="s">
        <v>121</v>
      </c>
      <c r="N14" t="s">
        <v>109</v>
      </c>
      <c r="O14" t="s">
        <v>113</v>
      </c>
      <c r="S14" t="s">
        <v>154</v>
      </c>
      <c r="T14" t="s">
        <v>845</v>
      </c>
      <c r="U14" t="s">
        <v>437</v>
      </c>
      <c r="V14" t="s">
        <v>55</v>
      </c>
      <c r="W14" t="s">
        <v>155</v>
      </c>
      <c r="X14" t="s">
        <v>156</v>
      </c>
      <c r="Y14" t="s">
        <v>438</v>
      </c>
      <c r="Z14" t="s">
        <v>157</v>
      </c>
      <c r="AB14" t="s">
        <v>158</v>
      </c>
      <c r="AC14" t="s">
        <v>439</v>
      </c>
      <c r="AD14" t="s">
        <v>338</v>
      </c>
      <c r="AE14" t="s">
        <v>541</v>
      </c>
      <c r="AF14" t="s">
        <v>542</v>
      </c>
      <c r="AG14" t="s">
        <v>543</v>
      </c>
      <c r="AH14" t="s">
        <v>544</v>
      </c>
      <c r="AI14" t="s">
        <v>545</v>
      </c>
      <c r="AJ14" t="s">
        <v>546</v>
      </c>
      <c r="AK14" t="s">
        <v>547</v>
      </c>
      <c r="AL14" t="s">
        <v>548</v>
      </c>
      <c r="AM14" t="s">
        <v>549</v>
      </c>
      <c r="AN14" t="s">
        <v>550</v>
      </c>
      <c r="AO14" t="s">
        <v>55</v>
      </c>
      <c r="AP14" t="s">
        <v>551</v>
      </c>
      <c r="AQ14" t="s">
        <v>552</v>
      </c>
      <c r="AR14" t="s">
        <v>553</v>
      </c>
      <c r="AS14" t="s">
        <v>554</v>
      </c>
      <c r="AT14" t="s">
        <v>555</v>
      </c>
      <c r="AU14" t="s">
        <v>556</v>
      </c>
      <c r="AV14" t="s">
        <v>557</v>
      </c>
      <c r="AW14" t="s">
        <v>560</v>
      </c>
      <c r="AX14" t="s">
        <v>558</v>
      </c>
      <c r="AY14" t="s">
        <v>559</v>
      </c>
      <c r="AZ14" t="s">
        <v>568</v>
      </c>
      <c r="BA14" t="s">
        <v>562</v>
      </c>
      <c r="BB14" t="s">
        <v>563</v>
      </c>
      <c r="BC14" t="s">
        <v>564</v>
      </c>
      <c r="BD14" t="s">
        <v>522</v>
      </c>
      <c r="BE14" t="s">
        <v>524</v>
      </c>
      <c r="BF14" t="s">
        <v>523</v>
      </c>
      <c r="BG14" t="s">
        <v>567</v>
      </c>
      <c r="BH14" t="s">
        <v>565</v>
      </c>
      <c r="BI14" t="s">
        <v>566</v>
      </c>
      <c r="BJ14" t="s">
        <v>159</v>
      </c>
      <c r="BK14" t="s">
        <v>160</v>
      </c>
      <c r="BL14" t="s">
        <v>168</v>
      </c>
    </row>
    <row r="15" spans="1:64" x14ac:dyDescent="0.2">
      <c r="A15" t="s">
        <v>611</v>
      </c>
      <c r="B15" t="s">
        <v>114</v>
      </c>
      <c r="C15" t="s">
        <v>1174</v>
      </c>
      <c r="D15" t="s">
        <v>114</v>
      </c>
      <c r="I15" t="s">
        <v>116</v>
      </c>
      <c r="K15" t="s">
        <v>589</v>
      </c>
      <c r="M15" t="s">
        <v>121</v>
      </c>
      <c r="N15" t="s">
        <v>109</v>
      </c>
      <c r="O15" t="s">
        <v>113</v>
      </c>
      <c r="S15" t="s">
        <v>154</v>
      </c>
      <c r="T15" t="s">
        <v>845</v>
      </c>
      <c r="U15" t="s">
        <v>437</v>
      </c>
      <c r="V15" t="s">
        <v>55</v>
      </c>
      <c r="W15" t="s">
        <v>155</v>
      </c>
      <c r="X15" t="s">
        <v>156</v>
      </c>
      <c r="Y15" t="s">
        <v>438</v>
      </c>
      <c r="Z15" t="s">
        <v>157</v>
      </c>
      <c r="AB15" t="s">
        <v>158</v>
      </c>
      <c r="AC15" t="s">
        <v>439</v>
      </c>
      <c r="AD15" t="s">
        <v>338</v>
      </c>
      <c r="AE15" t="s">
        <v>541</v>
      </c>
      <c r="AF15" t="s">
        <v>542</v>
      </c>
      <c r="AG15" t="s">
        <v>543</v>
      </c>
      <c r="AH15" t="s">
        <v>544</v>
      </c>
      <c r="AI15" t="s">
        <v>545</v>
      </c>
      <c r="AJ15" t="s">
        <v>546</v>
      </c>
      <c r="AK15" t="s">
        <v>547</v>
      </c>
      <c r="AL15" t="s">
        <v>548</v>
      </c>
      <c r="AM15" t="s">
        <v>549</v>
      </c>
      <c r="AN15" t="s">
        <v>550</v>
      </c>
      <c r="AO15" t="s">
        <v>55</v>
      </c>
      <c r="AP15" t="s">
        <v>551</v>
      </c>
      <c r="AQ15" t="s">
        <v>552</v>
      </c>
      <c r="AR15" t="s">
        <v>553</v>
      </c>
      <c r="AS15" t="s">
        <v>554</v>
      </c>
      <c r="AT15" t="s">
        <v>555</v>
      </c>
      <c r="AU15" t="s">
        <v>556</v>
      </c>
      <c r="AV15" t="s">
        <v>557</v>
      </c>
      <c r="AW15" t="s">
        <v>560</v>
      </c>
      <c r="AX15" t="s">
        <v>558</v>
      </c>
      <c r="AY15" t="s">
        <v>559</v>
      </c>
      <c r="AZ15" t="s">
        <v>568</v>
      </c>
      <c r="BA15" t="s">
        <v>562</v>
      </c>
      <c r="BB15" t="s">
        <v>563</v>
      </c>
      <c r="BC15" t="s">
        <v>564</v>
      </c>
      <c r="BD15" t="s">
        <v>522</v>
      </c>
      <c r="BE15" t="s">
        <v>524</v>
      </c>
      <c r="BF15" t="s">
        <v>523</v>
      </c>
      <c r="BG15" t="s">
        <v>567</v>
      </c>
      <c r="BH15" t="s">
        <v>565</v>
      </c>
      <c r="BI15" t="s">
        <v>566</v>
      </c>
      <c r="BJ15" t="s">
        <v>159</v>
      </c>
      <c r="BK15" t="s">
        <v>160</v>
      </c>
      <c r="BL15" t="s">
        <v>168</v>
      </c>
    </row>
    <row r="16" spans="1:64" x14ac:dyDescent="0.2">
      <c r="A16" t="s">
        <v>570</v>
      </c>
      <c r="B16" t="s">
        <v>114</v>
      </c>
      <c r="C16" t="s">
        <v>1174</v>
      </c>
      <c r="D16" t="s">
        <v>114</v>
      </c>
      <c r="I16" t="s">
        <v>116</v>
      </c>
      <c r="K16" t="s">
        <v>848</v>
      </c>
      <c r="M16" t="s">
        <v>121</v>
      </c>
      <c r="N16" t="s">
        <v>109</v>
      </c>
      <c r="O16" t="s">
        <v>113</v>
      </c>
      <c r="S16" t="s">
        <v>154</v>
      </c>
      <c r="T16" t="s">
        <v>845</v>
      </c>
      <c r="U16" t="s">
        <v>437</v>
      </c>
      <c r="V16" t="s">
        <v>55</v>
      </c>
      <c r="W16" t="s">
        <v>155</v>
      </c>
      <c r="X16" t="s">
        <v>156</v>
      </c>
      <c r="Y16" t="s">
        <v>438</v>
      </c>
      <c r="Z16" t="s">
        <v>157</v>
      </c>
      <c r="AB16" t="s">
        <v>158</v>
      </c>
      <c r="AC16" t="s">
        <v>439</v>
      </c>
      <c r="AD16" t="s">
        <v>338</v>
      </c>
      <c r="AE16" t="s">
        <v>541</v>
      </c>
      <c r="AF16" t="s">
        <v>542</v>
      </c>
      <c r="AG16" t="s">
        <v>543</v>
      </c>
      <c r="AH16" t="s">
        <v>544</v>
      </c>
      <c r="AI16" t="s">
        <v>545</v>
      </c>
      <c r="AJ16" t="s">
        <v>546</v>
      </c>
      <c r="AK16" t="s">
        <v>547</v>
      </c>
      <c r="AL16" t="s">
        <v>548</v>
      </c>
      <c r="AM16" t="s">
        <v>549</v>
      </c>
      <c r="AN16" t="s">
        <v>550</v>
      </c>
      <c r="AO16" t="s">
        <v>55</v>
      </c>
      <c r="AP16" t="s">
        <v>551</v>
      </c>
      <c r="AQ16" t="s">
        <v>552</v>
      </c>
      <c r="AR16" t="s">
        <v>553</v>
      </c>
      <c r="AS16" t="s">
        <v>554</v>
      </c>
      <c r="AT16" t="s">
        <v>555</v>
      </c>
      <c r="AU16" t="s">
        <v>556</v>
      </c>
      <c r="AV16" t="s">
        <v>557</v>
      </c>
      <c r="AW16" t="s">
        <v>560</v>
      </c>
      <c r="AX16" t="s">
        <v>558</v>
      </c>
      <c r="AY16" t="s">
        <v>559</v>
      </c>
      <c r="AZ16" t="s">
        <v>568</v>
      </c>
      <c r="BA16" t="s">
        <v>562</v>
      </c>
      <c r="BB16" t="s">
        <v>563</v>
      </c>
      <c r="BC16" t="s">
        <v>564</v>
      </c>
      <c r="BD16" t="s">
        <v>522</v>
      </c>
      <c r="BE16" t="s">
        <v>524</v>
      </c>
      <c r="BF16" t="s">
        <v>523</v>
      </c>
      <c r="BG16" t="s">
        <v>567</v>
      </c>
      <c r="BH16" t="s">
        <v>565</v>
      </c>
      <c r="BI16" t="s">
        <v>566</v>
      </c>
      <c r="BJ16" t="s">
        <v>159</v>
      </c>
      <c r="BK16" t="s">
        <v>160</v>
      </c>
      <c r="BL16" t="s">
        <v>168</v>
      </c>
    </row>
    <row r="17" spans="1:64" x14ac:dyDescent="0.2">
      <c r="A17" t="s">
        <v>571</v>
      </c>
      <c r="B17" t="s">
        <v>114</v>
      </c>
      <c r="C17" t="s">
        <v>1174</v>
      </c>
      <c r="D17" t="s">
        <v>114</v>
      </c>
      <c r="I17" t="s">
        <v>116</v>
      </c>
      <c r="K17" t="s">
        <v>848</v>
      </c>
      <c r="M17" t="s">
        <v>121</v>
      </c>
      <c r="N17" t="s">
        <v>109</v>
      </c>
      <c r="O17" t="s">
        <v>113</v>
      </c>
      <c r="S17" t="s">
        <v>154</v>
      </c>
      <c r="T17" t="s">
        <v>845</v>
      </c>
      <c r="U17" t="s">
        <v>437</v>
      </c>
      <c r="V17" t="s">
        <v>55</v>
      </c>
      <c r="W17" t="s">
        <v>155</v>
      </c>
      <c r="X17" t="s">
        <v>156</v>
      </c>
      <c r="Y17" t="s">
        <v>438</v>
      </c>
      <c r="Z17" t="s">
        <v>157</v>
      </c>
      <c r="AB17" t="s">
        <v>158</v>
      </c>
      <c r="AC17" t="s">
        <v>439</v>
      </c>
      <c r="AD17" t="s">
        <v>338</v>
      </c>
      <c r="AE17" t="s">
        <v>541</v>
      </c>
      <c r="AF17" t="s">
        <v>542</v>
      </c>
      <c r="AG17" t="s">
        <v>543</v>
      </c>
      <c r="AH17" t="s">
        <v>544</v>
      </c>
      <c r="AI17" t="s">
        <v>545</v>
      </c>
      <c r="AJ17" t="s">
        <v>546</v>
      </c>
      <c r="AK17" t="s">
        <v>547</v>
      </c>
      <c r="AL17" t="s">
        <v>548</v>
      </c>
      <c r="AM17" t="s">
        <v>549</v>
      </c>
      <c r="AN17" t="s">
        <v>550</v>
      </c>
      <c r="AO17" t="s">
        <v>55</v>
      </c>
      <c r="AP17" t="s">
        <v>551</v>
      </c>
      <c r="AQ17" t="s">
        <v>552</v>
      </c>
      <c r="AR17" t="s">
        <v>553</v>
      </c>
      <c r="AS17" t="s">
        <v>554</v>
      </c>
      <c r="AT17" t="s">
        <v>555</v>
      </c>
      <c r="AU17" t="s">
        <v>556</v>
      </c>
      <c r="AV17" t="s">
        <v>557</v>
      </c>
      <c r="AW17" t="s">
        <v>560</v>
      </c>
      <c r="AX17" t="s">
        <v>558</v>
      </c>
      <c r="AY17" t="s">
        <v>559</v>
      </c>
      <c r="AZ17" t="s">
        <v>568</v>
      </c>
      <c r="BA17" t="s">
        <v>562</v>
      </c>
      <c r="BB17" t="s">
        <v>563</v>
      </c>
      <c r="BC17" t="s">
        <v>564</v>
      </c>
      <c r="BD17" t="s">
        <v>522</v>
      </c>
      <c r="BE17" t="s">
        <v>524</v>
      </c>
      <c r="BF17" t="s">
        <v>523</v>
      </c>
      <c r="BG17" t="s">
        <v>567</v>
      </c>
      <c r="BH17" t="s">
        <v>565</v>
      </c>
      <c r="BI17" t="s">
        <v>566</v>
      </c>
      <c r="BJ17" t="s">
        <v>159</v>
      </c>
      <c r="BK17" t="s">
        <v>160</v>
      </c>
      <c r="BL17" t="s">
        <v>168</v>
      </c>
    </row>
    <row r="18" spans="1:64" x14ac:dyDescent="0.2">
      <c r="A18" t="s">
        <v>572</v>
      </c>
      <c r="B18" t="s">
        <v>114</v>
      </c>
      <c r="C18" t="s">
        <v>1174</v>
      </c>
      <c r="D18" t="s">
        <v>114</v>
      </c>
      <c r="I18" t="s">
        <v>116</v>
      </c>
      <c r="K18" t="s">
        <v>848</v>
      </c>
      <c r="M18" t="s">
        <v>121</v>
      </c>
      <c r="N18" t="s">
        <v>109</v>
      </c>
      <c r="O18" t="s">
        <v>113</v>
      </c>
      <c r="S18" t="s">
        <v>154</v>
      </c>
      <c r="T18" t="s">
        <v>845</v>
      </c>
      <c r="U18" t="s">
        <v>437</v>
      </c>
      <c r="V18" t="s">
        <v>55</v>
      </c>
      <c r="W18" t="s">
        <v>155</v>
      </c>
      <c r="X18" t="s">
        <v>156</v>
      </c>
      <c r="Y18" t="s">
        <v>438</v>
      </c>
      <c r="Z18" t="s">
        <v>157</v>
      </c>
      <c r="AB18" t="s">
        <v>158</v>
      </c>
      <c r="AC18" t="s">
        <v>439</v>
      </c>
      <c r="AD18" t="s">
        <v>338</v>
      </c>
      <c r="AE18" t="s">
        <v>541</v>
      </c>
      <c r="AF18" t="s">
        <v>542</v>
      </c>
      <c r="AG18" t="s">
        <v>543</v>
      </c>
      <c r="AH18" t="s">
        <v>544</v>
      </c>
      <c r="AI18" t="s">
        <v>545</v>
      </c>
      <c r="AJ18" t="s">
        <v>546</v>
      </c>
      <c r="AK18" t="s">
        <v>547</v>
      </c>
      <c r="AL18" t="s">
        <v>548</v>
      </c>
      <c r="AM18" t="s">
        <v>549</v>
      </c>
      <c r="AN18" t="s">
        <v>550</v>
      </c>
      <c r="AO18" t="s">
        <v>55</v>
      </c>
      <c r="AP18" t="s">
        <v>551</v>
      </c>
      <c r="AQ18" t="s">
        <v>552</v>
      </c>
      <c r="AR18" t="s">
        <v>553</v>
      </c>
      <c r="AS18" t="s">
        <v>554</v>
      </c>
      <c r="AT18" t="s">
        <v>555</v>
      </c>
      <c r="AU18" t="s">
        <v>556</v>
      </c>
      <c r="AV18" t="s">
        <v>557</v>
      </c>
      <c r="AW18" t="s">
        <v>560</v>
      </c>
      <c r="AX18" t="s">
        <v>558</v>
      </c>
      <c r="AY18" t="s">
        <v>559</v>
      </c>
      <c r="AZ18" t="s">
        <v>568</v>
      </c>
      <c r="BA18" t="s">
        <v>562</v>
      </c>
      <c r="BB18" t="s">
        <v>563</v>
      </c>
      <c r="BC18" t="s">
        <v>564</v>
      </c>
      <c r="BD18" t="s">
        <v>522</v>
      </c>
      <c r="BE18" t="s">
        <v>524</v>
      </c>
      <c r="BF18" t="s">
        <v>523</v>
      </c>
      <c r="BG18" t="s">
        <v>567</v>
      </c>
      <c r="BH18" t="s">
        <v>565</v>
      </c>
      <c r="BI18" t="s">
        <v>566</v>
      </c>
      <c r="BJ18" t="s">
        <v>159</v>
      </c>
      <c r="BK18" t="s">
        <v>160</v>
      </c>
      <c r="BL18" t="s">
        <v>168</v>
      </c>
    </row>
    <row r="19" spans="1:64" x14ac:dyDescent="0.2">
      <c r="A19" t="s">
        <v>608</v>
      </c>
      <c r="B19" t="s">
        <v>191</v>
      </c>
      <c r="C19" t="s">
        <v>1174</v>
      </c>
      <c r="D19" t="s">
        <v>191</v>
      </c>
      <c r="E19" t="s">
        <v>190</v>
      </c>
      <c r="F19" t="s">
        <v>1169</v>
      </c>
      <c r="G19" t="s">
        <v>97</v>
      </c>
      <c r="J19" t="s">
        <v>189</v>
      </c>
      <c r="L19" t="s">
        <v>100</v>
      </c>
      <c r="M19" t="s">
        <v>192</v>
      </c>
      <c r="N19" t="s">
        <v>109</v>
      </c>
      <c r="O19" t="s">
        <v>113</v>
      </c>
      <c r="P19" t="s">
        <v>153</v>
      </c>
      <c r="Q19" t="s">
        <v>153</v>
      </c>
      <c r="R19" t="s">
        <v>147</v>
      </c>
      <c r="S19" t="s">
        <v>154</v>
      </c>
      <c r="T19" t="s">
        <v>845</v>
      </c>
      <c r="U19" t="s">
        <v>437</v>
      </c>
      <c r="V19" t="s">
        <v>55</v>
      </c>
      <c r="W19" t="s">
        <v>155</v>
      </c>
      <c r="X19" t="s">
        <v>156</v>
      </c>
      <c r="Y19" t="s">
        <v>438</v>
      </c>
      <c r="Z19" t="s">
        <v>157</v>
      </c>
      <c r="AB19" t="s">
        <v>158</v>
      </c>
      <c r="AC19" t="s">
        <v>439</v>
      </c>
      <c r="AD19" t="s">
        <v>338</v>
      </c>
      <c r="AE19" t="s">
        <v>541</v>
      </c>
      <c r="AF19" t="s">
        <v>542</v>
      </c>
      <c r="AG19" t="s">
        <v>543</v>
      </c>
      <c r="AH19" t="s">
        <v>544</v>
      </c>
      <c r="AI19" t="s">
        <v>545</v>
      </c>
      <c r="AJ19" t="s">
        <v>546</v>
      </c>
      <c r="AK19" t="s">
        <v>547</v>
      </c>
      <c r="AL19" t="s">
        <v>548</v>
      </c>
      <c r="AM19" t="s">
        <v>549</v>
      </c>
      <c r="AN19" t="s">
        <v>550</v>
      </c>
      <c r="AO19" t="s">
        <v>55</v>
      </c>
      <c r="AP19" t="s">
        <v>551</v>
      </c>
      <c r="AQ19" t="s">
        <v>552</v>
      </c>
      <c r="AR19" t="s">
        <v>553</v>
      </c>
      <c r="AS19" t="s">
        <v>554</v>
      </c>
      <c r="AT19" t="s">
        <v>555</v>
      </c>
      <c r="AU19" t="s">
        <v>556</v>
      </c>
      <c r="AV19" t="s">
        <v>557</v>
      </c>
      <c r="AW19" t="s">
        <v>560</v>
      </c>
      <c r="AX19" t="s">
        <v>558</v>
      </c>
      <c r="AY19" t="s">
        <v>559</v>
      </c>
      <c r="AZ19" t="s">
        <v>568</v>
      </c>
      <c r="BA19" t="s">
        <v>562</v>
      </c>
      <c r="BB19" t="s">
        <v>563</v>
      </c>
      <c r="BC19" t="s">
        <v>564</v>
      </c>
      <c r="BD19" t="s">
        <v>522</v>
      </c>
      <c r="BE19" t="s">
        <v>524</v>
      </c>
      <c r="BF19" t="s">
        <v>523</v>
      </c>
      <c r="BG19" t="s">
        <v>567</v>
      </c>
      <c r="BH19" t="s">
        <v>565</v>
      </c>
      <c r="BI19" t="s">
        <v>566</v>
      </c>
      <c r="BJ19" t="s">
        <v>159</v>
      </c>
      <c r="BK19" t="s">
        <v>160</v>
      </c>
      <c r="BL19" t="s">
        <v>168</v>
      </c>
    </row>
    <row r="20" spans="1:64" x14ac:dyDescent="0.2">
      <c r="A20" t="s">
        <v>569</v>
      </c>
      <c r="B20" t="s">
        <v>191</v>
      </c>
      <c r="C20" t="s">
        <v>1174</v>
      </c>
      <c r="D20" t="s">
        <v>191</v>
      </c>
      <c r="E20" t="s">
        <v>190</v>
      </c>
      <c r="F20" t="s">
        <v>1169</v>
      </c>
      <c r="G20" t="s">
        <v>97</v>
      </c>
      <c r="J20" t="s">
        <v>189</v>
      </c>
      <c r="L20" t="s">
        <v>100</v>
      </c>
      <c r="M20" t="s">
        <v>192</v>
      </c>
      <c r="N20" t="s">
        <v>109</v>
      </c>
      <c r="O20" t="s">
        <v>113</v>
      </c>
      <c r="P20" t="s">
        <v>153</v>
      </c>
      <c r="Q20" t="s">
        <v>153</v>
      </c>
      <c r="R20" t="s">
        <v>147</v>
      </c>
      <c r="S20" t="s">
        <v>154</v>
      </c>
      <c r="T20" t="s">
        <v>845</v>
      </c>
      <c r="U20" t="s">
        <v>437</v>
      </c>
      <c r="V20" t="s">
        <v>55</v>
      </c>
      <c r="W20" t="s">
        <v>155</v>
      </c>
      <c r="X20" t="s">
        <v>156</v>
      </c>
      <c r="Y20" t="s">
        <v>438</v>
      </c>
      <c r="Z20" t="s">
        <v>157</v>
      </c>
      <c r="AB20" t="s">
        <v>158</v>
      </c>
      <c r="AC20" t="s">
        <v>439</v>
      </c>
      <c r="AD20" t="s">
        <v>338</v>
      </c>
      <c r="AE20" t="s">
        <v>541</v>
      </c>
      <c r="AF20" t="s">
        <v>542</v>
      </c>
      <c r="AG20" t="s">
        <v>543</v>
      </c>
      <c r="AH20" t="s">
        <v>544</v>
      </c>
      <c r="AI20" t="s">
        <v>545</v>
      </c>
      <c r="AJ20" t="s">
        <v>546</v>
      </c>
      <c r="AK20" t="s">
        <v>547</v>
      </c>
      <c r="AL20" t="s">
        <v>548</v>
      </c>
      <c r="AM20" t="s">
        <v>549</v>
      </c>
      <c r="AN20" t="s">
        <v>550</v>
      </c>
      <c r="AO20" t="s">
        <v>55</v>
      </c>
      <c r="AP20" t="s">
        <v>551</v>
      </c>
      <c r="AQ20" t="s">
        <v>552</v>
      </c>
      <c r="AR20" t="s">
        <v>553</v>
      </c>
      <c r="AS20" t="s">
        <v>554</v>
      </c>
      <c r="AT20" t="s">
        <v>555</v>
      </c>
      <c r="AU20" t="s">
        <v>556</v>
      </c>
      <c r="AV20" t="s">
        <v>557</v>
      </c>
      <c r="AW20" t="s">
        <v>560</v>
      </c>
      <c r="AX20" t="s">
        <v>558</v>
      </c>
      <c r="AY20" t="s">
        <v>559</v>
      </c>
      <c r="AZ20" t="s">
        <v>568</v>
      </c>
      <c r="BA20" t="s">
        <v>562</v>
      </c>
      <c r="BB20" t="s">
        <v>563</v>
      </c>
      <c r="BC20" t="s">
        <v>564</v>
      </c>
      <c r="BD20" t="s">
        <v>522</v>
      </c>
      <c r="BE20" t="s">
        <v>524</v>
      </c>
      <c r="BF20" t="s">
        <v>523</v>
      </c>
      <c r="BG20" t="s">
        <v>567</v>
      </c>
      <c r="BH20" t="s">
        <v>565</v>
      </c>
      <c r="BI20" t="s">
        <v>566</v>
      </c>
      <c r="BJ20" t="s">
        <v>159</v>
      </c>
      <c r="BK20" t="s">
        <v>160</v>
      </c>
      <c r="BL20" t="s">
        <v>168</v>
      </c>
    </row>
    <row r="21" spans="1:64" x14ac:dyDescent="0.2">
      <c r="A21" t="s">
        <v>638</v>
      </c>
      <c r="B21" t="s">
        <v>114</v>
      </c>
      <c r="C21" t="s">
        <v>1174</v>
      </c>
      <c r="D21" t="s">
        <v>114</v>
      </c>
      <c r="I21" t="s">
        <v>116</v>
      </c>
      <c r="K21" t="s">
        <v>848</v>
      </c>
      <c r="M21" t="s">
        <v>121</v>
      </c>
      <c r="N21" t="s">
        <v>109</v>
      </c>
      <c r="O21" t="s">
        <v>113</v>
      </c>
      <c r="S21" t="s">
        <v>154</v>
      </c>
      <c r="T21" t="s">
        <v>845</v>
      </c>
      <c r="U21" t="s">
        <v>437</v>
      </c>
      <c r="V21" t="s">
        <v>55</v>
      </c>
      <c r="W21" t="s">
        <v>155</v>
      </c>
      <c r="X21" t="s">
        <v>156</v>
      </c>
      <c r="Y21" t="s">
        <v>438</v>
      </c>
      <c r="Z21" t="s">
        <v>157</v>
      </c>
      <c r="AB21" t="s">
        <v>158</v>
      </c>
      <c r="AC21" t="s">
        <v>439</v>
      </c>
      <c r="AD21" t="s">
        <v>338</v>
      </c>
      <c r="AE21" t="s">
        <v>541</v>
      </c>
      <c r="AF21" t="s">
        <v>542</v>
      </c>
      <c r="AG21" t="s">
        <v>543</v>
      </c>
      <c r="AH21" t="s">
        <v>544</v>
      </c>
      <c r="AI21" t="s">
        <v>545</v>
      </c>
      <c r="AJ21" t="s">
        <v>546</v>
      </c>
      <c r="AK21" t="s">
        <v>547</v>
      </c>
      <c r="AL21" t="s">
        <v>548</v>
      </c>
      <c r="AM21" t="s">
        <v>549</v>
      </c>
      <c r="AN21" t="s">
        <v>550</v>
      </c>
      <c r="AO21" t="s">
        <v>55</v>
      </c>
      <c r="AP21" t="s">
        <v>551</v>
      </c>
      <c r="AQ21" t="s">
        <v>552</v>
      </c>
      <c r="AR21" t="s">
        <v>553</v>
      </c>
      <c r="AS21" t="s">
        <v>554</v>
      </c>
      <c r="AT21" t="s">
        <v>555</v>
      </c>
      <c r="AU21" t="s">
        <v>556</v>
      </c>
      <c r="AV21" t="s">
        <v>557</v>
      </c>
      <c r="AW21" t="s">
        <v>560</v>
      </c>
      <c r="AX21" t="s">
        <v>558</v>
      </c>
      <c r="AY21" t="s">
        <v>559</v>
      </c>
      <c r="AZ21" t="s">
        <v>568</v>
      </c>
      <c r="BA21" t="s">
        <v>562</v>
      </c>
      <c r="BB21" t="s">
        <v>563</v>
      </c>
      <c r="BC21" t="s">
        <v>564</v>
      </c>
      <c r="BD21" t="s">
        <v>522</v>
      </c>
      <c r="BE21" t="s">
        <v>524</v>
      </c>
      <c r="BF21" t="s">
        <v>523</v>
      </c>
      <c r="BG21" t="s">
        <v>567</v>
      </c>
      <c r="BH21" t="s">
        <v>565</v>
      </c>
      <c r="BI21" t="s">
        <v>566</v>
      </c>
      <c r="BJ21" t="s">
        <v>159</v>
      </c>
      <c r="BK21" t="s">
        <v>160</v>
      </c>
      <c r="BL21" t="s">
        <v>168</v>
      </c>
    </row>
    <row r="22" spans="1:64" x14ac:dyDescent="0.2">
      <c r="A22" t="s">
        <v>639</v>
      </c>
      <c r="B22" t="s">
        <v>114</v>
      </c>
      <c r="C22" t="s">
        <v>1174</v>
      </c>
      <c r="D22" t="s">
        <v>114</v>
      </c>
      <c r="I22" t="s">
        <v>116</v>
      </c>
      <c r="K22" t="s">
        <v>848</v>
      </c>
      <c r="M22" t="s">
        <v>121</v>
      </c>
      <c r="N22" t="s">
        <v>109</v>
      </c>
      <c r="O22" t="s">
        <v>113</v>
      </c>
      <c r="S22" t="s">
        <v>154</v>
      </c>
      <c r="T22" t="s">
        <v>845</v>
      </c>
      <c r="U22" t="s">
        <v>437</v>
      </c>
      <c r="V22" t="s">
        <v>55</v>
      </c>
      <c r="W22" t="s">
        <v>155</v>
      </c>
      <c r="X22" t="s">
        <v>156</v>
      </c>
      <c r="Y22" t="s">
        <v>438</v>
      </c>
      <c r="Z22" t="s">
        <v>157</v>
      </c>
      <c r="AB22" t="s">
        <v>158</v>
      </c>
      <c r="AC22" t="s">
        <v>439</v>
      </c>
      <c r="AD22" t="s">
        <v>338</v>
      </c>
      <c r="AE22" t="s">
        <v>541</v>
      </c>
      <c r="AF22" t="s">
        <v>542</v>
      </c>
      <c r="AG22" t="s">
        <v>543</v>
      </c>
      <c r="AH22" t="s">
        <v>544</v>
      </c>
      <c r="AI22" t="s">
        <v>545</v>
      </c>
      <c r="AJ22" t="s">
        <v>546</v>
      </c>
      <c r="AK22" t="s">
        <v>547</v>
      </c>
      <c r="AL22" t="s">
        <v>548</v>
      </c>
      <c r="AM22" t="s">
        <v>549</v>
      </c>
      <c r="AN22" t="s">
        <v>550</v>
      </c>
      <c r="AO22" t="s">
        <v>55</v>
      </c>
      <c r="AP22" t="s">
        <v>551</v>
      </c>
      <c r="AQ22" t="s">
        <v>552</v>
      </c>
      <c r="AR22" t="s">
        <v>553</v>
      </c>
      <c r="AS22" t="s">
        <v>554</v>
      </c>
      <c r="AT22" t="s">
        <v>555</v>
      </c>
      <c r="AU22" t="s">
        <v>556</v>
      </c>
      <c r="AV22" t="s">
        <v>557</v>
      </c>
      <c r="AW22" t="s">
        <v>560</v>
      </c>
      <c r="AX22" t="s">
        <v>558</v>
      </c>
      <c r="AY22" t="s">
        <v>559</v>
      </c>
      <c r="AZ22" t="s">
        <v>568</v>
      </c>
      <c r="BA22" t="s">
        <v>562</v>
      </c>
      <c r="BB22" t="s">
        <v>563</v>
      </c>
      <c r="BC22" t="s">
        <v>564</v>
      </c>
      <c r="BD22" t="s">
        <v>522</v>
      </c>
      <c r="BE22" t="s">
        <v>524</v>
      </c>
      <c r="BF22" t="s">
        <v>523</v>
      </c>
      <c r="BG22" t="s">
        <v>567</v>
      </c>
      <c r="BH22" t="s">
        <v>565</v>
      </c>
      <c r="BI22" t="s">
        <v>566</v>
      </c>
      <c r="BJ22" t="s">
        <v>159</v>
      </c>
      <c r="BK22" t="s">
        <v>160</v>
      </c>
      <c r="BL22" t="s">
        <v>168</v>
      </c>
    </row>
    <row r="23" spans="1:64" x14ac:dyDescent="0.2">
      <c r="A23" t="s">
        <v>640</v>
      </c>
      <c r="B23" t="s">
        <v>114</v>
      </c>
      <c r="C23" t="s">
        <v>1174</v>
      </c>
      <c r="D23" t="s">
        <v>114</v>
      </c>
      <c r="I23" t="s">
        <v>116</v>
      </c>
      <c r="K23" t="s">
        <v>848</v>
      </c>
      <c r="M23" t="s">
        <v>121</v>
      </c>
      <c r="N23" t="s">
        <v>109</v>
      </c>
      <c r="O23" t="s">
        <v>113</v>
      </c>
      <c r="S23" t="s">
        <v>154</v>
      </c>
      <c r="T23" t="s">
        <v>845</v>
      </c>
      <c r="U23" t="s">
        <v>437</v>
      </c>
      <c r="V23" t="s">
        <v>55</v>
      </c>
      <c r="W23" t="s">
        <v>155</v>
      </c>
      <c r="X23" t="s">
        <v>156</v>
      </c>
      <c r="Y23" t="s">
        <v>438</v>
      </c>
      <c r="Z23" t="s">
        <v>157</v>
      </c>
      <c r="AB23" t="s">
        <v>158</v>
      </c>
      <c r="AC23" t="s">
        <v>439</v>
      </c>
      <c r="AD23" t="s">
        <v>338</v>
      </c>
      <c r="AE23" t="s">
        <v>541</v>
      </c>
      <c r="AF23" t="s">
        <v>542</v>
      </c>
      <c r="AG23" t="s">
        <v>543</v>
      </c>
      <c r="AH23" t="s">
        <v>544</v>
      </c>
      <c r="AI23" t="s">
        <v>545</v>
      </c>
      <c r="AJ23" t="s">
        <v>546</v>
      </c>
      <c r="AK23" t="s">
        <v>547</v>
      </c>
      <c r="AL23" t="s">
        <v>548</v>
      </c>
      <c r="AM23" t="s">
        <v>549</v>
      </c>
      <c r="AN23" t="s">
        <v>550</v>
      </c>
      <c r="AO23" t="s">
        <v>55</v>
      </c>
      <c r="AP23" t="s">
        <v>551</v>
      </c>
      <c r="AQ23" t="s">
        <v>552</v>
      </c>
      <c r="AR23" t="s">
        <v>553</v>
      </c>
      <c r="AS23" t="s">
        <v>554</v>
      </c>
      <c r="AT23" t="s">
        <v>555</v>
      </c>
      <c r="AU23" t="s">
        <v>556</v>
      </c>
      <c r="AV23" t="s">
        <v>557</v>
      </c>
      <c r="AW23" t="s">
        <v>560</v>
      </c>
      <c r="AX23" t="s">
        <v>558</v>
      </c>
      <c r="AY23" t="s">
        <v>559</v>
      </c>
      <c r="AZ23" t="s">
        <v>568</v>
      </c>
      <c r="BA23" t="s">
        <v>562</v>
      </c>
      <c r="BB23" t="s">
        <v>563</v>
      </c>
      <c r="BC23" t="s">
        <v>564</v>
      </c>
      <c r="BD23" t="s">
        <v>522</v>
      </c>
      <c r="BE23" t="s">
        <v>524</v>
      </c>
      <c r="BF23" t="s">
        <v>523</v>
      </c>
      <c r="BG23" t="s">
        <v>567</v>
      </c>
      <c r="BH23" t="s">
        <v>565</v>
      </c>
      <c r="BI23" t="s">
        <v>566</v>
      </c>
      <c r="BJ23" t="s">
        <v>159</v>
      </c>
      <c r="BK23" t="s">
        <v>160</v>
      </c>
      <c r="BL23" t="s">
        <v>168</v>
      </c>
    </row>
    <row r="24" spans="1:64" x14ac:dyDescent="0.2">
      <c r="A24" t="s">
        <v>620</v>
      </c>
      <c r="B24" t="s">
        <v>114</v>
      </c>
      <c r="C24" t="s">
        <v>1174</v>
      </c>
      <c r="D24" t="s">
        <v>114</v>
      </c>
      <c r="I24" t="s">
        <v>116</v>
      </c>
      <c r="K24" t="s">
        <v>848</v>
      </c>
      <c r="M24" t="s">
        <v>121</v>
      </c>
      <c r="N24" t="s">
        <v>109</v>
      </c>
      <c r="O24" t="s">
        <v>113</v>
      </c>
      <c r="S24" t="s">
        <v>154</v>
      </c>
      <c r="T24" t="s">
        <v>845</v>
      </c>
      <c r="U24" t="s">
        <v>437</v>
      </c>
      <c r="V24" t="s">
        <v>55</v>
      </c>
      <c r="W24" t="s">
        <v>155</v>
      </c>
      <c r="X24" t="s">
        <v>156</v>
      </c>
      <c r="Y24" t="s">
        <v>438</v>
      </c>
      <c r="Z24" t="s">
        <v>157</v>
      </c>
      <c r="AB24" t="s">
        <v>158</v>
      </c>
      <c r="AC24" t="s">
        <v>439</v>
      </c>
      <c r="AD24" t="s">
        <v>338</v>
      </c>
      <c r="AE24" t="s">
        <v>541</v>
      </c>
      <c r="AF24" t="s">
        <v>542</v>
      </c>
      <c r="AG24" t="s">
        <v>543</v>
      </c>
      <c r="AH24" t="s">
        <v>544</v>
      </c>
      <c r="AI24" t="s">
        <v>545</v>
      </c>
      <c r="AJ24" t="s">
        <v>546</v>
      </c>
      <c r="AK24" t="s">
        <v>547</v>
      </c>
      <c r="AL24" t="s">
        <v>548</v>
      </c>
      <c r="AM24" t="s">
        <v>549</v>
      </c>
      <c r="AN24" t="s">
        <v>550</v>
      </c>
      <c r="AO24" t="s">
        <v>55</v>
      </c>
      <c r="AP24" t="s">
        <v>551</v>
      </c>
      <c r="AQ24" t="s">
        <v>552</v>
      </c>
      <c r="AR24" t="s">
        <v>553</v>
      </c>
      <c r="AS24" t="s">
        <v>554</v>
      </c>
      <c r="AT24" t="s">
        <v>555</v>
      </c>
      <c r="AU24" t="s">
        <v>556</v>
      </c>
      <c r="AV24" t="s">
        <v>557</v>
      </c>
      <c r="AW24" t="s">
        <v>560</v>
      </c>
      <c r="AX24" t="s">
        <v>558</v>
      </c>
      <c r="AY24" t="s">
        <v>559</v>
      </c>
      <c r="AZ24" t="s">
        <v>568</v>
      </c>
      <c r="BA24" t="s">
        <v>562</v>
      </c>
      <c r="BB24" t="s">
        <v>563</v>
      </c>
      <c r="BC24" t="s">
        <v>564</v>
      </c>
      <c r="BD24" t="s">
        <v>522</v>
      </c>
      <c r="BE24" t="s">
        <v>524</v>
      </c>
      <c r="BF24" t="s">
        <v>523</v>
      </c>
      <c r="BG24" t="s">
        <v>567</v>
      </c>
      <c r="BH24" t="s">
        <v>565</v>
      </c>
      <c r="BI24" t="s">
        <v>566</v>
      </c>
      <c r="BJ24" t="s">
        <v>159</v>
      </c>
      <c r="BK24" t="s">
        <v>160</v>
      </c>
      <c r="BL24" t="s">
        <v>168</v>
      </c>
    </row>
    <row r="25" spans="1:64" x14ac:dyDescent="0.2">
      <c r="A25" t="s">
        <v>621</v>
      </c>
      <c r="B25" t="s">
        <v>114</v>
      </c>
      <c r="C25" t="s">
        <v>1174</v>
      </c>
      <c r="D25" t="s">
        <v>114</v>
      </c>
      <c r="I25" t="s">
        <v>116</v>
      </c>
      <c r="K25" t="s">
        <v>848</v>
      </c>
      <c r="M25" t="s">
        <v>121</v>
      </c>
      <c r="N25" t="s">
        <v>109</v>
      </c>
      <c r="O25" t="s">
        <v>113</v>
      </c>
      <c r="S25" t="s">
        <v>154</v>
      </c>
      <c r="T25" t="s">
        <v>845</v>
      </c>
      <c r="U25" t="s">
        <v>437</v>
      </c>
      <c r="V25" t="s">
        <v>55</v>
      </c>
      <c r="W25" t="s">
        <v>155</v>
      </c>
      <c r="X25" t="s">
        <v>156</v>
      </c>
      <c r="Y25" t="s">
        <v>438</v>
      </c>
      <c r="Z25" t="s">
        <v>157</v>
      </c>
      <c r="AB25" t="s">
        <v>158</v>
      </c>
      <c r="AC25" t="s">
        <v>439</v>
      </c>
      <c r="AD25" t="s">
        <v>338</v>
      </c>
      <c r="AE25" t="s">
        <v>541</v>
      </c>
      <c r="AF25" t="s">
        <v>542</v>
      </c>
      <c r="AG25" t="s">
        <v>543</v>
      </c>
      <c r="AH25" t="s">
        <v>544</v>
      </c>
      <c r="AI25" t="s">
        <v>545</v>
      </c>
      <c r="AJ25" t="s">
        <v>546</v>
      </c>
      <c r="AK25" t="s">
        <v>547</v>
      </c>
      <c r="AL25" t="s">
        <v>548</v>
      </c>
      <c r="AM25" t="s">
        <v>549</v>
      </c>
      <c r="AN25" t="s">
        <v>550</v>
      </c>
      <c r="AO25" t="s">
        <v>55</v>
      </c>
      <c r="AP25" t="s">
        <v>551</v>
      </c>
      <c r="AQ25" t="s">
        <v>552</v>
      </c>
      <c r="AR25" t="s">
        <v>553</v>
      </c>
      <c r="AS25" t="s">
        <v>554</v>
      </c>
      <c r="AT25" t="s">
        <v>555</v>
      </c>
      <c r="AU25" t="s">
        <v>556</v>
      </c>
      <c r="AV25" t="s">
        <v>557</v>
      </c>
      <c r="AW25" t="s">
        <v>560</v>
      </c>
      <c r="AX25" t="s">
        <v>558</v>
      </c>
      <c r="AY25" t="s">
        <v>559</v>
      </c>
      <c r="AZ25" t="s">
        <v>568</v>
      </c>
      <c r="BA25" t="s">
        <v>562</v>
      </c>
      <c r="BB25" t="s">
        <v>563</v>
      </c>
      <c r="BC25" t="s">
        <v>564</v>
      </c>
      <c r="BD25" t="s">
        <v>522</v>
      </c>
      <c r="BE25" t="s">
        <v>524</v>
      </c>
      <c r="BF25" t="s">
        <v>523</v>
      </c>
      <c r="BG25" t="s">
        <v>567</v>
      </c>
      <c r="BH25" t="s">
        <v>565</v>
      </c>
      <c r="BI25" t="s">
        <v>566</v>
      </c>
      <c r="BJ25" t="s">
        <v>159</v>
      </c>
      <c r="BK25" t="s">
        <v>160</v>
      </c>
      <c r="BL25" t="s">
        <v>168</v>
      </c>
    </row>
    <row r="26" spans="1:64" x14ac:dyDescent="0.2">
      <c r="A26" t="s">
        <v>622</v>
      </c>
      <c r="B26" t="s">
        <v>114</v>
      </c>
      <c r="C26" t="s">
        <v>1174</v>
      </c>
      <c r="D26" t="s">
        <v>114</v>
      </c>
      <c r="I26" t="s">
        <v>116</v>
      </c>
      <c r="K26" t="s">
        <v>848</v>
      </c>
      <c r="M26" t="s">
        <v>121</v>
      </c>
      <c r="N26" t="s">
        <v>109</v>
      </c>
      <c r="O26" t="s">
        <v>113</v>
      </c>
      <c r="S26" t="s">
        <v>154</v>
      </c>
      <c r="T26" t="s">
        <v>845</v>
      </c>
      <c r="U26" t="s">
        <v>437</v>
      </c>
      <c r="V26" t="s">
        <v>55</v>
      </c>
      <c r="W26" t="s">
        <v>155</v>
      </c>
      <c r="X26" t="s">
        <v>156</v>
      </c>
      <c r="Y26" t="s">
        <v>438</v>
      </c>
      <c r="Z26" t="s">
        <v>157</v>
      </c>
      <c r="AB26" t="s">
        <v>158</v>
      </c>
      <c r="AC26" t="s">
        <v>439</v>
      </c>
      <c r="AD26" t="s">
        <v>338</v>
      </c>
      <c r="AE26" t="s">
        <v>541</v>
      </c>
      <c r="AF26" t="s">
        <v>542</v>
      </c>
      <c r="AG26" t="s">
        <v>543</v>
      </c>
      <c r="AH26" t="s">
        <v>544</v>
      </c>
      <c r="AI26" t="s">
        <v>545</v>
      </c>
      <c r="AJ26" t="s">
        <v>546</v>
      </c>
      <c r="AK26" t="s">
        <v>547</v>
      </c>
      <c r="AL26" t="s">
        <v>548</v>
      </c>
      <c r="AM26" t="s">
        <v>549</v>
      </c>
      <c r="AN26" t="s">
        <v>550</v>
      </c>
      <c r="AO26" t="s">
        <v>55</v>
      </c>
      <c r="AP26" t="s">
        <v>551</v>
      </c>
      <c r="AQ26" t="s">
        <v>552</v>
      </c>
      <c r="AR26" t="s">
        <v>553</v>
      </c>
      <c r="AS26" t="s">
        <v>554</v>
      </c>
      <c r="AT26" t="s">
        <v>555</v>
      </c>
      <c r="AU26" t="s">
        <v>556</v>
      </c>
      <c r="AV26" t="s">
        <v>557</v>
      </c>
      <c r="AW26" t="s">
        <v>560</v>
      </c>
      <c r="AX26" t="s">
        <v>558</v>
      </c>
      <c r="AY26" t="s">
        <v>559</v>
      </c>
      <c r="AZ26" t="s">
        <v>568</v>
      </c>
      <c r="BA26" t="s">
        <v>562</v>
      </c>
      <c r="BB26" t="s">
        <v>563</v>
      </c>
      <c r="BC26" t="s">
        <v>564</v>
      </c>
      <c r="BD26" t="s">
        <v>522</v>
      </c>
      <c r="BE26" t="s">
        <v>524</v>
      </c>
      <c r="BF26" t="s">
        <v>523</v>
      </c>
      <c r="BG26" t="s">
        <v>567</v>
      </c>
      <c r="BH26" t="s">
        <v>565</v>
      </c>
      <c r="BI26" t="s">
        <v>566</v>
      </c>
      <c r="BJ26" t="s">
        <v>159</v>
      </c>
      <c r="BK26" t="s">
        <v>160</v>
      </c>
      <c r="BL26" t="s">
        <v>168</v>
      </c>
    </row>
    <row r="27" spans="1:64" x14ac:dyDescent="0.2">
      <c r="A27" t="s">
        <v>629</v>
      </c>
      <c r="B27" t="s">
        <v>114</v>
      </c>
      <c r="C27" t="s">
        <v>1174</v>
      </c>
      <c r="D27" t="s">
        <v>114</v>
      </c>
      <c r="I27" t="s">
        <v>116</v>
      </c>
      <c r="K27" t="s">
        <v>848</v>
      </c>
      <c r="M27" t="s">
        <v>121</v>
      </c>
      <c r="N27" t="s">
        <v>109</v>
      </c>
      <c r="O27" t="s">
        <v>113</v>
      </c>
      <c r="S27" t="s">
        <v>154</v>
      </c>
      <c r="T27" t="s">
        <v>845</v>
      </c>
      <c r="U27" t="s">
        <v>437</v>
      </c>
      <c r="V27" t="s">
        <v>55</v>
      </c>
      <c r="W27" t="s">
        <v>155</v>
      </c>
      <c r="X27" t="s">
        <v>156</v>
      </c>
      <c r="Y27" t="s">
        <v>438</v>
      </c>
      <c r="Z27" t="s">
        <v>157</v>
      </c>
      <c r="AB27" t="s">
        <v>158</v>
      </c>
      <c r="AC27" t="s">
        <v>439</v>
      </c>
      <c r="AD27" t="s">
        <v>338</v>
      </c>
      <c r="AE27" t="s">
        <v>541</v>
      </c>
      <c r="AF27" t="s">
        <v>542</v>
      </c>
      <c r="AG27" t="s">
        <v>543</v>
      </c>
      <c r="AH27" t="s">
        <v>544</v>
      </c>
      <c r="AI27" t="s">
        <v>545</v>
      </c>
      <c r="AJ27" t="s">
        <v>546</v>
      </c>
      <c r="AK27" t="s">
        <v>547</v>
      </c>
      <c r="AL27" t="s">
        <v>548</v>
      </c>
      <c r="AM27" t="s">
        <v>549</v>
      </c>
      <c r="AN27" t="s">
        <v>550</v>
      </c>
      <c r="AO27" t="s">
        <v>55</v>
      </c>
      <c r="AP27" t="s">
        <v>551</v>
      </c>
      <c r="AQ27" t="s">
        <v>552</v>
      </c>
      <c r="AR27" t="s">
        <v>553</v>
      </c>
      <c r="AS27" t="s">
        <v>554</v>
      </c>
      <c r="AT27" t="s">
        <v>555</v>
      </c>
      <c r="AU27" t="s">
        <v>556</v>
      </c>
      <c r="AV27" t="s">
        <v>557</v>
      </c>
      <c r="AW27" t="s">
        <v>560</v>
      </c>
      <c r="AX27" t="s">
        <v>558</v>
      </c>
      <c r="AY27" t="s">
        <v>559</v>
      </c>
      <c r="AZ27" t="s">
        <v>568</v>
      </c>
      <c r="BA27" t="s">
        <v>562</v>
      </c>
      <c r="BB27" t="s">
        <v>563</v>
      </c>
      <c r="BC27" t="s">
        <v>564</v>
      </c>
      <c r="BD27" t="s">
        <v>522</v>
      </c>
      <c r="BE27" t="s">
        <v>524</v>
      </c>
      <c r="BF27" t="s">
        <v>523</v>
      </c>
      <c r="BG27" t="s">
        <v>567</v>
      </c>
      <c r="BH27" t="s">
        <v>565</v>
      </c>
      <c r="BI27" t="s">
        <v>566</v>
      </c>
      <c r="BJ27" t="s">
        <v>159</v>
      </c>
      <c r="BK27" t="s">
        <v>160</v>
      </c>
      <c r="BL27" t="s">
        <v>168</v>
      </c>
    </row>
    <row r="28" spans="1:64" x14ac:dyDescent="0.2">
      <c r="A28" t="s">
        <v>630</v>
      </c>
      <c r="B28" t="s">
        <v>114</v>
      </c>
      <c r="C28" t="s">
        <v>1174</v>
      </c>
      <c r="D28" t="s">
        <v>114</v>
      </c>
      <c r="I28" t="s">
        <v>116</v>
      </c>
      <c r="K28" t="s">
        <v>848</v>
      </c>
      <c r="M28" t="s">
        <v>121</v>
      </c>
      <c r="N28" t="s">
        <v>109</v>
      </c>
      <c r="O28" t="s">
        <v>113</v>
      </c>
      <c r="S28" t="s">
        <v>154</v>
      </c>
      <c r="T28" t="s">
        <v>845</v>
      </c>
      <c r="U28" t="s">
        <v>437</v>
      </c>
      <c r="V28" t="s">
        <v>55</v>
      </c>
      <c r="W28" t="s">
        <v>155</v>
      </c>
      <c r="X28" t="s">
        <v>156</v>
      </c>
      <c r="Y28" t="s">
        <v>438</v>
      </c>
      <c r="Z28" t="s">
        <v>157</v>
      </c>
      <c r="AB28" t="s">
        <v>158</v>
      </c>
      <c r="AC28" t="s">
        <v>439</v>
      </c>
      <c r="AD28" t="s">
        <v>338</v>
      </c>
      <c r="AE28" t="s">
        <v>541</v>
      </c>
      <c r="AF28" t="s">
        <v>542</v>
      </c>
      <c r="AG28" t="s">
        <v>543</v>
      </c>
      <c r="AH28" t="s">
        <v>544</v>
      </c>
      <c r="AI28" t="s">
        <v>545</v>
      </c>
      <c r="AJ28" t="s">
        <v>546</v>
      </c>
      <c r="AK28" t="s">
        <v>547</v>
      </c>
      <c r="AL28" t="s">
        <v>548</v>
      </c>
      <c r="AM28" t="s">
        <v>549</v>
      </c>
      <c r="AN28" t="s">
        <v>550</v>
      </c>
      <c r="AO28" t="s">
        <v>55</v>
      </c>
      <c r="AP28" t="s">
        <v>551</v>
      </c>
      <c r="AQ28" t="s">
        <v>552</v>
      </c>
      <c r="AR28" t="s">
        <v>553</v>
      </c>
      <c r="AS28" t="s">
        <v>554</v>
      </c>
      <c r="AT28" t="s">
        <v>555</v>
      </c>
      <c r="AU28" t="s">
        <v>556</v>
      </c>
      <c r="AV28" t="s">
        <v>557</v>
      </c>
      <c r="AW28" t="s">
        <v>560</v>
      </c>
      <c r="AX28" t="s">
        <v>558</v>
      </c>
      <c r="AY28" t="s">
        <v>559</v>
      </c>
      <c r="AZ28" t="s">
        <v>568</v>
      </c>
      <c r="BA28" t="s">
        <v>562</v>
      </c>
      <c r="BB28" t="s">
        <v>563</v>
      </c>
      <c r="BC28" t="s">
        <v>564</v>
      </c>
      <c r="BD28" t="s">
        <v>522</v>
      </c>
      <c r="BE28" t="s">
        <v>524</v>
      </c>
      <c r="BF28" t="s">
        <v>523</v>
      </c>
      <c r="BG28" t="s">
        <v>567</v>
      </c>
      <c r="BH28" t="s">
        <v>565</v>
      </c>
      <c r="BI28" t="s">
        <v>566</v>
      </c>
      <c r="BJ28" t="s">
        <v>159</v>
      </c>
      <c r="BK28" t="s">
        <v>160</v>
      </c>
      <c r="BL28" t="s">
        <v>168</v>
      </c>
    </row>
    <row r="29" spans="1:64" x14ac:dyDescent="0.2">
      <c r="A29" t="s">
        <v>631</v>
      </c>
      <c r="B29" t="s">
        <v>114</v>
      </c>
      <c r="C29" t="s">
        <v>1174</v>
      </c>
      <c r="D29" t="s">
        <v>114</v>
      </c>
      <c r="I29" t="s">
        <v>116</v>
      </c>
      <c r="K29" t="s">
        <v>848</v>
      </c>
      <c r="M29" t="s">
        <v>121</v>
      </c>
      <c r="N29" t="s">
        <v>109</v>
      </c>
      <c r="O29" t="s">
        <v>113</v>
      </c>
      <c r="S29" t="s">
        <v>154</v>
      </c>
      <c r="T29" t="s">
        <v>845</v>
      </c>
      <c r="U29" t="s">
        <v>437</v>
      </c>
      <c r="V29" t="s">
        <v>55</v>
      </c>
      <c r="W29" t="s">
        <v>155</v>
      </c>
      <c r="X29" t="s">
        <v>156</v>
      </c>
      <c r="Y29" t="s">
        <v>438</v>
      </c>
      <c r="Z29" t="s">
        <v>157</v>
      </c>
      <c r="AB29" t="s">
        <v>158</v>
      </c>
      <c r="AC29" t="s">
        <v>439</v>
      </c>
      <c r="AD29" t="s">
        <v>338</v>
      </c>
      <c r="AE29" t="s">
        <v>541</v>
      </c>
      <c r="AF29" t="s">
        <v>542</v>
      </c>
      <c r="AG29" t="s">
        <v>543</v>
      </c>
      <c r="AH29" t="s">
        <v>544</v>
      </c>
      <c r="AI29" t="s">
        <v>545</v>
      </c>
      <c r="AJ29" t="s">
        <v>546</v>
      </c>
      <c r="AK29" t="s">
        <v>547</v>
      </c>
      <c r="AL29" t="s">
        <v>548</v>
      </c>
      <c r="AM29" t="s">
        <v>549</v>
      </c>
      <c r="AN29" t="s">
        <v>550</v>
      </c>
      <c r="AO29" t="s">
        <v>55</v>
      </c>
      <c r="AP29" t="s">
        <v>551</v>
      </c>
      <c r="AQ29" t="s">
        <v>552</v>
      </c>
      <c r="AR29" t="s">
        <v>553</v>
      </c>
      <c r="AS29" t="s">
        <v>554</v>
      </c>
      <c r="AT29" t="s">
        <v>555</v>
      </c>
      <c r="AU29" t="s">
        <v>556</v>
      </c>
      <c r="AV29" t="s">
        <v>557</v>
      </c>
      <c r="AW29" t="s">
        <v>560</v>
      </c>
      <c r="AX29" t="s">
        <v>558</v>
      </c>
      <c r="AY29" t="s">
        <v>559</v>
      </c>
      <c r="AZ29" t="s">
        <v>568</v>
      </c>
      <c r="BA29" t="s">
        <v>562</v>
      </c>
      <c r="BB29" t="s">
        <v>563</v>
      </c>
      <c r="BC29" t="s">
        <v>564</v>
      </c>
      <c r="BD29" t="s">
        <v>522</v>
      </c>
      <c r="BE29" t="s">
        <v>524</v>
      </c>
      <c r="BF29" t="s">
        <v>523</v>
      </c>
      <c r="BG29" t="s">
        <v>567</v>
      </c>
      <c r="BH29" t="s">
        <v>565</v>
      </c>
      <c r="BI29" t="s">
        <v>566</v>
      </c>
      <c r="BJ29" t="s">
        <v>159</v>
      </c>
      <c r="BK29" t="s">
        <v>160</v>
      </c>
      <c r="BL29" t="s">
        <v>168</v>
      </c>
    </row>
    <row r="30" spans="1:64" x14ac:dyDescent="0.2">
      <c r="A30" t="s">
        <v>492</v>
      </c>
      <c r="B30" t="s">
        <v>191</v>
      </c>
      <c r="C30" t="s">
        <v>1174</v>
      </c>
      <c r="D30" t="s">
        <v>191</v>
      </c>
      <c r="E30" t="s">
        <v>190</v>
      </c>
      <c r="F30" t="s">
        <v>1169</v>
      </c>
      <c r="G30" t="s">
        <v>97</v>
      </c>
      <c r="J30" t="s">
        <v>189</v>
      </c>
      <c r="L30" t="s">
        <v>100</v>
      </c>
      <c r="M30" t="s">
        <v>192</v>
      </c>
      <c r="N30" t="s">
        <v>109</v>
      </c>
      <c r="O30" t="s">
        <v>113</v>
      </c>
      <c r="P30" t="s">
        <v>153</v>
      </c>
      <c r="Q30" t="s">
        <v>153</v>
      </c>
      <c r="R30" t="s">
        <v>147</v>
      </c>
      <c r="S30" t="s">
        <v>154</v>
      </c>
      <c r="T30" t="s">
        <v>845</v>
      </c>
      <c r="U30" t="s">
        <v>437</v>
      </c>
      <c r="V30" t="s">
        <v>55</v>
      </c>
      <c r="W30" t="s">
        <v>155</v>
      </c>
      <c r="X30" t="s">
        <v>156</v>
      </c>
      <c r="Y30" t="s">
        <v>438</v>
      </c>
      <c r="Z30" t="s">
        <v>157</v>
      </c>
      <c r="AB30" t="s">
        <v>158</v>
      </c>
      <c r="AC30" t="s">
        <v>439</v>
      </c>
      <c r="AD30" t="s">
        <v>338</v>
      </c>
      <c r="AE30" t="s">
        <v>541</v>
      </c>
      <c r="AF30" t="s">
        <v>542</v>
      </c>
      <c r="AG30" t="s">
        <v>543</v>
      </c>
      <c r="AH30" t="s">
        <v>544</v>
      </c>
      <c r="AI30" t="s">
        <v>545</v>
      </c>
      <c r="AJ30" t="s">
        <v>546</v>
      </c>
      <c r="AK30" t="s">
        <v>547</v>
      </c>
      <c r="AL30" t="s">
        <v>548</v>
      </c>
      <c r="AM30" t="s">
        <v>549</v>
      </c>
      <c r="AN30" t="s">
        <v>550</v>
      </c>
      <c r="AO30" t="s">
        <v>55</v>
      </c>
      <c r="AP30" t="s">
        <v>551</v>
      </c>
      <c r="AQ30" t="s">
        <v>552</v>
      </c>
      <c r="AR30" t="s">
        <v>553</v>
      </c>
      <c r="AS30" t="s">
        <v>554</v>
      </c>
      <c r="AT30" t="s">
        <v>555</v>
      </c>
      <c r="AU30" t="s">
        <v>556</v>
      </c>
      <c r="AV30" t="s">
        <v>557</v>
      </c>
      <c r="AW30" t="s">
        <v>560</v>
      </c>
      <c r="AX30" t="s">
        <v>558</v>
      </c>
      <c r="AY30" t="s">
        <v>559</v>
      </c>
      <c r="AZ30" t="s">
        <v>568</v>
      </c>
      <c r="BA30" t="s">
        <v>562</v>
      </c>
      <c r="BB30" t="s">
        <v>563</v>
      </c>
      <c r="BC30" t="s">
        <v>564</v>
      </c>
      <c r="BD30" t="s">
        <v>522</v>
      </c>
      <c r="BE30" t="s">
        <v>524</v>
      </c>
      <c r="BF30" t="s">
        <v>523</v>
      </c>
      <c r="BG30" t="s">
        <v>567</v>
      </c>
      <c r="BH30" t="s">
        <v>565</v>
      </c>
      <c r="BI30" t="s">
        <v>566</v>
      </c>
      <c r="BJ30" t="s">
        <v>159</v>
      </c>
      <c r="BK30" t="s">
        <v>160</v>
      </c>
      <c r="BL30" t="s">
        <v>168</v>
      </c>
    </row>
    <row r="31" spans="1:64" x14ac:dyDescent="0.2">
      <c r="A31" t="s">
        <v>493</v>
      </c>
      <c r="B31" t="s">
        <v>191</v>
      </c>
      <c r="C31" t="s">
        <v>1174</v>
      </c>
      <c r="D31" t="s">
        <v>191</v>
      </c>
      <c r="E31" t="s">
        <v>190</v>
      </c>
      <c r="F31" t="s">
        <v>1169</v>
      </c>
      <c r="G31" t="s">
        <v>97</v>
      </c>
      <c r="J31" t="s">
        <v>189</v>
      </c>
      <c r="L31" t="s">
        <v>100</v>
      </c>
      <c r="M31" t="s">
        <v>192</v>
      </c>
      <c r="N31" t="s">
        <v>109</v>
      </c>
      <c r="O31" t="s">
        <v>113</v>
      </c>
      <c r="P31" t="s">
        <v>153</v>
      </c>
      <c r="Q31" t="s">
        <v>153</v>
      </c>
      <c r="R31" t="s">
        <v>147</v>
      </c>
      <c r="S31" t="s">
        <v>154</v>
      </c>
      <c r="T31" t="s">
        <v>845</v>
      </c>
      <c r="U31" t="s">
        <v>437</v>
      </c>
      <c r="V31" t="s">
        <v>55</v>
      </c>
      <c r="W31" t="s">
        <v>155</v>
      </c>
      <c r="X31" t="s">
        <v>156</v>
      </c>
      <c r="Y31" t="s">
        <v>438</v>
      </c>
      <c r="Z31" t="s">
        <v>157</v>
      </c>
      <c r="AB31" t="s">
        <v>158</v>
      </c>
      <c r="AC31" t="s">
        <v>439</v>
      </c>
      <c r="AD31" t="s">
        <v>338</v>
      </c>
      <c r="AE31" t="s">
        <v>541</v>
      </c>
      <c r="AF31" t="s">
        <v>542</v>
      </c>
      <c r="AG31" t="s">
        <v>543</v>
      </c>
      <c r="AH31" t="s">
        <v>544</v>
      </c>
      <c r="AI31" t="s">
        <v>545</v>
      </c>
      <c r="AJ31" t="s">
        <v>546</v>
      </c>
      <c r="AK31" t="s">
        <v>547</v>
      </c>
      <c r="AL31" t="s">
        <v>548</v>
      </c>
      <c r="AM31" t="s">
        <v>549</v>
      </c>
      <c r="AN31" t="s">
        <v>550</v>
      </c>
      <c r="AO31" t="s">
        <v>55</v>
      </c>
      <c r="AP31" t="s">
        <v>551</v>
      </c>
      <c r="AQ31" t="s">
        <v>552</v>
      </c>
      <c r="AR31" t="s">
        <v>553</v>
      </c>
      <c r="AS31" t="s">
        <v>554</v>
      </c>
      <c r="AT31" t="s">
        <v>555</v>
      </c>
      <c r="AU31" t="s">
        <v>556</v>
      </c>
      <c r="AV31" t="s">
        <v>557</v>
      </c>
      <c r="AW31" t="s">
        <v>560</v>
      </c>
      <c r="AX31" t="s">
        <v>558</v>
      </c>
      <c r="AY31" t="s">
        <v>559</v>
      </c>
      <c r="AZ31" t="s">
        <v>568</v>
      </c>
      <c r="BA31" t="s">
        <v>562</v>
      </c>
      <c r="BB31" t="s">
        <v>563</v>
      </c>
      <c r="BC31" t="s">
        <v>564</v>
      </c>
      <c r="BD31" t="s">
        <v>522</v>
      </c>
      <c r="BE31" t="s">
        <v>524</v>
      </c>
      <c r="BF31" t="s">
        <v>523</v>
      </c>
      <c r="BG31" t="s">
        <v>567</v>
      </c>
      <c r="BH31" t="s">
        <v>565</v>
      </c>
      <c r="BI31" t="s">
        <v>566</v>
      </c>
      <c r="BJ31" t="s">
        <v>159</v>
      </c>
      <c r="BK31" t="s">
        <v>160</v>
      </c>
      <c r="BL31" t="s">
        <v>168</v>
      </c>
    </row>
    <row r="32" spans="1:64" x14ac:dyDescent="0.2">
      <c r="A32" t="s">
        <v>494</v>
      </c>
      <c r="B32" t="s">
        <v>191</v>
      </c>
      <c r="C32" t="s">
        <v>1174</v>
      </c>
      <c r="D32" t="s">
        <v>191</v>
      </c>
      <c r="E32" t="s">
        <v>190</v>
      </c>
      <c r="F32" t="s">
        <v>1169</v>
      </c>
      <c r="G32" t="s">
        <v>97</v>
      </c>
      <c r="J32" t="s">
        <v>189</v>
      </c>
      <c r="L32" t="s">
        <v>100</v>
      </c>
      <c r="M32" t="s">
        <v>192</v>
      </c>
      <c r="N32" t="s">
        <v>109</v>
      </c>
      <c r="O32" t="s">
        <v>113</v>
      </c>
      <c r="P32" t="s">
        <v>153</v>
      </c>
      <c r="Q32" t="s">
        <v>153</v>
      </c>
      <c r="R32" t="s">
        <v>147</v>
      </c>
      <c r="S32" t="s">
        <v>154</v>
      </c>
      <c r="T32" t="s">
        <v>845</v>
      </c>
      <c r="U32" t="s">
        <v>437</v>
      </c>
      <c r="V32" t="s">
        <v>55</v>
      </c>
      <c r="W32" t="s">
        <v>155</v>
      </c>
      <c r="X32" t="s">
        <v>156</v>
      </c>
      <c r="Y32" t="s">
        <v>438</v>
      </c>
      <c r="Z32" t="s">
        <v>157</v>
      </c>
      <c r="AB32" t="s">
        <v>158</v>
      </c>
      <c r="AC32" t="s">
        <v>439</v>
      </c>
      <c r="AD32" t="s">
        <v>338</v>
      </c>
      <c r="AE32" t="s">
        <v>541</v>
      </c>
      <c r="AF32" t="s">
        <v>542</v>
      </c>
      <c r="AG32" t="s">
        <v>543</v>
      </c>
      <c r="AH32" t="s">
        <v>544</v>
      </c>
      <c r="AI32" t="s">
        <v>545</v>
      </c>
      <c r="AJ32" t="s">
        <v>546</v>
      </c>
      <c r="AK32" t="s">
        <v>547</v>
      </c>
      <c r="AL32" t="s">
        <v>548</v>
      </c>
      <c r="AM32" t="s">
        <v>549</v>
      </c>
      <c r="AN32" t="s">
        <v>550</v>
      </c>
      <c r="AO32" t="s">
        <v>55</v>
      </c>
      <c r="AP32" t="s">
        <v>551</v>
      </c>
      <c r="AQ32" t="s">
        <v>552</v>
      </c>
      <c r="AR32" t="s">
        <v>553</v>
      </c>
      <c r="AS32" t="s">
        <v>554</v>
      </c>
      <c r="AT32" t="s">
        <v>555</v>
      </c>
      <c r="AU32" t="s">
        <v>556</v>
      </c>
      <c r="AV32" t="s">
        <v>557</v>
      </c>
      <c r="AW32" t="s">
        <v>560</v>
      </c>
      <c r="AX32" t="s">
        <v>558</v>
      </c>
      <c r="AY32" t="s">
        <v>559</v>
      </c>
      <c r="AZ32" t="s">
        <v>568</v>
      </c>
      <c r="BA32" t="s">
        <v>562</v>
      </c>
      <c r="BB32" t="s">
        <v>563</v>
      </c>
      <c r="BC32" t="s">
        <v>564</v>
      </c>
      <c r="BD32" t="s">
        <v>522</v>
      </c>
      <c r="BE32" t="s">
        <v>524</v>
      </c>
      <c r="BF32" t="s">
        <v>523</v>
      </c>
      <c r="BG32" t="s">
        <v>567</v>
      </c>
      <c r="BH32" t="s">
        <v>565</v>
      </c>
      <c r="BI32" t="s">
        <v>566</v>
      </c>
      <c r="BJ32" t="s">
        <v>159</v>
      </c>
      <c r="BK32" t="s">
        <v>160</v>
      </c>
      <c r="BL32" t="s">
        <v>168</v>
      </c>
    </row>
    <row r="33" spans="1:64" x14ac:dyDescent="0.2">
      <c r="A33" t="s">
        <v>495</v>
      </c>
      <c r="B33" t="s">
        <v>191</v>
      </c>
      <c r="C33" t="s">
        <v>1174</v>
      </c>
      <c r="D33" t="s">
        <v>191</v>
      </c>
      <c r="E33" t="s">
        <v>190</v>
      </c>
      <c r="F33" t="s">
        <v>1169</v>
      </c>
      <c r="G33" t="s">
        <v>97</v>
      </c>
      <c r="J33" t="s">
        <v>189</v>
      </c>
      <c r="L33" t="s">
        <v>100</v>
      </c>
      <c r="M33" t="s">
        <v>192</v>
      </c>
      <c r="N33" t="s">
        <v>109</v>
      </c>
      <c r="O33" t="s">
        <v>113</v>
      </c>
      <c r="P33" t="s">
        <v>153</v>
      </c>
      <c r="Q33" t="s">
        <v>153</v>
      </c>
      <c r="R33" t="s">
        <v>147</v>
      </c>
      <c r="S33" t="s">
        <v>154</v>
      </c>
      <c r="T33" t="s">
        <v>845</v>
      </c>
      <c r="U33" t="s">
        <v>437</v>
      </c>
      <c r="V33" t="s">
        <v>55</v>
      </c>
      <c r="W33" t="s">
        <v>155</v>
      </c>
      <c r="X33" t="s">
        <v>156</v>
      </c>
      <c r="Y33" t="s">
        <v>438</v>
      </c>
      <c r="Z33" t="s">
        <v>157</v>
      </c>
      <c r="AB33" t="s">
        <v>158</v>
      </c>
      <c r="AC33" t="s">
        <v>439</v>
      </c>
      <c r="AD33" t="s">
        <v>338</v>
      </c>
      <c r="AE33" t="s">
        <v>541</v>
      </c>
      <c r="AF33" t="s">
        <v>542</v>
      </c>
      <c r="AG33" t="s">
        <v>543</v>
      </c>
      <c r="AH33" t="s">
        <v>544</v>
      </c>
      <c r="AI33" t="s">
        <v>545</v>
      </c>
      <c r="AJ33" t="s">
        <v>546</v>
      </c>
      <c r="AK33" t="s">
        <v>547</v>
      </c>
      <c r="AL33" t="s">
        <v>548</v>
      </c>
      <c r="AM33" t="s">
        <v>549</v>
      </c>
      <c r="AN33" t="s">
        <v>550</v>
      </c>
      <c r="AO33" t="s">
        <v>55</v>
      </c>
      <c r="AP33" t="s">
        <v>551</v>
      </c>
      <c r="AQ33" t="s">
        <v>552</v>
      </c>
      <c r="AR33" t="s">
        <v>553</v>
      </c>
      <c r="AS33" t="s">
        <v>554</v>
      </c>
      <c r="AT33" t="s">
        <v>555</v>
      </c>
      <c r="AU33" t="s">
        <v>556</v>
      </c>
      <c r="AV33" t="s">
        <v>557</v>
      </c>
      <c r="AW33" t="s">
        <v>560</v>
      </c>
      <c r="AX33" t="s">
        <v>558</v>
      </c>
      <c r="AY33" t="s">
        <v>559</v>
      </c>
      <c r="AZ33" t="s">
        <v>568</v>
      </c>
      <c r="BA33" t="s">
        <v>562</v>
      </c>
      <c r="BB33" t="s">
        <v>563</v>
      </c>
      <c r="BC33" t="s">
        <v>564</v>
      </c>
      <c r="BD33" t="s">
        <v>522</v>
      </c>
      <c r="BE33" t="s">
        <v>524</v>
      </c>
      <c r="BF33" t="s">
        <v>523</v>
      </c>
      <c r="BG33" t="s">
        <v>567</v>
      </c>
      <c r="BH33" t="s">
        <v>565</v>
      </c>
      <c r="BI33" t="s">
        <v>566</v>
      </c>
      <c r="BJ33" t="s">
        <v>159</v>
      </c>
      <c r="BK33" t="s">
        <v>160</v>
      </c>
      <c r="BL33" t="s">
        <v>168</v>
      </c>
    </row>
    <row r="36" spans="1:64" x14ac:dyDescent="0.2">
      <c r="A36" t="s">
        <v>72</v>
      </c>
    </row>
    <row r="37" spans="1:64" x14ac:dyDescent="0.2">
      <c r="B37" t="s">
        <v>15</v>
      </c>
      <c r="C37" t="s">
        <v>14</v>
      </c>
      <c r="D37" t="s">
        <v>16</v>
      </c>
      <c r="E37" t="s">
        <v>501</v>
      </c>
      <c r="F37" t="s">
        <v>19</v>
      </c>
      <c r="G37" t="s">
        <v>20</v>
      </c>
      <c r="H37" t="s">
        <v>22</v>
      </c>
      <c r="I37" t="s">
        <v>24</v>
      </c>
      <c r="J37" t="s">
        <v>52</v>
      </c>
      <c r="K37" t="s">
        <v>27</v>
      </c>
      <c r="L37" t="s">
        <v>28</v>
      </c>
      <c r="M37" t="s">
        <v>118</v>
      </c>
      <c r="N37" t="s">
        <v>105</v>
      </c>
      <c r="O37" t="s">
        <v>112</v>
      </c>
      <c r="P37" t="s">
        <v>144</v>
      </c>
      <c r="Q37" t="s">
        <v>145</v>
      </c>
      <c r="R37" t="s">
        <v>146</v>
      </c>
      <c r="S37" t="s">
        <v>66</v>
      </c>
      <c r="T37" t="s">
        <v>843</v>
      </c>
      <c r="U37" t="s">
        <v>67</v>
      </c>
      <c r="V37" t="s">
        <v>55</v>
      </c>
      <c r="W37" t="s">
        <v>56</v>
      </c>
      <c r="X37" t="s">
        <v>57</v>
      </c>
      <c r="Y37" t="s">
        <v>58</v>
      </c>
      <c r="Z37" t="s">
        <v>59</v>
      </c>
      <c r="AA37" t="s">
        <v>61</v>
      </c>
      <c r="AB37" t="s">
        <v>60</v>
      </c>
      <c r="AC37" t="s">
        <v>62</v>
      </c>
      <c r="AD37" t="s">
        <v>593</v>
      </c>
      <c r="AE37" t="s">
        <v>541</v>
      </c>
      <c r="AF37" t="s">
        <v>542</v>
      </c>
      <c r="AG37" t="s">
        <v>543</v>
      </c>
      <c r="AH37" t="s">
        <v>544</v>
      </c>
      <c r="AI37" t="s">
        <v>545</v>
      </c>
      <c r="AJ37" t="s">
        <v>546</v>
      </c>
      <c r="AK37" t="s">
        <v>547</v>
      </c>
      <c r="AL37" t="s">
        <v>548</v>
      </c>
      <c r="AM37" t="s">
        <v>549</v>
      </c>
      <c r="AN37" t="s">
        <v>550</v>
      </c>
      <c r="AO37" t="s">
        <v>55</v>
      </c>
      <c r="AP37" t="s">
        <v>551</v>
      </c>
      <c r="AQ37" t="s">
        <v>552</v>
      </c>
      <c r="AR37" t="s">
        <v>553</v>
      </c>
      <c r="AS37" t="s">
        <v>554</v>
      </c>
      <c r="AT37" t="s">
        <v>555</v>
      </c>
      <c r="AU37" t="s">
        <v>556</v>
      </c>
      <c r="AV37" t="s">
        <v>557</v>
      </c>
      <c r="AW37" t="s">
        <v>560</v>
      </c>
      <c r="AX37" t="s">
        <v>558</v>
      </c>
      <c r="AY37" t="s">
        <v>559</v>
      </c>
      <c r="AZ37" t="s">
        <v>561</v>
      </c>
      <c r="BA37" t="s">
        <v>562</v>
      </c>
      <c r="BB37" t="s">
        <v>563</v>
      </c>
      <c r="BC37" t="s">
        <v>564</v>
      </c>
      <c r="BD37" t="s">
        <v>522</v>
      </c>
      <c r="BE37" t="s">
        <v>524</v>
      </c>
      <c r="BF37" t="s">
        <v>523</v>
      </c>
      <c r="BG37" t="s">
        <v>567</v>
      </c>
      <c r="BH37" t="s">
        <v>565</v>
      </c>
      <c r="BI37" t="s">
        <v>566</v>
      </c>
      <c r="BJ37" t="s">
        <v>29</v>
      </c>
      <c r="BK37" t="s">
        <v>30</v>
      </c>
      <c r="BL37" t="s">
        <v>31</v>
      </c>
    </row>
    <row r="38" spans="1:64" x14ac:dyDescent="0.2">
      <c r="A38" t="s">
        <v>618</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489</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490</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496</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491</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579</v>
      </c>
      <c r="B44" t="s">
        <v>92</v>
      </c>
      <c r="C44" t="s">
        <v>95</v>
      </c>
      <c r="D44" t="s">
        <v>92</v>
      </c>
      <c r="I44" t="s">
        <v>92</v>
      </c>
      <c r="K44" t="s">
        <v>37</v>
      </c>
      <c r="M44" t="s">
        <v>37</v>
      </c>
      <c r="N44" t="s">
        <v>37</v>
      </c>
      <c r="O44" t="s">
        <v>37</v>
      </c>
      <c r="R44" t="s">
        <v>95</v>
      </c>
      <c r="BJ44" t="s">
        <v>92</v>
      </c>
      <c r="BK44" t="s">
        <v>92</v>
      </c>
      <c r="BL44" t="s">
        <v>92</v>
      </c>
    </row>
    <row r="45" spans="1:64" x14ac:dyDescent="0.2">
      <c r="A45" t="s">
        <v>580</v>
      </c>
      <c r="B45" t="s">
        <v>92</v>
      </c>
      <c r="C45" t="s">
        <v>95</v>
      </c>
      <c r="D45" t="s">
        <v>92</v>
      </c>
      <c r="I45" t="s">
        <v>92</v>
      </c>
      <c r="K45" t="s">
        <v>37</v>
      </c>
      <c r="M45" t="s">
        <v>37</v>
      </c>
      <c r="N45" t="s">
        <v>37</v>
      </c>
      <c r="O45" t="s">
        <v>37</v>
      </c>
      <c r="R45" t="s">
        <v>95</v>
      </c>
      <c r="BJ45" t="s">
        <v>92</v>
      </c>
      <c r="BK45" t="s">
        <v>92</v>
      </c>
      <c r="BL45" t="s">
        <v>92</v>
      </c>
    </row>
    <row r="46" spans="1:64" x14ac:dyDescent="0.2">
      <c r="A46" t="s">
        <v>581</v>
      </c>
      <c r="B46" t="s">
        <v>92</v>
      </c>
      <c r="C46" t="s">
        <v>95</v>
      </c>
      <c r="D46" t="s">
        <v>92</v>
      </c>
      <c r="I46" t="s">
        <v>92</v>
      </c>
      <c r="K46" t="s">
        <v>37</v>
      </c>
      <c r="M46" t="s">
        <v>37</v>
      </c>
      <c r="N46" t="s">
        <v>37</v>
      </c>
      <c r="O46" t="s">
        <v>37</v>
      </c>
      <c r="R46" t="s">
        <v>95</v>
      </c>
      <c r="BJ46" t="s">
        <v>92</v>
      </c>
      <c r="BK46" t="s">
        <v>92</v>
      </c>
      <c r="BL46" t="s">
        <v>92</v>
      </c>
    </row>
    <row r="47" spans="1:64" x14ac:dyDescent="0.2">
      <c r="A47" t="s">
        <v>609</v>
      </c>
      <c r="B47" t="s">
        <v>92</v>
      </c>
      <c r="C47" t="s">
        <v>95</v>
      </c>
      <c r="D47" t="s">
        <v>92</v>
      </c>
      <c r="I47" t="s">
        <v>92</v>
      </c>
      <c r="K47" t="s">
        <v>37</v>
      </c>
      <c r="M47" t="s">
        <v>37</v>
      </c>
      <c r="N47" t="s">
        <v>37</v>
      </c>
      <c r="O47" t="s">
        <v>37</v>
      </c>
      <c r="R47" t="s">
        <v>95</v>
      </c>
      <c r="BJ47" t="s">
        <v>92</v>
      </c>
      <c r="BK47" t="s">
        <v>92</v>
      </c>
      <c r="BL47" t="s">
        <v>92</v>
      </c>
    </row>
    <row r="48" spans="1:64" x14ac:dyDescent="0.2">
      <c r="A48" t="s">
        <v>610</v>
      </c>
      <c r="B48" t="s">
        <v>92</v>
      </c>
      <c r="C48" t="s">
        <v>95</v>
      </c>
      <c r="D48" t="s">
        <v>92</v>
      </c>
      <c r="I48" t="s">
        <v>92</v>
      </c>
      <c r="K48" t="s">
        <v>37</v>
      </c>
      <c r="M48" t="s">
        <v>37</v>
      </c>
      <c r="N48" t="s">
        <v>37</v>
      </c>
      <c r="O48" t="s">
        <v>37</v>
      </c>
      <c r="R48" t="s">
        <v>95</v>
      </c>
      <c r="BJ48" t="s">
        <v>92</v>
      </c>
      <c r="BK48" t="s">
        <v>92</v>
      </c>
      <c r="BL48" t="s">
        <v>92</v>
      </c>
    </row>
    <row r="49" spans="1:64" x14ac:dyDescent="0.2">
      <c r="A49" t="s">
        <v>611</v>
      </c>
      <c r="B49" t="s">
        <v>92</v>
      </c>
      <c r="C49" t="s">
        <v>95</v>
      </c>
      <c r="D49" t="s">
        <v>92</v>
      </c>
      <c r="I49" t="s">
        <v>92</v>
      </c>
      <c r="K49" t="s">
        <v>37</v>
      </c>
      <c r="M49" t="s">
        <v>37</v>
      </c>
      <c r="N49" t="s">
        <v>37</v>
      </c>
      <c r="O49" t="s">
        <v>37</v>
      </c>
      <c r="R49" t="s">
        <v>95</v>
      </c>
      <c r="BJ49" t="s">
        <v>92</v>
      </c>
      <c r="BK49" t="s">
        <v>92</v>
      </c>
      <c r="BL49" t="s">
        <v>92</v>
      </c>
    </row>
    <row r="50" spans="1:64" x14ac:dyDescent="0.2">
      <c r="A50" t="s">
        <v>570</v>
      </c>
      <c r="B50" t="s">
        <v>92</v>
      </c>
      <c r="C50" t="s">
        <v>95</v>
      </c>
      <c r="D50" t="s">
        <v>92</v>
      </c>
      <c r="I50" t="s">
        <v>92</v>
      </c>
      <c r="K50" t="s">
        <v>37</v>
      </c>
      <c r="M50" t="s">
        <v>37</v>
      </c>
      <c r="N50" t="s">
        <v>37</v>
      </c>
      <c r="O50" t="s">
        <v>37</v>
      </c>
      <c r="R50" t="s">
        <v>95</v>
      </c>
      <c r="BJ50" t="s">
        <v>92</v>
      </c>
      <c r="BK50" t="s">
        <v>92</v>
      </c>
      <c r="BL50" t="s">
        <v>92</v>
      </c>
    </row>
    <row r="51" spans="1:64" x14ac:dyDescent="0.2">
      <c r="A51" t="s">
        <v>571</v>
      </c>
      <c r="B51" t="s">
        <v>92</v>
      </c>
      <c r="C51" t="s">
        <v>95</v>
      </c>
      <c r="D51" t="s">
        <v>92</v>
      </c>
      <c r="I51" t="s">
        <v>92</v>
      </c>
      <c r="K51" t="s">
        <v>37</v>
      </c>
      <c r="M51" t="s">
        <v>37</v>
      </c>
      <c r="N51" t="s">
        <v>37</v>
      </c>
      <c r="O51" t="s">
        <v>37</v>
      </c>
      <c r="R51" t="s">
        <v>95</v>
      </c>
      <c r="BJ51" t="s">
        <v>92</v>
      </c>
      <c r="BK51" t="s">
        <v>92</v>
      </c>
      <c r="BL51" t="s">
        <v>92</v>
      </c>
    </row>
    <row r="52" spans="1:64" x14ac:dyDescent="0.2">
      <c r="A52" t="s">
        <v>572</v>
      </c>
      <c r="B52" t="s">
        <v>92</v>
      </c>
      <c r="C52" t="s">
        <v>95</v>
      </c>
      <c r="D52" t="s">
        <v>92</v>
      </c>
      <c r="I52" t="s">
        <v>92</v>
      </c>
      <c r="K52" t="s">
        <v>37</v>
      </c>
      <c r="M52" t="s">
        <v>37</v>
      </c>
      <c r="N52" t="s">
        <v>37</v>
      </c>
      <c r="O52" t="s">
        <v>37</v>
      </c>
      <c r="R52" t="s">
        <v>95</v>
      </c>
      <c r="BJ52" t="s">
        <v>92</v>
      </c>
      <c r="BK52" t="s">
        <v>92</v>
      </c>
      <c r="BL52" t="s">
        <v>92</v>
      </c>
    </row>
    <row r="53" spans="1:64" x14ac:dyDescent="0.2">
      <c r="A53" t="s">
        <v>608</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569</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638</v>
      </c>
      <c r="B55" t="s">
        <v>92</v>
      </c>
      <c r="C55" t="s">
        <v>95</v>
      </c>
      <c r="D55" t="s">
        <v>92</v>
      </c>
      <c r="I55" t="s">
        <v>92</v>
      </c>
      <c r="K55" t="s">
        <v>37</v>
      </c>
      <c r="M55" t="s">
        <v>37</v>
      </c>
      <c r="N55" t="s">
        <v>37</v>
      </c>
      <c r="O55" t="s">
        <v>37</v>
      </c>
      <c r="R55" t="s">
        <v>95</v>
      </c>
      <c r="BJ55" t="s">
        <v>92</v>
      </c>
      <c r="BK55" t="s">
        <v>92</v>
      </c>
      <c r="BL55" t="s">
        <v>92</v>
      </c>
    </row>
    <row r="56" spans="1:64" x14ac:dyDescent="0.2">
      <c r="A56" t="s">
        <v>639</v>
      </c>
      <c r="B56" t="s">
        <v>92</v>
      </c>
      <c r="C56" t="s">
        <v>95</v>
      </c>
      <c r="D56" t="s">
        <v>92</v>
      </c>
      <c r="I56" t="s">
        <v>92</v>
      </c>
      <c r="K56" t="s">
        <v>37</v>
      </c>
      <c r="M56" t="s">
        <v>37</v>
      </c>
      <c r="N56" t="s">
        <v>37</v>
      </c>
      <c r="O56" t="s">
        <v>37</v>
      </c>
      <c r="R56" t="s">
        <v>95</v>
      </c>
      <c r="BJ56" t="s">
        <v>92</v>
      </c>
      <c r="BK56" t="s">
        <v>92</v>
      </c>
      <c r="BL56" t="s">
        <v>92</v>
      </c>
    </row>
    <row r="57" spans="1:64" x14ac:dyDescent="0.2">
      <c r="A57" t="s">
        <v>640</v>
      </c>
      <c r="B57" t="s">
        <v>92</v>
      </c>
      <c r="C57" t="s">
        <v>95</v>
      </c>
      <c r="D57" t="s">
        <v>92</v>
      </c>
      <c r="I57" t="s">
        <v>92</v>
      </c>
      <c r="K57" t="s">
        <v>37</v>
      </c>
      <c r="M57" t="s">
        <v>37</v>
      </c>
      <c r="N57" t="s">
        <v>37</v>
      </c>
      <c r="O57" t="s">
        <v>37</v>
      </c>
      <c r="R57" t="s">
        <v>95</v>
      </c>
      <c r="BJ57" t="s">
        <v>92</v>
      </c>
      <c r="BK57" t="s">
        <v>92</v>
      </c>
      <c r="BL57" t="s">
        <v>92</v>
      </c>
    </row>
    <row r="58" spans="1:64" x14ac:dyDescent="0.2">
      <c r="A58" t="s">
        <v>620</v>
      </c>
      <c r="B58" t="s">
        <v>92</v>
      </c>
      <c r="C58" t="s">
        <v>95</v>
      </c>
      <c r="D58" t="s">
        <v>92</v>
      </c>
      <c r="I58" t="s">
        <v>92</v>
      </c>
      <c r="K58" t="s">
        <v>37</v>
      </c>
      <c r="M58" t="s">
        <v>37</v>
      </c>
      <c r="N58" t="s">
        <v>37</v>
      </c>
      <c r="O58" t="s">
        <v>37</v>
      </c>
      <c r="R58" t="s">
        <v>95</v>
      </c>
      <c r="BJ58" t="s">
        <v>92</v>
      </c>
      <c r="BK58" t="s">
        <v>92</v>
      </c>
      <c r="BL58" t="s">
        <v>92</v>
      </c>
    </row>
    <row r="59" spans="1:64" x14ac:dyDescent="0.2">
      <c r="A59" t="s">
        <v>621</v>
      </c>
      <c r="B59" t="s">
        <v>92</v>
      </c>
      <c r="C59" t="s">
        <v>95</v>
      </c>
      <c r="D59" t="s">
        <v>92</v>
      </c>
      <c r="I59" t="s">
        <v>92</v>
      </c>
      <c r="K59" t="s">
        <v>37</v>
      </c>
      <c r="M59" t="s">
        <v>37</v>
      </c>
      <c r="N59" t="s">
        <v>37</v>
      </c>
      <c r="O59" t="s">
        <v>37</v>
      </c>
      <c r="R59" t="s">
        <v>95</v>
      </c>
      <c r="BJ59" t="s">
        <v>92</v>
      </c>
      <c r="BK59" t="s">
        <v>92</v>
      </c>
      <c r="BL59" t="s">
        <v>92</v>
      </c>
    </row>
    <row r="60" spans="1:64" x14ac:dyDescent="0.2">
      <c r="A60" t="s">
        <v>622</v>
      </c>
      <c r="B60" t="s">
        <v>92</v>
      </c>
      <c r="C60" t="s">
        <v>95</v>
      </c>
      <c r="D60" t="s">
        <v>92</v>
      </c>
      <c r="I60" t="s">
        <v>92</v>
      </c>
      <c r="K60" t="s">
        <v>37</v>
      </c>
      <c r="M60" t="s">
        <v>37</v>
      </c>
      <c r="N60" t="s">
        <v>37</v>
      </c>
      <c r="O60" t="s">
        <v>37</v>
      </c>
      <c r="R60" t="s">
        <v>95</v>
      </c>
      <c r="BJ60" t="s">
        <v>92</v>
      </c>
      <c r="BK60" t="s">
        <v>92</v>
      </c>
      <c r="BL60" t="s">
        <v>92</v>
      </c>
    </row>
    <row r="61" spans="1:64" x14ac:dyDescent="0.2">
      <c r="A61" t="s">
        <v>629</v>
      </c>
      <c r="B61" t="s">
        <v>92</v>
      </c>
      <c r="C61" t="s">
        <v>95</v>
      </c>
      <c r="D61" t="s">
        <v>92</v>
      </c>
      <c r="I61" t="s">
        <v>92</v>
      </c>
      <c r="K61" t="s">
        <v>37</v>
      </c>
      <c r="M61" t="s">
        <v>37</v>
      </c>
      <c r="N61" t="s">
        <v>37</v>
      </c>
      <c r="O61" t="s">
        <v>37</v>
      </c>
      <c r="R61" t="s">
        <v>95</v>
      </c>
      <c r="BJ61" t="s">
        <v>92</v>
      </c>
      <c r="BK61" t="s">
        <v>92</v>
      </c>
      <c r="BL61" t="s">
        <v>92</v>
      </c>
    </row>
    <row r="62" spans="1:64" x14ac:dyDescent="0.2">
      <c r="A62" t="s">
        <v>630</v>
      </c>
      <c r="B62" t="s">
        <v>92</v>
      </c>
      <c r="C62" t="s">
        <v>95</v>
      </c>
      <c r="D62" t="s">
        <v>92</v>
      </c>
      <c r="I62" t="s">
        <v>92</v>
      </c>
      <c r="K62" t="s">
        <v>37</v>
      </c>
      <c r="M62" t="s">
        <v>37</v>
      </c>
      <c r="N62" t="s">
        <v>37</v>
      </c>
      <c r="O62" t="s">
        <v>37</v>
      </c>
      <c r="R62" t="s">
        <v>95</v>
      </c>
      <c r="BJ62" t="s">
        <v>92</v>
      </c>
      <c r="BK62" t="s">
        <v>92</v>
      </c>
      <c r="BL62" t="s">
        <v>92</v>
      </c>
    </row>
    <row r="63" spans="1:64" x14ac:dyDescent="0.2">
      <c r="A63" t="s">
        <v>631</v>
      </c>
      <c r="B63" t="s">
        <v>92</v>
      </c>
      <c r="C63" t="s">
        <v>95</v>
      </c>
      <c r="D63" t="s">
        <v>92</v>
      </c>
      <c r="I63" t="s">
        <v>92</v>
      </c>
      <c r="K63" t="s">
        <v>37</v>
      </c>
      <c r="M63" t="s">
        <v>37</v>
      </c>
      <c r="N63" t="s">
        <v>37</v>
      </c>
      <c r="O63" t="s">
        <v>37</v>
      </c>
      <c r="R63" t="s">
        <v>95</v>
      </c>
      <c r="BJ63" t="s">
        <v>92</v>
      </c>
      <c r="BK63" t="s">
        <v>92</v>
      </c>
      <c r="BL63" t="s">
        <v>92</v>
      </c>
    </row>
    <row r="64" spans="1:64" x14ac:dyDescent="0.2">
      <c r="A64" t="s">
        <v>492</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493</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494</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495</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501</v>
      </c>
      <c r="F70" t="s">
        <v>19</v>
      </c>
      <c r="G70" t="s">
        <v>20</v>
      </c>
      <c r="H70" t="s">
        <v>22</v>
      </c>
      <c r="I70" t="s">
        <v>24</v>
      </c>
      <c r="J70" t="s">
        <v>52</v>
      </c>
      <c r="K70" t="s">
        <v>27</v>
      </c>
      <c r="L70" t="s">
        <v>28</v>
      </c>
      <c r="M70" t="s">
        <v>118</v>
      </c>
      <c r="N70" t="s">
        <v>105</v>
      </c>
      <c r="O70" t="s">
        <v>112</v>
      </c>
      <c r="P70" t="s">
        <v>144</v>
      </c>
      <c r="Q70" t="s">
        <v>145</v>
      </c>
      <c r="R70" t="s">
        <v>146</v>
      </c>
      <c r="S70" t="s">
        <v>66</v>
      </c>
      <c r="T70" t="s">
        <v>843</v>
      </c>
      <c r="U70" t="s">
        <v>67</v>
      </c>
      <c r="V70" t="s">
        <v>55</v>
      </c>
      <c r="W70" t="s">
        <v>56</v>
      </c>
      <c r="X70" t="s">
        <v>57</v>
      </c>
      <c r="Y70" t="s">
        <v>58</v>
      </c>
      <c r="Z70" t="s">
        <v>59</v>
      </c>
      <c r="AA70" t="s">
        <v>61</v>
      </c>
      <c r="AB70" t="s">
        <v>60</v>
      </c>
      <c r="AC70" t="s">
        <v>62</v>
      </c>
      <c r="AD70" t="s">
        <v>593</v>
      </c>
      <c r="AE70" t="s">
        <v>541</v>
      </c>
      <c r="AF70" t="s">
        <v>542</v>
      </c>
      <c r="AG70" t="s">
        <v>543</v>
      </c>
      <c r="AH70" t="s">
        <v>544</v>
      </c>
      <c r="AI70" t="s">
        <v>545</v>
      </c>
      <c r="AJ70" t="s">
        <v>546</v>
      </c>
      <c r="AK70" t="s">
        <v>547</v>
      </c>
      <c r="AL70" t="s">
        <v>548</v>
      </c>
      <c r="AM70" t="s">
        <v>549</v>
      </c>
      <c r="AN70" t="s">
        <v>550</v>
      </c>
      <c r="AO70" t="s">
        <v>55</v>
      </c>
      <c r="AP70" t="s">
        <v>551</v>
      </c>
      <c r="AQ70" t="s">
        <v>552</v>
      </c>
      <c r="AR70" t="s">
        <v>553</v>
      </c>
      <c r="AS70" t="s">
        <v>554</v>
      </c>
      <c r="AT70" t="s">
        <v>555</v>
      </c>
      <c r="AU70" t="s">
        <v>556</v>
      </c>
      <c r="AV70" t="s">
        <v>557</v>
      </c>
      <c r="AW70" t="s">
        <v>560</v>
      </c>
      <c r="AX70" t="s">
        <v>558</v>
      </c>
      <c r="AY70" t="s">
        <v>559</v>
      </c>
      <c r="AZ70" t="s">
        <v>561</v>
      </c>
      <c r="BA70" t="s">
        <v>562</v>
      </c>
      <c r="BB70" t="s">
        <v>563</v>
      </c>
      <c r="BC70" t="s">
        <v>564</v>
      </c>
      <c r="BD70" t="s">
        <v>522</v>
      </c>
      <c r="BE70" t="s">
        <v>524</v>
      </c>
      <c r="BF70" t="s">
        <v>523</v>
      </c>
      <c r="BG70" t="s">
        <v>567</v>
      </c>
      <c r="BH70" t="s">
        <v>565</v>
      </c>
      <c r="BI70" t="s">
        <v>566</v>
      </c>
      <c r="BJ70" t="s">
        <v>29</v>
      </c>
      <c r="BK70" t="s">
        <v>30</v>
      </c>
      <c r="BL70" t="s">
        <v>31</v>
      </c>
    </row>
    <row r="71" spans="1:64" x14ac:dyDescent="0.2">
      <c r="A71" t="s">
        <v>618</v>
      </c>
      <c r="B71" t="s">
        <v>93</v>
      </c>
      <c r="C71" t="s">
        <v>1174</v>
      </c>
      <c r="D71" t="s">
        <v>93</v>
      </c>
      <c r="E71" t="s">
        <v>451</v>
      </c>
      <c r="F71" t="s">
        <v>96</v>
      </c>
      <c r="G71" t="s">
        <v>97</v>
      </c>
      <c r="J71" t="s">
        <v>591</v>
      </c>
      <c r="L71" t="s">
        <v>102</v>
      </c>
      <c r="M71" t="s">
        <v>119</v>
      </c>
      <c r="N71" t="s">
        <v>110</v>
      </c>
      <c r="O71" t="s">
        <v>113</v>
      </c>
      <c r="P71" t="s">
        <v>515</v>
      </c>
      <c r="Q71" t="s">
        <v>150</v>
      </c>
      <c r="R71" t="s">
        <v>148</v>
      </c>
      <c r="BJ71" t="s">
        <v>161</v>
      </c>
      <c r="BK71" t="s">
        <v>162</v>
      </c>
      <c r="BL71" t="s">
        <v>163</v>
      </c>
    </row>
    <row r="72" spans="1:64" x14ac:dyDescent="0.2">
      <c r="A72" t="s">
        <v>33</v>
      </c>
      <c r="B72" t="s">
        <v>93</v>
      </c>
      <c r="C72" t="s">
        <v>1174</v>
      </c>
      <c r="D72" t="s">
        <v>93</v>
      </c>
      <c r="E72" s="13"/>
      <c r="F72" t="s">
        <v>96</v>
      </c>
      <c r="G72" t="s">
        <v>97</v>
      </c>
      <c r="J72" t="s">
        <v>188</v>
      </c>
      <c r="L72" t="s">
        <v>102</v>
      </c>
      <c r="M72" t="s">
        <v>119</v>
      </c>
      <c r="N72" t="s">
        <v>110</v>
      </c>
      <c r="O72" t="s">
        <v>113</v>
      </c>
      <c r="P72" t="s">
        <v>515</v>
      </c>
      <c r="R72" t="s">
        <v>148</v>
      </c>
      <c r="BJ72" t="s">
        <v>161</v>
      </c>
      <c r="BK72" t="s">
        <v>162</v>
      </c>
      <c r="BL72" t="s">
        <v>163</v>
      </c>
    </row>
    <row r="73" spans="1:64" x14ac:dyDescent="0.2">
      <c r="A73" t="s">
        <v>489</v>
      </c>
      <c r="B73" s="13" t="s">
        <v>473</v>
      </c>
      <c r="C73" t="s">
        <v>1174</v>
      </c>
      <c r="D73" s="13" t="s">
        <v>473</v>
      </c>
      <c r="E73" t="s">
        <v>451</v>
      </c>
      <c r="F73" t="s">
        <v>96</v>
      </c>
      <c r="G73" t="s">
        <v>97</v>
      </c>
      <c r="J73" t="s">
        <v>188</v>
      </c>
      <c r="L73" t="s">
        <v>102</v>
      </c>
      <c r="M73" t="s">
        <v>475</v>
      </c>
      <c r="N73" t="s">
        <v>110</v>
      </c>
      <c r="O73" t="s">
        <v>113</v>
      </c>
      <c r="P73" t="s">
        <v>150</v>
      </c>
      <c r="Q73" t="s">
        <v>150</v>
      </c>
      <c r="R73" t="s">
        <v>148</v>
      </c>
      <c r="BJ73" t="s">
        <v>161</v>
      </c>
      <c r="BK73" t="s">
        <v>162</v>
      </c>
      <c r="BL73" t="s">
        <v>163</v>
      </c>
    </row>
    <row r="74" spans="1:64" x14ac:dyDescent="0.2">
      <c r="A74" t="s">
        <v>490</v>
      </c>
      <c r="B74" s="13" t="s">
        <v>473</v>
      </c>
      <c r="C74" t="s">
        <v>1174</v>
      </c>
      <c r="D74" s="13" t="s">
        <v>473</v>
      </c>
      <c r="E74" t="s">
        <v>451</v>
      </c>
      <c r="F74" t="s">
        <v>96</v>
      </c>
      <c r="G74" t="s">
        <v>97</v>
      </c>
      <c r="J74" t="s">
        <v>188</v>
      </c>
      <c r="L74" t="s">
        <v>102</v>
      </c>
      <c r="M74" t="s">
        <v>475</v>
      </c>
      <c r="N74" t="s">
        <v>110</v>
      </c>
      <c r="O74" t="s">
        <v>113</v>
      </c>
      <c r="P74" t="s">
        <v>150</v>
      </c>
      <c r="Q74" t="s">
        <v>150</v>
      </c>
      <c r="R74" t="s">
        <v>148</v>
      </c>
      <c r="BJ74" t="s">
        <v>161</v>
      </c>
      <c r="BK74" t="s">
        <v>162</v>
      </c>
      <c r="BL74" t="s">
        <v>163</v>
      </c>
    </row>
    <row r="75" spans="1:64" x14ac:dyDescent="0.2">
      <c r="A75" t="s">
        <v>496</v>
      </c>
      <c r="B75" s="13" t="s">
        <v>473</v>
      </c>
      <c r="C75" t="s">
        <v>1174</v>
      </c>
      <c r="D75" s="13" t="s">
        <v>473</v>
      </c>
      <c r="E75" t="s">
        <v>451</v>
      </c>
      <c r="F75" t="s">
        <v>96</v>
      </c>
      <c r="G75" t="s">
        <v>97</v>
      </c>
      <c r="J75" t="s">
        <v>188</v>
      </c>
      <c r="L75" t="s">
        <v>102</v>
      </c>
      <c r="M75" t="s">
        <v>475</v>
      </c>
      <c r="N75" t="s">
        <v>110</v>
      </c>
      <c r="O75" t="s">
        <v>113</v>
      </c>
      <c r="P75" t="s">
        <v>150</v>
      </c>
      <c r="Q75" t="s">
        <v>150</v>
      </c>
      <c r="R75" t="s">
        <v>148</v>
      </c>
      <c r="BJ75" t="s">
        <v>161</v>
      </c>
      <c r="BK75" t="s">
        <v>162</v>
      </c>
      <c r="BL75" t="s">
        <v>163</v>
      </c>
    </row>
    <row r="76" spans="1:64" x14ac:dyDescent="0.2">
      <c r="A76" t="s">
        <v>491</v>
      </c>
      <c r="B76" t="s">
        <v>103</v>
      </c>
      <c r="C76" t="s">
        <v>1174</v>
      </c>
      <c r="D76" t="s">
        <v>103</v>
      </c>
      <c r="E76" t="s">
        <v>103</v>
      </c>
      <c r="F76" t="s">
        <v>96</v>
      </c>
      <c r="G76" t="s">
        <v>97</v>
      </c>
      <c r="L76" t="s">
        <v>124</v>
      </c>
      <c r="M76" t="s">
        <v>120</v>
      </c>
      <c r="N76" t="s">
        <v>108</v>
      </c>
      <c r="P76" t="s">
        <v>510</v>
      </c>
      <c r="Q76" t="s">
        <v>510</v>
      </c>
      <c r="R76" t="s">
        <v>148</v>
      </c>
      <c r="BJ76" t="s">
        <v>161</v>
      </c>
      <c r="BK76" t="s">
        <v>162</v>
      </c>
      <c r="BL76" t="s">
        <v>163</v>
      </c>
    </row>
    <row r="77" spans="1:64" x14ac:dyDescent="0.2">
      <c r="A77" t="s">
        <v>579</v>
      </c>
      <c r="B77" t="s">
        <v>115</v>
      </c>
      <c r="C77" t="s">
        <v>1174</v>
      </c>
      <c r="D77" t="s">
        <v>115</v>
      </c>
      <c r="I77" t="s">
        <v>117</v>
      </c>
      <c r="K77" t="s">
        <v>590</v>
      </c>
      <c r="M77" t="s">
        <v>121</v>
      </c>
      <c r="N77" t="s">
        <v>110</v>
      </c>
      <c r="O77" t="s">
        <v>113</v>
      </c>
      <c r="R77" t="s">
        <v>148</v>
      </c>
      <c r="BJ77" t="s">
        <v>161</v>
      </c>
      <c r="BK77" t="s">
        <v>162</v>
      </c>
      <c r="BL77" t="s">
        <v>163</v>
      </c>
    </row>
    <row r="78" spans="1:64" x14ac:dyDescent="0.2">
      <c r="A78" t="s">
        <v>580</v>
      </c>
      <c r="B78" t="s">
        <v>115</v>
      </c>
      <c r="C78" t="s">
        <v>1174</v>
      </c>
      <c r="D78" t="s">
        <v>115</v>
      </c>
      <c r="I78" t="s">
        <v>117</v>
      </c>
      <c r="K78" t="s">
        <v>590</v>
      </c>
      <c r="M78" t="s">
        <v>121</v>
      </c>
      <c r="N78" t="s">
        <v>110</v>
      </c>
      <c r="O78" t="s">
        <v>113</v>
      </c>
      <c r="R78" t="s">
        <v>148</v>
      </c>
      <c r="BJ78" t="s">
        <v>161</v>
      </c>
      <c r="BK78" t="s">
        <v>162</v>
      </c>
      <c r="BL78" t="s">
        <v>163</v>
      </c>
    </row>
    <row r="79" spans="1:64" x14ac:dyDescent="0.2">
      <c r="A79" t="s">
        <v>581</v>
      </c>
      <c r="B79" t="s">
        <v>115</v>
      </c>
      <c r="C79" t="s">
        <v>1174</v>
      </c>
      <c r="D79" t="s">
        <v>115</v>
      </c>
      <c r="I79" t="s">
        <v>117</v>
      </c>
      <c r="K79" t="s">
        <v>590</v>
      </c>
      <c r="M79" t="s">
        <v>121</v>
      </c>
      <c r="N79" t="s">
        <v>110</v>
      </c>
      <c r="O79" t="s">
        <v>113</v>
      </c>
      <c r="R79" t="s">
        <v>148</v>
      </c>
      <c r="BJ79" t="s">
        <v>161</v>
      </c>
      <c r="BK79" t="s">
        <v>162</v>
      </c>
      <c r="BL79" t="s">
        <v>163</v>
      </c>
    </row>
    <row r="80" spans="1:64" x14ac:dyDescent="0.2">
      <c r="A80" t="s">
        <v>609</v>
      </c>
      <c r="B80" t="s">
        <v>115</v>
      </c>
      <c r="C80" t="s">
        <v>1174</v>
      </c>
      <c r="D80" t="s">
        <v>115</v>
      </c>
      <c r="I80" t="s">
        <v>117</v>
      </c>
      <c r="K80" t="s">
        <v>590</v>
      </c>
      <c r="M80" t="s">
        <v>121</v>
      </c>
      <c r="N80" t="s">
        <v>110</v>
      </c>
      <c r="O80" t="s">
        <v>113</v>
      </c>
      <c r="R80" t="s">
        <v>148</v>
      </c>
      <c r="BJ80" t="s">
        <v>161</v>
      </c>
      <c r="BK80" t="s">
        <v>162</v>
      </c>
      <c r="BL80" t="s">
        <v>163</v>
      </c>
    </row>
    <row r="81" spans="1:64" x14ac:dyDescent="0.2">
      <c r="A81" t="s">
        <v>610</v>
      </c>
      <c r="B81" t="s">
        <v>115</v>
      </c>
      <c r="C81" t="s">
        <v>1174</v>
      </c>
      <c r="D81" t="s">
        <v>115</v>
      </c>
      <c r="I81" t="s">
        <v>117</v>
      </c>
      <c r="K81" t="s">
        <v>590</v>
      </c>
      <c r="M81" t="s">
        <v>121</v>
      </c>
      <c r="N81" t="s">
        <v>110</v>
      </c>
      <c r="O81" t="s">
        <v>113</v>
      </c>
      <c r="R81" t="s">
        <v>148</v>
      </c>
      <c r="BJ81" t="s">
        <v>161</v>
      </c>
      <c r="BK81" t="s">
        <v>162</v>
      </c>
      <c r="BL81" t="s">
        <v>163</v>
      </c>
    </row>
    <row r="82" spans="1:64" x14ac:dyDescent="0.2">
      <c r="A82" t="s">
        <v>611</v>
      </c>
      <c r="B82" t="s">
        <v>115</v>
      </c>
      <c r="C82" t="s">
        <v>1174</v>
      </c>
      <c r="D82" t="s">
        <v>115</v>
      </c>
      <c r="I82" t="s">
        <v>117</v>
      </c>
      <c r="K82" t="s">
        <v>590</v>
      </c>
      <c r="M82" t="s">
        <v>121</v>
      </c>
      <c r="N82" t="s">
        <v>110</v>
      </c>
      <c r="O82" t="s">
        <v>113</v>
      </c>
      <c r="R82" t="s">
        <v>148</v>
      </c>
      <c r="BJ82" t="s">
        <v>161</v>
      </c>
      <c r="BK82" t="s">
        <v>162</v>
      </c>
      <c r="BL82" t="s">
        <v>163</v>
      </c>
    </row>
    <row r="83" spans="1:64" x14ac:dyDescent="0.2">
      <c r="A83" t="s">
        <v>570</v>
      </c>
      <c r="B83" t="s">
        <v>115</v>
      </c>
      <c r="C83" t="s">
        <v>1174</v>
      </c>
      <c r="D83" t="s">
        <v>115</v>
      </c>
      <c r="I83" t="s">
        <v>117</v>
      </c>
      <c r="K83" t="s">
        <v>849</v>
      </c>
      <c r="M83" t="s">
        <v>121</v>
      </c>
      <c r="N83" t="s">
        <v>110</v>
      </c>
      <c r="O83" t="s">
        <v>113</v>
      </c>
      <c r="R83" t="s">
        <v>148</v>
      </c>
      <c r="BJ83" t="s">
        <v>161</v>
      </c>
      <c r="BK83" t="s">
        <v>162</v>
      </c>
      <c r="BL83" t="s">
        <v>163</v>
      </c>
    </row>
    <row r="84" spans="1:64" x14ac:dyDescent="0.2">
      <c r="A84" t="s">
        <v>571</v>
      </c>
      <c r="B84" t="s">
        <v>115</v>
      </c>
      <c r="C84" t="s">
        <v>1174</v>
      </c>
      <c r="D84" t="s">
        <v>115</v>
      </c>
      <c r="I84" t="s">
        <v>117</v>
      </c>
      <c r="K84" t="s">
        <v>849</v>
      </c>
      <c r="M84" t="s">
        <v>121</v>
      </c>
      <c r="N84" t="s">
        <v>110</v>
      </c>
      <c r="O84" t="s">
        <v>113</v>
      </c>
      <c r="R84" t="s">
        <v>148</v>
      </c>
      <c r="BJ84" t="s">
        <v>161</v>
      </c>
      <c r="BK84" t="s">
        <v>162</v>
      </c>
      <c r="BL84" t="s">
        <v>163</v>
      </c>
    </row>
    <row r="85" spans="1:64" x14ac:dyDescent="0.2">
      <c r="A85" t="s">
        <v>572</v>
      </c>
      <c r="B85" t="s">
        <v>115</v>
      </c>
      <c r="C85" t="s">
        <v>1174</v>
      </c>
      <c r="D85" t="s">
        <v>115</v>
      </c>
      <c r="I85" t="s">
        <v>117</v>
      </c>
      <c r="K85" t="s">
        <v>849</v>
      </c>
      <c r="M85" t="s">
        <v>121</v>
      </c>
      <c r="N85" t="s">
        <v>110</v>
      </c>
      <c r="O85" t="s">
        <v>113</v>
      </c>
      <c r="R85" t="s">
        <v>148</v>
      </c>
      <c r="BJ85" t="s">
        <v>161</v>
      </c>
      <c r="BK85" t="s">
        <v>162</v>
      </c>
      <c r="BL85" t="s">
        <v>163</v>
      </c>
    </row>
    <row r="86" spans="1:64" x14ac:dyDescent="0.2">
      <c r="A86" t="s">
        <v>608</v>
      </c>
      <c r="B86" t="s">
        <v>123</v>
      </c>
      <c r="C86" t="s">
        <v>1174</v>
      </c>
      <c r="D86" t="s">
        <v>123</v>
      </c>
      <c r="E86" t="s">
        <v>151</v>
      </c>
      <c r="F86" t="s">
        <v>96</v>
      </c>
      <c r="G86" t="s">
        <v>97</v>
      </c>
      <c r="J86" t="s">
        <v>189</v>
      </c>
      <c r="L86" t="s">
        <v>102</v>
      </c>
      <c r="M86" t="s">
        <v>122</v>
      </c>
      <c r="N86" t="s">
        <v>110</v>
      </c>
      <c r="O86" t="s">
        <v>113</v>
      </c>
      <c r="P86" t="s">
        <v>152</v>
      </c>
      <c r="Q86" t="s">
        <v>152</v>
      </c>
      <c r="R86" t="s">
        <v>148</v>
      </c>
      <c r="BJ86" t="s">
        <v>161</v>
      </c>
      <c r="BK86" t="s">
        <v>162</v>
      </c>
      <c r="BL86" t="s">
        <v>163</v>
      </c>
    </row>
    <row r="87" spans="1:64" x14ac:dyDescent="0.2">
      <c r="A87" t="s">
        <v>569</v>
      </c>
      <c r="B87" t="s">
        <v>123</v>
      </c>
      <c r="C87" t="s">
        <v>1174</v>
      </c>
      <c r="D87" t="s">
        <v>123</v>
      </c>
      <c r="E87" t="s">
        <v>151</v>
      </c>
      <c r="F87" t="s">
        <v>96</v>
      </c>
      <c r="G87" t="s">
        <v>97</v>
      </c>
      <c r="J87" t="s">
        <v>189</v>
      </c>
      <c r="L87" t="s">
        <v>102</v>
      </c>
      <c r="M87" t="s">
        <v>122</v>
      </c>
      <c r="N87" t="s">
        <v>110</v>
      </c>
      <c r="O87" t="s">
        <v>113</v>
      </c>
      <c r="P87" t="s">
        <v>152</v>
      </c>
      <c r="Q87" t="s">
        <v>152</v>
      </c>
      <c r="R87" t="s">
        <v>148</v>
      </c>
      <c r="BJ87" t="s">
        <v>161</v>
      </c>
      <c r="BK87" t="s">
        <v>162</v>
      </c>
      <c r="BL87" t="s">
        <v>163</v>
      </c>
    </row>
    <row r="88" spans="1:64" x14ac:dyDescent="0.2">
      <c r="A88" t="s">
        <v>638</v>
      </c>
      <c r="B88" t="s">
        <v>115</v>
      </c>
      <c r="C88" t="s">
        <v>1174</v>
      </c>
      <c r="D88" t="s">
        <v>115</v>
      </c>
      <c r="I88" t="s">
        <v>117</v>
      </c>
      <c r="K88" t="s">
        <v>849</v>
      </c>
      <c r="M88" t="s">
        <v>121</v>
      </c>
      <c r="N88" t="s">
        <v>110</v>
      </c>
      <c r="O88" t="s">
        <v>113</v>
      </c>
      <c r="R88" t="s">
        <v>148</v>
      </c>
      <c r="BJ88" t="s">
        <v>161</v>
      </c>
      <c r="BK88" t="s">
        <v>162</v>
      </c>
      <c r="BL88" t="s">
        <v>163</v>
      </c>
    </row>
    <row r="89" spans="1:64" x14ac:dyDescent="0.2">
      <c r="A89" t="s">
        <v>639</v>
      </c>
      <c r="B89" t="s">
        <v>115</v>
      </c>
      <c r="C89" t="s">
        <v>1174</v>
      </c>
      <c r="D89" t="s">
        <v>115</v>
      </c>
      <c r="I89" t="s">
        <v>117</v>
      </c>
      <c r="K89" t="s">
        <v>849</v>
      </c>
      <c r="M89" t="s">
        <v>121</v>
      </c>
      <c r="N89" t="s">
        <v>110</v>
      </c>
      <c r="O89" t="s">
        <v>113</v>
      </c>
      <c r="R89" t="s">
        <v>148</v>
      </c>
      <c r="BJ89" t="s">
        <v>161</v>
      </c>
      <c r="BK89" t="s">
        <v>162</v>
      </c>
      <c r="BL89" t="s">
        <v>163</v>
      </c>
    </row>
    <row r="90" spans="1:64" x14ac:dyDescent="0.2">
      <c r="A90" t="s">
        <v>640</v>
      </c>
      <c r="B90" t="s">
        <v>115</v>
      </c>
      <c r="C90" t="s">
        <v>1174</v>
      </c>
      <c r="D90" t="s">
        <v>115</v>
      </c>
      <c r="I90" t="s">
        <v>117</v>
      </c>
      <c r="K90" t="s">
        <v>849</v>
      </c>
      <c r="M90" t="s">
        <v>121</v>
      </c>
      <c r="N90" t="s">
        <v>110</v>
      </c>
      <c r="O90" t="s">
        <v>113</v>
      </c>
      <c r="R90" t="s">
        <v>148</v>
      </c>
      <c r="BJ90" t="s">
        <v>161</v>
      </c>
      <c r="BK90" t="s">
        <v>162</v>
      </c>
      <c r="BL90" t="s">
        <v>163</v>
      </c>
    </row>
    <row r="91" spans="1:64" x14ac:dyDescent="0.2">
      <c r="A91" t="s">
        <v>620</v>
      </c>
      <c r="B91" t="s">
        <v>115</v>
      </c>
      <c r="C91" t="s">
        <v>1174</v>
      </c>
      <c r="D91" t="s">
        <v>115</v>
      </c>
      <c r="I91" t="s">
        <v>117</v>
      </c>
      <c r="K91" t="s">
        <v>849</v>
      </c>
      <c r="M91" t="s">
        <v>121</v>
      </c>
      <c r="N91" t="s">
        <v>110</v>
      </c>
      <c r="O91" t="s">
        <v>113</v>
      </c>
      <c r="R91" t="s">
        <v>148</v>
      </c>
      <c r="BJ91" t="s">
        <v>161</v>
      </c>
      <c r="BK91" t="s">
        <v>162</v>
      </c>
      <c r="BL91" t="s">
        <v>163</v>
      </c>
    </row>
    <row r="92" spans="1:64" x14ac:dyDescent="0.2">
      <c r="A92" t="s">
        <v>621</v>
      </c>
      <c r="B92" t="s">
        <v>115</v>
      </c>
      <c r="C92" t="s">
        <v>1174</v>
      </c>
      <c r="D92" t="s">
        <v>115</v>
      </c>
      <c r="I92" t="s">
        <v>117</v>
      </c>
      <c r="K92" t="s">
        <v>849</v>
      </c>
      <c r="M92" t="s">
        <v>121</v>
      </c>
      <c r="N92" t="s">
        <v>110</v>
      </c>
      <c r="O92" t="s">
        <v>113</v>
      </c>
      <c r="R92" t="s">
        <v>148</v>
      </c>
      <c r="BJ92" t="s">
        <v>161</v>
      </c>
      <c r="BK92" t="s">
        <v>162</v>
      </c>
      <c r="BL92" t="s">
        <v>163</v>
      </c>
    </row>
    <row r="93" spans="1:64" x14ac:dyDescent="0.2">
      <c r="A93" t="s">
        <v>622</v>
      </c>
      <c r="B93" t="s">
        <v>115</v>
      </c>
      <c r="C93" t="s">
        <v>1174</v>
      </c>
      <c r="D93" t="s">
        <v>115</v>
      </c>
      <c r="I93" t="s">
        <v>117</v>
      </c>
      <c r="K93" t="s">
        <v>849</v>
      </c>
      <c r="M93" t="s">
        <v>121</v>
      </c>
      <c r="N93" t="s">
        <v>110</v>
      </c>
      <c r="O93" t="s">
        <v>113</v>
      </c>
      <c r="R93" t="s">
        <v>148</v>
      </c>
      <c r="BJ93" t="s">
        <v>161</v>
      </c>
      <c r="BK93" t="s">
        <v>162</v>
      </c>
      <c r="BL93" t="s">
        <v>163</v>
      </c>
    </row>
    <row r="94" spans="1:64" x14ac:dyDescent="0.2">
      <c r="A94" t="s">
        <v>629</v>
      </c>
      <c r="B94" t="s">
        <v>115</v>
      </c>
      <c r="C94" t="s">
        <v>1174</v>
      </c>
      <c r="D94" t="s">
        <v>115</v>
      </c>
      <c r="I94" t="s">
        <v>117</v>
      </c>
      <c r="K94" t="s">
        <v>849</v>
      </c>
      <c r="M94" t="s">
        <v>121</v>
      </c>
      <c r="N94" t="s">
        <v>110</v>
      </c>
      <c r="O94" t="s">
        <v>113</v>
      </c>
      <c r="R94" t="s">
        <v>148</v>
      </c>
      <c r="BJ94" t="s">
        <v>161</v>
      </c>
      <c r="BK94" t="s">
        <v>162</v>
      </c>
      <c r="BL94" t="s">
        <v>163</v>
      </c>
    </row>
    <row r="95" spans="1:64" x14ac:dyDescent="0.2">
      <c r="A95" t="s">
        <v>630</v>
      </c>
      <c r="B95" t="s">
        <v>115</v>
      </c>
      <c r="C95" t="s">
        <v>1174</v>
      </c>
      <c r="D95" t="s">
        <v>115</v>
      </c>
      <c r="I95" t="s">
        <v>117</v>
      </c>
      <c r="K95" t="s">
        <v>849</v>
      </c>
      <c r="M95" t="s">
        <v>121</v>
      </c>
      <c r="N95" t="s">
        <v>110</v>
      </c>
      <c r="O95" t="s">
        <v>113</v>
      </c>
      <c r="R95" t="s">
        <v>148</v>
      </c>
      <c r="BJ95" t="s">
        <v>161</v>
      </c>
      <c r="BK95" t="s">
        <v>162</v>
      </c>
      <c r="BL95" t="s">
        <v>163</v>
      </c>
    </row>
    <row r="96" spans="1:64" x14ac:dyDescent="0.2">
      <c r="A96" t="s">
        <v>631</v>
      </c>
      <c r="B96" t="s">
        <v>115</v>
      </c>
      <c r="C96" t="s">
        <v>1174</v>
      </c>
      <c r="D96" t="s">
        <v>115</v>
      </c>
      <c r="I96" t="s">
        <v>117</v>
      </c>
      <c r="K96" t="s">
        <v>849</v>
      </c>
      <c r="M96" t="s">
        <v>121</v>
      </c>
      <c r="N96" t="s">
        <v>110</v>
      </c>
      <c r="O96" t="s">
        <v>113</v>
      </c>
      <c r="R96" t="s">
        <v>148</v>
      </c>
      <c r="BJ96" t="s">
        <v>161</v>
      </c>
      <c r="BK96" t="s">
        <v>162</v>
      </c>
      <c r="BL96" t="s">
        <v>163</v>
      </c>
    </row>
    <row r="97" spans="1:64" x14ac:dyDescent="0.2">
      <c r="A97" t="s">
        <v>492</v>
      </c>
      <c r="B97" t="s">
        <v>123</v>
      </c>
      <c r="C97" t="s">
        <v>1174</v>
      </c>
      <c r="D97" t="s">
        <v>123</v>
      </c>
      <c r="E97" t="s">
        <v>151</v>
      </c>
      <c r="F97" t="s">
        <v>96</v>
      </c>
      <c r="G97" t="s">
        <v>97</v>
      </c>
      <c r="J97" t="s">
        <v>189</v>
      </c>
      <c r="L97" t="s">
        <v>102</v>
      </c>
      <c r="M97" t="s">
        <v>122</v>
      </c>
      <c r="N97" t="s">
        <v>110</v>
      </c>
      <c r="O97" t="s">
        <v>113</v>
      </c>
      <c r="P97" t="s">
        <v>152</v>
      </c>
      <c r="Q97" t="s">
        <v>152</v>
      </c>
      <c r="R97" t="s">
        <v>148</v>
      </c>
      <c r="BJ97" t="s">
        <v>161</v>
      </c>
      <c r="BK97" t="s">
        <v>162</v>
      </c>
      <c r="BL97" t="s">
        <v>163</v>
      </c>
    </row>
    <row r="98" spans="1:64" x14ac:dyDescent="0.2">
      <c r="A98" t="s">
        <v>493</v>
      </c>
      <c r="B98" t="s">
        <v>123</v>
      </c>
      <c r="C98" t="s">
        <v>1174</v>
      </c>
      <c r="D98" t="s">
        <v>123</v>
      </c>
      <c r="E98" t="s">
        <v>151</v>
      </c>
      <c r="F98" t="s">
        <v>96</v>
      </c>
      <c r="G98" t="s">
        <v>97</v>
      </c>
      <c r="J98" t="s">
        <v>189</v>
      </c>
      <c r="L98" t="s">
        <v>102</v>
      </c>
      <c r="M98" t="s">
        <v>122</v>
      </c>
      <c r="N98" t="s">
        <v>110</v>
      </c>
      <c r="O98" t="s">
        <v>113</v>
      </c>
      <c r="P98" t="s">
        <v>152</v>
      </c>
      <c r="Q98" t="s">
        <v>152</v>
      </c>
      <c r="R98" t="s">
        <v>148</v>
      </c>
      <c r="BJ98" t="s">
        <v>161</v>
      </c>
      <c r="BK98" t="s">
        <v>162</v>
      </c>
      <c r="BL98" t="s">
        <v>163</v>
      </c>
    </row>
    <row r="99" spans="1:64" x14ac:dyDescent="0.2">
      <c r="A99" t="s">
        <v>494</v>
      </c>
      <c r="B99" t="s">
        <v>123</v>
      </c>
      <c r="C99" t="s">
        <v>1174</v>
      </c>
      <c r="D99" t="s">
        <v>123</v>
      </c>
      <c r="E99" t="s">
        <v>151</v>
      </c>
      <c r="F99" t="s">
        <v>96</v>
      </c>
      <c r="G99" t="s">
        <v>97</v>
      </c>
      <c r="J99" t="s">
        <v>189</v>
      </c>
      <c r="L99" t="s">
        <v>102</v>
      </c>
      <c r="M99" t="s">
        <v>122</v>
      </c>
      <c r="N99" t="s">
        <v>110</v>
      </c>
      <c r="O99" t="s">
        <v>113</v>
      </c>
      <c r="P99" t="s">
        <v>152</v>
      </c>
      <c r="Q99" t="s">
        <v>152</v>
      </c>
      <c r="R99" t="s">
        <v>148</v>
      </c>
      <c r="BJ99" t="s">
        <v>161</v>
      </c>
      <c r="BK99" t="s">
        <v>162</v>
      </c>
      <c r="BL99" t="s">
        <v>163</v>
      </c>
    </row>
    <row r="100" spans="1:64" x14ac:dyDescent="0.2">
      <c r="A100" t="s">
        <v>495</v>
      </c>
      <c r="B100" t="s">
        <v>123</v>
      </c>
      <c r="C100" t="s">
        <v>1174</v>
      </c>
      <c r="D100" t="s">
        <v>123</v>
      </c>
      <c r="E100" t="s">
        <v>151</v>
      </c>
      <c r="F100" t="s">
        <v>96</v>
      </c>
      <c r="G100" t="s">
        <v>97</v>
      </c>
      <c r="J100" t="s">
        <v>189</v>
      </c>
      <c r="L100" t="s">
        <v>102</v>
      </c>
      <c r="M100" t="s">
        <v>122</v>
      </c>
      <c r="N100" t="s">
        <v>110</v>
      </c>
      <c r="O100" t="s">
        <v>113</v>
      </c>
      <c r="P100" t="s">
        <v>152</v>
      </c>
      <c r="Q100" t="s">
        <v>152</v>
      </c>
      <c r="R100" t="s">
        <v>148</v>
      </c>
      <c r="BJ100" t="s">
        <v>161</v>
      </c>
      <c r="BK100" t="s">
        <v>162</v>
      </c>
      <c r="BL100" t="s">
        <v>163</v>
      </c>
    </row>
    <row r="102" spans="1:64" x14ac:dyDescent="0.2">
      <c r="A102" t="s">
        <v>76</v>
      </c>
    </row>
    <row r="103" spans="1:64" x14ac:dyDescent="0.2">
      <c r="B103" t="s">
        <v>15</v>
      </c>
      <c r="C103" t="s">
        <v>14</v>
      </c>
      <c r="D103" t="s">
        <v>16</v>
      </c>
      <c r="E103" t="s">
        <v>501</v>
      </c>
      <c r="F103" t="s">
        <v>19</v>
      </c>
      <c r="G103" t="s">
        <v>20</v>
      </c>
      <c r="H103" t="s">
        <v>22</v>
      </c>
      <c r="I103" t="s">
        <v>24</v>
      </c>
      <c r="J103" t="s">
        <v>52</v>
      </c>
      <c r="K103" t="s">
        <v>27</v>
      </c>
      <c r="L103" t="s">
        <v>28</v>
      </c>
      <c r="M103" t="s">
        <v>118</v>
      </c>
      <c r="N103" t="s">
        <v>105</v>
      </c>
      <c r="O103" t="s">
        <v>112</v>
      </c>
      <c r="P103" t="s">
        <v>144</v>
      </c>
      <c r="Q103" t="s">
        <v>145</v>
      </c>
      <c r="R103" t="s">
        <v>146</v>
      </c>
      <c r="S103" t="s">
        <v>66</v>
      </c>
      <c r="T103" t="s">
        <v>843</v>
      </c>
      <c r="U103" t="s">
        <v>67</v>
      </c>
      <c r="V103" t="s">
        <v>55</v>
      </c>
      <c r="W103" t="s">
        <v>56</v>
      </c>
      <c r="X103" t="s">
        <v>57</v>
      </c>
      <c r="Y103" t="s">
        <v>58</v>
      </c>
      <c r="Z103" t="s">
        <v>59</v>
      </c>
      <c r="AA103" t="s">
        <v>61</v>
      </c>
      <c r="AB103" t="s">
        <v>60</v>
      </c>
      <c r="AC103" t="s">
        <v>62</v>
      </c>
      <c r="AD103" t="s">
        <v>593</v>
      </c>
      <c r="AE103" t="s">
        <v>541</v>
      </c>
      <c r="AF103" t="s">
        <v>542</v>
      </c>
      <c r="AG103" t="s">
        <v>543</v>
      </c>
      <c r="AH103" t="s">
        <v>544</v>
      </c>
      <c r="AI103" t="s">
        <v>545</v>
      </c>
      <c r="AJ103" t="s">
        <v>546</v>
      </c>
      <c r="AK103" t="s">
        <v>547</v>
      </c>
      <c r="AL103" t="s">
        <v>548</v>
      </c>
      <c r="AM103" t="s">
        <v>549</v>
      </c>
      <c r="AN103" t="s">
        <v>550</v>
      </c>
      <c r="AO103" t="s">
        <v>55</v>
      </c>
      <c r="AP103" t="s">
        <v>551</v>
      </c>
      <c r="AQ103" t="s">
        <v>552</v>
      </c>
      <c r="AR103" t="s">
        <v>553</v>
      </c>
      <c r="AS103" t="s">
        <v>554</v>
      </c>
      <c r="AT103" t="s">
        <v>555</v>
      </c>
      <c r="AU103" t="s">
        <v>556</v>
      </c>
      <c r="AV103" t="s">
        <v>557</v>
      </c>
      <c r="AW103" t="s">
        <v>560</v>
      </c>
      <c r="AX103" t="s">
        <v>558</v>
      </c>
      <c r="AY103" t="s">
        <v>559</v>
      </c>
      <c r="AZ103" t="s">
        <v>561</v>
      </c>
      <c r="BA103" t="s">
        <v>562</v>
      </c>
      <c r="BB103" t="s">
        <v>563</v>
      </c>
      <c r="BC103" t="s">
        <v>564</v>
      </c>
      <c r="BD103" t="s">
        <v>522</v>
      </c>
      <c r="BE103" t="s">
        <v>524</v>
      </c>
      <c r="BF103" t="s">
        <v>523</v>
      </c>
      <c r="BG103" t="s">
        <v>567</v>
      </c>
      <c r="BH103" t="s">
        <v>565</v>
      </c>
      <c r="BI103" t="s">
        <v>566</v>
      </c>
      <c r="BJ103" t="s">
        <v>29</v>
      </c>
      <c r="BK103" t="s">
        <v>30</v>
      </c>
      <c r="BL103" t="s">
        <v>31</v>
      </c>
    </row>
    <row r="104" spans="1:64" x14ac:dyDescent="0.2">
      <c r="A104" t="s">
        <v>618</v>
      </c>
      <c r="B104" t="s">
        <v>76</v>
      </c>
      <c r="C104" t="s">
        <v>77</v>
      </c>
      <c r="D104" t="s">
        <v>76</v>
      </c>
      <c r="E104" t="s">
        <v>77</v>
      </c>
      <c r="F104" t="s">
        <v>77</v>
      </c>
      <c r="G104" t="s">
        <v>77</v>
      </c>
      <c r="J104" t="s">
        <v>76</v>
      </c>
      <c r="K104" t="s">
        <v>77</v>
      </c>
      <c r="L104" t="s">
        <v>98</v>
      </c>
      <c r="M104" t="s">
        <v>76</v>
      </c>
      <c r="N104" t="s">
        <v>107</v>
      </c>
      <c r="O104" t="s">
        <v>107</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98</v>
      </c>
      <c r="M105" t="s">
        <v>76</v>
      </c>
      <c r="N105" t="s">
        <v>107</v>
      </c>
      <c r="O105" t="s">
        <v>107</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489</v>
      </c>
      <c r="B106" t="s">
        <v>76</v>
      </c>
      <c r="C106" t="s">
        <v>77</v>
      </c>
      <c r="D106" t="s">
        <v>76</v>
      </c>
      <c r="E106" t="s">
        <v>77</v>
      </c>
      <c r="F106" t="s">
        <v>77</v>
      </c>
      <c r="G106" t="s">
        <v>77</v>
      </c>
      <c r="J106" t="s">
        <v>76</v>
      </c>
      <c r="K106" t="s">
        <v>77</v>
      </c>
      <c r="L106" t="s">
        <v>98</v>
      </c>
      <c r="M106" t="s">
        <v>76</v>
      </c>
      <c r="N106" t="s">
        <v>107</v>
      </c>
      <c r="O106" t="s">
        <v>107</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490</v>
      </c>
      <c r="B107" t="s">
        <v>76</v>
      </c>
      <c r="C107" t="s">
        <v>77</v>
      </c>
      <c r="D107" t="s">
        <v>76</v>
      </c>
      <c r="E107" t="s">
        <v>77</v>
      </c>
      <c r="F107" t="s">
        <v>77</v>
      </c>
      <c r="G107" t="s">
        <v>77</v>
      </c>
      <c r="J107" t="s">
        <v>76</v>
      </c>
      <c r="K107" t="s">
        <v>77</v>
      </c>
      <c r="L107" t="s">
        <v>98</v>
      </c>
      <c r="M107" t="s">
        <v>76</v>
      </c>
      <c r="N107" t="s">
        <v>107</v>
      </c>
      <c r="O107" t="s">
        <v>107</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496</v>
      </c>
      <c r="B108" t="s">
        <v>76</v>
      </c>
      <c r="C108" t="s">
        <v>77</v>
      </c>
      <c r="D108" t="s">
        <v>76</v>
      </c>
      <c r="E108" t="s">
        <v>77</v>
      </c>
      <c r="F108" t="s">
        <v>77</v>
      </c>
      <c r="G108" t="s">
        <v>77</v>
      </c>
      <c r="J108" t="s">
        <v>76</v>
      </c>
      <c r="K108" t="s">
        <v>77</v>
      </c>
      <c r="L108" t="s">
        <v>98</v>
      </c>
      <c r="M108" t="s">
        <v>76</v>
      </c>
      <c r="N108" t="s">
        <v>107</v>
      </c>
      <c r="O108" t="s">
        <v>107</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491</v>
      </c>
      <c r="B109" t="s">
        <v>76</v>
      </c>
      <c r="C109" t="s">
        <v>77</v>
      </c>
      <c r="D109" t="s">
        <v>76</v>
      </c>
      <c r="E109" t="s">
        <v>76</v>
      </c>
      <c r="F109" t="s">
        <v>77</v>
      </c>
      <c r="G109" t="s">
        <v>77</v>
      </c>
      <c r="K109" t="s">
        <v>77</v>
      </c>
      <c r="L109" t="s">
        <v>98</v>
      </c>
      <c r="M109" t="s">
        <v>76</v>
      </c>
      <c r="N109" t="s">
        <v>107</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579</v>
      </c>
      <c r="B110" t="s">
        <v>76</v>
      </c>
      <c r="C110" t="s">
        <v>77</v>
      </c>
      <c r="D110" t="s">
        <v>76</v>
      </c>
      <c r="I110" t="s">
        <v>77</v>
      </c>
      <c r="K110" t="s">
        <v>77</v>
      </c>
      <c r="L110" t="s">
        <v>98</v>
      </c>
      <c r="M110" t="s">
        <v>76</v>
      </c>
      <c r="N110" t="s">
        <v>107</v>
      </c>
      <c r="O110" t="s">
        <v>107</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580</v>
      </c>
      <c r="B111" t="s">
        <v>76</v>
      </c>
      <c r="C111" t="s">
        <v>77</v>
      </c>
      <c r="D111" t="s">
        <v>76</v>
      </c>
      <c r="I111" t="s">
        <v>77</v>
      </c>
      <c r="K111" t="s">
        <v>77</v>
      </c>
      <c r="L111" t="s">
        <v>98</v>
      </c>
      <c r="M111" t="s">
        <v>76</v>
      </c>
      <c r="N111" t="s">
        <v>107</v>
      </c>
      <c r="O111" t="s">
        <v>107</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581</v>
      </c>
      <c r="B112" t="s">
        <v>76</v>
      </c>
      <c r="C112" t="s">
        <v>77</v>
      </c>
      <c r="D112" t="s">
        <v>76</v>
      </c>
      <c r="I112" t="s">
        <v>77</v>
      </c>
      <c r="K112" t="s">
        <v>77</v>
      </c>
      <c r="L112" t="s">
        <v>98</v>
      </c>
      <c r="M112" t="s">
        <v>76</v>
      </c>
      <c r="N112" t="s">
        <v>107</v>
      </c>
      <c r="O112" t="s">
        <v>107</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609</v>
      </c>
      <c r="B113" t="s">
        <v>76</v>
      </c>
      <c r="C113" t="s">
        <v>77</v>
      </c>
      <c r="D113" t="s">
        <v>76</v>
      </c>
      <c r="I113" t="s">
        <v>77</v>
      </c>
      <c r="K113" t="s">
        <v>77</v>
      </c>
      <c r="L113" t="s">
        <v>98</v>
      </c>
      <c r="M113" t="s">
        <v>76</v>
      </c>
      <c r="N113" t="s">
        <v>107</v>
      </c>
      <c r="O113" t="s">
        <v>107</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610</v>
      </c>
      <c r="B114" t="s">
        <v>76</v>
      </c>
      <c r="C114" t="s">
        <v>77</v>
      </c>
      <c r="D114" t="s">
        <v>76</v>
      </c>
      <c r="I114" t="s">
        <v>77</v>
      </c>
      <c r="K114" t="s">
        <v>77</v>
      </c>
      <c r="L114" t="s">
        <v>98</v>
      </c>
      <c r="M114" t="s">
        <v>76</v>
      </c>
      <c r="N114" t="s">
        <v>107</v>
      </c>
      <c r="O114" t="s">
        <v>107</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611</v>
      </c>
      <c r="B115" t="s">
        <v>76</v>
      </c>
      <c r="C115" t="s">
        <v>77</v>
      </c>
      <c r="D115" t="s">
        <v>76</v>
      </c>
      <c r="I115" t="s">
        <v>77</v>
      </c>
      <c r="K115" t="s">
        <v>77</v>
      </c>
      <c r="L115" t="s">
        <v>98</v>
      </c>
      <c r="M115" t="s">
        <v>76</v>
      </c>
      <c r="N115" t="s">
        <v>107</v>
      </c>
      <c r="O115" t="s">
        <v>107</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570</v>
      </c>
      <c r="B116" t="s">
        <v>76</v>
      </c>
      <c r="C116" t="s">
        <v>77</v>
      </c>
      <c r="D116" t="s">
        <v>76</v>
      </c>
      <c r="I116" t="s">
        <v>77</v>
      </c>
      <c r="K116" t="s">
        <v>77</v>
      </c>
      <c r="L116" t="s">
        <v>98</v>
      </c>
      <c r="M116" t="s">
        <v>76</v>
      </c>
      <c r="N116" t="s">
        <v>107</v>
      </c>
      <c r="O116" t="s">
        <v>107</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571</v>
      </c>
      <c r="B117" t="s">
        <v>76</v>
      </c>
      <c r="C117" t="s">
        <v>77</v>
      </c>
      <c r="D117" t="s">
        <v>76</v>
      </c>
      <c r="I117" t="s">
        <v>77</v>
      </c>
      <c r="K117" t="s">
        <v>77</v>
      </c>
      <c r="L117" t="s">
        <v>98</v>
      </c>
      <c r="M117" t="s">
        <v>76</v>
      </c>
      <c r="N117" t="s">
        <v>107</v>
      </c>
      <c r="O117" t="s">
        <v>107</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572</v>
      </c>
      <c r="B118" t="s">
        <v>76</v>
      </c>
      <c r="C118" t="s">
        <v>77</v>
      </c>
      <c r="D118" t="s">
        <v>76</v>
      </c>
      <c r="I118" t="s">
        <v>77</v>
      </c>
      <c r="K118" t="s">
        <v>77</v>
      </c>
      <c r="L118" t="s">
        <v>98</v>
      </c>
      <c r="M118" t="s">
        <v>76</v>
      </c>
      <c r="N118" t="s">
        <v>107</v>
      </c>
      <c r="O118" t="s">
        <v>107</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608</v>
      </c>
      <c r="B119" t="s">
        <v>77</v>
      </c>
      <c r="C119" t="s">
        <v>77</v>
      </c>
      <c r="D119" t="s">
        <v>77</v>
      </c>
      <c r="E119" t="s">
        <v>77</v>
      </c>
      <c r="F119" t="s">
        <v>77</v>
      </c>
      <c r="G119" t="s">
        <v>77</v>
      </c>
      <c r="J119" t="s">
        <v>76</v>
      </c>
      <c r="K119" t="s">
        <v>77</v>
      </c>
      <c r="L119" t="s">
        <v>98</v>
      </c>
      <c r="M119" t="s">
        <v>76</v>
      </c>
      <c r="N119" t="s">
        <v>107</v>
      </c>
      <c r="O119" t="s">
        <v>107</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569</v>
      </c>
      <c r="B120" t="s">
        <v>77</v>
      </c>
      <c r="C120" t="s">
        <v>77</v>
      </c>
      <c r="D120" t="s">
        <v>77</v>
      </c>
      <c r="E120" t="s">
        <v>77</v>
      </c>
      <c r="F120" t="s">
        <v>77</v>
      </c>
      <c r="G120" t="s">
        <v>77</v>
      </c>
      <c r="J120" t="s">
        <v>76</v>
      </c>
      <c r="K120" t="s">
        <v>77</v>
      </c>
      <c r="L120" t="s">
        <v>98</v>
      </c>
      <c r="M120" t="s">
        <v>76</v>
      </c>
      <c r="N120" t="s">
        <v>107</v>
      </c>
      <c r="O120" t="s">
        <v>107</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638</v>
      </c>
      <c r="B121" t="s">
        <v>76</v>
      </c>
      <c r="C121" t="s">
        <v>77</v>
      </c>
      <c r="D121" t="s">
        <v>76</v>
      </c>
      <c r="I121" t="s">
        <v>77</v>
      </c>
      <c r="K121" t="s">
        <v>77</v>
      </c>
      <c r="L121" t="s">
        <v>98</v>
      </c>
      <c r="M121" t="s">
        <v>76</v>
      </c>
      <c r="N121" t="s">
        <v>107</v>
      </c>
      <c r="O121" t="s">
        <v>107</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639</v>
      </c>
      <c r="B122" t="s">
        <v>76</v>
      </c>
      <c r="C122" t="s">
        <v>77</v>
      </c>
      <c r="D122" t="s">
        <v>76</v>
      </c>
      <c r="I122" t="s">
        <v>77</v>
      </c>
      <c r="K122" t="s">
        <v>77</v>
      </c>
      <c r="L122" t="s">
        <v>98</v>
      </c>
      <c r="M122" t="s">
        <v>76</v>
      </c>
      <c r="N122" t="s">
        <v>107</v>
      </c>
      <c r="O122" t="s">
        <v>107</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640</v>
      </c>
      <c r="B123" t="s">
        <v>76</v>
      </c>
      <c r="C123" t="s">
        <v>77</v>
      </c>
      <c r="D123" t="s">
        <v>76</v>
      </c>
      <c r="I123" t="s">
        <v>77</v>
      </c>
      <c r="K123" t="s">
        <v>77</v>
      </c>
      <c r="L123" t="s">
        <v>98</v>
      </c>
      <c r="M123" t="s">
        <v>76</v>
      </c>
      <c r="N123" t="s">
        <v>107</v>
      </c>
      <c r="O123" t="s">
        <v>107</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620</v>
      </c>
      <c r="B124" t="s">
        <v>76</v>
      </c>
      <c r="C124" t="s">
        <v>77</v>
      </c>
      <c r="D124" t="s">
        <v>76</v>
      </c>
      <c r="I124" t="s">
        <v>77</v>
      </c>
      <c r="K124" t="s">
        <v>77</v>
      </c>
      <c r="L124" t="s">
        <v>98</v>
      </c>
      <c r="M124" t="s">
        <v>76</v>
      </c>
      <c r="N124" t="s">
        <v>107</v>
      </c>
      <c r="O124" t="s">
        <v>107</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621</v>
      </c>
      <c r="B125" t="s">
        <v>76</v>
      </c>
      <c r="C125" t="s">
        <v>77</v>
      </c>
      <c r="D125" t="s">
        <v>76</v>
      </c>
      <c r="I125" t="s">
        <v>77</v>
      </c>
      <c r="K125" t="s">
        <v>77</v>
      </c>
      <c r="L125" t="s">
        <v>98</v>
      </c>
      <c r="M125" t="s">
        <v>76</v>
      </c>
      <c r="N125" t="s">
        <v>107</v>
      </c>
      <c r="O125" t="s">
        <v>107</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622</v>
      </c>
      <c r="B126" t="s">
        <v>76</v>
      </c>
      <c r="C126" t="s">
        <v>77</v>
      </c>
      <c r="D126" t="s">
        <v>76</v>
      </c>
      <c r="I126" t="s">
        <v>77</v>
      </c>
      <c r="K126" t="s">
        <v>77</v>
      </c>
      <c r="L126" t="s">
        <v>98</v>
      </c>
      <c r="M126" t="s">
        <v>76</v>
      </c>
      <c r="N126" t="s">
        <v>107</v>
      </c>
      <c r="O126" t="s">
        <v>107</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629</v>
      </c>
      <c r="B127" t="s">
        <v>76</v>
      </c>
      <c r="C127" t="s">
        <v>77</v>
      </c>
      <c r="D127" t="s">
        <v>76</v>
      </c>
      <c r="I127" t="s">
        <v>77</v>
      </c>
      <c r="K127" t="s">
        <v>77</v>
      </c>
      <c r="L127" t="s">
        <v>98</v>
      </c>
      <c r="M127" t="s">
        <v>76</v>
      </c>
      <c r="N127" t="s">
        <v>107</v>
      </c>
      <c r="O127" t="s">
        <v>107</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630</v>
      </c>
      <c r="B128" t="s">
        <v>76</v>
      </c>
      <c r="C128" t="s">
        <v>77</v>
      </c>
      <c r="D128" t="s">
        <v>76</v>
      </c>
      <c r="I128" t="s">
        <v>77</v>
      </c>
      <c r="K128" t="s">
        <v>77</v>
      </c>
      <c r="L128" t="s">
        <v>98</v>
      </c>
      <c r="M128" t="s">
        <v>76</v>
      </c>
      <c r="N128" t="s">
        <v>107</v>
      </c>
      <c r="O128" t="s">
        <v>107</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631</v>
      </c>
      <c r="B129" t="s">
        <v>76</v>
      </c>
      <c r="C129" t="s">
        <v>77</v>
      </c>
      <c r="D129" t="s">
        <v>76</v>
      </c>
      <c r="I129" t="s">
        <v>77</v>
      </c>
      <c r="K129" t="s">
        <v>77</v>
      </c>
      <c r="L129" t="s">
        <v>98</v>
      </c>
      <c r="M129" t="s">
        <v>76</v>
      </c>
      <c r="N129" t="s">
        <v>107</v>
      </c>
      <c r="O129" t="s">
        <v>107</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492</v>
      </c>
      <c r="B130" t="s">
        <v>77</v>
      </c>
      <c r="C130" t="s">
        <v>77</v>
      </c>
      <c r="D130" t="s">
        <v>77</v>
      </c>
      <c r="E130" t="s">
        <v>77</v>
      </c>
      <c r="F130" t="s">
        <v>77</v>
      </c>
      <c r="G130" t="s">
        <v>77</v>
      </c>
      <c r="J130" t="s">
        <v>76</v>
      </c>
      <c r="K130" t="s">
        <v>77</v>
      </c>
      <c r="L130" t="s">
        <v>98</v>
      </c>
      <c r="M130" t="s">
        <v>76</v>
      </c>
      <c r="N130" t="s">
        <v>107</v>
      </c>
      <c r="O130" t="s">
        <v>107</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493</v>
      </c>
      <c r="B131" t="s">
        <v>77</v>
      </c>
      <c r="C131" t="s">
        <v>77</v>
      </c>
      <c r="D131" t="s">
        <v>77</v>
      </c>
      <c r="E131" t="s">
        <v>77</v>
      </c>
      <c r="F131" t="s">
        <v>77</v>
      </c>
      <c r="G131" t="s">
        <v>77</v>
      </c>
      <c r="J131" t="s">
        <v>76</v>
      </c>
      <c r="K131" t="s">
        <v>77</v>
      </c>
      <c r="L131" t="s">
        <v>98</v>
      </c>
      <c r="M131" t="s">
        <v>76</v>
      </c>
      <c r="N131" t="s">
        <v>107</v>
      </c>
      <c r="O131" t="s">
        <v>107</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494</v>
      </c>
      <c r="B132" t="s">
        <v>77</v>
      </c>
      <c r="C132" t="s">
        <v>77</v>
      </c>
      <c r="D132" t="s">
        <v>77</v>
      </c>
      <c r="E132" t="s">
        <v>77</v>
      </c>
      <c r="F132" t="s">
        <v>77</v>
      </c>
      <c r="G132" t="s">
        <v>77</v>
      </c>
      <c r="J132" t="s">
        <v>76</v>
      </c>
      <c r="K132" t="s">
        <v>77</v>
      </c>
      <c r="L132" t="s">
        <v>98</v>
      </c>
      <c r="M132" t="s">
        <v>76</v>
      </c>
      <c r="N132" t="s">
        <v>107</v>
      </c>
      <c r="O132" t="s">
        <v>107</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495</v>
      </c>
      <c r="B133" t="s">
        <v>77</v>
      </c>
      <c r="C133" t="s">
        <v>77</v>
      </c>
      <c r="D133" t="s">
        <v>77</v>
      </c>
      <c r="E133" t="s">
        <v>77</v>
      </c>
      <c r="F133" t="s">
        <v>77</v>
      </c>
      <c r="G133" t="s">
        <v>77</v>
      </c>
      <c r="J133" t="s">
        <v>76</v>
      </c>
      <c r="K133" t="s">
        <v>77</v>
      </c>
      <c r="L133" t="s">
        <v>98</v>
      </c>
      <c r="M133" t="s">
        <v>76</v>
      </c>
      <c r="N133" t="s">
        <v>107</v>
      </c>
      <c r="O133" t="s">
        <v>107</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174</v>
      </c>
      <c r="L135" t="s">
        <v>174</v>
      </c>
      <c r="M135" t="s">
        <v>174</v>
      </c>
      <c r="N135" t="s">
        <v>86</v>
      </c>
      <c r="O135" t="s">
        <v>174</v>
      </c>
      <c r="P135" t="s">
        <v>86</v>
      </c>
      <c r="Q135" t="s">
        <v>86</v>
      </c>
      <c r="R135" t="s">
        <v>86</v>
      </c>
      <c r="S135" t="s">
        <v>174</v>
      </c>
      <c r="T135" t="s">
        <v>174</v>
      </c>
      <c r="U135" t="s">
        <v>174</v>
      </c>
      <c r="V135" t="s">
        <v>174</v>
      </c>
      <c r="W135" t="s">
        <v>174</v>
      </c>
      <c r="X135" t="s">
        <v>174</v>
      </c>
      <c r="Y135" t="s">
        <v>174</v>
      </c>
      <c r="Z135" t="s">
        <v>174</v>
      </c>
      <c r="AA135" t="s">
        <v>174</v>
      </c>
      <c r="AB135" t="s">
        <v>174</v>
      </c>
      <c r="AC135" t="s">
        <v>174</v>
      </c>
      <c r="BJ135" t="s">
        <v>174</v>
      </c>
      <c r="BK135" t="s">
        <v>174</v>
      </c>
      <c r="BL135" t="s">
        <v>174</v>
      </c>
    </row>
    <row r="136" spans="1:64" x14ac:dyDescent="0.2">
      <c r="B136" t="s">
        <v>15</v>
      </c>
      <c r="C136" t="s">
        <v>14</v>
      </c>
      <c r="D136" t="s">
        <v>16</v>
      </c>
      <c r="E136" t="s">
        <v>501</v>
      </c>
      <c r="F136" t="s">
        <v>19</v>
      </c>
      <c r="G136" t="s">
        <v>20</v>
      </c>
      <c r="H136" t="s">
        <v>22</v>
      </c>
      <c r="I136" t="s">
        <v>24</v>
      </c>
      <c r="J136" t="s">
        <v>52</v>
      </c>
      <c r="K136" t="s">
        <v>27</v>
      </c>
      <c r="L136" t="s">
        <v>28</v>
      </c>
      <c r="M136" t="s">
        <v>118</v>
      </c>
      <c r="N136" t="s">
        <v>105</v>
      </c>
      <c r="O136" t="s">
        <v>112</v>
      </c>
      <c r="P136" t="s">
        <v>144</v>
      </c>
      <c r="Q136" t="s">
        <v>145</v>
      </c>
      <c r="R136" t="s">
        <v>146</v>
      </c>
      <c r="S136" t="s">
        <v>66</v>
      </c>
      <c r="T136" t="s">
        <v>843</v>
      </c>
      <c r="U136" t="s">
        <v>67</v>
      </c>
      <c r="V136" t="s">
        <v>55</v>
      </c>
      <c r="W136" t="s">
        <v>56</v>
      </c>
      <c r="X136" t="s">
        <v>57</v>
      </c>
      <c r="Y136" t="s">
        <v>58</v>
      </c>
      <c r="Z136" t="s">
        <v>59</v>
      </c>
      <c r="AA136" t="s">
        <v>61</v>
      </c>
      <c r="AB136" t="s">
        <v>60</v>
      </c>
      <c r="AC136" t="s">
        <v>62</v>
      </c>
      <c r="AD136" t="s">
        <v>593</v>
      </c>
      <c r="AE136" t="s">
        <v>541</v>
      </c>
      <c r="AF136" t="s">
        <v>542</v>
      </c>
      <c r="AG136" t="s">
        <v>543</v>
      </c>
      <c r="AH136" t="s">
        <v>544</v>
      </c>
      <c r="AI136" t="s">
        <v>545</v>
      </c>
      <c r="AJ136" t="s">
        <v>546</v>
      </c>
      <c r="AK136" t="s">
        <v>547</v>
      </c>
      <c r="AL136" t="s">
        <v>548</v>
      </c>
      <c r="AM136" t="s">
        <v>549</v>
      </c>
      <c r="AN136" t="s">
        <v>550</v>
      </c>
      <c r="AO136" t="s">
        <v>55</v>
      </c>
      <c r="AP136" t="s">
        <v>551</v>
      </c>
      <c r="AQ136" t="s">
        <v>552</v>
      </c>
      <c r="AR136" t="s">
        <v>553</v>
      </c>
      <c r="AS136" t="s">
        <v>554</v>
      </c>
      <c r="AT136" t="s">
        <v>555</v>
      </c>
      <c r="AU136" t="s">
        <v>556</v>
      </c>
      <c r="AV136" t="s">
        <v>557</v>
      </c>
      <c r="AW136" t="s">
        <v>560</v>
      </c>
      <c r="AX136" t="s">
        <v>558</v>
      </c>
      <c r="AY136" t="s">
        <v>559</v>
      </c>
      <c r="AZ136" t="s">
        <v>561</v>
      </c>
      <c r="BA136" t="s">
        <v>562</v>
      </c>
      <c r="BB136" t="s">
        <v>563</v>
      </c>
      <c r="BC136" t="s">
        <v>564</v>
      </c>
      <c r="BD136" t="s">
        <v>522</v>
      </c>
      <c r="BE136" t="s">
        <v>524</v>
      </c>
      <c r="BF136" t="s">
        <v>523</v>
      </c>
      <c r="BG136" t="s">
        <v>567</v>
      </c>
      <c r="BH136" t="s">
        <v>565</v>
      </c>
      <c r="BI136" t="s">
        <v>566</v>
      </c>
      <c r="BJ136" t="s">
        <v>29</v>
      </c>
      <c r="BK136" t="s">
        <v>30</v>
      </c>
      <c r="BL136" t="s">
        <v>31</v>
      </c>
    </row>
    <row r="137" spans="1:64" x14ac:dyDescent="0.2">
      <c r="A137" t="s">
        <v>653</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654</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655</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656</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657</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658</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659</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660</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661</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662</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663</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664</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170</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171</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172</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173</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665</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666</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667</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668</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669</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670</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671</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672</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673</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674</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675</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676</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677</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678</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679</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680</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681</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682</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683</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684</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685</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686</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687</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688</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689</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690</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691</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692</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693</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694</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695</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696</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697</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698</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699</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700</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497</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498</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499</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500</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582</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583</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584</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585</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586</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587</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612</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613</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614</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615</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616</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617</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573</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574</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575</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576</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577</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578</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761</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762</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763</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764</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765</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766</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767</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768</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769</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770</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771</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772</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701</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702</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703</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704</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705</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706</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707</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708</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709</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710</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711</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712</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641</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642</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643</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644</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645</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646</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623</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624</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625</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626</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627</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628</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632</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633</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634</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635</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636</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637</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713</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714</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715</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716</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717</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718</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719</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720</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721</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722</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723</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724</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725</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726</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727</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728</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773</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729</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730</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731</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732</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733</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734</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735</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736</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737</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738</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739</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740</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741</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742</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743</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774</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744</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745</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746</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747</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748</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749</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750</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751</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752</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753</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754</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755</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756</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757</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758</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164</v>
      </c>
    </row>
    <row r="304" spans="1:64" x14ac:dyDescent="0.2">
      <c r="B304" t="s">
        <v>15</v>
      </c>
      <c r="D304" t="s">
        <v>16</v>
      </c>
      <c r="E304" t="s">
        <v>501</v>
      </c>
      <c r="F304" t="s">
        <v>19</v>
      </c>
      <c r="G304" t="s">
        <v>20</v>
      </c>
      <c r="H304" t="s">
        <v>22</v>
      </c>
      <c r="I304" t="s">
        <v>24</v>
      </c>
      <c r="J304" t="s">
        <v>52</v>
      </c>
      <c r="K304" t="s">
        <v>27</v>
      </c>
      <c r="L304" t="s">
        <v>28</v>
      </c>
      <c r="M304" t="s">
        <v>118</v>
      </c>
      <c r="N304" t="s">
        <v>105</v>
      </c>
      <c r="O304" t="s">
        <v>112</v>
      </c>
      <c r="P304" t="s">
        <v>144</v>
      </c>
      <c r="Q304" t="s">
        <v>145</v>
      </c>
      <c r="R304" t="s">
        <v>146</v>
      </c>
      <c r="S304" t="s">
        <v>66</v>
      </c>
      <c r="T304" t="s">
        <v>843</v>
      </c>
      <c r="U304" t="s">
        <v>67</v>
      </c>
      <c r="V304" t="s">
        <v>55</v>
      </c>
      <c r="W304" t="s">
        <v>56</v>
      </c>
      <c r="X304" t="s">
        <v>57</v>
      </c>
      <c r="Y304" t="s">
        <v>58</v>
      </c>
      <c r="Z304" t="s">
        <v>59</v>
      </c>
      <c r="AA304" t="s">
        <v>61</v>
      </c>
      <c r="AB304" t="s">
        <v>60</v>
      </c>
      <c r="AC304" t="s">
        <v>62</v>
      </c>
      <c r="AD304" t="s">
        <v>593</v>
      </c>
      <c r="AE304" t="s">
        <v>541</v>
      </c>
      <c r="AF304" t="s">
        <v>542</v>
      </c>
      <c r="AG304" t="s">
        <v>543</v>
      </c>
      <c r="AH304" t="s">
        <v>544</v>
      </c>
      <c r="AI304" t="s">
        <v>545</v>
      </c>
      <c r="AJ304" t="s">
        <v>546</v>
      </c>
      <c r="AK304" t="s">
        <v>547</v>
      </c>
      <c r="AL304" t="s">
        <v>548</v>
      </c>
      <c r="AM304" t="s">
        <v>549</v>
      </c>
      <c r="AN304" t="s">
        <v>550</v>
      </c>
      <c r="AO304" t="s">
        <v>55</v>
      </c>
      <c r="AP304" t="s">
        <v>551</v>
      </c>
      <c r="AQ304" t="s">
        <v>552</v>
      </c>
      <c r="AR304" t="s">
        <v>553</v>
      </c>
      <c r="AS304" t="s">
        <v>554</v>
      </c>
      <c r="AT304" t="s">
        <v>555</v>
      </c>
      <c r="AU304" t="s">
        <v>556</v>
      </c>
      <c r="AV304" t="s">
        <v>557</v>
      </c>
      <c r="AW304" t="s">
        <v>560</v>
      </c>
      <c r="AX304" t="s">
        <v>558</v>
      </c>
      <c r="AY304" t="s">
        <v>559</v>
      </c>
      <c r="AZ304" t="s">
        <v>561</v>
      </c>
      <c r="BA304" t="s">
        <v>562</v>
      </c>
      <c r="BB304" t="s">
        <v>563</v>
      </c>
      <c r="BC304" t="s">
        <v>564</v>
      </c>
      <c r="BD304" t="s">
        <v>522</v>
      </c>
      <c r="BE304" t="s">
        <v>524</v>
      </c>
      <c r="BF304" t="s">
        <v>523</v>
      </c>
      <c r="BG304" t="s">
        <v>567</v>
      </c>
      <c r="BH304" t="s">
        <v>565</v>
      </c>
      <c r="BI304" t="s">
        <v>566</v>
      </c>
      <c r="BJ304" t="s">
        <v>29</v>
      </c>
      <c r="BK304" t="s">
        <v>30</v>
      </c>
      <c r="BL304" t="s">
        <v>31</v>
      </c>
    </row>
    <row r="305" spans="1:61" x14ac:dyDescent="0.2">
      <c r="A305" t="s">
        <v>618</v>
      </c>
      <c r="S305" t="s">
        <v>823</v>
      </c>
      <c r="T305" t="s">
        <v>823</v>
      </c>
      <c r="U305" t="s">
        <v>823</v>
      </c>
      <c r="V305" t="s">
        <v>823</v>
      </c>
      <c r="W305" t="s">
        <v>823</v>
      </c>
      <c r="X305" t="s">
        <v>823</v>
      </c>
      <c r="Y305" t="s">
        <v>823</v>
      </c>
      <c r="Z305" t="s">
        <v>823</v>
      </c>
      <c r="AA305" t="s">
        <v>823</v>
      </c>
      <c r="AB305" t="s">
        <v>823</v>
      </c>
      <c r="AC305" t="s">
        <v>823</v>
      </c>
      <c r="AD305" t="s">
        <v>823</v>
      </c>
      <c r="AE305" t="s">
        <v>823</v>
      </c>
      <c r="AF305" t="s">
        <v>823</v>
      </c>
      <c r="AG305" t="s">
        <v>823</v>
      </c>
      <c r="AH305" t="s">
        <v>823</v>
      </c>
      <c r="AI305" t="s">
        <v>823</v>
      </c>
      <c r="AJ305" t="s">
        <v>823</v>
      </c>
      <c r="AK305" t="s">
        <v>823</v>
      </c>
      <c r="AL305" t="s">
        <v>823</v>
      </c>
      <c r="AM305" t="s">
        <v>823</v>
      </c>
      <c r="AN305" t="s">
        <v>823</v>
      </c>
      <c r="AO305" t="s">
        <v>823</v>
      </c>
      <c r="AP305" t="s">
        <v>823</v>
      </c>
      <c r="AQ305" t="s">
        <v>823</v>
      </c>
      <c r="AR305" t="s">
        <v>823</v>
      </c>
      <c r="AS305" t="s">
        <v>823</v>
      </c>
      <c r="AT305" t="s">
        <v>823</v>
      </c>
      <c r="AU305" t="s">
        <v>823</v>
      </c>
      <c r="AV305" t="s">
        <v>823</v>
      </c>
      <c r="AW305" t="s">
        <v>823</v>
      </c>
      <c r="AX305" t="s">
        <v>823</v>
      </c>
      <c r="AY305" t="s">
        <v>823</v>
      </c>
      <c r="AZ305" t="s">
        <v>823</v>
      </c>
      <c r="BA305" t="s">
        <v>823</v>
      </c>
      <c r="BB305" t="s">
        <v>823</v>
      </c>
      <c r="BC305" t="s">
        <v>823</v>
      </c>
      <c r="BD305" t="s">
        <v>823</v>
      </c>
      <c r="BE305" t="s">
        <v>823</v>
      </c>
      <c r="BF305" t="s">
        <v>823</v>
      </c>
      <c r="BG305" t="s">
        <v>823</v>
      </c>
      <c r="BH305" t="s">
        <v>823</v>
      </c>
      <c r="BI305" t="s">
        <v>823</v>
      </c>
    </row>
    <row r="306" spans="1:61" x14ac:dyDescent="0.2">
      <c r="A306" t="s">
        <v>33</v>
      </c>
      <c r="S306" t="s">
        <v>823</v>
      </c>
      <c r="T306" t="s">
        <v>823</v>
      </c>
      <c r="U306" t="s">
        <v>823</v>
      </c>
      <c r="V306" t="s">
        <v>823</v>
      </c>
      <c r="W306" t="s">
        <v>823</v>
      </c>
      <c r="X306" t="s">
        <v>823</v>
      </c>
      <c r="Y306" t="s">
        <v>823</v>
      </c>
      <c r="Z306" t="s">
        <v>823</v>
      </c>
      <c r="AA306" t="s">
        <v>823</v>
      </c>
      <c r="AB306" t="s">
        <v>823</v>
      </c>
      <c r="AC306" t="s">
        <v>823</v>
      </c>
      <c r="AD306" t="s">
        <v>823</v>
      </c>
      <c r="AE306" t="s">
        <v>823</v>
      </c>
      <c r="AF306" t="s">
        <v>823</v>
      </c>
      <c r="AG306" t="s">
        <v>823</v>
      </c>
      <c r="AH306" t="s">
        <v>823</v>
      </c>
      <c r="AI306" t="s">
        <v>823</v>
      </c>
      <c r="AJ306" t="s">
        <v>823</v>
      </c>
      <c r="AK306" t="s">
        <v>823</v>
      </c>
      <c r="AL306" t="s">
        <v>823</v>
      </c>
      <c r="AM306" t="s">
        <v>823</v>
      </c>
      <c r="AN306" t="s">
        <v>823</v>
      </c>
      <c r="AO306" t="s">
        <v>823</v>
      </c>
      <c r="AP306" t="s">
        <v>823</v>
      </c>
      <c r="AQ306" t="s">
        <v>823</v>
      </c>
      <c r="AR306" t="s">
        <v>823</v>
      </c>
      <c r="AS306" t="s">
        <v>823</v>
      </c>
      <c r="AT306" t="s">
        <v>823</v>
      </c>
      <c r="AU306" t="s">
        <v>823</v>
      </c>
      <c r="AV306" t="s">
        <v>823</v>
      </c>
      <c r="AW306" t="s">
        <v>823</v>
      </c>
      <c r="AX306" t="s">
        <v>823</v>
      </c>
      <c r="AY306" t="s">
        <v>823</v>
      </c>
      <c r="AZ306" t="s">
        <v>823</v>
      </c>
      <c r="BA306" t="s">
        <v>823</v>
      </c>
      <c r="BB306" t="s">
        <v>823</v>
      </c>
      <c r="BC306" t="s">
        <v>823</v>
      </c>
      <c r="BD306" t="s">
        <v>823</v>
      </c>
      <c r="BE306" t="s">
        <v>823</v>
      </c>
      <c r="BF306" t="s">
        <v>823</v>
      </c>
      <c r="BG306" t="s">
        <v>823</v>
      </c>
      <c r="BH306" t="s">
        <v>823</v>
      </c>
      <c r="BI306" t="s">
        <v>823</v>
      </c>
    </row>
    <row r="307" spans="1:61" x14ac:dyDescent="0.2">
      <c r="A307" t="s">
        <v>489</v>
      </c>
      <c r="S307" t="s">
        <v>823</v>
      </c>
      <c r="T307" t="s">
        <v>823</v>
      </c>
      <c r="U307" t="s">
        <v>823</v>
      </c>
      <c r="V307" t="s">
        <v>823</v>
      </c>
      <c r="W307" t="s">
        <v>823</v>
      </c>
      <c r="X307" t="s">
        <v>823</v>
      </c>
      <c r="Y307" t="s">
        <v>823</v>
      </c>
      <c r="Z307" t="s">
        <v>823</v>
      </c>
      <c r="AA307" t="s">
        <v>823</v>
      </c>
      <c r="AB307" t="s">
        <v>823</v>
      </c>
      <c r="AC307" t="s">
        <v>823</v>
      </c>
      <c r="AD307" t="s">
        <v>823</v>
      </c>
      <c r="AE307" t="s">
        <v>823</v>
      </c>
      <c r="AF307" t="s">
        <v>823</v>
      </c>
      <c r="AG307" t="s">
        <v>823</v>
      </c>
      <c r="AH307" t="s">
        <v>823</v>
      </c>
      <c r="AI307" t="s">
        <v>823</v>
      </c>
      <c r="AJ307" t="s">
        <v>823</v>
      </c>
      <c r="AK307" t="s">
        <v>823</v>
      </c>
      <c r="AL307" t="s">
        <v>823</v>
      </c>
      <c r="AM307" t="s">
        <v>823</v>
      </c>
      <c r="AN307" t="s">
        <v>823</v>
      </c>
      <c r="AO307" t="s">
        <v>823</v>
      </c>
      <c r="AP307" t="s">
        <v>823</v>
      </c>
      <c r="AQ307" t="s">
        <v>823</v>
      </c>
      <c r="AR307" t="s">
        <v>823</v>
      </c>
      <c r="AS307" t="s">
        <v>823</v>
      </c>
      <c r="AT307" t="s">
        <v>823</v>
      </c>
      <c r="AU307" t="s">
        <v>823</v>
      </c>
      <c r="AV307" t="s">
        <v>823</v>
      </c>
      <c r="AW307" t="s">
        <v>823</v>
      </c>
      <c r="AX307" t="s">
        <v>823</v>
      </c>
      <c r="AY307" t="s">
        <v>823</v>
      </c>
      <c r="AZ307" t="s">
        <v>823</v>
      </c>
      <c r="BA307" t="s">
        <v>823</v>
      </c>
      <c r="BB307" t="s">
        <v>823</v>
      </c>
      <c r="BC307" t="s">
        <v>823</v>
      </c>
      <c r="BD307" t="s">
        <v>823</v>
      </c>
      <c r="BE307" t="s">
        <v>823</v>
      </c>
      <c r="BF307" t="s">
        <v>823</v>
      </c>
      <c r="BG307" t="s">
        <v>823</v>
      </c>
      <c r="BH307" t="s">
        <v>823</v>
      </c>
      <c r="BI307" t="s">
        <v>823</v>
      </c>
    </row>
    <row r="308" spans="1:61" x14ac:dyDescent="0.2">
      <c r="A308" t="s">
        <v>490</v>
      </c>
      <c r="S308" t="s">
        <v>823</v>
      </c>
      <c r="T308" t="s">
        <v>823</v>
      </c>
      <c r="U308" t="s">
        <v>823</v>
      </c>
      <c r="V308" t="s">
        <v>823</v>
      </c>
      <c r="W308" t="s">
        <v>823</v>
      </c>
      <c r="X308" t="s">
        <v>823</v>
      </c>
      <c r="Y308" t="s">
        <v>823</v>
      </c>
      <c r="Z308" t="s">
        <v>823</v>
      </c>
      <c r="AA308" t="s">
        <v>823</v>
      </c>
      <c r="AB308" t="s">
        <v>823</v>
      </c>
      <c r="AC308" t="s">
        <v>823</v>
      </c>
      <c r="AD308" t="s">
        <v>823</v>
      </c>
      <c r="AE308" t="s">
        <v>823</v>
      </c>
      <c r="AF308" t="s">
        <v>823</v>
      </c>
      <c r="AG308" t="s">
        <v>823</v>
      </c>
      <c r="AH308" t="s">
        <v>823</v>
      </c>
      <c r="AI308" t="s">
        <v>823</v>
      </c>
      <c r="AJ308" t="s">
        <v>823</v>
      </c>
      <c r="AK308" t="s">
        <v>823</v>
      </c>
      <c r="AL308" t="s">
        <v>823</v>
      </c>
      <c r="AM308" t="s">
        <v>823</v>
      </c>
      <c r="AN308" t="s">
        <v>823</v>
      </c>
      <c r="AO308" t="s">
        <v>823</v>
      </c>
      <c r="AP308" t="s">
        <v>823</v>
      </c>
      <c r="AQ308" t="s">
        <v>823</v>
      </c>
      <c r="AR308" t="s">
        <v>823</v>
      </c>
      <c r="AS308" t="s">
        <v>823</v>
      </c>
      <c r="AT308" t="s">
        <v>823</v>
      </c>
      <c r="AU308" t="s">
        <v>823</v>
      </c>
      <c r="AV308" t="s">
        <v>823</v>
      </c>
      <c r="AW308" t="s">
        <v>823</v>
      </c>
      <c r="AX308" t="s">
        <v>823</v>
      </c>
      <c r="AY308" t="s">
        <v>823</v>
      </c>
      <c r="AZ308" t="s">
        <v>823</v>
      </c>
      <c r="BA308" t="s">
        <v>823</v>
      </c>
      <c r="BB308" t="s">
        <v>823</v>
      </c>
      <c r="BC308" t="s">
        <v>823</v>
      </c>
      <c r="BD308" t="s">
        <v>823</v>
      </c>
      <c r="BE308" t="s">
        <v>823</v>
      </c>
      <c r="BF308" t="s">
        <v>823</v>
      </c>
      <c r="BG308" t="s">
        <v>823</v>
      </c>
      <c r="BH308" t="s">
        <v>823</v>
      </c>
      <c r="BI308" t="s">
        <v>823</v>
      </c>
    </row>
    <row r="309" spans="1:61" x14ac:dyDescent="0.2">
      <c r="A309" t="s">
        <v>496</v>
      </c>
      <c r="S309" t="s">
        <v>823</v>
      </c>
      <c r="T309" t="s">
        <v>823</v>
      </c>
      <c r="U309" t="s">
        <v>823</v>
      </c>
      <c r="V309" t="s">
        <v>823</v>
      </c>
      <c r="W309" t="s">
        <v>823</v>
      </c>
      <c r="X309" t="s">
        <v>823</v>
      </c>
      <c r="Y309" t="s">
        <v>823</v>
      </c>
      <c r="Z309" t="s">
        <v>823</v>
      </c>
      <c r="AA309" t="s">
        <v>823</v>
      </c>
      <c r="AB309" t="s">
        <v>823</v>
      </c>
      <c r="AC309" t="s">
        <v>823</v>
      </c>
      <c r="AD309" t="s">
        <v>823</v>
      </c>
      <c r="AE309" t="s">
        <v>823</v>
      </c>
      <c r="AF309" t="s">
        <v>823</v>
      </c>
      <c r="AG309" t="s">
        <v>823</v>
      </c>
      <c r="AH309" t="s">
        <v>823</v>
      </c>
      <c r="AI309" t="s">
        <v>823</v>
      </c>
      <c r="AJ309" t="s">
        <v>823</v>
      </c>
      <c r="AK309" t="s">
        <v>823</v>
      </c>
      <c r="AL309" t="s">
        <v>823</v>
      </c>
      <c r="AM309" t="s">
        <v>823</v>
      </c>
      <c r="AN309" t="s">
        <v>823</v>
      </c>
      <c r="AO309" t="s">
        <v>823</v>
      </c>
      <c r="AP309" t="s">
        <v>823</v>
      </c>
      <c r="AQ309" t="s">
        <v>823</v>
      </c>
      <c r="AR309" t="s">
        <v>823</v>
      </c>
      <c r="AS309" t="s">
        <v>823</v>
      </c>
      <c r="AT309" t="s">
        <v>823</v>
      </c>
      <c r="AU309" t="s">
        <v>823</v>
      </c>
      <c r="AV309" t="s">
        <v>823</v>
      </c>
      <c r="AW309" t="s">
        <v>823</v>
      </c>
      <c r="AX309" t="s">
        <v>823</v>
      </c>
      <c r="AY309" t="s">
        <v>823</v>
      </c>
      <c r="AZ309" t="s">
        <v>823</v>
      </c>
      <c r="BA309" t="s">
        <v>823</v>
      </c>
      <c r="BB309" t="s">
        <v>823</v>
      </c>
      <c r="BC309" t="s">
        <v>823</v>
      </c>
      <c r="BD309" t="s">
        <v>823</v>
      </c>
      <c r="BE309" t="s">
        <v>823</v>
      </c>
      <c r="BF309" t="s">
        <v>823</v>
      </c>
      <c r="BG309" t="s">
        <v>823</v>
      </c>
      <c r="BH309" t="s">
        <v>823</v>
      </c>
      <c r="BI309" t="s">
        <v>823</v>
      </c>
    </row>
    <row r="310" spans="1:61" x14ac:dyDescent="0.2">
      <c r="A310" t="s">
        <v>41</v>
      </c>
      <c r="S310" t="s">
        <v>823</v>
      </c>
      <c r="T310" t="s">
        <v>823</v>
      </c>
      <c r="U310" t="s">
        <v>823</v>
      </c>
      <c r="V310" t="s">
        <v>823</v>
      </c>
      <c r="W310" t="s">
        <v>823</v>
      </c>
      <c r="X310" t="s">
        <v>823</v>
      </c>
      <c r="Y310" t="s">
        <v>823</v>
      </c>
      <c r="Z310" t="s">
        <v>823</v>
      </c>
      <c r="AA310" t="s">
        <v>823</v>
      </c>
      <c r="AB310" t="s">
        <v>823</v>
      </c>
      <c r="AC310" t="s">
        <v>823</v>
      </c>
      <c r="AD310" t="s">
        <v>823</v>
      </c>
      <c r="AE310" t="s">
        <v>823</v>
      </c>
      <c r="AF310" t="s">
        <v>823</v>
      </c>
      <c r="AG310" t="s">
        <v>823</v>
      </c>
      <c r="AH310" t="s">
        <v>823</v>
      </c>
      <c r="AI310" t="s">
        <v>823</v>
      </c>
      <c r="AJ310" t="s">
        <v>823</v>
      </c>
      <c r="AK310" t="s">
        <v>823</v>
      </c>
      <c r="AL310" t="s">
        <v>823</v>
      </c>
      <c r="AM310" t="s">
        <v>823</v>
      </c>
      <c r="AN310" t="s">
        <v>823</v>
      </c>
      <c r="AO310" t="s">
        <v>823</v>
      </c>
      <c r="AP310" t="s">
        <v>823</v>
      </c>
      <c r="AQ310" t="s">
        <v>823</v>
      </c>
      <c r="AR310" t="s">
        <v>823</v>
      </c>
      <c r="AS310" t="s">
        <v>823</v>
      </c>
      <c r="AT310" t="s">
        <v>823</v>
      </c>
      <c r="AU310" t="s">
        <v>823</v>
      </c>
      <c r="AV310" t="s">
        <v>823</v>
      </c>
      <c r="AW310" t="s">
        <v>823</v>
      </c>
      <c r="AX310" t="s">
        <v>823</v>
      </c>
      <c r="AY310" t="s">
        <v>823</v>
      </c>
      <c r="AZ310" t="s">
        <v>823</v>
      </c>
      <c r="BA310" t="s">
        <v>823</v>
      </c>
      <c r="BB310" t="s">
        <v>823</v>
      </c>
      <c r="BC310" t="s">
        <v>823</v>
      </c>
      <c r="BD310" t="s">
        <v>823</v>
      </c>
      <c r="BE310" t="s">
        <v>823</v>
      </c>
      <c r="BF310" t="s">
        <v>823</v>
      </c>
      <c r="BG310" t="s">
        <v>823</v>
      </c>
      <c r="BH310" t="s">
        <v>823</v>
      </c>
      <c r="BI310" t="s">
        <v>823</v>
      </c>
    </row>
    <row r="311" spans="1:61" x14ac:dyDescent="0.2">
      <c r="A311" t="s">
        <v>491</v>
      </c>
      <c r="S311" t="s">
        <v>823</v>
      </c>
      <c r="T311" t="s">
        <v>823</v>
      </c>
      <c r="U311" t="s">
        <v>823</v>
      </c>
      <c r="V311" t="s">
        <v>823</v>
      </c>
      <c r="W311" t="s">
        <v>823</v>
      </c>
      <c r="X311" t="s">
        <v>823</v>
      </c>
      <c r="Y311" t="s">
        <v>823</v>
      </c>
      <c r="Z311" t="s">
        <v>823</v>
      </c>
      <c r="AA311" t="s">
        <v>823</v>
      </c>
      <c r="AB311" t="s">
        <v>823</v>
      </c>
      <c r="AC311" t="s">
        <v>823</v>
      </c>
      <c r="AD311" t="s">
        <v>823</v>
      </c>
      <c r="AE311" t="s">
        <v>823</v>
      </c>
      <c r="AF311" t="s">
        <v>823</v>
      </c>
      <c r="AG311" t="s">
        <v>823</v>
      </c>
      <c r="AH311" t="s">
        <v>823</v>
      </c>
      <c r="AI311" t="s">
        <v>823</v>
      </c>
      <c r="AJ311" t="s">
        <v>823</v>
      </c>
      <c r="AK311" t="s">
        <v>823</v>
      </c>
      <c r="AL311" t="s">
        <v>823</v>
      </c>
      <c r="AM311" t="s">
        <v>823</v>
      </c>
      <c r="AN311" t="s">
        <v>823</v>
      </c>
      <c r="AO311" t="s">
        <v>823</v>
      </c>
      <c r="AP311" t="s">
        <v>823</v>
      </c>
      <c r="AQ311" t="s">
        <v>823</v>
      </c>
      <c r="AR311" t="s">
        <v>823</v>
      </c>
      <c r="AS311" t="s">
        <v>823</v>
      </c>
      <c r="AT311" t="s">
        <v>823</v>
      </c>
      <c r="AU311" t="s">
        <v>823</v>
      </c>
      <c r="AV311" t="s">
        <v>823</v>
      </c>
      <c r="AW311" t="s">
        <v>823</v>
      </c>
      <c r="AX311" t="s">
        <v>823</v>
      </c>
      <c r="AY311" t="s">
        <v>823</v>
      </c>
      <c r="AZ311" t="s">
        <v>823</v>
      </c>
      <c r="BA311" t="s">
        <v>823</v>
      </c>
      <c r="BB311" t="s">
        <v>823</v>
      </c>
      <c r="BC311" t="s">
        <v>823</v>
      </c>
      <c r="BD311" t="s">
        <v>823</v>
      </c>
      <c r="BE311" t="s">
        <v>823</v>
      </c>
      <c r="BF311" t="s">
        <v>823</v>
      </c>
      <c r="BG311" t="s">
        <v>823</v>
      </c>
      <c r="BH311" t="s">
        <v>823</v>
      </c>
      <c r="BI311" t="s">
        <v>823</v>
      </c>
    </row>
    <row r="312" spans="1:61" x14ac:dyDescent="0.2">
      <c r="A312" t="s">
        <v>579</v>
      </c>
      <c r="S312" t="s">
        <v>823</v>
      </c>
      <c r="T312" t="s">
        <v>823</v>
      </c>
      <c r="U312" t="s">
        <v>823</v>
      </c>
      <c r="V312" t="s">
        <v>823</v>
      </c>
      <c r="W312" t="s">
        <v>823</v>
      </c>
      <c r="X312" t="s">
        <v>823</v>
      </c>
      <c r="Y312" t="s">
        <v>823</v>
      </c>
      <c r="Z312" t="s">
        <v>823</v>
      </c>
      <c r="AA312" t="s">
        <v>823</v>
      </c>
      <c r="AB312" t="s">
        <v>823</v>
      </c>
      <c r="AC312" t="s">
        <v>823</v>
      </c>
      <c r="AD312" t="s">
        <v>823</v>
      </c>
      <c r="AE312" t="s">
        <v>823</v>
      </c>
      <c r="AF312" t="s">
        <v>823</v>
      </c>
      <c r="AG312" t="s">
        <v>823</v>
      </c>
      <c r="AH312" t="s">
        <v>823</v>
      </c>
      <c r="AI312" t="s">
        <v>823</v>
      </c>
      <c r="AJ312" t="s">
        <v>823</v>
      </c>
      <c r="AK312" t="s">
        <v>823</v>
      </c>
      <c r="AL312" t="s">
        <v>823</v>
      </c>
      <c r="AM312" t="s">
        <v>823</v>
      </c>
      <c r="AN312" t="s">
        <v>823</v>
      </c>
      <c r="AO312" t="s">
        <v>823</v>
      </c>
      <c r="AP312" t="s">
        <v>823</v>
      </c>
      <c r="AQ312" t="s">
        <v>823</v>
      </c>
      <c r="AR312" t="s">
        <v>823</v>
      </c>
      <c r="AS312" t="s">
        <v>823</v>
      </c>
      <c r="AT312" t="s">
        <v>823</v>
      </c>
      <c r="AU312" t="s">
        <v>823</v>
      </c>
      <c r="AV312" t="s">
        <v>823</v>
      </c>
      <c r="AW312" t="s">
        <v>823</v>
      </c>
      <c r="AX312" t="s">
        <v>823</v>
      </c>
      <c r="AY312" t="s">
        <v>823</v>
      </c>
      <c r="AZ312" t="s">
        <v>823</v>
      </c>
      <c r="BA312" t="s">
        <v>823</v>
      </c>
      <c r="BB312" t="s">
        <v>823</v>
      </c>
      <c r="BC312" t="s">
        <v>823</v>
      </c>
      <c r="BD312" t="s">
        <v>823</v>
      </c>
      <c r="BE312" t="s">
        <v>823</v>
      </c>
      <c r="BF312" t="s">
        <v>823</v>
      </c>
      <c r="BG312" t="s">
        <v>823</v>
      </c>
      <c r="BH312" t="s">
        <v>823</v>
      </c>
      <c r="BI312" t="s">
        <v>823</v>
      </c>
    </row>
    <row r="313" spans="1:61" x14ac:dyDescent="0.2">
      <c r="A313" t="s">
        <v>580</v>
      </c>
      <c r="S313" t="s">
        <v>823</v>
      </c>
      <c r="T313" t="s">
        <v>823</v>
      </c>
      <c r="U313" t="s">
        <v>823</v>
      </c>
      <c r="V313" t="s">
        <v>823</v>
      </c>
      <c r="W313" t="s">
        <v>823</v>
      </c>
      <c r="X313" t="s">
        <v>823</v>
      </c>
      <c r="Y313" t="s">
        <v>823</v>
      </c>
      <c r="Z313" t="s">
        <v>823</v>
      </c>
      <c r="AA313" t="s">
        <v>823</v>
      </c>
      <c r="AB313" t="s">
        <v>823</v>
      </c>
      <c r="AC313" t="s">
        <v>823</v>
      </c>
      <c r="AD313" t="s">
        <v>823</v>
      </c>
      <c r="AE313" t="s">
        <v>823</v>
      </c>
      <c r="AF313" t="s">
        <v>823</v>
      </c>
      <c r="AG313" t="s">
        <v>823</v>
      </c>
      <c r="AH313" t="s">
        <v>823</v>
      </c>
      <c r="AI313" t="s">
        <v>823</v>
      </c>
      <c r="AJ313" t="s">
        <v>823</v>
      </c>
      <c r="AK313" t="s">
        <v>823</v>
      </c>
      <c r="AL313" t="s">
        <v>823</v>
      </c>
      <c r="AM313" t="s">
        <v>823</v>
      </c>
      <c r="AN313" t="s">
        <v>823</v>
      </c>
      <c r="AO313" t="s">
        <v>823</v>
      </c>
      <c r="AP313" t="s">
        <v>823</v>
      </c>
      <c r="AQ313" t="s">
        <v>823</v>
      </c>
      <c r="AR313" t="s">
        <v>823</v>
      </c>
      <c r="AS313" t="s">
        <v>823</v>
      </c>
      <c r="AT313" t="s">
        <v>823</v>
      </c>
      <c r="AU313" t="s">
        <v>823</v>
      </c>
      <c r="AV313" t="s">
        <v>823</v>
      </c>
      <c r="AW313" t="s">
        <v>823</v>
      </c>
      <c r="AX313" t="s">
        <v>823</v>
      </c>
      <c r="AY313" t="s">
        <v>823</v>
      </c>
      <c r="AZ313" t="s">
        <v>823</v>
      </c>
      <c r="BA313" t="s">
        <v>823</v>
      </c>
      <c r="BB313" t="s">
        <v>823</v>
      </c>
      <c r="BC313" t="s">
        <v>823</v>
      </c>
      <c r="BD313" t="s">
        <v>823</v>
      </c>
      <c r="BE313" t="s">
        <v>823</v>
      </c>
      <c r="BF313" t="s">
        <v>823</v>
      </c>
      <c r="BG313" t="s">
        <v>823</v>
      </c>
      <c r="BH313" t="s">
        <v>823</v>
      </c>
      <c r="BI313" t="s">
        <v>823</v>
      </c>
    </row>
    <row r="314" spans="1:61" x14ac:dyDescent="0.2">
      <c r="A314" t="s">
        <v>581</v>
      </c>
      <c r="S314" t="s">
        <v>823</v>
      </c>
      <c r="T314" t="s">
        <v>823</v>
      </c>
      <c r="U314" t="s">
        <v>823</v>
      </c>
      <c r="V314" t="s">
        <v>823</v>
      </c>
      <c r="W314" t="s">
        <v>823</v>
      </c>
      <c r="X314" t="s">
        <v>823</v>
      </c>
      <c r="Y314" t="s">
        <v>823</v>
      </c>
      <c r="Z314" t="s">
        <v>823</v>
      </c>
      <c r="AA314" t="s">
        <v>823</v>
      </c>
      <c r="AB314" t="s">
        <v>823</v>
      </c>
      <c r="AC314" t="s">
        <v>823</v>
      </c>
      <c r="AD314" t="s">
        <v>823</v>
      </c>
      <c r="AE314" t="s">
        <v>823</v>
      </c>
      <c r="AF314" t="s">
        <v>823</v>
      </c>
      <c r="AG314" t="s">
        <v>823</v>
      </c>
      <c r="AH314" t="s">
        <v>823</v>
      </c>
      <c r="AI314" t="s">
        <v>823</v>
      </c>
      <c r="AJ314" t="s">
        <v>823</v>
      </c>
      <c r="AK314" t="s">
        <v>823</v>
      </c>
      <c r="AL314" t="s">
        <v>823</v>
      </c>
      <c r="AM314" t="s">
        <v>823</v>
      </c>
      <c r="AN314" t="s">
        <v>823</v>
      </c>
      <c r="AO314" t="s">
        <v>823</v>
      </c>
      <c r="AP314" t="s">
        <v>823</v>
      </c>
      <c r="AQ314" t="s">
        <v>823</v>
      </c>
      <c r="AR314" t="s">
        <v>823</v>
      </c>
      <c r="AS314" t="s">
        <v>823</v>
      </c>
      <c r="AT314" t="s">
        <v>823</v>
      </c>
      <c r="AU314" t="s">
        <v>823</v>
      </c>
      <c r="AV314" t="s">
        <v>823</v>
      </c>
      <c r="AW314" t="s">
        <v>823</v>
      </c>
      <c r="AX314" t="s">
        <v>823</v>
      </c>
      <c r="AY314" t="s">
        <v>823</v>
      </c>
      <c r="AZ314" t="s">
        <v>823</v>
      </c>
      <c r="BA314" t="s">
        <v>823</v>
      </c>
      <c r="BB314" t="s">
        <v>823</v>
      </c>
      <c r="BC314" t="s">
        <v>823</v>
      </c>
      <c r="BD314" t="s">
        <v>823</v>
      </c>
      <c r="BE314" t="s">
        <v>823</v>
      </c>
      <c r="BF314" t="s">
        <v>823</v>
      </c>
      <c r="BG314" t="s">
        <v>823</v>
      </c>
      <c r="BH314" t="s">
        <v>823</v>
      </c>
      <c r="BI314" t="s">
        <v>823</v>
      </c>
    </row>
    <row r="315" spans="1:61" x14ac:dyDescent="0.2">
      <c r="A315" t="s">
        <v>609</v>
      </c>
      <c r="S315" t="s">
        <v>823</v>
      </c>
      <c r="T315" t="s">
        <v>823</v>
      </c>
      <c r="U315" t="s">
        <v>823</v>
      </c>
      <c r="V315" t="s">
        <v>823</v>
      </c>
      <c r="W315" t="s">
        <v>823</v>
      </c>
      <c r="X315" t="s">
        <v>823</v>
      </c>
      <c r="Y315" t="s">
        <v>823</v>
      </c>
      <c r="Z315" t="s">
        <v>823</v>
      </c>
      <c r="AA315" t="s">
        <v>823</v>
      </c>
      <c r="AB315" t="s">
        <v>823</v>
      </c>
      <c r="AC315" t="s">
        <v>823</v>
      </c>
      <c r="AD315" t="s">
        <v>823</v>
      </c>
      <c r="AE315" t="s">
        <v>823</v>
      </c>
      <c r="AF315" t="s">
        <v>823</v>
      </c>
      <c r="AG315" t="s">
        <v>823</v>
      </c>
      <c r="AH315" t="s">
        <v>823</v>
      </c>
      <c r="AI315" t="s">
        <v>823</v>
      </c>
      <c r="AJ315" t="s">
        <v>823</v>
      </c>
      <c r="AK315" t="s">
        <v>823</v>
      </c>
      <c r="AL315" t="s">
        <v>823</v>
      </c>
      <c r="AM315" t="s">
        <v>823</v>
      </c>
      <c r="AN315" t="s">
        <v>823</v>
      </c>
      <c r="AO315" t="s">
        <v>823</v>
      </c>
      <c r="AP315" t="s">
        <v>823</v>
      </c>
      <c r="AQ315" t="s">
        <v>823</v>
      </c>
      <c r="AR315" t="s">
        <v>823</v>
      </c>
      <c r="AS315" t="s">
        <v>823</v>
      </c>
      <c r="AT315" t="s">
        <v>823</v>
      </c>
      <c r="AU315" t="s">
        <v>823</v>
      </c>
      <c r="AV315" t="s">
        <v>823</v>
      </c>
      <c r="AW315" t="s">
        <v>823</v>
      </c>
      <c r="AX315" t="s">
        <v>823</v>
      </c>
      <c r="AY315" t="s">
        <v>823</v>
      </c>
      <c r="AZ315" t="s">
        <v>823</v>
      </c>
      <c r="BA315" t="s">
        <v>823</v>
      </c>
      <c r="BB315" t="s">
        <v>823</v>
      </c>
      <c r="BC315" t="s">
        <v>823</v>
      </c>
      <c r="BD315" t="s">
        <v>823</v>
      </c>
      <c r="BE315" t="s">
        <v>823</v>
      </c>
      <c r="BF315" t="s">
        <v>823</v>
      </c>
      <c r="BG315" t="s">
        <v>823</v>
      </c>
      <c r="BH315" t="s">
        <v>823</v>
      </c>
      <c r="BI315" t="s">
        <v>823</v>
      </c>
    </row>
    <row r="316" spans="1:61" x14ac:dyDescent="0.2">
      <c r="A316" t="s">
        <v>610</v>
      </c>
      <c r="S316" t="s">
        <v>823</v>
      </c>
      <c r="T316" t="s">
        <v>823</v>
      </c>
      <c r="U316" t="s">
        <v>823</v>
      </c>
      <c r="V316" t="s">
        <v>823</v>
      </c>
      <c r="W316" t="s">
        <v>823</v>
      </c>
      <c r="X316" t="s">
        <v>823</v>
      </c>
      <c r="Y316" t="s">
        <v>823</v>
      </c>
      <c r="Z316" t="s">
        <v>823</v>
      </c>
      <c r="AA316" t="s">
        <v>823</v>
      </c>
      <c r="AB316" t="s">
        <v>823</v>
      </c>
      <c r="AC316" t="s">
        <v>823</v>
      </c>
      <c r="AD316" t="s">
        <v>823</v>
      </c>
      <c r="AE316" t="s">
        <v>823</v>
      </c>
      <c r="AF316" t="s">
        <v>823</v>
      </c>
      <c r="AG316" t="s">
        <v>823</v>
      </c>
      <c r="AH316" t="s">
        <v>823</v>
      </c>
      <c r="AI316" t="s">
        <v>823</v>
      </c>
      <c r="AJ316" t="s">
        <v>823</v>
      </c>
      <c r="AK316" t="s">
        <v>823</v>
      </c>
      <c r="AL316" t="s">
        <v>823</v>
      </c>
      <c r="AM316" t="s">
        <v>823</v>
      </c>
      <c r="AN316" t="s">
        <v>823</v>
      </c>
      <c r="AO316" t="s">
        <v>823</v>
      </c>
      <c r="AP316" t="s">
        <v>823</v>
      </c>
      <c r="AQ316" t="s">
        <v>823</v>
      </c>
      <c r="AR316" t="s">
        <v>823</v>
      </c>
      <c r="AS316" t="s">
        <v>823</v>
      </c>
      <c r="AT316" t="s">
        <v>823</v>
      </c>
      <c r="AU316" t="s">
        <v>823</v>
      </c>
      <c r="AV316" t="s">
        <v>823</v>
      </c>
      <c r="AW316" t="s">
        <v>823</v>
      </c>
      <c r="AX316" t="s">
        <v>823</v>
      </c>
      <c r="AY316" t="s">
        <v>823</v>
      </c>
      <c r="AZ316" t="s">
        <v>823</v>
      </c>
      <c r="BA316" t="s">
        <v>823</v>
      </c>
      <c r="BB316" t="s">
        <v>823</v>
      </c>
      <c r="BC316" t="s">
        <v>823</v>
      </c>
      <c r="BD316" t="s">
        <v>823</v>
      </c>
      <c r="BE316" t="s">
        <v>823</v>
      </c>
      <c r="BF316" t="s">
        <v>823</v>
      </c>
      <c r="BG316" t="s">
        <v>823</v>
      </c>
      <c r="BH316" t="s">
        <v>823</v>
      </c>
      <c r="BI316" t="s">
        <v>823</v>
      </c>
    </row>
    <row r="317" spans="1:61" x14ac:dyDescent="0.2">
      <c r="A317" t="s">
        <v>611</v>
      </c>
      <c r="S317" t="s">
        <v>823</v>
      </c>
      <c r="T317" t="s">
        <v>823</v>
      </c>
      <c r="U317" t="s">
        <v>823</v>
      </c>
      <c r="V317" t="s">
        <v>823</v>
      </c>
      <c r="W317" t="s">
        <v>823</v>
      </c>
      <c r="X317" t="s">
        <v>823</v>
      </c>
      <c r="Y317" t="s">
        <v>823</v>
      </c>
      <c r="Z317" t="s">
        <v>823</v>
      </c>
      <c r="AA317" t="s">
        <v>823</v>
      </c>
      <c r="AB317" t="s">
        <v>823</v>
      </c>
      <c r="AC317" t="s">
        <v>823</v>
      </c>
      <c r="AD317" t="s">
        <v>823</v>
      </c>
      <c r="AE317" t="s">
        <v>823</v>
      </c>
      <c r="AF317" t="s">
        <v>823</v>
      </c>
      <c r="AG317" t="s">
        <v>823</v>
      </c>
      <c r="AH317" t="s">
        <v>823</v>
      </c>
      <c r="AI317" t="s">
        <v>823</v>
      </c>
      <c r="AJ317" t="s">
        <v>823</v>
      </c>
      <c r="AK317" t="s">
        <v>823</v>
      </c>
      <c r="AL317" t="s">
        <v>823</v>
      </c>
      <c r="AM317" t="s">
        <v>823</v>
      </c>
      <c r="AN317" t="s">
        <v>823</v>
      </c>
      <c r="AO317" t="s">
        <v>823</v>
      </c>
      <c r="AP317" t="s">
        <v>823</v>
      </c>
      <c r="AQ317" t="s">
        <v>823</v>
      </c>
      <c r="AR317" t="s">
        <v>823</v>
      </c>
      <c r="AS317" t="s">
        <v>823</v>
      </c>
      <c r="AT317" t="s">
        <v>823</v>
      </c>
      <c r="AU317" t="s">
        <v>823</v>
      </c>
      <c r="AV317" t="s">
        <v>823</v>
      </c>
      <c r="AW317" t="s">
        <v>823</v>
      </c>
      <c r="AX317" t="s">
        <v>823</v>
      </c>
      <c r="AY317" t="s">
        <v>823</v>
      </c>
      <c r="AZ317" t="s">
        <v>823</v>
      </c>
      <c r="BA317" t="s">
        <v>823</v>
      </c>
      <c r="BB317" t="s">
        <v>823</v>
      </c>
      <c r="BC317" t="s">
        <v>823</v>
      </c>
      <c r="BD317" t="s">
        <v>823</v>
      </c>
      <c r="BE317" t="s">
        <v>823</v>
      </c>
      <c r="BF317" t="s">
        <v>823</v>
      </c>
      <c r="BG317" t="s">
        <v>823</v>
      </c>
      <c r="BH317" t="s">
        <v>823</v>
      </c>
      <c r="BI317" t="s">
        <v>823</v>
      </c>
    </row>
    <row r="318" spans="1:61" x14ac:dyDescent="0.2">
      <c r="A318" t="s">
        <v>570</v>
      </c>
      <c r="S318" t="s">
        <v>823</v>
      </c>
      <c r="T318" t="s">
        <v>823</v>
      </c>
      <c r="U318" t="s">
        <v>823</v>
      </c>
      <c r="V318" t="s">
        <v>823</v>
      </c>
      <c r="W318" t="s">
        <v>823</v>
      </c>
      <c r="X318" t="s">
        <v>823</v>
      </c>
      <c r="Y318" t="s">
        <v>823</v>
      </c>
      <c r="Z318" t="s">
        <v>823</v>
      </c>
      <c r="AA318" t="s">
        <v>823</v>
      </c>
      <c r="AB318" t="s">
        <v>823</v>
      </c>
      <c r="AC318" t="s">
        <v>823</v>
      </c>
      <c r="AD318" t="s">
        <v>823</v>
      </c>
      <c r="AE318" t="s">
        <v>823</v>
      </c>
      <c r="AF318" t="s">
        <v>823</v>
      </c>
      <c r="AG318" t="s">
        <v>823</v>
      </c>
      <c r="AH318" t="s">
        <v>823</v>
      </c>
      <c r="AI318" t="s">
        <v>823</v>
      </c>
      <c r="AJ318" t="s">
        <v>823</v>
      </c>
      <c r="AK318" t="s">
        <v>823</v>
      </c>
      <c r="AL318" t="s">
        <v>823</v>
      </c>
      <c r="AM318" t="s">
        <v>823</v>
      </c>
      <c r="AN318" t="s">
        <v>823</v>
      </c>
      <c r="AO318" t="s">
        <v>823</v>
      </c>
      <c r="AP318" t="s">
        <v>823</v>
      </c>
      <c r="AQ318" t="s">
        <v>823</v>
      </c>
      <c r="AR318" t="s">
        <v>823</v>
      </c>
      <c r="AS318" t="s">
        <v>823</v>
      </c>
      <c r="AT318" t="s">
        <v>823</v>
      </c>
      <c r="AU318" t="s">
        <v>823</v>
      </c>
      <c r="AV318" t="s">
        <v>823</v>
      </c>
      <c r="AW318" t="s">
        <v>823</v>
      </c>
      <c r="AX318" t="s">
        <v>823</v>
      </c>
      <c r="AY318" t="s">
        <v>823</v>
      </c>
      <c r="AZ318" t="s">
        <v>823</v>
      </c>
      <c r="BA318" t="s">
        <v>823</v>
      </c>
      <c r="BB318" t="s">
        <v>823</v>
      </c>
      <c r="BC318" t="s">
        <v>823</v>
      </c>
      <c r="BD318" t="s">
        <v>823</v>
      </c>
      <c r="BE318" t="s">
        <v>823</v>
      </c>
      <c r="BF318" t="s">
        <v>823</v>
      </c>
      <c r="BG318" t="s">
        <v>823</v>
      </c>
      <c r="BH318" t="s">
        <v>823</v>
      </c>
      <c r="BI318" t="s">
        <v>823</v>
      </c>
    </row>
    <row r="319" spans="1:61" x14ac:dyDescent="0.2">
      <c r="A319" t="s">
        <v>571</v>
      </c>
      <c r="S319" t="s">
        <v>823</v>
      </c>
      <c r="T319" t="s">
        <v>823</v>
      </c>
      <c r="U319" t="s">
        <v>823</v>
      </c>
      <c r="V319" t="s">
        <v>823</v>
      </c>
      <c r="W319" t="s">
        <v>823</v>
      </c>
      <c r="X319" t="s">
        <v>823</v>
      </c>
      <c r="Y319" t="s">
        <v>823</v>
      </c>
      <c r="Z319" t="s">
        <v>823</v>
      </c>
      <c r="AA319" t="s">
        <v>823</v>
      </c>
      <c r="AB319" t="s">
        <v>823</v>
      </c>
      <c r="AC319" t="s">
        <v>823</v>
      </c>
      <c r="AD319" t="s">
        <v>823</v>
      </c>
      <c r="AE319" t="s">
        <v>823</v>
      </c>
      <c r="AF319" t="s">
        <v>823</v>
      </c>
      <c r="AG319" t="s">
        <v>823</v>
      </c>
      <c r="AH319" t="s">
        <v>823</v>
      </c>
      <c r="AI319" t="s">
        <v>823</v>
      </c>
      <c r="AJ319" t="s">
        <v>823</v>
      </c>
      <c r="AK319" t="s">
        <v>823</v>
      </c>
      <c r="AL319" t="s">
        <v>823</v>
      </c>
      <c r="AM319" t="s">
        <v>823</v>
      </c>
      <c r="AN319" t="s">
        <v>823</v>
      </c>
      <c r="AO319" t="s">
        <v>823</v>
      </c>
      <c r="AP319" t="s">
        <v>823</v>
      </c>
      <c r="AQ319" t="s">
        <v>823</v>
      </c>
      <c r="AR319" t="s">
        <v>823</v>
      </c>
      <c r="AS319" t="s">
        <v>823</v>
      </c>
      <c r="AT319" t="s">
        <v>823</v>
      </c>
      <c r="AU319" t="s">
        <v>823</v>
      </c>
      <c r="AV319" t="s">
        <v>823</v>
      </c>
      <c r="AW319" t="s">
        <v>823</v>
      </c>
      <c r="AX319" t="s">
        <v>823</v>
      </c>
      <c r="AY319" t="s">
        <v>823</v>
      </c>
      <c r="AZ319" t="s">
        <v>823</v>
      </c>
      <c r="BA319" t="s">
        <v>823</v>
      </c>
      <c r="BB319" t="s">
        <v>823</v>
      </c>
      <c r="BC319" t="s">
        <v>823</v>
      </c>
      <c r="BD319" t="s">
        <v>823</v>
      </c>
      <c r="BE319" t="s">
        <v>823</v>
      </c>
      <c r="BF319" t="s">
        <v>823</v>
      </c>
      <c r="BG319" t="s">
        <v>823</v>
      </c>
      <c r="BH319" t="s">
        <v>823</v>
      </c>
      <c r="BI319" t="s">
        <v>823</v>
      </c>
    </row>
    <row r="320" spans="1:61" x14ac:dyDescent="0.2">
      <c r="A320" t="s">
        <v>572</v>
      </c>
      <c r="S320" t="s">
        <v>823</v>
      </c>
      <c r="T320" t="s">
        <v>823</v>
      </c>
      <c r="U320" t="s">
        <v>823</v>
      </c>
      <c r="V320" t="s">
        <v>823</v>
      </c>
      <c r="W320" t="s">
        <v>823</v>
      </c>
      <c r="X320" t="s">
        <v>823</v>
      </c>
      <c r="Y320" t="s">
        <v>823</v>
      </c>
      <c r="Z320" t="s">
        <v>823</v>
      </c>
      <c r="AA320" t="s">
        <v>823</v>
      </c>
      <c r="AB320" t="s">
        <v>823</v>
      </c>
      <c r="AC320" t="s">
        <v>823</v>
      </c>
      <c r="AD320" t="s">
        <v>823</v>
      </c>
      <c r="AE320" t="s">
        <v>823</v>
      </c>
      <c r="AF320" t="s">
        <v>823</v>
      </c>
      <c r="AG320" t="s">
        <v>823</v>
      </c>
      <c r="AH320" t="s">
        <v>823</v>
      </c>
      <c r="AI320" t="s">
        <v>823</v>
      </c>
      <c r="AJ320" t="s">
        <v>823</v>
      </c>
      <c r="AK320" t="s">
        <v>823</v>
      </c>
      <c r="AL320" t="s">
        <v>823</v>
      </c>
      <c r="AM320" t="s">
        <v>823</v>
      </c>
      <c r="AN320" t="s">
        <v>823</v>
      </c>
      <c r="AO320" t="s">
        <v>823</v>
      </c>
      <c r="AP320" t="s">
        <v>823</v>
      </c>
      <c r="AQ320" t="s">
        <v>823</v>
      </c>
      <c r="AR320" t="s">
        <v>823</v>
      </c>
      <c r="AS320" t="s">
        <v>823</v>
      </c>
      <c r="AT320" t="s">
        <v>823</v>
      </c>
      <c r="AU320" t="s">
        <v>823</v>
      </c>
      <c r="AV320" t="s">
        <v>823</v>
      </c>
      <c r="AW320" t="s">
        <v>823</v>
      </c>
      <c r="AX320" t="s">
        <v>823</v>
      </c>
      <c r="AY320" t="s">
        <v>823</v>
      </c>
      <c r="AZ320" t="s">
        <v>823</v>
      </c>
      <c r="BA320" t="s">
        <v>823</v>
      </c>
      <c r="BB320" t="s">
        <v>823</v>
      </c>
      <c r="BC320" t="s">
        <v>823</v>
      </c>
      <c r="BD320" t="s">
        <v>823</v>
      </c>
      <c r="BE320" t="s">
        <v>823</v>
      </c>
      <c r="BF320" t="s">
        <v>823</v>
      </c>
      <c r="BG320" t="s">
        <v>823</v>
      </c>
      <c r="BH320" t="s">
        <v>823</v>
      </c>
      <c r="BI320" t="s">
        <v>823</v>
      </c>
    </row>
    <row r="321" spans="1:61" x14ac:dyDescent="0.2">
      <c r="A321" t="s">
        <v>608</v>
      </c>
      <c r="S321" t="s">
        <v>823</v>
      </c>
      <c r="T321" t="s">
        <v>823</v>
      </c>
      <c r="U321" t="s">
        <v>823</v>
      </c>
      <c r="V321" t="s">
        <v>823</v>
      </c>
      <c r="W321" t="s">
        <v>823</v>
      </c>
      <c r="X321" t="s">
        <v>823</v>
      </c>
      <c r="Y321" t="s">
        <v>823</v>
      </c>
      <c r="Z321" t="s">
        <v>823</v>
      </c>
      <c r="AA321" t="s">
        <v>823</v>
      </c>
      <c r="AB321" t="s">
        <v>823</v>
      </c>
      <c r="AC321" t="s">
        <v>823</v>
      </c>
      <c r="AD321" t="s">
        <v>823</v>
      </c>
      <c r="AE321" t="s">
        <v>823</v>
      </c>
      <c r="AF321" t="s">
        <v>823</v>
      </c>
      <c r="AG321" t="s">
        <v>823</v>
      </c>
      <c r="AH321" t="s">
        <v>823</v>
      </c>
      <c r="AI321" t="s">
        <v>823</v>
      </c>
      <c r="AJ321" t="s">
        <v>823</v>
      </c>
      <c r="AK321" t="s">
        <v>823</v>
      </c>
      <c r="AL321" t="s">
        <v>823</v>
      </c>
      <c r="AM321" t="s">
        <v>823</v>
      </c>
      <c r="AN321" t="s">
        <v>823</v>
      </c>
      <c r="AO321" t="s">
        <v>823</v>
      </c>
      <c r="AP321" t="s">
        <v>823</v>
      </c>
      <c r="AQ321" t="s">
        <v>823</v>
      </c>
      <c r="AR321" t="s">
        <v>823</v>
      </c>
      <c r="AS321" t="s">
        <v>823</v>
      </c>
      <c r="AT321" t="s">
        <v>823</v>
      </c>
      <c r="AU321" t="s">
        <v>823</v>
      </c>
      <c r="AV321" t="s">
        <v>823</v>
      </c>
      <c r="AW321" t="s">
        <v>823</v>
      </c>
      <c r="AX321" t="s">
        <v>823</v>
      </c>
      <c r="AY321" t="s">
        <v>823</v>
      </c>
      <c r="AZ321" t="s">
        <v>823</v>
      </c>
      <c r="BA321" t="s">
        <v>823</v>
      </c>
      <c r="BB321" t="s">
        <v>823</v>
      </c>
      <c r="BC321" t="s">
        <v>823</v>
      </c>
      <c r="BD321" t="s">
        <v>823</v>
      </c>
      <c r="BE321" t="s">
        <v>823</v>
      </c>
      <c r="BF321" t="s">
        <v>823</v>
      </c>
      <c r="BG321" t="s">
        <v>823</v>
      </c>
      <c r="BH321" t="s">
        <v>823</v>
      </c>
      <c r="BI321" t="s">
        <v>823</v>
      </c>
    </row>
    <row r="322" spans="1:61" x14ac:dyDescent="0.2">
      <c r="A322" t="s">
        <v>569</v>
      </c>
      <c r="S322" t="s">
        <v>823</v>
      </c>
      <c r="T322" t="s">
        <v>823</v>
      </c>
      <c r="U322" t="s">
        <v>823</v>
      </c>
      <c r="V322" t="s">
        <v>823</v>
      </c>
      <c r="W322" t="s">
        <v>823</v>
      </c>
      <c r="X322" t="s">
        <v>823</v>
      </c>
      <c r="Y322" t="s">
        <v>823</v>
      </c>
      <c r="Z322" t="s">
        <v>823</v>
      </c>
      <c r="AA322" t="s">
        <v>823</v>
      </c>
      <c r="AB322" t="s">
        <v>823</v>
      </c>
      <c r="AC322" t="s">
        <v>823</v>
      </c>
      <c r="AD322" t="s">
        <v>823</v>
      </c>
      <c r="AE322" t="s">
        <v>823</v>
      </c>
      <c r="AF322" t="s">
        <v>823</v>
      </c>
      <c r="AG322" t="s">
        <v>823</v>
      </c>
      <c r="AH322" t="s">
        <v>823</v>
      </c>
      <c r="AI322" t="s">
        <v>823</v>
      </c>
      <c r="AJ322" t="s">
        <v>823</v>
      </c>
      <c r="AK322" t="s">
        <v>823</v>
      </c>
      <c r="AL322" t="s">
        <v>823</v>
      </c>
      <c r="AM322" t="s">
        <v>823</v>
      </c>
      <c r="AN322" t="s">
        <v>823</v>
      </c>
      <c r="AO322" t="s">
        <v>823</v>
      </c>
      <c r="AP322" t="s">
        <v>823</v>
      </c>
      <c r="AQ322" t="s">
        <v>823</v>
      </c>
      <c r="AR322" t="s">
        <v>823</v>
      </c>
      <c r="AS322" t="s">
        <v>823</v>
      </c>
      <c r="AT322" t="s">
        <v>823</v>
      </c>
      <c r="AU322" t="s">
        <v>823</v>
      </c>
      <c r="AV322" t="s">
        <v>823</v>
      </c>
      <c r="AW322" t="s">
        <v>823</v>
      </c>
      <c r="AX322" t="s">
        <v>823</v>
      </c>
      <c r="AY322" t="s">
        <v>823</v>
      </c>
      <c r="AZ322" t="s">
        <v>823</v>
      </c>
      <c r="BA322" t="s">
        <v>823</v>
      </c>
      <c r="BB322" t="s">
        <v>823</v>
      </c>
      <c r="BC322" t="s">
        <v>823</v>
      </c>
      <c r="BD322" t="s">
        <v>823</v>
      </c>
      <c r="BE322" t="s">
        <v>823</v>
      </c>
      <c r="BF322" t="s">
        <v>823</v>
      </c>
      <c r="BG322" t="s">
        <v>823</v>
      </c>
      <c r="BH322" t="s">
        <v>823</v>
      </c>
      <c r="BI322" t="s">
        <v>823</v>
      </c>
    </row>
    <row r="323" spans="1:61" x14ac:dyDescent="0.2">
      <c r="A323" t="s">
        <v>638</v>
      </c>
      <c r="S323" t="s">
        <v>823</v>
      </c>
      <c r="T323" t="s">
        <v>823</v>
      </c>
      <c r="U323" t="s">
        <v>823</v>
      </c>
      <c r="V323" t="s">
        <v>823</v>
      </c>
      <c r="W323" t="s">
        <v>823</v>
      </c>
      <c r="X323" t="s">
        <v>823</v>
      </c>
      <c r="Y323" t="s">
        <v>823</v>
      </c>
      <c r="Z323" t="s">
        <v>823</v>
      </c>
      <c r="AA323" t="s">
        <v>823</v>
      </c>
      <c r="AB323" t="s">
        <v>823</v>
      </c>
      <c r="AC323" t="s">
        <v>823</v>
      </c>
      <c r="AD323" t="s">
        <v>823</v>
      </c>
      <c r="AE323" t="s">
        <v>823</v>
      </c>
      <c r="AF323" t="s">
        <v>823</v>
      </c>
      <c r="AG323" t="s">
        <v>823</v>
      </c>
      <c r="AH323" t="s">
        <v>823</v>
      </c>
      <c r="AI323" t="s">
        <v>823</v>
      </c>
      <c r="AJ323" t="s">
        <v>823</v>
      </c>
      <c r="AK323" t="s">
        <v>823</v>
      </c>
      <c r="AL323" t="s">
        <v>823</v>
      </c>
      <c r="AM323" t="s">
        <v>823</v>
      </c>
      <c r="AN323" t="s">
        <v>823</v>
      </c>
      <c r="AO323" t="s">
        <v>823</v>
      </c>
      <c r="AP323" t="s">
        <v>823</v>
      </c>
      <c r="AQ323" t="s">
        <v>823</v>
      </c>
      <c r="AR323" t="s">
        <v>823</v>
      </c>
      <c r="AS323" t="s">
        <v>823</v>
      </c>
      <c r="AT323" t="s">
        <v>823</v>
      </c>
      <c r="AU323" t="s">
        <v>823</v>
      </c>
      <c r="AV323" t="s">
        <v>823</v>
      </c>
      <c r="AW323" t="s">
        <v>823</v>
      </c>
      <c r="AX323" t="s">
        <v>823</v>
      </c>
      <c r="AY323" t="s">
        <v>823</v>
      </c>
      <c r="AZ323" t="s">
        <v>823</v>
      </c>
      <c r="BA323" t="s">
        <v>823</v>
      </c>
      <c r="BB323" t="s">
        <v>823</v>
      </c>
      <c r="BC323" t="s">
        <v>823</v>
      </c>
      <c r="BD323" t="s">
        <v>823</v>
      </c>
      <c r="BE323" t="s">
        <v>823</v>
      </c>
      <c r="BF323" t="s">
        <v>823</v>
      </c>
      <c r="BG323" t="s">
        <v>823</v>
      </c>
      <c r="BH323" t="s">
        <v>823</v>
      </c>
      <c r="BI323" t="s">
        <v>823</v>
      </c>
    </row>
    <row r="324" spans="1:61" x14ac:dyDescent="0.2">
      <c r="A324" t="s">
        <v>639</v>
      </c>
      <c r="S324" t="s">
        <v>823</v>
      </c>
      <c r="T324" t="s">
        <v>823</v>
      </c>
      <c r="U324" t="s">
        <v>823</v>
      </c>
      <c r="V324" t="s">
        <v>823</v>
      </c>
      <c r="W324" t="s">
        <v>823</v>
      </c>
      <c r="X324" t="s">
        <v>823</v>
      </c>
      <c r="Y324" t="s">
        <v>823</v>
      </c>
      <c r="Z324" t="s">
        <v>823</v>
      </c>
      <c r="AA324" t="s">
        <v>823</v>
      </c>
      <c r="AB324" t="s">
        <v>823</v>
      </c>
      <c r="AC324" t="s">
        <v>823</v>
      </c>
      <c r="AD324" t="s">
        <v>823</v>
      </c>
      <c r="AE324" t="s">
        <v>823</v>
      </c>
      <c r="AF324" t="s">
        <v>823</v>
      </c>
      <c r="AG324" t="s">
        <v>823</v>
      </c>
      <c r="AH324" t="s">
        <v>823</v>
      </c>
      <c r="AI324" t="s">
        <v>823</v>
      </c>
      <c r="AJ324" t="s">
        <v>823</v>
      </c>
      <c r="AK324" t="s">
        <v>823</v>
      </c>
      <c r="AL324" t="s">
        <v>823</v>
      </c>
      <c r="AM324" t="s">
        <v>823</v>
      </c>
      <c r="AN324" t="s">
        <v>823</v>
      </c>
      <c r="AO324" t="s">
        <v>823</v>
      </c>
      <c r="AP324" t="s">
        <v>823</v>
      </c>
      <c r="AQ324" t="s">
        <v>823</v>
      </c>
      <c r="AR324" t="s">
        <v>823</v>
      </c>
      <c r="AS324" t="s">
        <v>823</v>
      </c>
      <c r="AT324" t="s">
        <v>823</v>
      </c>
      <c r="AU324" t="s">
        <v>823</v>
      </c>
      <c r="AV324" t="s">
        <v>823</v>
      </c>
      <c r="AW324" t="s">
        <v>823</v>
      </c>
      <c r="AX324" t="s">
        <v>823</v>
      </c>
      <c r="AY324" t="s">
        <v>823</v>
      </c>
      <c r="AZ324" t="s">
        <v>823</v>
      </c>
      <c r="BA324" t="s">
        <v>823</v>
      </c>
      <c r="BB324" t="s">
        <v>823</v>
      </c>
      <c r="BC324" t="s">
        <v>823</v>
      </c>
      <c r="BD324" t="s">
        <v>823</v>
      </c>
      <c r="BE324" t="s">
        <v>823</v>
      </c>
      <c r="BF324" t="s">
        <v>823</v>
      </c>
      <c r="BG324" t="s">
        <v>823</v>
      </c>
      <c r="BH324" t="s">
        <v>823</v>
      </c>
      <c r="BI324" t="s">
        <v>823</v>
      </c>
    </row>
    <row r="325" spans="1:61" x14ac:dyDescent="0.2">
      <c r="A325" t="s">
        <v>640</v>
      </c>
      <c r="S325" t="s">
        <v>823</v>
      </c>
      <c r="T325" t="s">
        <v>823</v>
      </c>
      <c r="U325" t="s">
        <v>823</v>
      </c>
      <c r="V325" t="s">
        <v>823</v>
      </c>
      <c r="W325" t="s">
        <v>823</v>
      </c>
      <c r="X325" t="s">
        <v>823</v>
      </c>
      <c r="Y325" t="s">
        <v>823</v>
      </c>
      <c r="Z325" t="s">
        <v>823</v>
      </c>
      <c r="AA325" t="s">
        <v>823</v>
      </c>
      <c r="AB325" t="s">
        <v>823</v>
      </c>
      <c r="AC325" t="s">
        <v>823</v>
      </c>
      <c r="AD325" t="s">
        <v>823</v>
      </c>
      <c r="AE325" t="s">
        <v>823</v>
      </c>
      <c r="AF325" t="s">
        <v>823</v>
      </c>
      <c r="AG325" t="s">
        <v>823</v>
      </c>
      <c r="AH325" t="s">
        <v>823</v>
      </c>
      <c r="AI325" t="s">
        <v>823</v>
      </c>
      <c r="AJ325" t="s">
        <v>823</v>
      </c>
      <c r="AK325" t="s">
        <v>823</v>
      </c>
      <c r="AL325" t="s">
        <v>823</v>
      </c>
      <c r="AM325" t="s">
        <v>823</v>
      </c>
      <c r="AN325" t="s">
        <v>823</v>
      </c>
      <c r="AO325" t="s">
        <v>823</v>
      </c>
      <c r="AP325" t="s">
        <v>823</v>
      </c>
      <c r="AQ325" t="s">
        <v>823</v>
      </c>
      <c r="AR325" t="s">
        <v>823</v>
      </c>
      <c r="AS325" t="s">
        <v>823</v>
      </c>
      <c r="AT325" t="s">
        <v>823</v>
      </c>
      <c r="AU325" t="s">
        <v>823</v>
      </c>
      <c r="AV325" t="s">
        <v>823</v>
      </c>
      <c r="AW325" t="s">
        <v>823</v>
      </c>
      <c r="AX325" t="s">
        <v>823</v>
      </c>
      <c r="AY325" t="s">
        <v>823</v>
      </c>
      <c r="AZ325" t="s">
        <v>823</v>
      </c>
      <c r="BA325" t="s">
        <v>823</v>
      </c>
      <c r="BB325" t="s">
        <v>823</v>
      </c>
      <c r="BC325" t="s">
        <v>823</v>
      </c>
      <c r="BD325" t="s">
        <v>823</v>
      </c>
      <c r="BE325" t="s">
        <v>823</v>
      </c>
      <c r="BF325" t="s">
        <v>823</v>
      </c>
      <c r="BG325" t="s">
        <v>823</v>
      </c>
      <c r="BH325" t="s">
        <v>823</v>
      </c>
      <c r="BI325" t="s">
        <v>823</v>
      </c>
    </row>
    <row r="326" spans="1:61" x14ac:dyDescent="0.2">
      <c r="A326" t="s">
        <v>620</v>
      </c>
      <c r="S326" t="s">
        <v>823</v>
      </c>
      <c r="T326" t="s">
        <v>823</v>
      </c>
      <c r="U326" t="s">
        <v>823</v>
      </c>
      <c r="V326" t="s">
        <v>823</v>
      </c>
      <c r="W326" t="s">
        <v>823</v>
      </c>
      <c r="X326" t="s">
        <v>823</v>
      </c>
      <c r="Y326" t="s">
        <v>823</v>
      </c>
      <c r="Z326" t="s">
        <v>823</v>
      </c>
      <c r="AA326" t="s">
        <v>823</v>
      </c>
      <c r="AB326" t="s">
        <v>823</v>
      </c>
      <c r="AC326" t="s">
        <v>823</v>
      </c>
      <c r="AD326" t="s">
        <v>823</v>
      </c>
      <c r="AE326" t="s">
        <v>823</v>
      </c>
      <c r="AF326" t="s">
        <v>823</v>
      </c>
      <c r="AG326" t="s">
        <v>823</v>
      </c>
      <c r="AH326" t="s">
        <v>823</v>
      </c>
      <c r="AI326" t="s">
        <v>823</v>
      </c>
      <c r="AJ326" t="s">
        <v>823</v>
      </c>
      <c r="AK326" t="s">
        <v>823</v>
      </c>
      <c r="AL326" t="s">
        <v>823</v>
      </c>
      <c r="AM326" t="s">
        <v>823</v>
      </c>
      <c r="AN326" t="s">
        <v>823</v>
      </c>
      <c r="AO326" t="s">
        <v>823</v>
      </c>
      <c r="AP326" t="s">
        <v>823</v>
      </c>
      <c r="AQ326" t="s">
        <v>823</v>
      </c>
      <c r="AR326" t="s">
        <v>823</v>
      </c>
      <c r="AS326" t="s">
        <v>823</v>
      </c>
      <c r="AT326" t="s">
        <v>823</v>
      </c>
      <c r="AU326" t="s">
        <v>823</v>
      </c>
      <c r="AV326" t="s">
        <v>823</v>
      </c>
      <c r="AW326" t="s">
        <v>823</v>
      </c>
      <c r="AX326" t="s">
        <v>823</v>
      </c>
      <c r="AY326" t="s">
        <v>823</v>
      </c>
      <c r="AZ326" t="s">
        <v>823</v>
      </c>
      <c r="BA326" t="s">
        <v>823</v>
      </c>
      <c r="BB326" t="s">
        <v>823</v>
      </c>
      <c r="BC326" t="s">
        <v>823</v>
      </c>
      <c r="BD326" t="s">
        <v>823</v>
      </c>
      <c r="BE326" t="s">
        <v>823</v>
      </c>
      <c r="BF326" t="s">
        <v>823</v>
      </c>
      <c r="BG326" t="s">
        <v>823</v>
      </c>
      <c r="BH326" t="s">
        <v>823</v>
      </c>
      <c r="BI326" t="s">
        <v>823</v>
      </c>
    </row>
    <row r="327" spans="1:61" x14ac:dyDescent="0.2">
      <c r="A327" t="s">
        <v>621</v>
      </c>
      <c r="S327" t="s">
        <v>823</v>
      </c>
      <c r="T327" t="s">
        <v>823</v>
      </c>
      <c r="U327" t="s">
        <v>823</v>
      </c>
      <c r="V327" t="s">
        <v>823</v>
      </c>
      <c r="W327" t="s">
        <v>823</v>
      </c>
      <c r="X327" t="s">
        <v>823</v>
      </c>
      <c r="Y327" t="s">
        <v>823</v>
      </c>
      <c r="Z327" t="s">
        <v>823</v>
      </c>
      <c r="AA327" t="s">
        <v>823</v>
      </c>
      <c r="AB327" t="s">
        <v>823</v>
      </c>
      <c r="AC327" t="s">
        <v>823</v>
      </c>
      <c r="AD327" t="s">
        <v>823</v>
      </c>
      <c r="AE327" t="s">
        <v>823</v>
      </c>
      <c r="AF327" t="s">
        <v>823</v>
      </c>
      <c r="AG327" t="s">
        <v>823</v>
      </c>
      <c r="AH327" t="s">
        <v>823</v>
      </c>
      <c r="AI327" t="s">
        <v>823</v>
      </c>
      <c r="AJ327" t="s">
        <v>823</v>
      </c>
      <c r="AK327" t="s">
        <v>823</v>
      </c>
      <c r="AL327" t="s">
        <v>823</v>
      </c>
      <c r="AM327" t="s">
        <v>823</v>
      </c>
      <c r="AN327" t="s">
        <v>823</v>
      </c>
      <c r="AO327" t="s">
        <v>823</v>
      </c>
      <c r="AP327" t="s">
        <v>823</v>
      </c>
      <c r="AQ327" t="s">
        <v>823</v>
      </c>
      <c r="AR327" t="s">
        <v>823</v>
      </c>
      <c r="AS327" t="s">
        <v>823</v>
      </c>
      <c r="AT327" t="s">
        <v>823</v>
      </c>
      <c r="AU327" t="s">
        <v>823</v>
      </c>
      <c r="AV327" t="s">
        <v>823</v>
      </c>
      <c r="AW327" t="s">
        <v>823</v>
      </c>
      <c r="AX327" t="s">
        <v>823</v>
      </c>
      <c r="AY327" t="s">
        <v>823</v>
      </c>
      <c r="AZ327" t="s">
        <v>823</v>
      </c>
      <c r="BA327" t="s">
        <v>823</v>
      </c>
      <c r="BB327" t="s">
        <v>823</v>
      </c>
      <c r="BC327" t="s">
        <v>823</v>
      </c>
      <c r="BD327" t="s">
        <v>823</v>
      </c>
      <c r="BE327" t="s">
        <v>823</v>
      </c>
      <c r="BF327" t="s">
        <v>823</v>
      </c>
      <c r="BG327" t="s">
        <v>823</v>
      </c>
      <c r="BH327" t="s">
        <v>823</v>
      </c>
      <c r="BI327" t="s">
        <v>823</v>
      </c>
    </row>
    <row r="328" spans="1:61" x14ac:dyDescent="0.2">
      <c r="A328" t="s">
        <v>622</v>
      </c>
      <c r="S328" t="s">
        <v>823</v>
      </c>
      <c r="T328" t="s">
        <v>823</v>
      </c>
      <c r="U328" t="s">
        <v>823</v>
      </c>
      <c r="V328" t="s">
        <v>823</v>
      </c>
      <c r="W328" t="s">
        <v>823</v>
      </c>
      <c r="X328" t="s">
        <v>823</v>
      </c>
      <c r="Y328" t="s">
        <v>823</v>
      </c>
      <c r="Z328" t="s">
        <v>823</v>
      </c>
      <c r="AA328" t="s">
        <v>823</v>
      </c>
      <c r="AB328" t="s">
        <v>823</v>
      </c>
      <c r="AC328" t="s">
        <v>823</v>
      </c>
      <c r="AD328" t="s">
        <v>823</v>
      </c>
      <c r="AE328" t="s">
        <v>823</v>
      </c>
      <c r="AF328" t="s">
        <v>823</v>
      </c>
      <c r="AG328" t="s">
        <v>823</v>
      </c>
      <c r="AH328" t="s">
        <v>823</v>
      </c>
      <c r="AI328" t="s">
        <v>823</v>
      </c>
      <c r="AJ328" t="s">
        <v>823</v>
      </c>
      <c r="AK328" t="s">
        <v>823</v>
      </c>
      <c r="AL328" t="s">
        <v>823</v>
      </c>
      <c r="AM328" t="s">
        <v>823</v>
      </c>
      <c r="AN328" t="s">
        <v>823</v>
      </c>
      <c r="AO328" t="s">
        <v>823</v>
      </c>
      <c r="AP328" t="s">
        <v>823</v>
      </c>
      <c r="AQ328" t="s">
        <v>823</v>
      </c>
      <c r="AR328" t="s">
        <v>823</v>
      </c>
      <c r="AS328" t="s">
        <v>823</v>
      </c>
      <c r="AT328" t="s">
        <v>823</v>
      </c>
      <c r="AU328" t="s">
        <v>823</v>
      </c>
      <c r="AV328" t="s">
        <v>823</v>
      </c>
      <c r="AW328" t="s">
        <v>823</v>
      </c>
      <c r="AX328" t="s">
        <v>823</v>
      </c>
      <c r="AY328" t="s">
        <v>823</v>
      </c>
      <c r="AZ328" t="s">
        <v>823</v>
      </c>
      <c r="BA328" t="s">
        <v>823</v>
      </c>
      <c r="BB328" t="s">
        <v>823</v>
      </c>
      <c r="BC328" t="s">
        <v>823</v>
      </c>
      <c r="BD328" t="s">
        <v>823</v>
      </c>
      <c r="BE328" t="s">
        <v>823</v>
      </c>
      <c r="BF328" t="s">
        <v>823</v>
      </c>
      <c r="BG328" t="s">
        <v>823</v>
      </c>
      <c r="BH328" t="s">
        <v>823</v>
      </c>
      <c r="BI328" t="s">
        <v>823</v>
      </c>
    </row>
    <row r="329" spans="1:61" x14ac:dyDescent="0.2">
      <c r="A329" t="s">
        <v>629</v>
      </c>
      <c r="S329" t="s">
        <v>823</v>
      </c>
      <c r="T329" t="s">
        <v>823</v>
      </c>
      <c r="U329" t="s">
        <v>823</v>
      </c>
      <c r="V329" t="s">
        <v>823</v>
      </c>
      <c r="W329" t="s">
        <v>823</v>
      </c>
      <c r="X329" t="s">
        <v>823</v>
      </c>
      <c r="Y329" t="s">
        <v>823</v>
      </c>
      <c r="Z329" t="s">
        <v>823</v>
      </c>
      <c r="AA329" t="s">
        <v>823</v>
      </c>
      <c r="AB329" t="s">
        <v>823</v>
      </c>
      <c r="AC329" t="s">
        <v>823</v>
      </c>
      <c r="AD329" t="s">
        <v>823</v>
      </c>
      <c r="AE329" t="s">
        <v>823</v>
      </c>
      <c r="AF329" t="s">
        <v>823</v>
      </c>
      <c r="AG329" t="s">
        <v>823</v>
      </c>
      <c r="AH329" t="s">
        <v>823</v>
      </c>
      <c r="AI329" t="s">
        <v>823</v>
      </c>
      <c r="AJ329" t="s">
        <v>823</v>
      </c>
      <c r="AK329" t="s">
        <v>823</v>
      </c>
      <c r="AL329" t="s">
        <v>823</v>
      </c>
      <c r="AM329" t="s">
        <v>823</v>
      </c>
      <c r="AN329" t="s">
        <v>823</v>
      </c>
      <c r="AO329" t="s">
        <v>823</v>
      </c>
      <c r="AP329" t="s">
        <v>823</v>
      </c>
      <c r="AQ329" t="s">
        <v>823</v>
      </c>
      <c r="AR329" t="s">
        <v>823</v>
      </c>
      <c r="AS329" t="s">
        <v>823</v>
      </c>
      <c r="AT329" t="s">
        <v>823</v>
      </c>
      <c r="AU329" t="s">
        <v>823</v>
      </c>
      <c r="AV329" t="s">
        <v>823</v>
      </c>
      <c r="AW329" t="s">
        <v>823</v>
      </c>
      <c r="AX329" t="s">
        <v>823</v>
      </c>
      <c r="AY329" t="s">
        <v>823</v>
      </c>
      <c r="AZ329" t="s">
        <v>823</v>
      </c>
      <c r="BA329" t="s">
        <v>823</v>
      </c>
      <c r="BB329" t="s">
        <v>823</v>
      </c>
      <c r="BC329" t="s">
        <v>823</v>
      </c>
      <c r="BD329" t="s">
        <v>823</v>
      </c>
      <c r="BE329" t="s">
        <v>823</v>
      </c>
      <c r="BF329" t="s">
        <v>823</v>
      </c>
      <c r="BG329" t="s">
        <v>823</v>
      </c>
      <c r="BH329" t="s">
        <v>823</v>
      </c>
      <c r="BI329" t="s">
        <v>823</v>
      </c>
    </row>
    <row r="330" spans="1:61" x14ac:dyDescent="0.2">
      <c r="A330" t="s">
        <v>630</v>
      </c>
      <c r="S330" t="s">
        <v>823</v>
      </c>
      <c r="T330" t="s">
        <v>823</v>
      </c>
      <c r="U330" t="s">
        <v>823</v>
      </c>
      <c r="V330" t="s">
        <v>823</v>
      </c>
      <c r="W330" t="s">
        <v>823</v>
      </c>
      <c r="X330" t="s">
        <v>823</v>
      </c>
      <c r="Y330" t="s">
        <v>823</v>
      </c>
      <c r="Z330" t="s">
        <v>823</v>
      </c>
      <c r="AA330" t="s">
        <v>823</v>
      </c>
      <c r="AB330" t="s">
        <v>823</v>
      </c>
      <c r="AC330" t="s">
        <v>823</v>
      </c>
      <c r="AD330" t="s">
        <v>823</v>
      </c>
      <c r="AE330" t="s">
        <v>823</v>
      </c>
      <c r="AF330" t="s">
        <v>823</v>
      </c>
      <c r="AG330" t="s">
        <v>823</v>
      </c>
      <c r="AH330" t="s">
        <v>823</v>
      </c>
      <c r="AI330" t="s">
        <v>823</v>
      </c>
      <c r="AJ330" t="s">
        <v>823</v>
      </c>
      <c r="AK330" t="s">
        <v>823</v>
      </c>
      <c r="AL330" t="s">
        <v>823</v>
      </c>
      <c r="AM330" t="s">
        <v>823</v>
      </c>
      <c r="AN330" t="s">
        <v>823</v>
      </c>
      <c r="AO330" t="s">
        <v>823</v>
      </c>
      <c r="AP330" t="s">
        <v>823</v>
      </c>
      <c r="AQ330" t="s">
        <v>823</v>
      </c>
      <c r="AR330" t="s">
        <v>823</v>
      </c>
      <c r="AS330" t="s">
        <v>823</v>
      </c>
      <c r="AT330" t="s">
        <v>823</v>
      </c>
      <c r="AU330" t="s">
        <v>823</v>
      </c>
      <c r="AV330" t="s">
        <v>823</v>
      </c>
      <c r="AW330" t="s">
        <v>823</v>
      </c>
      <c r="AX330" t="s">
        <v>823</v>
      </c>
      <c r="AY330" t="s">
        <v>823</v>
      </c>
      <c r="AZ330" t="s">
        <v>823</v>
      </c>
      <c r="BA330" t="s">
        <v>823</v>
      </c>
      <c r="BB330" t="s">
        <v>823</v>
      </c>
      <c r="BC330" t="s">
        <v>823</v>
      </c>
      <c r="BD330" t="s">
        <v>823</v>
      </c>
      <c r="BE330" t="s">
        <v>823</v>
      </c>
      <c r="BF330" t="s">
        <v>823</v>
      </c>
      <c r="BG330" t="s">
        <v>823</v>
      </c>
      <c r="BH330" t="s">
        <v>823</v>
      </c>
      <c r="BI330" t="s">
        <v>823</v>
      </c>
    </row>
    <row r="331" spans="1:61" x14ac:dyDescent="0.2">
      <c r="A331" t="s">
        <v>631</v>
      </c>
      <c r="S331" t="s">
        <v>823</v>
      </c>
      <c r="T331" t="s">
        <v>823</v>
      </c>
      <c r="U331" t="s">
        <v>823</v>
      </c>
      <c r="V331" t="s">
        <v>823</v>
      </c>
      <c r="W331" t="s">
        <v>823</v>
      </c>
      <c r="X331" t="s">
        <v>823</v>
      </c>
      <c r="Y331" t="s">
        <v>823</v>
      </c>
      <c r="Z331" t="s">
        <v>823</v>
      </c>
      <c r="AA331" t="s">
        <v>823</v>
      </c>
      <c r="AB331" t="s">
        <v>823</v>
      </c>
      <c r="AC331" t="s">
        <v>823</v>
      </c>
      <c r="AD331" t="s">
        <v>823</v>
      </c>
      <c r="AE331" t="s">
        <v>823</v>
      </c>
      <c r="AF331" t="s">
        <v>823</v>
      </c>
      <c r="AG331" t="s">
        <v>823</v>
      </c>
      <c r="AH331" t="s">
        <v>823</v>
      </c>
      <c r="AI331" t="s">
        <v>823</v>
      </c>
      <c r="AJ331" t="s">
        <v>823</v>
      </c>
      <c r="AK331" t="s">
        <v>823</v>
      </c>
      <c r="AL331" t="s">
        <v>823</v>
      </c>
      <c r="AM331" t="s">
        <v>823</v>
      </c>
      <c r="AN331" t="s">
        <v>823</v>
      </c>
      <c r="AO331" t="s">
        <v>823</v>
      </c>
      <c r="AP331" t="s">
        <v>823</v>
      </c>
      <c r="AQ331" t="s">
        <v>823</v>
      </c>
      <c r="AR331" t="s">
        <v>823</v>
      </c>
      <c r="AS331" t="s">
        <v>823</v>
      </c>
      <c r="AT331" t="s">
        <v>823</v>
      </c>
      <c r="AU331" t="s">
        <v>823</v>
      </c>
      <c r="AV331" t="s">
        <v>823</v>
      </c>
      <c r="AW331" t="s">
        <v>823</v>
      </c>
      <c r="AX331" t="s">
        <v>823</v>
      </c>
      <c r="AY331" t="s">
        <v>823</v>
      </c>
      <c r="AZ331" t="s">
        <v>823</v>
      </c>
      <c r="BA331" t="s">
        <v>823</v>
      </c>
      <c r="BB331" t="s">
        <v>823</v>
      </c>
      <c r="BC331" t="s">
        <v>823</v>
      </c>
      <c r="BD331" t="s">
        <v>823</v>
      </c>
      <c r="BE331" t="s">
        <v>823</v>
      </c>
      <c r="BF331" t="s">
        <v>823</v>
      </c>
      <c r="BG331" t="s">
        <v>823</v>
      </c>
      <c r="BH331" t="s">
        <v>823</v>
      </c>
      <c r="BI331" t="s">
        <v>823</v>
      </c>
    </row>
    <row r="332" spans="1:61" x14ac:dyDescent="0.2">
      <c r="A332" t="s">
        <v>492</v>
      </c>
      <c r="S332" t="s">
        <v>823</v>
      </c>
      <c r="T332" t="s">
        <v>823</v>
      </c>
      <c r="U332" t="s">
        <v>823</v>
      </c>
      <c r="V332" t="s">
        <v>823</v>
      </c>
      <c r="W332" t="s">
        <v>823</v>
      </c>
      <c r="X332" t="s">
        <v>823</v>
      </c>
      <c r="Y332" t="s">
        <v>823</v>
      </c>
      <c r="Z332" t="s">
        <v>823</v>
      </c>
      <c r="AA332" t="s">
        <v>823</v>
      </c>
      <c r="AB332" t="s">
        <v>823</v>
      </c>
      <c r="AC332" t="s">
        <v>823</v>
      </c>
      <c r="AD332" t="s">
        <v>823</v>
      </c>
      <c r="AE332" t="s">
        <v>823</v>
      </c>
      <c r="AF332" t="s">
        <v>823</v>
      </c>
      <c r="AG332" t="s">
        <v>823</v>
      </c>
      <c r="AH332" t="s">
        <v>823</v>
      </c>
      <c r="AI332" t="s">
        <v>823</v>
      </c>
      <c r="AJ332" t="s">
        <v>823</v>
      </c>
      <c r="AK332" t="s">
        <v>823</v>
      </c>
      <c r="AL332" t="s">
        <v>823</v>
      </c>
      <c r="AM332" t="s">
        <v>823</v>
      </c>
      <c r="AN332" t="s">
        <v>823</v>
      </c>
      <c r="AO332" t="s">
        <v>823</v>
      </c>
      <c r="AP332" t="s">
        <v>823</v>
      </c>
      <c r="AQ332" t="s">
        <v>823</v>
      </c>
      <c r="AR332" t="s">
        <v>823</v>
      </c>
      <c r="AS332" t="s">
        <v>823</v>
      </c>
      <c r="AT332" t="s">
        <v>823</v>
      </c>
      <c r="AU332" t="s">
        <v>823</v>
      </c>
      <c r="AV332" t="s">
        <v>823</v>
      </c>
      <c r="AW332" t="s">
        <v>823</v>
      </c>
      <c r="AX332" t="s">
        <v>823</v>
      </c>
      <c r="AY332" t="s">
        <v>823</v>
      </c>
      <c r="AZ332" t="s">
        <v>823</v>
      </c>
      <c r="BA332" t="s">
        <v>823</v>
      </c>
      <c r="BB332" t="s">
        <v>823</v>
      </c>
      <c r="BC332" t="s">
        <v>823</v>
      </c>
      <c r="BD332" t="s">
        <v>823</v>
      </c>
      <c r="BE332" t="s">
        <v>823</v>
      </c>
      <c r="BF332" t="s">
        <v>823</v>
      </c>
      <c r="BG332" t="s">
        <v>823</v>
      </c>
      <c r="BH332" t="s">
        <v>823</v>
      </c>
      <c r="BI332" t="s">
        <v>823</v>
      </c>
    </row>
    <row r="333" spans="1:61" x14ac:dyDescent="0.2">
      <c r="A333" t="s">
        <v>493</v>
      </c>
      <c r="S333" t="s">
        <v>823</v>
      </c>
      <c r="T333" t="s">
        <v>823</v>
      </c>
      <c r="U333" t="s">
        <v>823</v>
      </c>
      <c r="V333" t="s">
        <v>823</v>
      </c>
      <c r="W333" t="s">
        <v>823</v>
      </c>
      <c r="X333" t="s">
        <v>823</v>
      </c>
      <c r="Y333" t="s">
        <v>823</v>
      </c>
      <c r="Z333" t="s">
        <v>823</v>
      </c>
      <c r="AA333" t="s">
        <v>823</v>
      </c>
      <c r="AB333" t="s">
        <v>823</v>
      </c>
      <c r="AC333" t="s">
        <v>823</v>
      </c>
      <c r="AD333" t="s">
        <v>823</v>
      </c>
      <c r="AE333" t="s">
        <v>823</v>
      </c>
      <c r="AF333" t="s">
        <v>823</v>
      </c>
      <c r="AG333" t="s">
        <v>823</v>
      </c>
      <c r="AH333" t="s">
        <v>823</v>
      </c>
      <c r="AI333" t="s">
        <v>823</v>
      </c>
      <c r="AJ333" t="s">
        <v>823</v>
      </c>
      <c r="AK333" t="s">
        <v>823</v>
      </c>
      <c r="AL333" t="s">
        <v>823</v>
      </c>
      <c r="AM333" t="s">
        <v>823</v>
      </c>
      <c r="AN333" t="s">
        <v>823</v>
      </c>
      <c r="AO333" t="s">
        <v>823</v>
      </c>
      <c r="AP333" t="s">
        <v>823</v>
      </c>
      <c r="AQ333" t="s">
        <v>823</v>
      </c>
      <c r="AR333" t="s">
        <v>823</v>
      </c>
      <c r="AS333" t="s">
        <v>823</v>
      </c>
      <c r="AT333" t="s">
        <v>823</v>
      </c>
      <c r="AU333" t="s">
        <v>823</v>
      </c>
      <c r="AV333" t="s">
        <v>823</v>
      </c>
      <c r="AW333" t="s">
        <v>823</v>
      </c>
      <c r="AX333" t="s">
        <v>823</v>
      </c>
      <c r="AY333" t="s">
        <v>823</v>
      </c>
      <c r="AZ333" t="s">
        <v>823</v>
      </c>
      <c r="BA333" t="s">
        <v>823</v>
      </c>
      <c r="BB333" t="s">
        <v>823</v>
      </c>
      <c r="BC333" t="s">
        <v>823</v>
      </c>
      <c r="BD333" t="s">
        <v>823</v>
      </c>
      <c r="BE333" t="s">
        <v>823</v>
      </c>
      <c r="BF333" t="s">
        <v>823</v>
      </c>
      <c r="BG333" t="s">
        <v>823</v>
      </c>
      <c r="BH333" t="s">
        <v>823</v>
      </c>
      <c r="BI333" t="s">
        <v>823</v>
      </c>
    </row>
    <row r="334" spans="1:61" x14ac:dyDescent="0.2">
      <c r="A334" t="s">
        <v>494</v>
      </c>
      <c r="S334" t="s">
        <v>823</v>
      </c>
      <c r="T334" t="s">
        <v>823</v>
      </c>
      <c r="U334" t="s">
        <v>823</v>
      </c>
      <c r="V334" t="s">
        <v>823</v>
      </c>
      <c r="W334" t="s">
        <v>823</v>
      </c>
      <c r="X334" t="s">
        <v>823</v>
      </c>
      <c r="Y334" t="s">
        <v>823</v>
      </c>
      <c r="Z334" t="s">
        <v>823</v>
      </c>
      <c r="AA334" t="s">
        <v>823</v>
      </c>
      <c r="AB334" t="s">
        <v>823</v>
      </c>
      <c r="AC334" t="s">
        <v>823</v>
      </c>
      <c r="AD334" t="s">
        <v>823</v>
      </c>
      <c r="AE334" t="s">
        <v>823</v>
      </c>
      <c r="AF334" t="s">
        <v>823</v>
      </c>
      <c r="AG334" t="s">
        <v>823</v>
      </c>
      <c r="AH334" t="s">
        <v>823</v>
      </c>
      <c r="AI334" t="s">
        <v>823</v>
      </c>
      <c r="AJ334" t="s">
        <v>823</v>
      </c>
      <c r="AK334" t="s">
        <v>823</v>
      </c>
      <c r="AL334" t="s">
        <v>823</v>
      </c>
      <c r="AM334" t="s">
        <v>823</v>
      </c>
      <c r="AN334" t="s">
        <v>823</v>
      </c>
      <c r="AO334" t="s">
        <v>823</v>
      </c>
      <c r="AP334" t="s">
        <v>823</v>
      </c>
      <c r="AQ334" t="s">
        <v>823</v>
      </c>
      <c r="AR334" t="s">
        <v>823</v>
      </c>
      <c r="AS334" t="s">
        <v>823</v>
      </c>
      <c r="AT334" t="s">
        <v>823</v>
      </c>
      <c r="AU334" t="s">
        <v>823</v>
      </c>
      <c r="AV334" t="s">
        <v>823</v>
      </c>
      <c r="AW334" t="s">
        <v>823</v>
      </c>
      <c r="AX334" t="s">
        <v>823</v>
      </c>
      <c r="AY334" t="s">
        <v>823</v>
      </c>
      <c r="AZ334" t="s">
        <v>823</v>
      </c>
      <c r="BA334" t="s">
        <v>823</v>
      </c>
      <c r="BB334" t="s">
        <v>823</v>
      </c>
      <c r="BC334" t="s">
        <v>823</v>
      </c>
      <c r="BD334" t="s">
        <v>823</v>
      </c>
      <c r="BE334" t="s">
        <v>823</v>
      </c>
      <c r="BF334" t="s">
        <v>823</v>
      </c>
      <c r="BG334" t="s">
        <v>823</v>
      </c>
      <c r="BH334" t="s">
        <v>823</v>
      </c>
      <c r="BI334" t="s">
        <v>823</v>
      </c>
    </row>
    <row r="335" spans="1:61" x14ac:dyDescent="0.2">
      <c r="A335" t="s">
        <v>495</v>
      </c>
      <c r="S335" t="s">
        <v>823</v>
      </c>
      <c r="T335" t="s">
        <v>823</v>
      </c>
      <c r="U335" t="s">
        <v>823</v>
      </c>
      <c r="V335" t="s">
        <v>823</v>
      </c>
      <c r="W335" t="s">
        <v>823</v>
      </c>
      <c r="X335" t="s">
        <v>823</v>
      </c>
      <c r="Y335" t="s">
        <v>823</v>
      </c>
      <c r="Z335" t="s">
        <v>823</v>
      </c>
      <c r="AA335" t="s">
        <v>823</v>
      </c>
      <c r="AB335" t="s">
        <v>823</v>
      </c>
      <c r="AC335" t="s">
        <v>823</v>
      </c>
      <c r="AD335" t="s">
        <v>823</v>
      </c>
      <c r="AE335" t="s">
        <v>823</v>
      </c>
      <c r="AF335" t="s">
        <v>823</v>
      </c>
      <c r="AG335" t="s">
        <v>823</v>
      </c>
      <c r="AH335" t="s">
        <v>823</v>
      </c>
      <c r="AI335" t="s">
        <v>823</v>
      </c>
      <c r="AJ335" t="s">
        <v>823</v>
      </c>
      <c r="AK335" t="s">
        <v>823</v>
      </c>
      <c r="AL335" t="s">
        <v>823</v>
      </c>
      <c r="AM335" t="s">
        <v>823</v>
      </c>
      <c r="AN335" t="s">
        <v>823</v>
      </c>
      <c r="AO335" t="s">
        <v>823</v>
      </c>
      <c r="AP335" t="s">
        <v>823</v>
      </c>
      <c r="AQ335" t="s">
        <v>823</v>
      </c>
      <c r="AR335" t="s">
        <v>823</v>
      </c>
      <c r="AS335" t="s">
        <v>823</v>
      </c>
      <c r="AT335" t="s">
        <v>823</v>
      </c>
      <c r="AU335" t="s">
        <v>823</v>
      </c>
      <c r="AV335" t="s">
        <v>823</v>
      </c>
      <c r="AW335" t="s">
        <v>823</v>
      </c>
      <c r="AX335" t="s">
        <v>823</v>
      </c>
      <c r="AY335" t="s">
        <v>823</v>
      </c>
      <c r="AZ335" t="s">
        <v>823</v>
      </c>
      <c r="BA335" t="s">
        <v>823</v>
      </c>
      <c r="BB335" t="s">
        <v>823</v>
      </c>
      <c r="BC335" t="s">
        <v>823</v>
      </c>
      <c r="BD335" t="s">
        <v>823</v>
      </c>
      <c r="BE335" t="s">
        <v>823</v>
      </c>
      <c r="BF335" t="s">
        <v>823</v>
      </c>
      <c r="BG335" t="s">
        <v>823</v>
      </c>
      <c r="BH335" t="s">
        <v>823</v>
      </c>
      <c r="BI335" t="s">
        <v>823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331"/>
  <sheetViews>
    <sheetView topLeftCell="A315" workbookViewId="0">
      <selection activeCell="A336" sqref="A3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(&lt;45 km/h), NMC battery, 2020</v>
      </c>
    </row>
    <row r="2" spans="1:2" x14ac:dyDescent="0.2">
      <c r="A2" t="s">
        <v>72</v>
      </c>
      <c r="B2" t="s">
        <v>37</v>
      </c>
    </row>
    <row r="3" spans="1:2" x14ac:dyDescent="0.2">
      <c r="A3" t="s">
        <v>86</v>
      </c>
      <c r="B3" t="s">
        <v>490</v>
      </c>
    </row>
    <row r="4" spans="1:2" x14ac:dyDescent="0.2">
      <c r="A4" t="s">
        <v>87</v>
      </c>
    </row>
    <row r="5" spans="1:2" x14ac:dyDescent="0.2">
      <c r="A5" t="s">
        <v>88</v>
      </c>
      <c r="B5">
        <v>2020</v>
      </c>
    </row>
    <row r="6" spans="1:2" x14ac:dyDescent="0.2">
      <c r="A6" t="s">
        <v>126</v>
      </c>
      <c r="B6" t="str">
        <f>B3&amp;" - "&amp;B5&amp;" - "&amp;B18&amp;" - "&amp;B2</f>
        <v>Bicycle, electric (&lt;45 km/h) - 2020 - NMC - CH</v>
      </c>
    </row>
    <row r="7" spans="1:2" x14ac:dyDescent="0.2">
      <c r="A7" t="s">
        <v>73</v>
      </c>
      <c r="B7" t="str">
        <f>B3</f>
        <v>Bicycle, electric (&lt;45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3000</v>
      </c>
    </row>
    <row r="16" spans="1:2" x14ac:dyDescent="0.2">
      <c r="A16" t="s">
        <v>132</v>
      </c>
      <c r="B16">
        <f>INDEX('vehicles specifications'!$B$3:$CW$166,MATCH(B6,'vehicles specifications'!$A$3:$A$166,0),MATCH("Curb mass [kg]",'vehicles specifications'!$B$2:$CW$2,0))</f>
        <v>27.25</v>
      </c>
    </row>
    <row r="17" spans="1:8" x14ac:dyDescent="0.2">
      <c r="A17" t="s">
        <v>133</v>
      </c>
      <c r="B17">
        <f>INDEX('vehicles specifications'!$B$3:$CW$166,MATCH(B6,'vehicles specifications'!$A$3:$A$166,0),MATCH("Power [kW]",'vehicles specifications'!$B$2:$CW$2,0))</f>
        <v>0.5</v>
      </c>
    </row>
    <row r="18" spans="1:8" x14ac:dyDescent="0.2">
      <c r="A18" t="s">
        <v>652</v>
      </c>
      <c r="B18" s="20" t="s">
        <v>43</v>
      </c>
    </row>
    <row r="19" spans="1:8" x14ac:dyDescent="0.2">
      <c r="A19" t="s">
        <v>134</v>
      </c>
      <c r="B19">
        <f>INDEX('vehicles specifications'!$B$3:$CW$166,MATCH(B6,'vehicles specifications'!$A$3:$A$166,0),MATCH("Energy battery mass [kg]",'vehicles specifications'!$B$2:$CW$2,0))</f>
        <v>3.25</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f>INDEX('vehicles specifications'!$B$3:$CW$166,MATCH(B6,'vehicles specifications'!$A$3:$A$166,0),MATCH("Range [km]",'vehicles specifications'!$B$2:$CW$2,0))</f>
        <v>31.78180669614656</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(&lt;45 km/h), NMC battery, 2020</v>
      </c>
      <c r="B33">
        <v>1</v>
      </c>
      <c r="C33" t="str">
        <f>B2</f>
        <v>CH</v>
      </c>
      <c r="D33" t="str">
        <f>B9</f>
        <v>unit</v>
      </c>
      <c r="F33" t="s">
        <v>84</v>
      </c>
      <c r="G33" t="s">
        <v>85</v>
      </c>
      <c r="H33" t="str">
        <f>B3</f>
        <v>Bicycle, electric (&lt;45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1.1176470588235294</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tr">
        <f>INDEX('ei names mapping'!$B$4:$R$33,MATCH($B$3,'ei names mapping'!$A$4:$A$33,0),MATCH(G37,'ei names mapping'!$B$3:$R$3,0))</f>
        <v>Battery cell, NMC-622</v>
      </c>
      <c r="B37" s="4">
        <f>INDEX('vehicles specifications'!$B$3:$CW$166,MATCH(B6,'vehicles specifications'!$A$3:$A$166,0),MATCH(G37,'vehicles specifications'!$B$2:$CW$2,0))*INDEX('ei names mapping'!$B$137:$BL$300,MATCH(B6,'ei names mapping'!$A$137:$A$300,0),MATCH(G37,'ei names mapping'!$B$136:$BL$136,0))</f>
        <v>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-0.79166666666666663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-0.20833333333333331</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-6.5</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27.25</v>
      </c>
      <c r="C43" t="s">
        <v>92</v>
      </c>
      <c r="D43" t="s">
        <v>233</v>
      </c>
      <c r="F43" t="s">
        <v>89</v>
      </c>
      <c r="H43" s="13" t="s">
        <v>841</v>
      </c>
    </row>
    <row r="44" spans="1:8" x14ac:dyDescent="0.2">
      <c r="A44" s="13" t="s">
        <v>441</v>
      </c>
      <c r="B44" s="2">
        <f>(B16/1000)*B28</f>
        <v>433.27499999999998</v>
      </c>
      <c r="C44" t="s">
        <v>95</v>
      </c>
      <c r="D44" t="s">
        <v>233</v>
      </c>
      <c r="F44" t="s">
        <v>89</v>
      </c>
      <c r="H44" s="13" t="s">
        <v>441</v>
      </c>
    </row>
    <row r="45" spans="1:8" x14ac:dyDescent="0.2">
      <c r="B45" s="11"/>
    </row>
    <row r="46" spans="1:8" ht="16" x14ac:dyDescent="0.2">
      <c r="A46" s="10" t="s">
        <v>71</v>
      </c>
      <c r="B46" s="8" t="str">
        <f>B48&amp;", "&amp;B63&amp;" battery, "&amp;B50</f>
        <v>Bicycle, electric (&lt;45 km/h), NMC battery, 2030</v>
      </c>
    </row>
    <row r="47" spans="1:8" x14ac:dyDescent="0.2">
      <c r="A47" t="s">
        <v>72</v>
      </c>
      <c r="B47" t="s">
        <v>37</v>
      </c>
    </row>
    <row r="48" spans="1:8" x14ac:dyDescent="0.2">
      <c r="A48" t="s">
        <v>86</v>
      </c>
      <c r="B48" t="s">
        <v>490</v>
      </c>
    </row>
    <row r="49" spans="1:2" x14ac:dyDescent="0.2">
      <c r="A49" t="s">
        <v>87</v>
      </c>
    </row>
    <row r="50" spans="1:2" x14ac:dyDescent="0.2">
      <c r="A50" t="s">
        <v>88</v>
      </c>
      <c r="B50">
        <v>2030</v>
      </c>
    </row>
    <row r="51" spans="1:2" x14ac:dyDescent="0.2">
      <c r="A51" t="s">
        <v>126</v>
      </c>
      <c r="B51" t="str">
        <f>B48&amp;" - "&amp;B50&amp;" - "&amp;B63&amp;" - "&amp;B47</f>
        <v>Bicycle, electric (&lt;45 km/h) - 2030 - NMC - CH</v>
      </c>
    </row>
    <row r="52" spans="1:2" x14ac:dyDescent="0.2">
      <c r="A52" t="s">
        <v>73</v>
      </c>
      <c r="B52" t="str">
        <f>B48</f>
        <v>Bicycle, electric (&lt;45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3000</v>
      </c>
    </row>
    <row r="61" spans="1:2" x14ac:dyDescent="0.2">
      <c r="A61" t="s">
        <v>132</v>
      </c>
      <c r="B61">
        <f>INDEX('vehicles specifications'!$B$3:$CW$166,MATCH(B51,'vehicles specifications'!$A$3:$A$166,0),MATCH("Curb mass [kg]",'vehicles specifications'!$B$2:$CW$2,0))</f>
        <v>26.796666666666667</v>
      </c>
    </row>
    <row r="62" spans="1:2" x14ac:dyDescent="0.2">
      <c r="A62" t="s">
        <v>133</v>
      </c>
      <c r="B62">
        <f>INDEX('vehicles specifications'!$B$3:$CW$166,MATCH(B51,'vehicles specifications'!$A$3:$A$166,0),MATCH("Power [kW]",'vehicles specifications'!$B$2:$CW$2,0))</f>
        <v>0.5</v>
      </c>
    </row>
    <row r="63" spans="1:2" x14ac:dyDescent="0.2">
      <c r="A63" t="s">
        <v>652</v>
      </c>
      <c r="B63" s="20" t="s">
        <v>43</v>
      </c>
    </row>
    <row r="64" spans="1:2" x14ac:dyDescent="0.2">
      <c r="A64" t="s">
        <v>134</v>
      </c>
      <c r="B64">
        <f>INDEX('vehicles specifications'!$B$3:$CW$166,MATCH(B51,'vehicles specifications'!$A$3:$A$166,0),MATCH("Energy battery mass [kg]",'vehicles specifications'!$B$2:$CW$2,0))</f>
        <v>3.4666666666666668</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f>INDEX('vehicles specifications'!$B$3:$CW$166,MATCH(B51,'vehicles specifications'!$A$3:$A$166,0),MATCH("Range [km]",'vehicles specifications'!$B$2:$CW$2,0))</f>
        <v>50.850890713834502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(&lt;45 km/h), NMC battery, 2030</v>
      </c>
      <c r="B78">
        <v>1</v>
      </c>
      <c r="C78" t="str">
        <f>B47</f>
        <v>CH</v>
      </c>
      <c r="D78" t="str">
        <f>B54</f>
        <v>unit</v>
      </c>
      <c r="F78" t="s">
        <v>84</v>
      </c>
      <c r="G78" t="s">
        <v>85</v>
      </c>
      <c r="H78" t="str">
        <f>B48</f>
        <v>Bicycle, electric (&lt;45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1.1176470588235294</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4.9000000000000004</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0.56999999999999995</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tr">
        <f>INDEX('ei names mapping'!$B$4:$R$33,MATCH($B$3,'ei names mapping'!$A$4:$A$33,0),MATCH(G82,'ei names mapping'!$B$3:$R$3,0))</f>
        <v>Battery cell, NMC-622</v>
      </c>
      <c r="B82" s="4">
        <f>INDEX('vehicles specifications'!$B$3:$CW$166,MATCH(B51,'vehicles specifications'!$A$3:$A$166,0),MATCH(G82,'vehicles specifications'!$B$2:$CW$2,0))*INDEX('ei names mapping'!$B$137:$BL$300,MATCH(B51,'ei names mapping'!$A$137:$A$300,0),MATCH(G82,'ei names mapping'!$B$136:$BL$136,0))</f>
        <v>4</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1.2000000000000002</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-0.76791666666666658</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-0.20416666666666666</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-5.2</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26.796666666666667</v>
      </c>
      <c r="C88" t="s">
        <v>92</v>
      </c>
      <c r="D88" t="s">
        <v>233</v>
      </c>
      <c r="F88" t="s">
        <v>89</v>
      </c>
      <c r="H88" s="13" t="s">
        <v>841</v>
      </c>
    </row>
    <row r="89" spans="1:8" x14ac:dyDescent="0.2">
      <c r="A89" s="13" t="s">
        <v>441</v>
      </c>
      <c r="B89" s="2">
        <f>(B61/1000)*B73</f>
        <v>426.06700000000001</v>
      </c>
      <c r="C89" t="s">
        <v>95</v>
      </c>
      <c r="D89" t="s">
        <v>233</v>
      </c>
      <c r="F89" t="s">
        <v>89</v>
      </c>
      <c r="H89" s="13" t="s">
        <v>441</v>
      </c>
    </row>
    <row r="91" spans="1:8" ht="16" x14ac:dyDescent="0.2">
      <c r="A91" s="10" t="s">
        <v>71</v>
      </c>
      <c r="B91" s="8" t="str">
        <f>B93&amp;", "&amp;B108&amp;" battery, "&amp;B95</f>
        <v>Bicycle, electric (&lt;45 km/h), NMC battery, 2040</v>
      </c>
    </row>
    <row r="92" spans="1:8" x14ac:dyDescent="0.2">
      <c r="A92" t="s">
        <v>72</v>
      </c>
      <c r="B92" t="s">
        <v>37</v>
      </c>
    </row>
    <row r="93" spans="1:8" x14ac:dyDescent="0.2">
      <c r="A93" t="s">
        <v>86</v>
      </c>
      <c r="B93" t="s">
        <v>490</v>
      </c>
    </row>
    <row r="94" spans="1:8" x14ac:dyDescent="0.2">
      <c r="A94" t="s">
        <v>87</v>
      </c>
    </row>
    <row r="95" spans="1:8" x14ac:dyDescent="0.2">
      <c r="A95" t="s">
        <v>88</v>
      </c>
      <c r="B95">
        <v>2040</v>
      </c>
    </row>
    <row r="96" spans="1:8" x14ac:dyDescent="0.2">
      <c r="A96" t="s">
        <v>126</v>
      </c>
      <c r="B96" t="str">
        <f>B93&amp;" - "&amp;B95&amp;" - "&amp;B108&amp;" - "&amp;B92</f>
        <v>Bicycle, electric (&lt;45 km/h) - 2040 - NMC - CH</v>
      </c>
    </row>
    <row r="97" spans="1:2" x14ac:dyDescent="0.2">
      <c r="A97" t="s">
        <v>73</v>
      </c>
      <c r="B97" t="str">
        <f>B93</f>
        <v>Bicycle, electric (&lt;45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30000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2</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3000</v>
      </c>
    </row>
    <row r="106" spans="1:2" x14ac:dyDescent="0.2">
      <c r="A106" t="s">
        <v>132</v>
      </c>
      <c r="B106">
        <f>INDEX('vehicles specifications'!$B$3:$CW$166,MATCH(B96,'vehicles specifications'!$A$3:$A$166,0),MATCH("Curb mass [kg]",'vehicles specifications'!$B$2:$CW$2,0))</f>
        <v>26</v>
      </c>
    </row>
    <row r="107" spans="1:2" x14ac:dyDescent="0.2">
      <c r="A107" t="s">
        <v>133</v>
      </c>
      <c r="B107">
        <f>INDEX('vehicles specifications'!$B$3:$CW$166,MATCH(B96,'vehicles specifications'!$A$3:$A$166,0),MATCH("Power [kW]",'vehicles specifications'!$B$2:$CW$2,0))</f>
        <v>0.5</v>
      </c>
    </row>
    <row r="108" spans="1:2" x14ac:dyDescent="0.2">
      <c r="A108" t="s">
        <v>652</v>
      </c>
      <c r="B108" s="20" t="s">
        <v>43</v>
      </c>
    </row>
    <row r="109" spans="1:2" x14ac:dyDescent="0.2">
      <c r="A109" t="s">
        <v>134</v>
      </c>
      <c r="B109">
        <f>INDEX('vehicles specifications'!$B$3:$CW$166,MATCH(B96,'vehicles specifications'!$A$3:$A$166,0),MATCH("Energy battery mass [kg]",'vehicles specifications'!$B$2:$CW$2,0))</f>
        <v>3.25</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f>INDEX('vehicles specifications'!$B$3:$CW$166,MATCH(B96,'vehicles specifications'!$A$3:$A$166,0),MATCH("Range [km]",'vehicles specifications'!$B$2:$CW$2,0))</f>
        <v>63.563613392293121</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(&lt;45 km/h), NMC battery, 2040</v>
      </c>
      <c r="B123">
        <v>1</v>
      </c>
      <c r="C123" t="str">
        <f>B92</f>
        <v>CH</v>
      </c>
      <c r="D123" t="str">
        <f>B99</f>
        <v>unit</v>
      </c>
      <c r="F123" t="s">
        <v>84</v>
      </c>
      <c r="G123" t="s">
        <v>85</v>
      </c>
      <c r="H123" t="str">
        <f>B93</f>
        <v>Bicycle, electric (&lt;45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1.1176470588235294</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4.7</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0.95000000000000007</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tr">
        <f>INDEX('ei names mapping'!$B$4:$R$33,MATCH($B$3,'ei names mapping'!$A$4:$A$33,0),MATCH(G127,'ei names mapping'!$B$3:$R$3,0))</f>
        <v>Battery cell, NMC-622</v>
      </c>
      <c r="B127" s="4">
        <f>INDEX('vehicles specifications'!$B$3:$CW$166,MATCH(B96,'vehicles specifications'!$A$3:$A$166,0),MATCH(G127,'vehicles specifications'!$B$2:$CW$2,0))*INDEX('ei names mapping'!$B$137:$BL$300,MATCH(B96,'ei names mapping'!$A$137:$A$300,0),MATCH(G127,'ei names mapping'!$B$136:$BL$136,0))</f>
        <v>3.125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0.9375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-0.75208333333333333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-0.19583333333333333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-4.0625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26</v>
      </c>
      <c r="C133" t="s">
        <v>92</v>
      </c>
      <c r="D133" t="s">
        <v>233</v>
      </c>
      <c r="F133" t="s">
        <v>89</v>
      </c>
      <c r="H133" s="13" t="s">
        <v>841</v>
      </c>
    </row>
    <row r="134" spans="1:8" x14ac:dyDescent="0.2">
      <c r="A134" s="13" t="s">
        <v>441</v>
      </c>
      <c r="B134" s="2">
        <f>(B106/1000)*B118</f>
        <v>413.4</v>
      </c>
      <c r="C134" t="s">
        <v>95</v>
      </c>
      <c r="D134" t="s">
        <v>233</v>
      </c>
      <c r="F134" t="s">
        <v>89</v>
      </c>
      <c r="H134" s="13" t="s">
        <v>441</v>
      </c>
    </row>
    <row r="136" spans="1:8" ht="16" x14ac:dyDescent="0.2">
      <c r="A136" s="10" t="s">
        <v>71</v>
      </c>
      <c r="B136" s="8" t="str">
        <f>B138&amp;", "&amp;B153&amp;" battery, "&amp;B140</f>
        <v>Bicycle, electric (&lt;45 km/h), NMC battery, 2050</v>
      </c>
    </row>
    <row r="137" spans="1:8" x14ac:dyDescent="0.2">
      <c r="A137" t="s">
        <v>72</v>
      </c>
      <c r="B137" t="s">
        <v>37</v>
      </c>
    </row>
    <row r="138" spans="1:8" x14ac:dyDescent="0.2">
      <c r="A138" t="s">
        <v>86</v>
      </c>
      <c r="B138" t="s">
        <v>490</v>
      </c>
    </row>
    <row r="139" spans="1:8" x14ac:dyDescent="0.2">
      <c r="A139" t="s">
        <v>87</v>
      </c>
    </row>
    <row r="140" spans="1:8" x14ac:dyDescent="0.2">
      <c r="A140" t="s">
        <v>88</v>
      </c>
      <c r="B140">
        <v>2050</v>
      </c>
    </row>
    <row r="141" spans="1:8" x14ac:dyDescent="0.2">
      <c r="A141" t="s">
        <v>126</v>
      </c>
      <c r="B141" t="str">
        <f>B138&amp;" - "&amp;B140&amp;" - "&amp;B153&amp;" - "&amp;B137</f>
        <v>Bicycle, electric (&lt;45 km/h) - 2050 - NMC - CH</v>
      </c>
    </row>
    <row r="142" spans="1:8" x14ac:dyDescent="0.2">
      <c r="A142" t="s">
        <v>73</v>
      </c>
      <c r="B142" t="str">
        <f>B138</f>
        <v>Bicycle, electric (&lt;45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30000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2</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3000</v>
      </c>
    </row>
    <row r="151" spans="1:2" x14ac:dyDescent="0.2">
      <c r="A151" t="s">
        <v>132</v>
      </c>
      <c r="B151">
        <f>INDEX('vehicles specifications'!$B$3:$CW$166,MATCH(B141,'vehicles specifications'!$A$3:$A$166,0),MATCH("Curb mass [kg]",'vehicles specifications'!$B$2:$CW$2,0))</f>
        <v>26.169999999999995</v>
      </c>
    </row>
    <row r="152" spans="1:2" x14ac:dyDescent="0.2">
      <c r="A152" t="s">
        <v>133</v>
      </c>
      <c r="B152">
        <f>INDEX('vehicles specifications'!$B$3:$CW$166,MATCH(B141,'vehicles specifications'!$A$3:$A$166,0),MATCH("Power [kW]",'vehicles specifications'!$B$2:$CW$2,0))</f>
        <v>0.5</v>
      </c>
    </row>
    <row r="153" spans="1:2" x14ac:dyDescent="0.2">
      <c r="A153" t="s">
        <v>652</v>
      </c>
      <c r="B153" s="20" t="s">
        <v>43</v>
      </c>
    </row>
    <row r="154" spans="1:2" x14ac:dyDescent="0.2">
      <c r="A154" t="s">
        <v>134</v>
      </c>
      <c r="B154">
        <f>INDEX('vehicles specifications'!$B$3:$CW$166,MATCH(B141,'vehicles specifications'!$A$3:$A$166,0),MATCH("Energy battery mass [kg]",'vehicles specifications'!$B$2:$CW$2,0))</f>
        <v>3.9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f>INDEX('vehicles specifications'!$B$3:$CW$166,MATCH(B141,'vehicles specifications'!$A$3:$A$166,0),MATCH("Range [km]",'vehicles specifications'!$B$2:$CW$2,0))</f>
        <v>95.345420088439695</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(&lt;45 km/h), NMC battery, 2050</v>
      </c>
      <c r="B168">
        <v>1</v>
      </c>
      <c r="C168" t="str">
        <f>B137</f>
        <v>CH</v>
      </c>
      <c r="D168" t="str">
        <f>B144</f>
        <v>unit</v>
      </c>
      <c r="F168" t="s">
        <v>84</v>
      </c>
      <c r="G168" t="s">
        <v>85</v>
      </c>
      <c r="H168" t="str">
        <f>B138</f>
        <v>Bicycle, electric (&lt;45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1.1176470588235294</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4.5999999999999996</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1.33</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tr">
        <f>INDEX('ei names mapping'!$B$4:$R$33,MATCH($B$3,'ei names mapping'!$A$4:$A$33,0),MATCH(G172,'ei names mapping'!$B$3:$R$3,0))</f>
        <v>Battery cell, NMC-622</v>
      </c>
      <c r="B172" s="4">
        <f>INDEX('vehicles specifications'!$B$3:$CW$166,MATCH(B141,'vehicles specifications'!$A$3:$A$166,0),MATCH(G172,'vehicles specifications'!$B$2:$CW$2,0))*INDEX('ei names mapping'!$B$137:$BL$300,MATCH(B141,'ei names mapping'!$A$137:$A$300,0),MATCH(G172,'ei names mapping'!$B$136:$BL$136,0))</f>
        <v>3</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0.89999999999999991</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-0.73624999999999985</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-0.19166666666666665</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-3.9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26.169999999999995</v>
      </c>
      <c r="C178" t="s">
        <v>92</v>
      </c>
      <c r="D178" t="s">
        <v>233</v>
      </c>
      <c r="F178" t="s">
        <v>89</v>
      </c>
      <c r="H178" s="13" t="s">
        <v>841</v>
      </c>
    </row>
    <row r="179" spans="1:8" x14ac:dyDescent="0.2">
      <c r="A179" s="13" t="s">
        <v>441</v>
      </c>
      <c r="B179" s="2">
        <f>(B151/1000)*B163</f>
        <v>416.10299999999995</v>
      </c>
      <c r="C179" t="s">
        <v>95</v>
      </c>
      <c r="D179" t="s">
        <v>233</v>
      </c>
      <c r="F179" t="s">
        <v>89</v>
      </c>
      <c r="H179" s="13" t="s">
        <v>441</v>
      </c>
    </row>
    <row r="181" spans="1:8" ht="16" x14ac:dyDescent="0.2">
      <c r="A181" s="10" t="s">
        <v>71</v>
      </c>
      <c r="B181" s="8" t="str">
        <f>"transport, "&amp;B183&amp;", "&amp;B198&amp;" battery, "&amp;B185</f>
        <v>transport, Bicycle, electric (&lt;45 km/h), NMC battery, 2020</v>
      </c>
    </row>
    <row r="182" spans="1:8" x14ac:dyDescent="0.2">
      <c r="A182" t="s">
        <v>72</v>
      </c>
      <c r="B182" t="s">
        <v>37</v>
      </c>
    </row>
    <row r="183" spans="1:8" x14ac:dyDescent="0.2">
      <c r="A183" t="s">
        <v>86</v>
      </c>
      <c r="B183" t="s">
        <v>490</v>
      </c>
    </row>
    <row r="184" spans="1:8" x14ac:dyDescent="0.2">
      <c r="A184" t="s">
        <v>87</v>
      </c>
    </row>
    <row r="185" spans="1:8" x14ac:dyDescent="0.2">
      <c r="A185" t="s">
        <v>88</v>
      </c>
      <c r="B185">
        <v>2020</v>
      </c>
    </row>
    <row r="186" spans="1:8" x14ac:dyDescent="0.2">
      <c r="A186" t="s">
        <v>126</v>
      </c>
      <c r="B186" t="str">
        <f>B183&amp;" - "&amp;B185&amp;" - "&amp;B198&amp;" - "&amp;B182</f>
        <v>Bicycle, electric (&lt;45 km/h) - 2020 - NMC - CH</v>
      </c>
    </row>
    <row r="187" spans="1:8" x14ac:dyDescent="0.2">
      <c r="A187" t="s">
        <v>73</v>
      </c>
      <c r="B187" t="str">
        <f>"transport, "&amp;B183</f>
        <v>transport, Bicycle, electric (&lt;45 km/h)</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30000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2</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3000</v>
      </c>
    </row>
    <row r="196" spans="1:2" x14ac:dyDescent="0.2">
      <c r="A196" t="s">
        <v>132</v>
      </c>
      <c r="B196">
        <f>INDEX('vehicles specifications'!$B$3:$CW$166,MATCH(B186,'vehicles specifications'!$A$3:$A$166,0),MATCH("Curb mass [kg]",'vehicles specifications'!$B$2:$CW$2,0))</f>
        <v>27.25</v>
      </c>
    </row>
    <row r="197" spans="1:2" x14ac:dyDescent="0.2">
      <c r="A197" t="s">
        <v>133</v>
      </c>
      <c r="B197">
        <f>INDEX('vehicles specifications'!$B$3:$CW$166,MATCH(B186,'vehicles specifications'!$A$3:$A$166,0),MATCH("Power [kW]",'vehicles specifications'!$B$2:$CW$2,0))</f>
        <v>0.5</v>
      </c>
    </row>
    <row r="198" spans="1:2" x14ac:dyDescent="0.2">
      <c r="A198" t="s">
        <v>652</v>
      </c>
      <c r="B198" s="20" t="s">
        <v>43</v>
      </c>
    </row>
    <row r="199" spans="1:2" x14ac:dyDescent="0.2">
      <c r="A199" t="s">
        <v>134</v>
      </c>
      <c r="B199">
        <f>INDEX('vehicles specifications'!$B$3:$CW$166,MATCH(B186,'vehicles specifications'!$A$3:$A$166,0),MATCH("Energy battery mass [kg]",'vehicles specifications'!$B$2:$CW$2,0))</f>
        <v>3.25</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31.78180669614656</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(&lt;45 km/h), NMC battery, 2020</v>
      </c>
      <c r="B210">
        <v>1</v>
      </c>
      <c r="C210" t="str">
        <f>B182</f>
        <v>CH</v>
      </c>
      <c r="D210" t="s">
        <v>166</v>
      </c>
      <c r="F210" t="s">
        <v>84</v>
      </c>
      <c r="G210" t="s">
        <v>85</v>
      </c>
      <c r="H210" t="str">
        <f>B187</f>
        <v>transport, Bicycle, electric (&lt;45 km/h)</v>
      </c>
    </row>
    <row r="211" spans="1:8" x14ac:dyDescent="0.2">
      <c r="A211" t="str">
        <f>RIGHT(A210,LEN(A210)-11)</f>
        <v>Bicycle, electric (&lt;45 km/h), NMC battery, 2020</v>
      </c>
      <c r="B211" s="7">
        <f>1/B191</f>
        <v>3.3333333333333335E-5</v>
      </c>
      <c r="C211" t="str">
        <f>B182</f>
        <v>CH</v>
      </c>
      <c r="D211" t="s">
        <v>76</v>
      </c>
      <c r="F211" t="s">
        <v>89</v>
      </c>
      <c r="H211" t="str">
        <f>RIGHT(H210,LEN(H210)-11)</f>
        <v>Bicycle, electric (&lt;45 km/h)</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5.5445249999999999E-5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1.3844398595922134E-2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-4.3264006015800174E-6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-4.2664398392934627E-6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-3.960170488563306E-6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(&lt;45 km/h), NMC battery, 2030</v>
      </c>
    </row>
    <row r="220" spans="1:8" x14ac:dyDescent="0.2">
      <c r="A220" t="s">
        <v>72</v>
      </c>
      <c r="B220" t="s">
        <v>37</v>
      </c>
    </row>
    <row r="221" spans="1:8" x14ac:dyDescent="0.2">
      <c r="A221" t="s">
        <v>86</v>
      </c>
      <c r="B221" t="s">
        <v>490</v>
      </c>
    </row>
    <row r="222" spans="1:8" x14ac:dyDescent="0.2">
      <c r="A222" t="s">
        <v>87</v>
      </c>
    </row>
    <row r="223" spans="1:8" x14ac:dyDescent="0.2">
      <c r="A223" t="s">
        <v>88</v>
      </c>
      <c r="B223">
        <v>2030</v>
      </c>
    </row>
    <row r="224" spans="1:8" x14ac:dyDescent="0.2">
      <c r="A224" t="s">
        <v>126</v>
      </c>
      <c r="B224" t="str">
        <f>B221&amp;" - "&amp;B223&amp;" - "&amp;B236&amp;" - "&amp;B220</f>
        <v>Bicycle, electric (&lt;45 km/h) - 2030 - NMC - CH</v>
      </c>
    </row>
    <row r="225" spans="1:2" x14ac:dyDescent="0.2">
      <c r="A225" t="s">
        <v>73</v>
      </c>
      <c r="B225" t="str">
        <f>"transport, "&amp;B221</f>
        <v>transport, Bicycle, electric (&lt;45 km/h)</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30000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2</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3000</v>
      </c>
    </row>
    <row r="234" spans="1:2" x14ac:dyDescent="0.2">
      <c r="A234" t="s">
        <v>132</v>
      </c>
      <c r="B234">
        <f>INDEX('vehicles specifications'!$B$3:$CW$166,MATCH(B224,'vehicles specifications'!$A$3:$A$166,0),MATCH("Curb mass [kg]",'vehicles specifications'!$B$2:$CW$2,0))</f>
        <v>26.796666666666667</v>
      </c>
    </row>
    <row r="235" spans="1:2" x14ac:dyDescent="0.2">
      <c r="A235" t="s">
        <v>133</v>
      </c>
      <c r="B235">
        <f>INDEX('vehicles specifications'!$B$3:$CW$166,MATCH(B224,'vehicles specifications'!$A$3:$A$166,0),MATCH("Power [kW]",'vehicles specifications'!$B$2:$CW$2,0))</f>
        <v>0.5</v>
      </c>
    </row>
    <row r="236" spans="1:2" x14ac:dyDescent="0.2">
      <c r="A236" t="s">
        <v>652</v>
      </c>
      <c r="B236" s="20" t="s">
        <v>43</v>
      </c>
    </row>
    <row r="237" spans="1:2" x14ac:dyDescent="0.2">
      <c r="A237" t="s">
        <v>134</v>
      </c>
      <c r="B237">
        <f>INDEX('vehicles specifications'!$B$3:$CW$166,MATCH(B224,'vehicles specifications'!$A$3:$A$166,0),MATCH("Energy battery mass [kg]",'vehicles specifications'!$B$2:$CW$2,0))</f>
        <v>3.4666666666666668</v>
      </c>
    </row>
    <row r="238" spans="1:2" x14ac:dyDescent="0.2">
      <c r="A238" t="s">
        <v>135</v>
      </c>
      <c r="B238">
        <f>INDEX('vehicles specifications'!$B$3:$CW$166,MATCH(B224,'vehicles specifications'!$A$3:$A$166,0),MATCH("Electric energy stored [kWh]",'vehicles specifications'!$B$2:$CW$2,0))</f>
        <v>0.8</v>
      </c>
    </row>
    <row r="239" spans="1:2" x14ac:dyDescent="0.2">
      <c r="A239" t="s">
        <v>588</v>
      </c>
      <c r="B239">
        <f>INDEX('vehicles specifications'!$B$3:$CW$166,MATCH(B224,'vehicles specifications'!$A$3:$A$166,0),MATCH("Electric energy available [kWh]",'vehicles specifications'!$B$2:$CW$2,0))</f>
        <v>0.64000000000000012</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50.850890713834502</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(&lt;45 km/h), NMC battery, 2030</v>
      </c>
      <c r="B248">
        <v>1</v>
      </c>
      <c r="C248" t="str">
        <f>B220</f>
        <v>CH</v>
      </c>
      <c r="D248" t="s">
        <v>166</v>
      </c>
      <c r="F248" t="s">
        <v>84</v>
      </c>
      <c r="G248" t="s">
        <v>85</v>
      </c>
      <c r="H248" t="str">
        <f>B225</f>
        <v>transport, Bicycle, electric (&lt;45 km/h)</v>
      </c>
    </row>
    <row r="249" spans="1:8" x14ac:dyDescent="0.2">
      <c r="A249" t="str">
        <f>RIGHT(A248,LEN(A248)-11)</f>
        <v>Bicycle, electric (&lt;45 km/h), NMC battery, 2030</v>
      </c>
      <c r="B249" s="7">
        <f>1/B229</f>
        <v>3.3333333333333335E-5</v>
      </c>
      <c r="C249" t="str">
        <f>B220</f>
        <v>CH</v>
      </c>
      <c r="D249" t="s">
        <v>76</v>
      </c>
      <c r="F249" t="s">
        <v>89</v>
      </c>
      <c r="H249" t="str">
        <f>RIGHT(H248,LEN(H248)-11)</f>
        <v>Bicycle, electric (&lt;45 km/h)</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5.5201809999999998E-5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1.3844398595922134E-2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-4.3115147894576166E-6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-4.2517989039701259E-6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-3.9469248908384192E-6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(&lt;45 km/h), NMC battery, 2040</v>
      </c>
    </row>
    <row r="258" spans="1:2" x14ac:dyDescent="0.2">
      <c r="A258" t="s">
        <v>72</v>
      </c>
      <c r="B258" t="s">
        <v>37</v>
      </c>
    </row>
    <row r="259" spans="1:2" x14ac:dyDescent="0.2">
      <c r="A259" t="s">
        <v>86</v>
      </c>
      <c r="B259" t="s">
        <v>490</v>
      </c>
    </row>
    <row r="260" spans="1:2" x14ac:dyDescent="0.2">
      <c r="A260" t="s">
        <v>87</v>
      </c>
    </row>
    <row r="261" spans="1:2" x14ac:dyDescent="0.2">
      <c r="A261" t="s">
        <v>88</v>
      </c>
      <c r="B261">
        <v>2040</v>
      </c>
    </row>
    <row r="262" spans="1:2" x14ac:dyDescent="0.2">
      <c r="A262" t="s">
        <v>126</v>
      </c>
      <c r="B262" t="str">
        <f>B259&amp;" - "&amp;B261&amp;" - "&amp;B274&amp;" - "&amp;B258</f>
        <v>Bicycle, electric (&lt;45 km/h) - 2040 - NMC - CH</v>
      </c>
    </row>
    <row r="263" spans="1:2" x14ac:dyDescent="0.2">
      <c r="A263" t="s">
        <v>73</v>
      </c>
      <c r="B263" t="str">
        <f>"transport, "&amp;B259</f>
        <v>transport, Bicycle, electric (&lt;45 km/h)</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30000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2</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3000</v>
      </c>
    </row>
    <row r="272" spans="1:2" x14ac:dyDescent="0.2">
      <c r="A272" t="s">
        <v>132</v>
      </c>
      <c r="B272">
        <f>INDEX('vehicles specifications'!$B$3:$CW$166,MATCH(B262,'vehicles specifications'!$A$3:$A$166,0),MATCH("Curb mass [kg]",'vehicles specifications'!$B$2:$CW$2,0))</f>
        <v>26</v>
      </c>
    </row>
    <row r="273" spans="1:8" x14ac:dyDescent="0.2">
      <c r="A273" t="s">
        <v>133</v>
      </c>
      <c r="B273">
        <f>INDEX('vehicles specifications'!$B$3:$CW$166,MATCH(B262,'vehicles specifications'!$A$3:$A$166,0),MATCH("Power [kW]",'vehicles specifications'!$B$2:$CW$2,0))</f>
        <v>0.5</v>
      </c>
    </row>
    <row r="274" spans="1:8" x14ac:dyDescent="0.2">
      <c r="A274" t="s">
        <v>652</v>
      </c>
      <c r="B274" s="20" t="s">
        <v>43</v>
      </c>
    </row>
    <row r="275" spans="1:8" x14ac:dyDescent="0.2">
      <c r="A275" t="s">
        <v>134</v>
      </c>
      <c r="B275">
        <f>INDEX('vehicles specifications'!$B$3:$CW$166,MATCH(B262,'vehicles specifications'!$A$3:$A$166,0),MATCH("Energy battery mass [kg]",'vehicles specifications'!$B$2:$CW$2,0))</f>
        <v>3.25</v>
      </c>
    </row>
    <row r="276" spans="1:8" x14ac:dyDescent="0.2">
      <c r="A276" t="s">
        <v>135</v>
      </c>
      <c r="B276">
        <f>INDEX('vehicles specifications'!$B$3:$CW$166,MATCH(B262,'vehicles specifications'!$A$3:$A$166,0),MATCH("Electric energy stored [kWh]",'vehicles specifications'!$B$2:$CW$2,0))</f>
        <v>1</v>
      </c>
    </row>
    <row r="277" spans="1:8" x14ac:dyDescent="0.2">
      <c r="A277" t="s">
        <v>588</v>
      </c>
      <c r="B277">
        <f>INDEX('vehicles specifications'!$B$3:$CW$166,MATCH(B262,'vehicles specifications'!$A$3:$A$166,0),MATCH("Electric energy available [kWh]",'vehicles specifications'!$B$2:$CW$2,0))</f>
        <v>0.8</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63.563613392293121</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(&lt;45 km/h), NMC battery, 2040</v>
      </c>
      <c r="B286">
        <v>1</v>
      </c>
      <c r="C286" t="str">
        <f>B258</f>
        <v>CH</v>
      </c>
      <c r="D286" t="s">
        <v>166</v>
      </c>
      <c r="F286" t="s">
        <v>84</v>
      </c>
      <c r="G286" t="s">
        <v>85</v>
      </c>
      <c r="H286" t="str">
        <f>B263</f>
        <v>transport, Bicycle, electric (&lt;45 km/h)</v>
      </c>
    </row>
    <row r="287" spans="1:8" x14ac:dyDescent="0.2">
      <c r="A287" t="str">
        <f>RIGHT(A286,LEN(A286)-11)</f>
        <v>Bicycle, electric (&lt;45 km/h), NMC battery, 2040</v>
      </c>
      <c r="B287" s="7">
        <f>1/B267</f>
        <v>3.3333333333333335E-5</v>
      </c>
      <c r="C287" t="str">
        <f>B258</f>
        <v>CH</v>
      </c>
      <c r="D287" t="s">
        <v>76</v>
      </c>
      <c r="F287" t="s">
        <v>89</v>
      </c>
      <c r="H287" t="str">
        <f>RIGHT(H286,LEN(H286)-11)</f>
        <v>Bicycle, electric (&lt;45 km/h)</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5.4774000000000001E-5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1.3844398595922134E-2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-4.2853236082116621E-6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-4.2258279579563645E-6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-3.9234998540415566E-6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(&lt;45 km/h), NMC battery, 2050</v>
      </c>
    </row>
    <row r="296" spans="1:8" x14ac:dyDescent="0.2">
      <c r="A296" t="s">
        <v>72</v>
      </c>
      <c r="B296" t="s">
        <v>37</v>
      </c>
    </row>
    <row r="297" spans="1:8" x14ac:dyDescent="0.2">
      <c r="A297" t="s">
        <v>86</v>
      </c>
      <c r="B297" t="s">
        <v>490</v>
      </c>
    </row>
    <row r="298" spans="1:8" x14ac:dyDescent="0.2">
      <c r="A298" t="s">
        <v>87</v>
      </c>
    </row>
    <row r="299" spans="1:8" x14ac:dyDescent="0.2">
      <c r="A299" t="s">
        <v>88</v>
      </c>
      <c r="B299">
        <v>2050</v>
      </c>
    </row>
    <row r="300" spans="1:8" x14ac:dyDescent="0.2">
      <c r="A300" t="s">
        <v>126</v>
      </c>
      <c r="B300" t="str">
        <f>B297&amp;" - "&amp;B299&amp;" - "&amp;B312&amp;" - "&amp;B296</f>
        <v>Bicycle, electric (&lt;45 km/h) - 2050 - NMC - CH</v>
      </c>
    </row>
    <row r="301" spans="1:8" x14ac:dyDescent="0.2">
      <c r="A301" t="s">
        <v>73</v>
      </c>
      <c r="B301" t="str">
        <f>"transport, "&amp;B297</f>
        <v>transport, Bicycle, electric (&lt;45 km/h)</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30000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2</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3000</v>
      </c>
    </row>
    <row r="310" spans="1:2" x14ac:dyDescent="0.2">
      <c r="A310" t="s">
        <v>132</v>
      </c>
      <c r="B310">
        <f>INDEX('vehicles specifications'!$B$3:$CW$166,MATCH(B300,'vehicles specifications'!$A$3:$A$166,0),MATCH("Curb mass [kg]",'vehicles specifications'!$B$2:$CW$2,0))</f>
        <v>26.169999999999995</v>
      </c>
    </row>
    <row r="311" spans="1:2" x14ac:dyDescent="0.2">
      <c r="A311" t="s">
        <v>133</v>
      </c>
      <c r="B311">
        <f>INDEX('vehicles specifications'!$B$3:$CW$166,MATCH(B300,'vehicles specifications'!$A$3:$A$166,0),MATCH("Power [kW]",'vehicles specifications'!$B$2:$CW$2,0))</f>
        <v>0.5</v>
      </c>
    </row>
    <row r="312" spans="1:2" x14ac:dyDescent="0.2">
      <c r="A312" t="s">
        <v>652</v>
      </c>
      <c r="B312" s="20" t="s">
        <v>43</v>
      </c>
    </row>
    <row r="313" spans="1:2" x14ac:dyDescent="0.2">
      <c r="A313" t="s">
        <v>134</v>
      </c>
      <c r="B313">
        <f>INDEX('vehicles specifications'!$B$3:$CW$166,MATCH(B300,'vehicles specifications'!$A$3:$A$166,0),MATCH("Energy battery mass [kg]",'vehicles specifications'!$B$2:$CW$2,0))</f>
        <v>3.9</v>
      </c>
    </row>
    <row r="314" spans="1:2" x14ac:dyDescent="0.2">
      <c r="A314" t="s">
        <v>135</v>
      </c>
      <c r="B314">
        <f>INDEX('vehicles specifications'!$B$3:$CW$166,MATCH(B300,'vehicles specifications'!$A$3:$A$166,0),MATCH("Electric energy stored [kWh]",'vehicles specifications'!$B$2:$CW$2,0))</f>
        <v>1.5</v>
      </c>
    </row>
    <row r="315" spans="1:2" x14ac:dyDescent="0.2">
      <c r="A315" t="s">
        <v>588</v>
      </c>
      <c r="B315">
        <f>INDEX('vehicles specifications'!$B$3:$CW$166,MATCH(B300,'vehicles specifications'!$A$3:$A$166,0),MATCH("Electric energy available [kWh]",'vehicles specifications'!$B$2:$CW$2,0))</f>
        <v>1.2000000000000002</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95.345420088439695</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(&lt;45 km/h), NMC battery, 2050</v>
      </c>
      <c r="B324">
        <v>1</v>
      </c>
      <c r="C324" t="str">
        <f>B296</f>
        <v>CH</v>
      </c>
      <c r="D324" t="s">
        <v>166</v>
      </c>
      <c r="F324" t="s">
        <v>84</v>
      </c>
      <c r="G324" t="s">
        <v>85</v>
      </c>
      <c r="H324" t="str">
        <f>B301</f>
        <v>transport, Bicycle, electric (&lt;45 km/h)</v>
      </c>
    </row>
    <row r="325" spans="1:8" x14ac:dyDescent="0.2">
      <c r="A325" t="str">
        <f>RIGHT(A324,LEN(A324)-11)</f>
        <v>Bicycle, electric (&lt;45 km/h), NMC battery, 2050</v>
      </c>
      <c r="B325" s="7">
        <f>1/B305</f>
        <v>3.3333333333333335E-5</v>
      </c>
      <c r="C325" t="str">
        <f>B296</f>
        <v>CH</v>
      </c>
      <c r="D325" t="s">
        <v>76</v>
      </c>
      <c r="F325" t="s">
        <v>89</v>
      </c>
      <c r="H325" t="str">
        <f>RIGHT(H324,LEN(H324)-11)</f>
        <v>Bicycle, electric (&lt;45 km/h)</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5.4865289999999991E-5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1.3844398595922134E-2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-4.2909159122347196E-6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-4.2313962200767675E-6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-3.9285145743745862E-6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331"/>
  <sheetViews>
    <sheetView topLeftCell="A315" workbookViewId="0">
      <selection activeCell="A333" sqref="A333:XFD484"/>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(&lt;45 km/h), LFP battery, 2020</v>
      </c>
    </row>
    <row r="2" spans="1:2" x14ac:dyDescent="0.2">
      <c r="A2" t="s">
        <v>72</v>
      </c>
      <c r="B2" t="s">
        <v>37</v>
      </c>
    </row>
    <row r="3" spans="1:2" x14ac:dyDescent="0.2">
      <c r="A3" t="s">
        <v>86</v>
      </c>
      <c r="B3" t="s">
        <v>490</v>
      </c>
    </row>
    <row r="4" spans="1:2" x14ac:dyDescent="0.2">
      <c r="A4" t="s">
        <v>87</v>
      </c>
    </row>
    <row r="5" spans="1:2" x14ac:dyDescent="0.2">
      <c r="A5" t="s">
        <v>88</v>
      </c>
      <c r="B5">
        <v>2020</v>
      </c>
    </row>
    <row r="6" spans="1:2" x14ac:dyDescent="0.2">
      <c r="A6" t="s">
        <v>126</v>
      </c>
      <c r="B6" t="str">
        <f>B3&amp;" - "&amp;B5&amp;" - "&amp;B18&amp;" - "&amp;B2</f>
        <v>Bicycle, electric (&lt;45 km/h) - 2020 - LFP - CH</v>
      </c>
    </row>
    <row r="7" spans="1:2" x14ac:dyDescent="0.2">
      <c r="A7" t="s">
        <v>73</v>
      </c>
      <c r="B7" t="str">
        <f>B3</f>
        <v>Bicycle, electric (&lt;45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3000</v>
      </c>
    </row>
    <row r="16" spans="1:2" x14ac:dyDescent="0.2">
      <c r="A16" t="s">
        <v>132</v>
      </c>
      <c r="B16">
        <f>INDEX('vehicles specifications'!$B$3:$CW$166,MATCH(B6,'vehicles specifications'!$A$3:$A$166,0),MATCH("Curb mass [kg]",'vehicles specifications'!$B$2:$CW$2,0))</f>
        <v>28</v>
      </c>
    </row>
    <row r="17" spans="1:8" x14ac:dyDescent="0.2">
      <c r="A17" t="s">
        <v>133</v>
      </c>
      <c r="B17">
        <f>INDEX('vehicles specifications'!$B$3:$CW$166,MATCH(B6,'vehicles specifications'!$A$3:$A$166,0),MATCH("Power [kW]",'vehicles specifications'!$B$2:$CW$2,0))</f>
        <v>0.5</v>
      </c>
    </row>
    <row r="18" spans="1:8" x14ac:dyDescent="0.2">
      <c r="A18" t="s">
        <v>652</v>
      </c>
      <c r="B18" s="20" t="s">
        <v>44</v>
      </c>
    </row>
    <row r="19" spans="1:8" x14ac:dyDescent="0.2">
      <c r="A19" t="s">
        <v>134</v>
      </c>
      <c r="B19">
        <f>INDEX('vehicles specifications'!$B$3:$CW$166,MATCH(B6,'vehicles specifications'!$A$3:$A$166,0),MATCH("Energy battery mass [kg]",'vehicles specifications'!$B$2:$CW$2,0))</f>
        <v>4</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f>INDEX('vehicles specifications'!$B$3:$CW$166,MATCH(B6,'vehicles specifications'!$A$3:$A$166,0),MATCH("Range [km]",'vehicles specifications'!$B$2:$CW$2,0))</f>
        <v>31.78180669614656</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(&lt;45 km/h), LFP battery, 2020</v>
      </c>
      <c r="B33">
        <v>1</v>
      </c>
      <c r="C33" t="str">
        <f>B2</f>
        <v>CH</v>
      </c>
      <c r="D33" t="str">
        <f>B9</f>
        <v>unit</v>
      </c>
      <c r="F33" t="s">
        <v>84</v>
      </c>
      <c r="G33" t="s">
        <v>85</v>
      </c>
      <c r="H33" t="str">
        <f>B3</f>
        <v>Bicycle, electric (&lt;45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1.1176470588235294</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759</v>
      </c>
      <c r="B37" s="4">
        <f>INDEX('vehicles specifications'!$B$3:$CW$166,MATCH(B6,'vehicles specifications'!$A$3:$A$166,0),MATCH(G37,'vehicles specifications'!$B$2:$CW$2,0))*INDEX('ei names mapping'!$B$137:$BL$300,MATCH(B6,'ei names mapping'!$A$137:$A$300,0),MATCH(G37,'ei names mapping'!$B$136:$BL$136,0))</f>
        <v>6.666666666666667</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1.3333333333333335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-0.79166666666666663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-0.20833333333333331</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28</v>
      </c>
      <c r="C43" t="s">
        <v>92</v>
      </c>
      <c r="D43" t="s">
        <v>233</v>
      </c>
      <c r="F43" t="s">
        <v>89</v>
      </c>
      <c r="H43" s="13" t="s">
        <v>841</v>
      </c>
    </row>
    <row r="44" spans="1:8" x14ac:dyDescent="0.2">
      <c r="A44" s="13" t="s">
        <v>441</v>
      </c>
      <c r="B44" s="2">
        <f>(B16/1000)*B28</f>
        <v>445.2</v>
      </c>
      <c r="C44" t="s">
        <v>95</v>
      </c>
      <c r="D44" t="s">
        <v>233</v>
      </c>
      <c r="F44" t="s">
        <v>89</v>
      </c>
      <c r="H44" s="13" t="s">
        <v>441</v>
      </c>
    </row>
    <row r="45" spans="1:8" x14ac:dyDescent="0.2">
      <c r="B45" s="11"/>
    </row>
    <row r="46" spans="1:8" ht="16" x14ac:dyDescent="0.2">
      <c r="A46" s="10" t="s">
        <v>71</v>
      </c>
      <c r="B46" s="8" t="str">
        <f>B48&amp;", "&amp;B63&amp;" battery, "&amp;B50</f>
        <v>Bicycle, electric (&lt;45 km/h), LFP battery, 2030</v>
      </c>
    </row>
    <row r="47" spans="1:8" x14ac:dyDescent="0.2">
      <c r="A47" t="s">
        <v>72</v>
      </c>
      <c r="B47" t="s">
        <v>37</v>
      </c>
    </row>
    <row r="48" spans="1:8" x14ac:dyDescent="0.2">
      <c r="A48" t="s">
        <v>86</v>
      </c>
      <c r="B48" t="s">
        <v>490</v>
      </c>
    </row>
    <row r="49" spans="1:2" x14ac:dyDescent="0.2">
      <c r="A49" t="s">
        <v>87</v>
      </c>
    </row>
    <row r="50" spans="1:2" x14ac:dyDescent="0.2">
      <c r="A50" t="s">
        <v>88</v>
      </c>
      <c r="B50">
        <v>2030</v>
      </c>
    </row>
    <row r="51" spans="1:2" x14ac:dyDescent="0.2">
      <c r="A51" t="s">
        <v>126</v>
      </c>
      <c r="B51" t="str">
        <f>B48&amp;" - "&amp;B50&amp;" - "&amp;B63&amp;" - "&amp;B47</f>
        <v>Bicycle, electric (&lt;45 km/h) - 2030 - LFP - CH</v>
      </c>
    </row>
    <row r="52" spans="1:2" x14ac:dyDescent="0.2">
      <c r="A52" t="s">
        <v>73</v>
      </c>
      <c r="B52" t="str">
        <f>B48</f>
        <v>Bicycle, electric (&lt;45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3000</v>
      </c>
    </row>
    <row r="61" spans="1:2" x14ac:dyDescent="0.2">
      <c r="A61" t="s">
        <v>132</v>
      </c>
      <c r="B61">
        <f>INDEX('vehicles specifications'!$B$3:$CW$166,MATCH(B51,'vehicles specifications'!$A$3:$A$166,0),MATCH("Curb mass [kg]",'vehicles specifications'!$B$2:$CW$2,0))</f>
        <v>28.663333333333334</v>
      </c>
    </row>
    <row r="62" spans="1:2" x14ac:dyDescent="0.2">
      <c r="A62" t="s">
        <v>133</v>
      </c>
      <c r="B62">
        <f>INDEX('vehicles specifications'!$B$3:$CW$166,MATCH(B51,'vehicles specifications'!$A$3:$A$166,0),MATCH("Power [kW]",'vehicles specifications'!$B$2:$CW$2,0))</f>
        <v>0.5</v>
      </c>
    </row>
    <row r="63" spans="1:2" x14ac:dyDescent="0.2">
      <c r="A63" t="s">
        <v>652</v>
      </c>
      <c r="B63" s="20" t="s">
        <v>44</v>
      </c>
    </row>
    <row r="64" spans="1:2" x14ac:dyDescent="0.2">
      <c r="A64" t="s">
        <v>134</v>
      </c>
      <c r="B64">
        <f>INDEX('vehicles specifications'!$B$3:$CW$166,MATCH(B51,'vehicles specifications'!$A$3:$A$166,0),MATCH("Energy battery mass [kg]",'vehicles specifications'!$B$2:$CW$2,0))</f>
        <v>5.3333333333333339</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f>INDEX('vehicles specifications'!$B$3:$CW$166,MATCH(B51,'vehicles specifications'!$A$3:$A$166,0),MATCH("Range [km]",'vehicles specifications'!$B$2:$CW$2,0))</f>
        <v>50.850890713834502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28.7 kg. Lightweighting of glider: 3%. Emission standard: None. Service visits throughout lifetime: 2. Range: 51 km. Battery capacity: 0.8 kWh. Available battery capacity: 0.64 kWh. Battery mass: 5.3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(&lt;45 km/h), LFP battery, 2030</v>
      </c>
      <c r="B78">
        <v>1</v>
      </c>
      <c r="C78" t="str">
        <f>B47</f>
        <v>CH</v>
      </c>
      <c r="D78" t="str">
        <f>B54</f>
        <v>unit</v>
      </c>
      <c r="F78" t="s">
        <v>84</v>
      </c>
      <c r="G78" t="s">
        <v>85</v>
      </c>
      <c r="H78" t="str">
        <f>B48</f>
        <v>Bicycle, electric (&lt;45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1.1176470588235294</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4.9000000000000004</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0.56999999999999995</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759</v>
      </c>
      <c r="B82" s="4">
        <f>INDEX('vehicles specifications'!$B$3:$CW$166,MATCH(B51,'vehicles specifications'!$A$3:$A$166,0),MATCH(G82,'vehicles specifications'!$B$2:$CW$2,0))*INDEX('ei names mapping'!$B$137:$BL$300,MATCH(B51,'ei names mapping'!$A$137:$A$300,0),MATCH(G82,'ei names mapping'!$B$136:$BL$136,0))</f>
        <v>6.666666666666667</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1.3333333333333335</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-0.76791666666666658</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-0.20416666666666666</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-8</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28.663333333333334</v>
      </c>
      <c r="C88" t="s">
        <v>92</v>
      </c>
      <c r="D88" t="s">
        <v>233</v>
      </c>
      <c r="F88" t="s">
        <v>89</v>
      </c>
      <c r="H88" s="13" t="s">
        <v>841</v>
      </c>
    </row>
    <row r="89" spans="1:8" x14ac:dyDescent="0.2">
      <c r="A89" s="13" t="s">
        <v>441</v>
      </c>
      <c r="B89" s="2">
        <f>(B61/1000)*B73</f>
        <v>455.74699999999996</v>
      </c>
      <c r="C89" t="s">
        <v>95</v>
      </c>
      <c r="D89" t="s">
        <v>233</v>
      </c>
      <c r="F89" t="s">
        <v>89</v>
      </c>
      <c r="H89" s="13" t="s">
        <v>441</v>
      </c>
    </row>
    <row r="91" spans="1:8" ht="16" x14ac:dyDescent="0.2">
      <c r="A91" s="10" t="s">
        <v>71</v>
      </c>
      <c r="B91" s="8" t="str">
        <f>B93&amp;", "&amp;B108&amp;" battery, "&amp;B95</f>
        <v>Bicycle, electric (&lt;45 km/h), LFP battery, 2040</v>
      </c>
    </row>
    <row r="92" spans="1:8" x14ac:dyDescent="0.2">
      <c r="A92" t="s">
        <v>72</v>
      </c>
      <c r="B92" t="s">
        <v>37</v>
      </c>
    </row>
    <row r="93" spans="1:8" x14ac:dyDescent="0.2">
      <c r="A93" t="s">
        <v>86</v>
      </c>
      <c r="B93" t="s">
        <v>490</v>
      </c>
    </row>
    <row r="94" spans="1:8" x14ac:dyDescent="0.2">
      <c r="A94" t="s">
        <v>87</v>
      </c>
    </row>
    <row r="95" spans="1:8" x14ac:dyDescent="0.2">
      <c r="A95" t="s">
        <v>88</v>
      </c>
      <c r="B95">
        <v>2040</v>
      </c>
    </row>
    <row r="96" spans="1:8" x14ac:dyDescent="0.2">
      <c r="A96" t="s">
        <v>126</v>
      </c>
      <c r="B96" t="str">
        <f>B93&amp;" - "&amp;B95&amp;" - "&amp;B108&amp;" - "&amp;B92</f>
        <v>Bicycle, electric (&lt;45 km/h) - 2040 - LFP - CH</v>
      </c>
    </row>
    <row r="97" spans="1:2" x14ac:dyDescent="0.2">
      <c r="A97" t="s">
        <v>73</v>
      </c>
      <c r="B97" t="str">
        <f>B93</f>
        <v>Bicycle, electric (&lt;45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30000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2</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3000</v>
      </c>
    </row>
    <row r="106" spans="1:2" x14ac:dyDescent="0.2">
      <c r="A106" t="s">
        <v>132</v>
      </c>
      <c r="B106">
        <f>INDEX('vehicles specifications'!$B$3:$CW$166,MATCH(B96,'vehicles specifications'!$A$3:$A$166,0),MATCH("Curb mass [kg]",'vehicles specifications'!$B$2:$CW$2,0))</f>
        <v>29.416666666666664</v>
      </c>
    </row>
    <row r="107" spans="1:2" x14ac:dyDescent="0.2">
      <c r="A107" t="s">
        <v>133</v>
      </c>
      <c r="B107">
        <f>INDEX('vehicles specifications'!$B$3:$CW$166,MATCH(B96,'vehicles specifications'!$A$3:$A$166,0),MATCH("Power [kW]",'vehicles specifications'!$B$2:$CW$2,0))</f>
        <v>0.5</v>
      </c>
    </row>
    <row r="108" spans="1:2" x14ac:dyDescent="0.2">
      <c r="A108" t="s">
        <v>652</v>
      </c>
      <c r="B108" s="20" t="s">
        <v>44</v>
      </c>
    </row>
    <row r="109" spans="1:2" x14ac:dyDescent="0.2">
      <c r="A109" t="s">
        <v>134</v>
      </c>
      <c r="B109">
        <f>INDEX('vehicles specifications'!$B$3:$CW$166,MATCH(B96,'vehicles specifications'!$A$3:$A$166,0),MATCH("Energy battery mass [kg]",'vehicles specifications'!$B$2:$CW$2,0))</f>
        <v>6.6666666666666661</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f>INDEX('vehicles specifications'!$B$3:$CW$166,MATCH(B96,'vehicles specifications'!$A$3:$A$166,0),MATCH("Range [km]",'vehicles specifications'!$B$2:$CW$2,0))</f>
        <v>63.563613392293121</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29.4 kg. Lightweighting of glider: 5%. Emission standard: None. Service visits throughout lifetime: 2. Range: 64 km. Battery capacity: 1 kWh. Available battery capacity: 0.8 kWh. Battery mass: 6.7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(&lt;45 km/h), LFP battery, 2040</v>
      </c>
      <c r="B123">
        <v>1</v>
      </c>
      <c r="C123" t="str">
        <f>B92</f>
        <v>CH</v>
      </c>
      <c r="D123" t="str">
        <f>B99</f>
        <v>unit</v>
      </c>
      <c r="F123" t="s">
        <v>84</v>
      </c>
      <c r="G123" t="s">
        <v>85</v>
      </c>
      <c r="H123" t="str">
        <f>B93</f>
        <v>Bicycle, electric (&lt;45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1.1176470588235294</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4.7</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0.95000000000000007</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759</v>
      </c>
      <c r="B127" s="4">
        <f>INDEX('vehicles specifications'!$B$3:$CW$166,MATCH(B96,'vehicles specifications'!$A$3:$A$166,0),MATCH(G127,'vehicles specifications'!$B$2:$CW$2,0))*INDEX('ei names mapping'!$B$137:$BL$300,MATCH(B96,'ei names mapping'!$A$137:$A$300,0),MATCH(G127,'ei names mapping'!$B$136:$BL$136,0))</f>
        <v>6.9444444444444446</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1.3888888888888888</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-0.75208333333333333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-0.19583333333333333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-8.3333333333333321</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29.416666666666664</v>
      </c>
      <c r="C133" t="s">
        <v>92</v>
      </c>
      <c r="D133" t="s">
        <v>233</v>
      </c>
      <c r="F133" t="s">
        <v>89</v>
      </c>
      <c r="H133" s="13" t="s">
        <v>841</v>
      </c>
    </row>
    <row r="134" spans="1:8" x14ac:dyDescent="0.2">
      <c r="A134" s="13" t="s">
        <v>441</v>
      </c>
      <c r="B134" s="2">
        <f>(B106/1000)*B118</f>
        <v>467.72499999999997</v>
      </c>
      <c r="C134" t="s">
        <v>95</v>
      </c>
      <c r="D134" t="s">
        <v>233</v>
      </c>
      <c r="F134" t="s">
        <v>89</v>
      </c>
      <c r="H134" s="13" t="s">
        <v>441</v>
      </c>
    </row>
    <row r="136" spans="1:8" ht="16" x14ac:dyDescent="0.2">
      <c r="A136" s="10" t="s">
        <v>71</v>
      </c>
      <c r="B136" s="8" t="str">
        <f>B138&amp;", "&amp;B153&amp;" battery, "&amp;B140</f>
        <v>Bicycle, electric (&lt;45 km/h), LFP battery, 2050</v>
      </c>
    </row>
    <row r="137" spans="1:8" x14ac:dyDescent="0.2">
      <c r="A137" t="s">
        <v>72</v>
      </c>
      <c r="B137" t="s">
        <v>37</v>
      </c>
    </row>
    <row r="138" spans="1:8" x14ac:dyDescent="0.2">
      <c r="A138" t="s">
        <v>86</v>
      </c>
      <c r="B138" t="s">
        <v>490</v>
      </c>
    </row>
    <row r="139" spans="1:8" x14ac:dyDescent="0.2">
      <c r="A139" t="s">
        <v>87</v>
      </c>
    </row>
    <row r="140" spans="1:8" x14ac:dyDescent="0.2">
      <c r="A140" t="s">
        <v>88</v>
      </c>
      <c r="B140">
        <v>2050</v>
      </c>
    </row>
    <row r="141" spans="1:8" x14ac:dyDescent="0.2">
      <c r="A141" t="s">
        <v>126</v>
      </c>
      <c r="B141" t="str">
        <f>B138&amp;" - "&amp;B140&amp;" - "&amp;B153&amp;" - "&amp;B137</f>
        <v>Bicycle, electric (&lt;45 km/h) - 2050 - LFP - CH</v>
      </c>
    </row>
    <row r="142" spans="1:8" x14ac:dyDescent="0.2">
      <c r="A142" t="s">
        <v>73</v>
      </c>
      <c r="B142" t="str">
        <f>B138</f>
        <v>Bicycle, electric (&lt;45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30000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2</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3000</v>
      </c>
    </row>
    <row r="151" spans="1:2" x14ac:dyDescent="0.2">
      <c r="A151" t="s">
        <v>132</v>
      </c>
      <c r="B151">
        <f>INDEX('vehicles specifications'!$B$3:$CW$166,MATCH(B141,'vehicles specifications'!$A$3:$A$166,0),MATCH("Curb mass [kg]",'vehicles specifications'!$B$2:$CW$2,0))</f>
        <v>31.269999999999996</v>
      </c>
    </row>
    <row r="152" spans="1:2" x14ac:dyDescent="0.2">
      <c r="A152" t="s">
        <v>133</v>
      </c>
      <c r="B152">
        <f>INDEX('vehicles specifications'!$B$3:$CW$166,MATCH(B141,'vehicles specifications'!$A$3:$A$166,0),MATCH("Power [kW]",'vehicles specifications'!$B$2:$CW$2,0))</f>
        <v>0.5</v>
      </c>
    </row>
    <row r="153" spans="1:2" x14ac:dyDescent="0.2">
      <c r="A153" t="s">
        <v>652</v>
      </c>
      <c r="B153" s="20" t="s">
        <v>44</v>
      </c>
    </row>
    <row r="154" spans="1:2" x14ac:dyDescent="0.2">
      <c r="A154" t="s">
        <v>134</v>
      </c>
      <c r="B154">
        <f>INDEX('vehicles specifications'!$B$3:$CW$166,MATCH(B141,'vehicles specifications'!$A$3:$A$166,0),MATCH("Energy battery mass [kg]",'vehicles specifications'!$B$2:$CW$2,0))</f>
        <v>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f>INDEX('vehicles specifications'!$B$3:$CW$166,MATCH(B141,'vehicles specifications'!$A$3:$A$166,0),MATCH("Range [km]",'vehicles specifications'!$B$2:$CW$2,0))</f>
        <v>95.345420088439695</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31.3 kg. Lightweighting of glider: 7%. Emission standard: None. Service visits throughout lifetime: 2. Range: 95 km. Battery capacity: 1.5 kWh. Available battery capacity: 1.2 kWh. Battery mass: 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(&lt;45 km/h), LFP battery, 2050</v>
      </c>
      <c r="B168">
        <v>1</v>
      </c>
      <c r="C168" t="str">
        <f>B137</f>
        <v>CH</v>
      </c>
      <c r="D168" t="str">
        <f>B144</f>
        <v>unit</v>
      </c>
      <c r="F168" t="s">
        <v>84</v>
      </c>
      <c r="G168" t="s">
        <v>85</v>
      </c>
      <c r="H168" t="str">
        <f>B138</f>
        <v>Bicycle, electric (&lt;45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1.1176470588235294</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4.5999999999999996</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1.33</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759</v>
      </c>
      <c r="B172" s="4">
        <f>INDEX('vehicles specifications'!$B$3:$CW$166,MATCH(B141,'vehicles specifications'!$A$3:$A$166,0),MATCH(G172,'vehicles specifications'!$B$2:$CW$2,0))*INDEX('ei names mapping'!$B$137:$BL$300,MATCH(B141,'ei names mapping'!$A$137:$A$300,0),MATCH(G172,'ei names mapping'!$B$136:$BL$136,0))</f>
        <v>7.5</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1.5</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-0.73624999999999985</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-0.19166666666666665</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31.27</v>
      </c>
      <c r="C178" t="s">
        <v>92</v>
      </c>
      <c r="D178" t="s">
        <v>233</v>
      </c>
      <c r="F178" t="s">
        <v>89</v>
      </c>
      <c r="H178" s="13" t="s">
        <v>841</v>
      </c>
    </row>
    <row r="179" spans="1:8" x14ac:dyDescent="0.2">
      <c r="A179" s="13" t="s">
        <v>441</v>
      </c>
      <c r="B179" s="2">
        <f>(B151/1000)*B163</f>
        <v>497.19299999999998</v>
      </c>
      <c r="C179" t="s">
        <v>95</v>
      </c>
      <c r="D179" t="s">
        <v>233</v>
      </c>
      <c r="F179" t="s">
        <v>89</v>
      </c>
      <c r="H179" s="13" t="s">
        <v>441</v>
      </c>
    </row>
    <row r="181" spans="1:8" ht="16" x14ac:dyDescent="0.2">
      <c r="A181" s="10" t="s">
        <v>71</v>
      </c>
      <c r="B181" s="8" t="str">
        <f>"transport, "&amp;B183&amp;", "&amp;B198&amp;" battery, "&amp;B185</f>
        <v>transport, Bicycle, electric (&lt;45 km/h), LFP battery, 2020</v>
      </c>
    </row>
    <row r="182" spans="1:8" x14ac:dyDescent="0.2">
      <c r="A182" t="s">
        <v>72</v>
      </c>
      <c r="B182" t="s">
        <v>37</v>
      </c>
    </row>
    <row r="183" spans="1:8" x14ac:dyDescent="0.2">
      <c r="A183" t="s">
        <v>86</v>
      </c>
      <c r="B183" t="s">
        <v>490</v>
      </c>
    </row>
    <row r="184" spans="1:8" x14ac:dyDescent="0.2">
      <c r="A184" t="s">
        <v>87</v>
      </c>
    </row>
    <row r="185" spans="1:8" x14ac:dyDescent="0.2">
      <c r="A185" t="s">
        <v>88</v>
      </c>
      <c r="B185">
        <v>2020</v>
      </c>
    </row>
    <row r="186" spans="1:8" x14ac:dyDescent="0.2">
      <c r="A186" t="s">
        <v>126</v>
      </c>
      <c r="B186" t="str">
        <f>B183&amp;" - "&amp;B185&amp;" - "&amp;B198&amp;" - "&amp;B182</f>
        <v>Bicycle, electric (&lt;45 km/h) - 2020 - LFP - CH</v>
      </c>
    </row>
    <row r="187" spans="1:8" x14ac:dyDescent="0.2">
      <c r="A187" t="s">
        <v>73</v>
      </c>
      <c r="B187" t="str">
        <f>"transport, "&amp;B183</f>
        <v>transport, Bicycle, electric (&lt;45 km/h)</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30000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2</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3000</v>
      </c>
    </row>
    <row r="196" spans="1:2" x14ac:dyDescent="0.2">
      <c r="A196" t="s">
        <v>132</v>
      </c>
      <c r="B196">
        <f>INDEX('vehicles specifications'!$B$3:$CW$166,MATCH(B186,'vehicles specifications'!$A$3:$A$166,0),MATCH("Curb mass [kg]",'vehicles specifications'!$B$2:$CW$2,0))</f>
        <v>28</v>
      </c>
    </row>
    <row r="197" spans="1:2" x14ac:dyDescent="0.2">
      <c r="A197" t="s">
        <v>133</v>
      </c>
      <c r="B197">
        <f>INDEX('vehicles specifications'!$B$3:$CW$166,MATCH(B186,'vehicles specifications'!$A$3:$A$166,0),MATCH("Power [kW]",'vehicles specifications'!$B$2:$CW$2,0))</f>
        <v>0.5</v>
      </c>
    </row>
    <row r="198" spans="1:2" x14ac:dyDescent="0.2">
      <c r="A198" t="s">
        <v>652</v>
      </c>
      <c r="B198" s="20" t="s">
        <v>44</v>
      </c>
    </row>
    <row r="199" spans="1:2" x14ac:dyDescent="0.2">
      <c r="A199" t="s">
        <v>134</v>
      </c>
      <c r="B199">
        <f>INDEX('vehicles specifications'!$B$3:$CW$166,MATCH(B186,'vehicles specifications'!$A$3:$A$166,0),MATCH("Energy battery mass [kg]",'vehicles specifications'!$B$2:$CW$2,0))</f>
        <v>4</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31.78180669614656</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28 kg. Lightweighting of glider: 0%. Emission standard: None. Service visits throughout lifetime: 2. Range: 32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(&lt;45 km/h), LFP battery, 2020</v>
      </c>
      <c r="B210">
        <v>1</v>
      </c>
      <c r="C210" t="str">
        <f>B182</f>
        <v>CH</v>
      </c>
      <c r="D210" t="s">
        <v>166</v>
      </c>
      <c r="F210" t="s">
        <v>84</v>
      </c>
      <c r="G210" t="s">
        <v>85</v>
      </c>
      <c r="H210" t="str">
        <f>B187</f>
        <v>transport, Bicycle, electric (&lt;45 km/h)</v>
      </c>
    </row>
    <row r="211" spans="1:8" x14ac:dyDescent="0.2">
      <c r="A211" t="str">
        <f>RIGHT(A210,LEN(A210)-11)</f>
        <v>Bicycle, electric (&lt;45 km/h), LFP battery, 2020</v>
      </c>
      <c r="B211" s="7">
        <f>1/B191</f>
        <v>3.3333333333333335E-5</v>
      </c>
      <c r="C211" t="str">
        <f>B182</f>
        <v>CH</v>
      </c>
      <c r="D211" t="s">
        <v>76</v>
      </c>
      <c r="F211" t="s">
        <v>89</v>
      </c>
      <c r="H211" t="str">
        <f>RIGHT(H210,LEN(H210)-11)</f>
        <v>Bicycle, electric (&lt;45 km/h)</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5.5847999999999998E-5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1.3844398595922134E-2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-4.3509995005806409E-6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-4.2904503795224867E-6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-3.9819540299553051E-6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(&lt;45 km/h), LFP battery, 2030</v>
      </c>
    </row>
    <row r="220" spans="1:8" x14ac:dyDescent="0.2">
      <c r="A220" t="s">
        <v>72</v>
      </c>
      <c r="B220" t="s">
        <v>37</v>
      </c>
    </row>
    <row r="221" spans="1:8" x14ac:dyDescent="0.2">
      <c r="A221" t="s">
        <v>86</v>
      </c>
      <c r="B221" t="s">
        <v>490</v>
      </c>
    </row>
    <row r="222" spans="1:8" x14ac:dyDescent="0.2">
      <c r="A222" t="s">
        <v>87</v>
      </c>
    </row>
    <row r="223" spans="1:8" x14ac:dyDescent="0.2">
      <c r="A223" t="s">
        <v>88</v>
      </c>
      <c r="B223">
        <v>2030</v>
      </c>
    </row>
    <row r="224" spans="1:8" x14ac:dyDescent="0.2">
      <c r="A224" t="s">
        <v>126</v>
      </c>
      <c r="B224" t="str">
        <f>B221&amp;" - "&amp;B223&amp;" - "&amp;B236&amp;" - "&amp;B220</f>
        <v>Bicycle, electric (&lt;45 km/h) - 2030 - LFP - CH</v>
      </c>
    </row>
    <row r="225" spans="1:2" x14ac:dyDescent="0.2">
      <c r="A225" t="s">
        <v>73</v>
      </c>
      <c r="B225" t="str">
        <f>"transport, "&amp;B221</f>
        <v>transport, Bicycle, electric (&lt;45 km/h)</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30000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2</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3000</v>
      </c>
    </row>
    <row r="234" spans="1:2" x14ac:dyDescent="0.2">
      <c r="A234" t="s">
        <v>132</v>
      </c>
      <c r="B234">
        <f>INDEX('vehicles specifications'!$B$3:$CW$166,MATCH(B224,'vehicles specifications'!$A$3:$A$166,0),MATCH("Curb mass [kg]",'vehicles specifications'!$B$2:$CW$2,0))</f>
        <v>28.663333333333334</v>
      </c>
    </row>
    <row r="235" spans="1:2" x14ac:dyDescent="0.2">
      <c r="A235" t="s">
        <v>133</v>
      </c>
      <c r="B235">
        <f>INDEX('vehicles specifications'!$B$3:$CW$166,MATCH(B224,'vehicles specifications'!$A$3:$A$166,0),MATCH("Power [kW]",'vehicles specifications'!$B$2:$CW$2,0))</f>
        <v>0.5</v>
      </c>
    </row>
    <row r="236" spans="1:2" x14ac:dyDescent="0.2">
      <c r="A236" t="s">
        <v>652</v>
      </c>
      <c r="B236" s="20" t="s">
        <v>44</v>
      </c>
    </row>
    <row r="237" spans="1:2" x14ac:dyDescent="0.2">
      <c r="A237" t="s">
        <v>134</v>
      </c>
      <c r="B237">
        <f>INDEX('vehicles specifications'!$B$3:$CW$166,MATCH(B224,'vehicles specifications'!$A$3:$A$166,0),MATCH("Energy battery mass [kg]",'vehicles specifications'!$B$2:$CW$2,0))</f>
        <v>5.3333333333333339</v>
      </c>
    </row>
    <row r="238" spans="1:2" x14ac:dyDescent="0.2">
      <c r="A238" t="s">
        <v>135</v>
      </c>
      <c r="B238">
        <f>INDEX('vehicles specifications'!$B$3:$CW$166,MATCH(B224,'vehicles specifications'!$A$3:$A$166,0),MATCH("Electric energy stored [kWh]",'vehicles specifications'!$B$2:$CW$2,0))</f>
        <v>0.8</v>
      </c>
    </row>
    <row r="239" spans="1:2" x14ac:dyDescent="0.2">
      <c r="A239" t="s">
        <v>588</v>
      </c>
      <c r="B239">
        <f>INDEX('vehicles specifications'!$B$3:$CW$166,MATCH(B224,'vehicles specifications'!$A$3:$A$166,0),MATCH("Electric energy available [kWh]",'vehicles specifications'!$B$2:$CW$2,0))</f>
        <v>0.64000000000000012</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50.850890713834502</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28.7 kg. Lightweighting of glider: 3%. Emission standard: None. Service visits throughout lifetime: 2. Range: 51 km. Battery capacity: 0.8 kWh. Available battery capacity: 0.64 kWh. Battery mass: 5.3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(&lt;45 km/h), LFP battery, 2030</v>
      </c>
      <c r="B248">
        <v>1</v>
      </c>
      <c r="C248" t="str">
        <f>B220</f>
        <v>CH</v>
      </c>
      <c r="D248" t="s">
        <v>166</v>
      </c>
      <c r="F248" t="s">
        <v>84</v>
      </c>
      <c r="G248" t="s">
        <v>85</v>
      </c>
      <c r="H248" t="str">
        <f>B225</f>
        <v>transport, Bicycle, electric (&lt;45 km/h)</v>
      </c>
    </row>
    <row r="249" spans="1:8" x14ac:dyDescent="0.2">
      <c r="A249" t="str">
        <f>RIGHT(A248,LEN(A248)-11)</f>
        <v>Bicycle, electric (&lt;45 km/h), LFP battery, 2030</v>
      </c>
      <c r="B249" s="7">
        <f>1/B229</f>
        <v>3.3333333333333335E-5</v>
      </c>
      <c r="C249" t="str">
        <f>B220</f>
        <v>CH</v>
      </c>
      <c r="D249" t="s">
        <v>76</v>
      </c>
      <c r="F249" t="s">
        <v>89</v>
      </c>
      <c r="H249" t="str">
        <f>RIGHT(H248,LEN(H248)-11)</f>
        <v>Bicycle, electric (&lt;45 km/h)</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5.6204209999999994E-5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1.3844398595922134E-2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-4.3727266199853108E-6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-4.3114733281385076E-6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-4.0010887186766688E-6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(&lt;45 km/h), LFP battery, 2040</v>
      </c>
    </row>
    <row r="258" spans="1:2" x14ac:dyDescent="0.2">
      <c r="A258" t="s">
        <v>72</v>
      </c>
      <c r="B258" t="s">
        <v>37</v>
      </c>
    </row>
    <row r="259" spans="1:2" x14ac:dyDescent="0.2">
      <c r="A259" t="s">
        <v>86</v>
      </c>
      <c r="B259" t="s">
        <v>490</v>
      </c>
    </row>
    <row r="260" spans="1:2" x14ac:dyDescent="0.2">
      <c r="A260" t="s">
        <v>87</v>
      </c>
    </row>
    <row r="261" spans="1:2" x14ac:dyDescent="0.2">
      <c r="A261" t="s">
        <v>88</v>
      </c>
      <c r="B261">
        <v>2040</v>
      </c>
    </row>
    <row r="262" spans="1:2" x14ac:dyDescent="0.2">
      <c r="A262" t="s">
        <v>126</v>
      </c>
      <c r="B262" t="str">
        <f>B259&amp;" - "&amp;B261&amp;" - "&amp;B274&amp;" - "&amp;B258</f>
        <v>Bicycle, electric (&lt;45 km/h) - 2040 - LFP - CH</v>
      </c>
    </row>
    <row r="263" spans="1:2" x14ac:dyDescent="0.2">
      <c r="A263" t="s">
        <v>73</v>
      </c>
      <c r="B263" t="str">
        <f>"transport, "&amp;B259</f>
        <v>transport, Bicycle, electric (&lt;45 km/h)</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30000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2</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3000</v>
      </c>
    </row>
    <row r="272" spans="1:2" x14ac:dyDescent="0.2">
      <c r="A272" t="s">
        <v>132</v>
      </c>
      <c r="B272">
        <f>INDEX('vehicles specifications'!$B$3:$CW$166,MATCH(B262,'vehicles specifications'!$A$3:$A$166,0),MATCH("Curb mass [kg]",'vehicles specifications'!$B$2:$CW$2,0))</f>
        <v>29.416666666666664</v>
      </c>
    </row>
    <row r="273" spans="1:8" x14ac:dyDescent="0.2">
      <c r="A273" t="s">
        <v>133</v>
      </c>
      <c r="B273">
        <f>INDEX('vehicles specifications'!$B$3:$CW$166,MATCH(B262,'vehicles specifications'!$A$3:$A$166,0),MATCH("Power [kW]",'vehicles specifications'!$B$2:$CW$2,0))</f>
        <v>0.5</v>
      </c>
    </row>
    <row r="274" spans="1:8" x14ac:dyDescent="0.2">
      <c r="A274" t="s">
        <v>652</v>
      </c>
      <c r="B274" s="20" t="s">
        <v>44</v>
      </c>
    </row>
    <row r="275" spans="1:8" x14ac:dyDescent="0.2">
      <c r="A275" t="s">
        <v>134</v>
      </c>
      <c r="B275">
        <f>INDEX('vehicles specifications'!$B$3:$CW$166,MATCH(B262,'vehicles specifications'!$A$3:$A$166,0),MATCH("Energy battery mass [kg]",'vehicles specifications'!$B$2:$CW$2,0))</f>
        <v>6.6666666666666661</v>
      </c>
    </row>
    <row r="276" spans="1:8" x14ac:dyDescent="0.2">
      <c r="A276" t="s">
        <v>135</v>
      </c>
      <c r="B276">
        <f>INDEX('vehicles specifications'!$B$3:$CW$166,MATCH(B262,'vehicles specifications'!$A$3:$A$166,0),MATCH("Electric energy stored [kWh]",'vehicles specifications'!$B$2:$CW$2,0))</f>
        <v>1</v>
      </c>
    </row>
    <row r="277" spans="1:8" x14ac:dyDescent="0.2">
      <c r="A277" t="s">
        <v>588</v>
      </c>
      <c r="B277">
        <f>INDEX('vehicles specifications'!$B$3:$CW$166,MATCH(B262,'vehicles specifications'!$A$3:$A$166,0),MATCH("Electric energy available [kWh]",'vehicles specifications'!$B$2:$CW$2,0))</f>
        <v>0.8</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63.563613392293121</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29.4 kg. Lightweighting of glider: 5%. Emission standard: None. Service visits throughout lifetime: 2. Range: 64 km. Battery capacity: 1 kWh. Available battery capacity: 0.8 kWh. Battery mass: 6.7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(&lt;45 km/h), LFP battery, 2040</v>
      </c>
      <c r="B286">
        <v>1</v>
      </c>
      <c r="C286" t="str">
        <f>B258</f>
        <v>CH</v>
      </c>
      <c r="D286" t="s">
        <v>166</v>
      </c>
      <c r="F286" t="s">
        <v>84</v>
      </c>
      <c r="G286" t="s">
        <v>85</v>
      </c>
      <c r="H286" t="str">
        <f>B263</f>
        <v>transport, Bicycle, electric (&lt;45 km/h)</v>
      </c>
    </row>
    <row r="287" spans="1:8" x14ac:dyDescent="0.2">
      <c r="A287" t="str">
        <f>RIGHT(A286,LEN(A286)-11)</f>
        <v>Bicycle, electric (&lt;45 km/h), LFP battery, 2040</v>
      </c>
      <c r="B287" s="7">
        <f>1/B267</f>
        <v>3.3333333333333335E-5</v>
      </c>
      <c r="C287" t="str">
        <f>B258</f>
        <v>CH</v>
      </c>
      <c r="D287" t="s">
        <v>76</v>
      </c>
      <c r="F287" t="s">
        <v>89</v>
      </c>
      <c r="H287" t="str">
        <f>RIGHT(H286,LEN(H286)-11)</f>
        <v>Bicycle, electric (&lt;45 km/h)</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5.6608749999999996E-5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1.3844398595922134E-2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-4.3973686458701393E-6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-4.3351145553325093E-6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-4.0226741413672842E-6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(&lt;45 km/h), LFP battery, 2050</v>
      </c>
    </row>
    <row r="296" spans="1:8" x14ac:dyDescent="0.2">
      <c r="A296" t="s">
        <v>72</v>
      </c>
      <c r="B296" t="s">
        <v>37</v>
      </c>
    </row>
    <row r="297" spans="1:8" x14ac:dyDescent="0.2">
      <c r="A297" t="s">
        <v>86</v>
      </c>
      <c r="B297" t="s">
        <v>490</v>
      </c>
    </row>
    <row r="298" spans="1:8" x14ac:dyDescent="0.2">
      <c r="A298" t="s">
        <v>87</v>
      </c>
    </row>
    <row r="299" spans="1:8" x14ac:dyDescent="0.2">
      <c r="A299" t="s">
        <v>88</v>
      </c>
      <c r="B299">
        <v>2050</v>
      </c>
    </row>
    <row r="300" spans="1:8" x14ac:dyDescent="0.2">
      <c r="A300" t="s">
        <v>126</v>
      </c>
      <c r="B300" t="str">
        <f>B297&amp;" - "&amp;B299&amp;" - "&amp;B312&amp;" - "&amp;B296</f>
        <v>Bicycle, electric (&lt;45 km/h) - 2050 - LFP - CH</v>
      </c>
    </row>
    <row r="301" spans="1:8" x14ac:dyDescent="0.2">
      <c r="A301" t="s">
        <v>73</v>
      </c>
      <c r="B301" t="str">
        <f>"transport, "&amp;B297</f>
        <v>transport, Bicycle, electric (&lt;45 km/h)</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30000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2</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3000</v>
      </c>
    </row>
    <row r="310" spans="1:2" x14ac:dyDescent="0.2">
      <c r="A310" t="s">
        <v>132</v>
      </c>
      <c r="B310">
        <f>INDEX('vehicles specifications'!$B$3:$CW$166,MATCH(B300,'vehicles specifications'!$A$3:$A$166,0),MATCH("Curb mass [kg]",'vehicles specifications'!$B$2:$CW$2,0))</f>
        <v>31.269999999999996</v>
      </c>
    </row>
    <row r="311" spans="1:2" x14ac:dyDescent="0.2">
      <c r="A311" t="s">
        <v>133</v>
      </c>
      <c r="B311">
        <f>INDEX('vehicles specifications'!$B$3:$CW$166,MATCH(B300,'vehicles specifications'!$A$3:$A$166,0),MATCH("Power [kW]",'vehicles specifications'!$B$2:$CW$2,0))</f>
        <v>0.5</v>
      </c>
    </row>
    <row r="312" spans="1:2" x14ac:dyDescent="0.2">
      <c r="A312" t="s">
        <v>652</v>
      </c>
      <c r="B312" s="20" t="s">
        <v>44</v>
      </c>
    </row>
    <row r="313" spans="1:2" x14ac:dyDescent="0.2">
      <c r="A313" t="s">
        <v>134</v>
      </c>
      <c r="B313">
        <f>INDEX('vehicles specifications'!$B$3:$CW$166,MATCH(B300,'vehicles specifications'!$A$3:$A$166,0),MATCH("Energy battery mass [kg]",'vehicles specifications'!$B$2:$CW$2,0))</f>
        <v>9</v>
      </c>
    </row>
    <row r="314" spans="1:2" x14ac:dyDescent="0.2">
      <c r="A314" t="s">
        <v>135</v>
      </c>
      <c r="B314">
        <f>INDEX('vehicles specifications'!$B$3:$CW$166,MATCH(B300,'vehicles specifications'!$A$3:$A$166,0),MATCH("Electric energy stored [kWh]",'vehicles specifications'!$B$2:$CW$2,0))</f>
        <v>1.5</v>
      </c>
    </row>
    <row r="315" spans="1:2" x14ac:dyDescent="0.2">
      <c r="A315" t="s">
        <v>588</v>
      </c>
      <c r="B315">
        <f>INDEX('vehicles specifications'!$B$3:$CW$166,MATCH(B300,'vehicles specifications'!$A$3:$A$166,0),MATCH("Electric energy available [kWh]",'vehicles specifications'!$B$2:$CW$2,0))</f>
        <v>1.2000000000000002</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95.345420088439695</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31.3 kg. Lightweighting of glider: 7%. Emission standard: None. Service visits throughout lifetime: 2. Range: 95 km. Battery capacity: 1.5 kWh. Available battery capacity: 1.2 kWh. Battery mass: 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(&lt;45 km/h), LFP battery, 2050</v>
      </c>
      <c r="B324">
        <v>1</v>
      </c>
      <c r="C324" t="str">
        <f>B296</f>
        <v>CH</v>
      </c>
      <c r="D324" t="s">
        <v>166</v>
      </c>
      <c r="F324" t="s">
        <v>84</v>
      </c>
      <c r="G324" t="s">
        <v>85</v>
      </c>
      <c r="H324" t="str">
        <f>B301</f>
        <v>transport, Bicycle, electric (&lt;45 km/h)</v>
      </c>
    </row>
    <row r="325" spans="1:8" x14ac:dyDescent="0.2">
      <c r="A325" t="str">
        <f>RIGHT(A324,LEN(A324)-11)</f>
        <v>Bicycle, electric (&lt;45 km/h), LFP battery, 2050</v>
      </c>
      <c r="B325" s="7">
        <f>1/B305</f>
        <v>3.3333333333333335E-5</v>
      </c>
      <c r="C325" t="str">
        <f>B296</f>
        <v>CH</v>
      </c>
      <c r="D325" t="s">
        <v>76</v>
      </c>
      <c r="F325" t="s">
        <v>89</v>
      </c>
      <c r="H325" t="str">
        <f>RIGHT(H324,LEN(H324)-11)</f>
        <v>Bicycle, electric (&lt;45 km/h)</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5.7603989999999999E-5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1.3844398595922134E-2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-4.4578449846847377E-6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-4.3922694420035416E-6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-4.0751477180321837E-6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331"/>
  <sheetViews>
    <sheetView topLeftCell="A315" workbookViewId="0">
      <selection activeCell="A342" sqref="A342"/>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(&lt;45 km/h), NCA battery, 2020</v>
      </c>
    </row>
    <row r="2" spans="1:2" x14ac:dyDescent="0.2">
      <c r="A2" t="s">
        <v>72</v>
      </c>
      <c r="B2" t="s">
        <v>37</v>
      </c>
    </row>
    <row r="3" spans="1:2" x14ac:dyDescent="0.2">
      <c r="A3" t="s">
        <v>86</v>
      </c>
      <c r="B3" t="s">
        <v>490</v>
      </c>
    </row>
    <row r="4" spans="1:2" x14ac:dyDescent="0.2">
      <c r="A4" t="s">
        <v>87</v>
      </c>
    </row>
    <row r="5" spans="1:2" x14ac:dyDescent="0.2">
      <c r="A5" t="s">
        <v>88</v>
      </c>
      <c r="B5">
        <v>2020</v>
      </c>
    </row>
    <row r="6" spans="1:2" x14ac:dyDescent="0.2">
      <c r="A6" t="s">
        <v>126</v>
      </c>
      <c r="B6" t="str">
        <f>B3&amp;" - "&amp;B5&amp;" - "&amp;B18&amp;" - "&amp;B2</f>
        <v>Bicycle, electric (&lt;45 km/h) - 2020 - NCA - CH</v>
      </c>
    </row>
    <row r="7" spans="1:2" x14ac:dyDescent="0.2">
      <c r="A7" t="s">
        <v>73</v>
      </c>
      <c r="B7" t="str">
        <f>B3</f>
        <v>Bicycle, electric (&lt;45 km/h)</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30000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2</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3000</v>
      </c>
    </row>
    <row r="16" spans="1:2" x14ac:dyDescent="0.2">
      <c r="A16" t="s">
        <v>132</v>
      </c>
      <c r="B16">
        <f>INDEX('vehicles specifications'!$B$3:$CW$166,MATCH(B6,'vehicles specifications'!$A$3:$A$166,0),MATCH("Curb mass [kg]",'vehicles specifications'!$B$2:$CW$2,0))</f>
        <v>26.826086956521738</v>
      </c>
    </row>
    <row r="17" spans="1:8" x14ac:dyDescent="0.2">
      <c r="A17" t="s">
        <v>133</v>
      </c>
      <c r="B17">
        <f>INDEX('vehicles specifications'!$B$3:$CW$166,MATCH(B6,'vehicles specifications'!$A$3:$A$166,0),MATCH("Power [kW]",'vehicles specifications'!$B$2:$CW$2,0))</f>
        <v>0.5</v>
      </c>
    </row>
    <row r="18" spans="1:8" x14ac:dyDescent="0.2">
      <c r="A18" t="s">
        <v>652</v>
      </c>
      <c r="B18" s="20" t="s">
        <v>45</v>
      </c>
    </row>
    <row r="19" spans="1:8" x14ac:dyDescent="0.2">
      <c r="A19" t="s">
        <v>134</v>
      </c>
      <c r="B19">
        <f>INDEX('vehicles specifications'!$B$3:$CW$166,MATCH(B6,'vehicles specifications'!$A$3:$A$166,0),MATCH("Energy battery mass [kg]",'vehicles specifications'!$B$2:$CW$2,0))</f>
        <v>2.8260869565217388</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f>INDEX('vehicles specifications'!$B$3:$CW$166,MATCH(B6,'vehicles specifications'!$A$3:$A$166,0),MATCH("Range [km]",'vehicles specifications'!$B$2:$CW$2,0))</f>
        <v>31.78180669614656</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(&lt;45 km/h), NCA battery, 2020</v>
      </c>
      <c r="B33">
        <v>1</v>
      </c>
      <c r="C33" t="str">
        <f>B2</f>
        <v>CH</v>
      </c>
      <c r="D33" t="str">
        <f>B9</f>
        <v>unit</v>
      </c>
      <c r="F33" t="s">
        <v>84</v>
      </c>
      <c r="G33" t="s">
        <v>85</v>
      </c>
      <c r="H33" t="str">
        <f>B3</f>
        <v>Bicycle, electric (&lt;45 km/h)</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1.1176470588235294</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5</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760</v>
      </c>
      <c r="B37" s="4">
        <f>INDEX('vehicles specifications'!$B$3:$CW$166,MATCH(B6,'vehicles specifications'!$A$3:$A$166,0),MATCH(G37,'vehicles specifications'!$B$2:$CW$2,0))*INDEX('ei names mapping'!$B$137:$BL$300,MATCH(B6,'ei names mapping'!$A$137:$A$300,0),MATCH(G37,'ei names mapping'!$B$136:$BL$136,0))</f>
        <v>4.3478260869565215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1.3043478260869563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-0.79166666666666663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-0.20833333333333331</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-5.6521739130434776</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26.826086956521738</v>
      </c>
      <c r="C43" t="s">
        <v>92</v>
      </c>
      <c r="D43" t="s">
        <v>233</v>
      </c>
      <c r="F43" t="s">
        <v>89</v>
      </c>
      <c r="H43" s="13" t="s">
        <v>841</v>
      </c>
    </row>
    <row r="44" spans="1:8" x14ac:dyDescent="0.2">
      <c r="A44" s="13" t="s">
        <v>441</v>
      </c>
      <c r="B44" s="2">
        <f>(B16/1000)*B28</f>
        <v>426.53478260869565</v>
      </c>
      <c r="C44" t="s">
        <v>95</v>
      </c>
      <c r="D44" t="s">
        <v>233</v>
      </c>
      <c r="F44" t="s">
        <v>89</v>
      </c>
      <c r="H44" s="13" t="s">
        <v>441</v>
      </c>
    </row>
    <row r="45" spans="1:8" x14ac:dyDescent="0.2">
      <c r="B45" s="11"/>
    </row>
    <row r="46" spans="1:8" ht="16" x14ac:dyDescent="0.2">
      <c r="A46" s="10" t="s">
        <v>71</v>
      </c>
      <c r="B46" s="8" t="str">
        <f>B48&amp;", "&amp;B63&amp;" battery, "&amp;B50</f>
        <v>Bicycle, electric (&lt;45 km/h), NCA battery, 2030</v>
      </c>
    </row>
    <row r="47" spans="1:8" x14ac:dyDescent="0.2">
      <c r="A47" t="s">
        <v>72</v>
      </c>
      <c r="B47" t="s">
        <v>37</v>
      </c>
    </row>
    <row r="48" spans="1:8" x14ac:dyDescent="0.2">
      <c r="A48" t="s">
        <v>86</v>
      </c>
      <c r="B48" t="s">
        <v>490</v>
      </c>
    </row>
    <row r="49" spans="1:2" x14ac:dyDescent="0.2">
      <c r="A49" t="s">
        <v>87</v>
      </c>
    </row>
    <row r="50" spans="1:2" x14ac:dyDescent="0.2">
      <c r="A50" t="s">
        <v>88</v>
      </c>
      <c r="B50">
        <v>2030</v>
      </c>
    </row>
    <row r="51" spans="1:2" x14ac:dyDescent="0.2">
      <c r="A51" t="s">
        <v>126</v>
      </c>
      <c r="B51" t="str">
        <f>B48&amp;" - "&amp;B50&amp;" - "&amp;B63&amp;" - "&amp;B47</f>
        <v>Bicycle, electric (&lt;45 km/h) - 2030 - NCA - CH</v>
      </c>
    </row>
    <row r="52" spans="1:2" x14ac:dyDescent="0.2">
      <c r="A52" t="s">
        <v>73</v>
      </c>
      <c r="B52" t="str">
        <f>B48</f>
        <v>Bicycle, electric (&lt;45 km/h)</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30000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2</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3000</v>
      </c>
    </row>
    <row r="61" spans="1:2" x14ac:dyDescent="0.2">
      <c r="A61" t="s">
        <v>132</v>
      </c>
      <c r="B61">
        <f>INDEX('vehicles specifications'!$B$3:$CW$166,MATCH(B51,'vehicles specifications'!$A$3:$A$166,0),MATCH("Curb mass [kg]",'vehicles specifications'!$B$2:$CW$2,0))</f>
        <v>26.796666666666667</v>
      </c>
    </row>
    <row r="62" spans="1:2" x14ac:dyDescent="0.2">
      <c r="A62" t="s">
        <v>133</v>
      </c>
      <c r="B62">
        <f>INDEX('vehicles specifications'!$B$3:$CW$166,MATCH(B51,'vehicles specifications'!$A$3:$A$166,0),MATCH("Power [kW]",'vehicles specifications'!$B$2:$CW$2,0))</f>
        <v>0.5</v>
      </c>
    </row>
    <row r="63" spans="1:2" x14ac:dyDescent="0.2">
      <c r="A63" t="s">
        <v>652</v>
      </c>
      <c r="B63" s="20" t="s">
        <v>45</v>
      </c>
    </row>
    <row r="64" spans="1:2" x14ac:dyDescent="0.2">
      <c r="A64" t="s">
        <v>134</v>
      </c>
      <c r="B64">
        <f>INDEX('vehicles specifications'!$B$3:$CW$166,MATCH(B51,'vehicles specifications'!$A$3:$A$166,0),MATCH("Energy battery mass [kg]",'vehicles specifications'!$B$2:$CW$2,0))</f>
        <v>3.4666666666666668</v>
      </c>
    </row>
    <row r="65" spans="1:8" x14ac:dyDescent="0.2">
      <c r="A65" t="s">
        <v>135</v>
      </c>
      <c r="B65">
        <f>INDEX('vehicles specifications'!$B$3:$CW$166,MATCH(B51,'vehicles specifications'!$A$3:$A$166,0),MATCH("Electric energy stored [kWh]",'vehicles specifications'!$B$2:$CW$2,0))</f>
        <v>0.8</v>
      </c>
    </row>
    <row r="66" spans="1:8" x14ac:dyDescent="0.2">
      <c r="A66" t="s">
        <v>588</v>
      </c>
      <c r="B66">
        <f>INDEX('vehicles specifications'!$B$3:$CW$166,MATCH(B51,'vehicles specifications'!$A$3:$A$166,0),MATCH("Electric energy available [kWh]",'vehicles specifications'!$B$2:$CW$2,0))</f>
        <v>0.64000000000000012</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f>INDEX('vehicles specifications'!$B$3:$CW$166,MATCH(B51,'vehicles specifications'!$A$3:$A$166,0),MATCH("Range [km]",'vehicles specifications'!$B$2:$CW$2,0))</f>
        <v>50.850890713834502</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(&lt;45 km/h), NCA battery, 2030</v>
      </c>
      <c r="B78">
        <v>1</v>
      </c>
      <c r="C78" t="str">
        <f>B47</f>
        <v>CH</v>
      </c>
      <c r="D78" t="str">
        <f>B54</f>
        <v>unit</v>
      </c>
      <c r="F78" t="s">
        <v>84</v>
      </c>
      <c r="G78" t="s">
        <v>85</v>
      </c>
      <c r="H78" t="str">
        <f>B48</f>
        <v>Bicycle, electric (&lt;45 km/h)</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1.1176470588235294</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4.9000000000000004</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0.56999999999999995</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760</v>
      </c>
      <c r="B82" s="4">
        <f>INDEX('vehicles specifications'!$B$3:$CW$166,MATCH(B51,'vehicles specifications'!$A$3:$A$166,0),MATCH(G82,'vehicles specifications'!$B$2:$CW$2,0))*INDEX('ei names mapping'!$B$137:$BL$300,MATCH(B51,'ei names mapping'!$A$137:$A$300,0),MATCH(G82,'ei names mapping'!$B$136:$BL$136,0))</f>
        <v>4</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1.2000000000000002</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-0.76791666666666658</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-0.20416666666666666</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-5.2</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26.796666666666667</v>
      </c>
      <c r="C88" t="s">
        <v>92</v>
      </c>
      <c r="D88" t="s">
        <v>233</v>
      </c>
      <c r="F88" t="s">
        <v>89</v>
      </c>
      <c r="H88" s="13" t="s">
        <v>841</v>
      </c>
    </row>
    <row r="89" spans="1:8" x14ac:dyDescent="0.2">
      <c r="A89" s="13" t="s">
        <v>441</v>
      </c>
      <c r="B89" s="2">
        <f>(B61/1000)*B73</f>
        <v>426.06700000000001</v>
      </c>
      <c r="C89" t="s">
        <v>95</v>
      </c>
      <c r="D89" t="s">
        <v>233</v>
      </c>
      <c r="F89" t="s">
        <v>89</v>
      </c>
      <c r="H89" s="13" t="s">
        <v>441</v>
      </c>
    </row>
    <row r="91" spans="1:8" ht="16" x14ac:dyDescent="0.2">
      <c r="A91" s="10" t="s">
        <v>71</v>
      </c>
      <c r="B91" s="8" t="str">
        <f>B93&amp;", "&amp;B108&amp;" battery, "&amp;B95</f>
        <v>Bicycle, electric (&lt;45 km/h), NCA battery, 2040</v>
      </c>
    </row>
    <row r="92" spans="1:8" x14ac:dyDescent="0.2">
      <c r="A92" t="s">
        <v>72</v>
      </c>
      <c r="B92" t="s">
        <v>37</v>
      </c>
    </row>
    <row r="93" spans="1:8" x14ac:dyDescent="0.2">
      <c r="A93" t="s">
        <v>86</v>
      </c>
      <c r="B93" t="s">
        <v>490</v>
      </c>
    </row>
    <row r="94" spans="1:8" x14ac:dyDescent="0.2">
      <c r="A94" t="s">
        <v>87</v>
      </c>
    </row>
    <row r="95" spans="1:8" x14ac:dyDescent="0.2">
      <c r="A95" t="s">
        <v>88</v>
      </c>
      <c r="B95">
        <v>2040</v>
      </c>
    </row>
    <row r="96" spans="1:8" x14ac:dyDescent="0.2">
      <c r="A96" t="s">
        <v>126</v>
      </c>
      <c r="B96" t="str">
        <f>B93&amp;" - "&amp;B95&amp;" - "&amp;B108&amp;" - "&amp;B92</f>
        <v>Bicycle, electric (&lt;45 km/h) - 2040 - NCA - CH</v>
      </c>
    </row>
    <row r="97" spans="1:2" x14ac:dyDescent="0.2">
      <c r="A97" t="s">
        <v>73</v>
      </c>
      <c r="B97" t="str">
        <f>B93</f>
        <v>Bicycle, electric (&lt;45 km/h)</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30000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2</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3000</v>
      </c>
    </row>
    <row r="106" spans="1:2" x14ac:dyDescent="0.2">
      <c r="A106" t="s">
        <v>132</v>
      </c>
      <c r="B106">
        <f>INDEX('vehicles specifications'!$B$3:$CW$166,MATCH(B96,'vehicles specifications'!$A$3:$A$166,0),MATCH("Curb mass [kg]",'vehicles specifications'!$B$2:$CW$2,0))</f>
        <v>26</v>
      </c>
    </row>
    <row r="107" spans="1:2" x14ac:dyDescent="0.2">
      <c r="A107" t="s">
        <v>133</v>
      </c>
      <c r="B107">
        <f>INDEX('vehicles specifications'!$B$3:$CW$166,MATCH(B96,'vehicles specifications'!$A$3:$A$166,0),MATCH("Power [kW]",'vehicles specifications'!$B$2:$CW$2,0))</f>
        <v>0.5</v>
      </c>
    </row>
    <row r="108" spans="1:2" x14ac:dyDescent="0.2">
      <c r="A108" t="s">
        <v>652</v>
      </c>
      <c r="B108" s="20" t="s">
        <v>45</v>
      </c>
    </row>
    <row r="109" spans="1:2" x14ac:dyDescent="0.2">
      <c r="A109" t="s">
        <v>134</v>
      </c>
      <c r="B109">
        <f>INDEX('vehicles specifications'!$B$3:$CW$166,MATCH(B96,'vehicles specifications'!$A$3:$A$166,0),MATCH("Energy battery mass [kg]",'vehicles specifications'!$B$2:$CW$2,0))</f>
        <v>3.25</v>
      </c>
    </row>
    <row r="110" spans="1:2" x14ac:dyDescent="0.2">
      <c r="A110" t="s">
        <v>135</v>
      </c>
      <c r="B110">
        <f>INDEX('vehicles specifications'!$B$3:$CW$166,MATCH(B96,'vehicles specifications'!$A$3:$A$166,0),MATCH("Electric energy stored [kWh]",'vehicles specifications'!$B$2:$CW$2,0))</f>
        <v>1</v>
      </c>
    </row>
    <row r="111" spans="1:2" x14ac:dyDescent="0.2">
      <c r="A111" t="s">
        <v>588</v>
      </c>
      <c r="B111">
        <f>INDEX('vehicles specifications'!$B$3:$CW$166,MATCH(B96,'vehicles specifications'!$A$3:$A$166,0),MATCH("Electric energy available [kWh]",'vehicles specifications'!$B$2:$CW$2,0))</f>
        <v>0.8</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f>INDEX('vehicles specifications'!$B$3:$CW$166,MATCH(B96,'vehicles specifications'!$A$3:$A$166,0),MATCH("Range [km]",'vehicles specifications'!$B$2:$CW$2,0))</f>
        <v>63.563613392293121</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(&lt;45 km/h), NCA battery, 2040</v>
      </c>
      <c r="B123">
        <v>1</v>
      </c>
      <c r="C123" t="str">
        <f>B92</f>
        <v>CH</v>
      </c>
      <c r="D123" t="str">
        <f>B99</f>
        <v>unit</v>
      </c>
      <c r="F123" t="s">
        <v>84</v>
      </c>
      <c r="G123" t="s">
        <v>85</v>
      </c>
      <c r="H123" t="str">
        <f>B93</f>
        <v>Bicycle, electric (&lt;45 km/h)</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1.1176470588235294</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4.7</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0.95000000000000007</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760</v>
      </c>
      <c r="B127" s="4">
        <f>INDEX('vehicles specifications'!$B$3:$CW$166,MATCH(B96,'vehicles specifications'!$A$3:$A$166,0),MATCH(G127,'vehicles specifications'!$B$2:$CW$2,0))*INDEX('ei names mapping'!$B$137:$BL$300,MATCH(B96,'ei names mapping'!$A$137:$A$300,0),MATCH(G127,'ei names mapping'!$B$136:$BL$136,0))</f>
        <v>3.125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0.9375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-0.75208333333333333</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-0.19583333333333333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-4.0625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26</v>
      </c>
      <c r="C133" t="s">
        <v>92</v>
      </c>
      <c r="D133" t="s">
        <v>233</v>
      </c>
      <c r="F133" t="s">
        <v>89</v>
      </c>
      <c r="H133" s="13" t="s">
        <v>841</v>
      </c>
    </row>
    <row r="134" spans="1:8" x14ac:dyDescent="0.2">
      <c r="A134" s="13" t="s">
        <v>441</v>
      </c>
      <c r="B134" s="2">
        <f>(B106/1000)*B118</f>
        <v>413.4</v>
      </c>
      <c r="C134" t="s">
        <v>95</v>
      </c>
      <c r="D134" t="s">
        <v>233</v>
      </c>
      <c r="F134" t="s">
        <v>89</v>
      </c>
      <c r="H134" s="13" t="s">
        <v>441</v>
      </c>
    </row>
    <row r="136" spans="1:8" ht="16" x14ac:dyDescent="0.2">
      <c r="A136" s="10" t="s">
        <v>71</v>
      </c>
      <c r="B136" s="8" t="str">
        <f>B138&amp;", "&amp;B153&amp;" battery, "&amp;B140</f>
        <v>Bicycle, electric (&lt;45 km/h), NCA battery, 2050</v>
      </c>
    </row>
    <row r="137" spans="1:8" x14ac:dyDescent="0.2">
      <c r="A137" t="s">
        <v>72</v>
      </c>
      <c r="B137" t="s">
        <v>37</v>
      </c>
    </row>
    <row r="138" spans="1:8" x14ac:dyDescent="0.2">
      <c r="A138" t="s">
        <v>86</v>
      </c>
      <c r="B138" t="s">
        <v>490</v>
      </c>
    </row>
    <row r="139" spans="1:8" x14ac:dyDescent="0.2">
      <c r="A139" t="s">
        <v>87</v>
      </c>
    </row>
    <row r="140" spans="1:8" x14ac:dyDescent="0.2">
      <c r="A140" t="s">
        <v>88</v>
      </c>
      <c r="B140">
        <v>2050</v>
      </c>
    </row>
    <row r="141" spans="1:8" x14ac:dyDescent="0.2">
      <c r="A141" t="s">
        <v>126</v>
      </c>
      <c r="B141" t="str">
        <f>B138&amp;" - "&amp;B140&amp;" - "&amp;B153&amp;" - "&amp;B137</f>
        <v>Bicycle, electric (&lt;45 km/h) - 2050 - NCA - CH</v>
      </c>
    </row>
    <row r="142" spans="1:8" x14ac:dyDescent="0.2">
      <c r="A142" t="s">
        <v>73</v>
      </c>
      <c r="B142" t="str">
        <f>B138</f>
        <v>Bicycle, electric (&lt;45 km/h)</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30000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2</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3000</v>
      </c>
    </row>
    <row r="151" spans="1:2" x14ac:dyDescent="0.2">
      <c r="A151" t="s">
        <v>132</v>
      </c>
      <c r="B151">
        <f>INDEX('vehicles specifications'!$B$3:$CW$166,MATCH(B141,'vehicles specifications'!$A$3:$A$166,0),MATCH("Curb mass [kg]",'vehicles specifications'!$B$2:$CW$2,0))</f>
        <v>26.169999999999995</v>
      </c>
    </row>
    <row r="152" spans="1:2" x14ac:dyDescent="0.2">
      <c r="A152" t="s">
        <v>133</v>
      </c>
      <c r="B152">
        <f>INDEX('vehicles specifications'!$B$3:$CW$166,MATCH(B141,'vehicles specifications'!$A$3:$A$166,0),MATCH("Power [kW]",'vehicles specifications'!$B$2:$CW$2,0))</f>
        <v>0.5</v>
      </c>
    </row>
    <row r="153" spans="1:2" x14ac:dyDescent="0.2">
      <c r="A153" t="s">
        <v>652</v>
      </c>
      <c r="B153" s="20" t="s">
        <v>45</v>
      </c>
    </row>
    <row r="154" spans="1:2" x14ac:dyDescent="0.2">
      <c r="A154" t="s">
        <v>134</v>
      </c>
      <c r="B154">
        <f>INDEX('vehicles specifications'!$B$3:$CW$166,MATCH(B141,'vehicles specifications'!$A$3:$A$166,0),MATCH("Energy battery mass [kg]",'vehicles specifications'!$B$2:$CW$2,0))</f>
        <v>3.9</v>
      </c>
    </row>
    <row r="155" spans="1:2" x14ac:dyDescent="0.2">
      <c r="A155" t="s">
        <v>135</v>
      </c>
      <c r="B155">
        <f>INDEX('vehicles specifications'!$B$3:$CW$166,MATCH(B141,'vehicles specifications'!$A$3:$A$166,0),MATCH("Electric energy stored [kWh]",'vehicles specifications'!$B$2:$CW$2,0))</f>
        <v>1.5</v>
      </c>
    </row>
    <row r="156" spans="1:2" x14ac:dyDescent="0.2">
      <c r="A156" t="s">
        <v>588</v>
      </c>
      <c r="B156">
        <f>INDEX('vehicles specifications'!$B$3:$CW$166,MATCH(B141,'vehicles specifications'!$A$3:$A$166,0),MATCH("Electric energy available [kWh]",'vehicles specifications'!$B$2:$CW$2,0))</f>
        <v>1.2000000000000002</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f>INDEX('vehicles specifications'!$B$3:$CW$166,MATCH(B141,'vehicles specifications'!$A$3:$A$166,0),MATCH("Range [km]",'vehicles specifications'!$B$2:$CW$2,0))</f>
        <v>95.345420088439695</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(&lt;45 km/h), NCA battery, 2050</v>
      </c>
      <c r="B168">
        <v>1</v>
      </c>
      <c r="C168" t="str">
        <f>B137</f>
        <v>CH</v>
      </c>
      <c r="D168" t="str">
        <f>B144</f>
        <v>unit</v>
      </c>
      <c r="F168" t="s">
        <v>84</v>
      </c>
      <c r="G168" t="s">
        <v>85</v>
      </c>
      <c r="H168" t="str">
        <f>B138</f>
        <v>Bicycle, electric (&lt;45 km/h)</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1.1176470588235294</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4.5999999999999996</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1.33</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760</v>
      </c>
      <c r="B172" s="4">
        <f>INDEX('vehicles specifications'!$B$3:$CW$166,MATCH(B141,'vehicles specifications'!$A$3:$A$166,0),MATCH(G172,'vehicles specifications'!$B$2:$CW$2,0))*INDEX('ei names mapping'!$B$137:$BL$300,MATCH(B141,'ei names mapping'!$A$137:$A$300,0),MATCH(G172,'ei names mapping'!$B$136:$BL$136,0))</f>
        <v>3</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0.89999999999999991</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-0.73624999999999985</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-0.19166666666666665</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-3.9</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26.169999999999995</v>
      </c>
      <c r="C178" t="s">
        <v>92</v>
      </c>
      <c r="D178" t="s">
        <v>233</v>
      </c>
      <c r="F178" t="s">
        <v>89</v>
      </c>
      <c r="H178" s="13" t="s">
        <v>841</v>
      </c>
    </row>
    <row r="179" spans="1:8" x14ac:dyDescent="0.2">
      <c r="A179" s="13" t="s">
        <v>441</v>
      </c>
      <c r="B179" s="2">
        <f>(B151/1000)*B163</f>
        <v>416.10299999999995</v>
      </c>
      <c r="C179" t="s">
        <v>95</v>
      </c>
      <c r="D179" t="s">
        <v>233</v>
      </c>
      <c r="F179" t="s">
        <v>89</v>
      </c>
      <c r="H179" s="13" t="s">
        <v>441</v>
      </c>
    </row>
    <row r="181" spans="1:8" ht="16" x14ac:dyDescent="0.2">
      <c r="A181" s="10" t="s">
        <v>71</v>
      </c>
      <c r="B181" s="8" t="str">
        <f>"transport, "&amp;B183&amp;", "&amp;B198&amp;" battery, "&amp;B185</f>
        <v>transport, Bicycle, electric (&lt;45 km/h), NCA battery, 2020</v>
      </c>
    </row>
    <row r="182" spans="1:8" x14ac:dyDescent="0.2">
      <c r="A182" t="s">
        <v>72</v>
      </c>
      <c r="B182" t="s">
        <v>37</v>
      </c>
    </row>
    <row r="183" spans="1:8" x14ac:dyDescent="0.2">
      <c r="A183" t="s">
        <v>86</v>
      </c>
      <c r="B183" t="s">
        <v>490</v>
      </c>
    </row>
    <row r="184" spans="1:8" x14ac:dyDescent="0.2">
      <c r="A184" t="s">
        <v>87</v>
      </c>
    </row>
    <row r="185" spans="1:8" x14ac:dyDescent="0.2">
      <c r="A185" t="s">
        <v>88</v>
      </c>
      <c r="B185">
        <v>2020</v>
      </c>
    </row>
    <row r="186" spans="1:8" x14ac:dyDescent="0.2">
      <c r="A186" t="s">
        <v>126</v>
      </c>
      <c r="B186" t="str">
        <f>B183&amp;" - "&amp;B185&amp;" - "&amp;B198&amp;" - "&amp;B182</f>
        <v>Bicycle, electric (&lt;45 km/h) - 2020 - NCA - CH</v>
      </c>
    </row>
    <row r="187" spans="1:8" x14ac:dyDescent="0.2">
      <c r="A187" t="s">
        <v>73</v>
      </c>
      <c r="B187" t="str">
        <f>"transport, "&amp;B183</f>
        <v>transport, Bicycle, electric (&lt;45 km/h)</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30000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2</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3000</v>
      </c>
    </row>
    <row r="196" spans="1:2" x14ac:dyDescent="0.2">
      <c r="A196" t="s">
        <v>132</v>
      </c>
      <c r="B196">
        <f>INDEX('vehicles specifications'!$B$3:$CW$166,MATCH(B186,'vehicles specifications'!$A$3:$A$166,0),MATCH("Curb mass [kg]",'vehicles specifications'!$B$2:$CW$2,0))</f>
        <v>26.826086956521738</v>
      </c>
    </row>
    <row r="197" spans="1:2" x14ac:dyDescent="0.2">
      <c r="A197" t="s">
        <v>133</v>
      </c>
      <c r="B197">
        <f>INDEX('vehicles specifications'!$B$3:$CW$166,MATCH(B186,'vehicles specifications'!$A$3:$A$166,0),MATCH("Power [kW]",'vehicles specifications'!$B$2:$CW$2,0))</f>
        <v>0.5</v>
      </c>
    </row>
    <row r="198" spans="1:2" x14ac:dyDescent="0.2">
      <c r="A198" t="s">
        <v>652</v>
      </c>
      <c r="B198" s="20" t="s">
        <v>45</v>
      </c>
    </row>
    <row r="199" spans="1:2" x14ac:dyDescent="0.2">
      <c r="A199" t="s">
        <v>134</v>
      </c>
      <c r="B199">
        <f>INDEX('vehicles specifications'!$B$3:$CW$166,MATCH(B186,'vehicles specifications'!$A$3:$A$166,0),MATCH("Energy battery mass [kg]",'vehicles specifications'!$B$2:$CW$2,0))</f>
        <v>2.8260869565217388</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31.78180669614656</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0.5 kW. Lifetime: 30000 km. Annual kilometers: 3000 km. Number of passengers: 1. Curb mass: 26.8 kg. Lightweighting of glider: 0%. Emission standard: None. Service visits throughout lifetime: 2. Range: 32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(&lt;45 km/h), NCA battery, 2020</v>
      </c>
      <c r="B210">
        <v>1</v>
      </c>
      <c r="C210" t="str">
        <f>B182</f>
        <v>CH</v>
      </c>
      <c r="D210" t="s">
        <v>166</v>
      </c>
      <c r="F210" t="s">
        <v>84</v>
      </c>
      <c r="G210" t="s">
        <v>85</v>
      </c>
      <c r="H210" t="str">
        <f>B187</f>
        <v>transport, Bicycle, electric (&lt;45 km/h)</v>
      </c>
    </row>
    <row r="211" spans="1:8" x14ac:dyDescent="0.2">
      <c r="A211" t="str">
        <f>RIGHT(A210,LEN(A210)-11)</f>
        <v>Bicycle, electric (&lt;45 km/h), NCA battery, 2020</v>
      </c>
      <c r="B211" s="7">
        <f>1/B191</f>
        <v>3.3333333333333335E-5</v>
      </c>
      <c r="C211" t="str">
        <f>B182</f>
        <v>CH</v>
      </c>
      <c r="D211" t="s">
        <v>76</v>
      </c>
      <c r="F211" t="s">
        <v>89</v>
      </c>
      <c r="H211" t="str">
        <f>RIGHT(H210,LEN(H210)-11)</f>
        <v>Bicycle, electric (&lt;45 km/h)</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5.5217608695652174E-5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1.3844398595922134E-2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-4.3124812382501794E-6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-4.2527520499734952E-6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-3.9477863286675544E-6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(&lt;45 km/h), NCA battery, 2030</v>
      </c>
    </row>
    <row r="220" spans="1:8" x14ac:dyDescent="0.2">
      <c r="A220" t="s">
        <v>72</v>
      </c>
      <c r="B220" t="s">
        <v>37</v>
      </c>
    </row>
    <row r="221" spans="1:8" x14ac:dyDescent="0.2">
      <c r="A221" t="s">
        <v>86</v>
      </c>
      <c r="B221" t="s">
        <v>490</v>
      </c>
    </row>
    <row r="222" spans="1:8" x14ac:dyDescent="0.2">
      <c r="A222" t="s">
        <v>87</v>
      </c>
    </row>
    <row r="223" spans="1:8" x14ac:dyDescent="0.2">
      <c r="A223" t="s">
        <v>88</v>
      </c>
      <c r="B223">
        <v>2030</v>
      </c>
    </row>
    <row r="224" spans="1:8" x14ac:dyDescent="0.2">
      <c r="A224" t="s">
        <v>126</v>
      </c>
      <c r="B224" t="str">
        <f>B221&amp;" - "&amp;B223&amp;" - "&amp;B236&amp;" - "&amp;B220</f>
        <v>Bicycle, electric (&lt;45 km/h) - 2030 - NCA - CH</v>
      </c>
    </row>
    <row r="225" spans="1:2" x14ac:dyDescent="0.2">
      <c r="A225" t="s">
        <v>73</v>
      </c>
      <c r="B225" t="str">
        <f>"transport, "&amp;B221</f>
        <v>transport, Bicycle, electric (&lt;45 km/h)</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30000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2</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3000</v>
      </c>
    </row>
    <row r="234" spans="1:2" x14ac:dyDescent="0.2">
      <c r="A234" t="s">
        <v>132</v>
      </c>
      <c r="B234">
        <f>INDEX('vehicles specifications'!$B$3:$CW$166,MATCH(B224,'vehicles specifications'!$A$3:$A$166,0),MATCH("Curb mass [kg]",'vehicles specifications'!$B$2:$CW$2,0))</f>
        <v>26.796666666666667</v>
      </c>
    </row>
    <row r="235" spans="1:2" x14ac:dyDescent="0.2">
      <c r="A235" t="s">
        <v>133</v>
      </c>
      <c r="B235">
        <f>INDEX('vehicles specifications'!$B$3:$CW$166,MATCH(B224,'vehicles specifications'!$A$3:$A$166,0),MATCH("Power [kW]",'vehicles specifications'!$B$2:$CW$2,0))</f>
        <v>0.5</v>
      </c>
    </row>
    <row r="236" spans="1:2" x14ac:dyDescent="0.2">
      <c r="A236" t="s">
        <v>652</v>
      </c>
      <c r="B236" s="20" t="s">
        <v>45</v>
      </c>
    </row>
    <row r="237" spans="1:2" x14ac:dyDescent="0.2">
      <c r="A237" t="s">
        <v>134</v>
      </c>
      <c r="B237">
        <f>INDEX('vehicles specifications'!$B$3:$CW$166,MATCH(B224,'vehicles specifications'!$A$3:$A$166,0),MATCH("Energy battery mass [kg]",'vehicles specifications'!$B$2:$CW$2,0))</f>
        <v>3.4666666666666668</v>
      </c>
    </row>
    <row r="238" spans="1:2" x14ac:dyDescent="0.2">
      <c r="A238" t="s">
        <v>135</v>
      </c>
      <c r="B238">
        <f>INDEX('vehicles specifications'!$B$3:$CW$166,MATCH(B224,'vehicles specifications'!$A$3:$A$166,0),MATCH("Electric energy stored [kWh]",'vehicles specifications'!$B$2:$CW$2,0))</f>
        <v>0.8</v>
      </c>
    </row>
    <row r="239" spans="1:2" x14ac:dyDescent="0.2">
      <c r="A239" t="s">
        <v>588</v>
      </c>
      <c r="B239">
        <f>INDEX('vehicles specifications'!$B$3:$CW$166,MATCH(B224,'vehicles specifications'!$A$3:$A$166,0),MATCH("Electric energy available [kWh]",'vehicles specifications'!$B$2:$CW$2,0))</f>
        <v>0.64000000000000012</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50.850890713834502</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0.5 kW. Lifetime: 30000 km. Annual kilometers: 3000 km. Number of passengers: 1. Curb mass: 26.8 kg. Lightweighting of glider: 3%. Emission standard: None. Service visits throughout lifetime: 2. Range: 51 km. Battery capacity: 0.8 kWh. Available battery capacity: 0.64 kWh. Battery mass: 3.5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(&lt;45 km/h), NCA battery, 2030</v>
      </c>
      <c r="B248">
        <v>1</v>
      </c>
      <c r="C248" t="str">
        <f>B220</f>
        <v>CH</v>
      </c>
      <c r="D248" t="s">
        <v>166</v>
      </c>
      <c r="F248" t="s">
        <v>84</v>
      </c>
      <c r="G248" t="s">
        <v>85</v>
      </c>
      <c r="H248" t="str">
        <f>B225</f>
        <v>transport, Bicycle, electric (&lt;45 km/h)</v>
      </c>
    </row>
    <row r="249" spans="1:8" x14ac:dyDescent="0.2">
      <c r="A249" t="str">
        <f>RIGHT(A248,LEN(A248)-11)</f>
        <v>Bicycle, electric (&lt;45 km/h), NCA battery, 2030</v>
      </c>
      <c r="B249" s="7">
        <f>1/B229</f>
        <v>3.3333333333333335E-5</v>
      </c>
      <c r="C249" t="str">
        <f>B220</f>
        <v>CH</v>
      </c>
      <c r="D249" t="s">
        <v>76</v>
      </c>
      <c r="F249" t="s">
        <v>89</v>
      </c>
      <c r="H249" t="str">
        <f>RIGHT(H248,LEN(H248)-11)</f>
        <v>Bicycle, electric (&lt;45 km/h)</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5.5201809999999998E-5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1.3844398595922134E-2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-4.3115147894576166E-6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-4.2517989039701259E-6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-3.9469248908384192E-6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(&lt;45 km/h), NCA battery, 2040</v>
      </c>
    </row>
    <row r="258" spans="1:2" x14ac:dyDescent="0.2">
      <c r="A258" t="s">
        <v>72</v>
      </c>
      <c r="B258" t="s">
        <v>37</v>
      </c>
    </row>
    <row r="259" spans="1:2" x14ac:dyDescent="0.2">
      <c r="A259" t="s">
        <v>86</v>
      </c>
      <c r="B259" t="s">
        <v>490</v>
      </c>
    </row>
    <row r="260" spans="1:2" x14ac:dyDescent="0.2">
      <c r="A260" t="s">
        <v>87</v>
      </c>
    </row>
    <row r="261" spans="1:2" x14ac:dyDescent="0.2">
      <c r="A261" t="s">
        <v>88</v>
      </c>
      <c r="B261">
        <v>2040</v>
      </c>
    </row>
    <row r="262" spans="1:2" x14ac:dyDescent="0.2">
      <c r="A262" t="s">
        <v>126</v>
      </c>
      <c r="B262" t="str">
        <f>B259&amp;" - "&amp;B261&amp;" - "&amp;B274&amp;" - "&amp;B258</f>
        <v>Bicycle, electric (&lt;45 km/h) - 2040 - NCA - CH</v>
      </c>
    </row>
    <row r="263" spans="1:2" x14ac:dyDescent="0.2">
      <c r="A263" t="s">
        <v>73</v>
      </c>
      <c r="B263" t="str">
        <f>"transport, "&amp;B259</f>
        <v>transport, Bicycle, electric (&lt;45 km/h)</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30000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2</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3000</v>
      </c>
    </row>
    <row r="272" spans="1:2" x14ac:dyDescent="0.2">
      <c r="A272" t="s">
        <v>132</v>
      </c>
      <c r="B272">
        <f>INDEX('vehicles specifications'!$B$3:$CW$166,MATCH(B262,'vehicles specifications'!$A$3:$A$166,0),MATCH("Curb mass [kg]",'vehicles specifications'!$B$2:$CW$2,0))</f>
        <v>26</v>
      </c>
    </row>
    <row r="273" spans="1:8" x14ac:dyDescent="0.2">
      <c r="A273" t="s">
        <v>133</v>
      </c>
      <c r="B273">
        <f>INDEX('vehicles specifications'!$B$3:$CW$166,MATCH(B262,'vehicles specifications'!$A$3:$A$166,0),MATCH("Power [kW]",'vehicles specifications'!$B$2:$CW$2,0))</f>
        <v>0.5</v>
      </c>
    </row>
    <row r="274" spans="1:8" x14ac:dyDescent="0.2">
      <c r="A274" t="s">
        <v>652</v>
      </c>
      <c r="B274" s="20" t="s">
        <v>45</v>
      </c>
    </row>
    <row r="275" spans="1:8" x14ac:dyDescent="0.2">
      <c r="A275" t="s">
        <v>134</v>
      </c>
      <c r="B275">
        <f>INDEX('vehicles specifications'!$B$3:$CW$166,MATCH(B262,'vehicles specifications'!$A$3:$A$166,0),MATCH("Energy battery mass [kg]",'vehicles specifications'!$B$2:$CW$2,0))</f>
        <v>3.25</v>
      </c>
    </row>
    <row r="276" spans="1:8" x14ac:dyDescent="0.2">
      <c r="A276" t="s">
        <v>135</v>
      </c>
      <c r="B276">
        <f>INDEX('vehicles specifications'!$B$3:$CW$166,MATCH(B262,'vehicles specifications'!$A$3:$A$166,0),MATCH("Electric energy stored [kWh]",'vehicles specifications'!$B$2:$CW$2,0))</f>
        <v>1</v>
      </c>
    </row>
    <row r="277" spans="1:8" x14ac:dyDescent="0.2">
      <c r="A277" t="s">
        <v>588</v>
      </c>
      <c r="B277">
        <f>INDEX('vehicles specifications'!$B$3:$CW$166,MATCH(B262,'vehicles specifications'!$A$3:$A$166,0),MATCH("Electric energy available [kWh]",'vehicles specifications'!$B$2:$CW$2,0))</f>
        <v>0.8</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63.563613392293121</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0.5 kW. Lifetime: 30000 km. Annual kilometers: 3000 km. Number of passengers: 1. Curb mass: 26 kg. Lightweighting of glider: 5%. Emission standard: None. Service visits throughout lifetime: 2. Range: 64 km. Battery capacity: 1 kWh. Available battery capacity: 0.8 kWh. Battery mass: 3.3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(&lt;45 km/h), NCA battery, 2040</v>
      </c>
      <c r="B286">
        <v>1</v>
      </c>
      <c r="C286" t="str">
        <f>B258</f>
        <v>CH</v>
      </c>
      <c r="D286" t="s">
        <v>166</v>
      </c>
      <c r="F286" t="s">
        <v>84</v>
      </c>
      <c r="G286" t="s">
        <v>85</v>
      </c>
      <c r="H286" t="str">
        <f>B263</f>
        <v>transport, Bicycle, electric (&lt;45 km/h)</v>
      </c>
    </row>
    <row r="287" spans="1:8" x14ac:dyDescent="0.2">
      <c r="A287" t="str">
        <f>RIGHT(A286,LEN(A286)-11)</f>
        <v>Bicycle, electric (&lt;45 km/h), NCA battery, 2040</v>
      </c>
      <c r="B287" s="7">
        <f>1/B267</f>
        <v>3.3333333333333335E-5</v>
      </c>
      <c r="C287" t="str">
        <f>B258</f>
        <v>CH</v>
      </c>
      <c r="D287" t="s">
        <v>76</v>
      </c>
      <c r="F287" t="s">
        <v>89</v>
      </c>
      <c r="H287" t="str">
        <f>RIGHT(H286,LEN(H286)-11)</f>
        <v>Bicycle, electric (&lt;45 km/h)</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5.4774000000000001E-5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1.3844398595922134E-2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-4.2853236082116621E-6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-4.2258279579563645E-6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-3.9234998540415566E-6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(&lt;45 km/h), NCA battery, 2050</v>
      </c>
    </row>
    <row r="296" spans="1:8" x14ac:dyDescent="0.2">
      <c r="A296" t="s">
        <v>72</v>
      </c>
      <c r="B296" t="s">
        <v>37</v>
      </c>
    </row>
    <row r="297" spans="1:8" x14ac:dyDescent="0.2">
      <c r="A297" t="s">
        <v>86</v>
      </c>
      <c r="B297" t="s">
        <v>490</v>
      </c>
    </row>
    <row r="298" spans="1:8" x14ac:dyDescent="0.2">
      <c r="A298" t="s">
        <v>87</v>
      </c>
    </row>
    <row r="299" spans="1:8" x14ac:dyDescent="0.2">
      <c r="A299" t="s">
        <v>88</v>
      </c>
      <c r="B299">
        <v>2050</v>
      </c>
    </row>
    <row r="300" spans="1:8" x14ac:dyDescent="0.2">
      <c r="A300" t="s">
        <v>126</v>
      </c>
      <c r="B300" t="str">
        <f>B297&amp;" - "&amp;B299&amp;" - "&amp;B312&amp;" - "&amp;B296</f>
        <v>Bicycle, electric (&lt;45 km/h) - 2050 - NCA - CH</v>
      </c>
    </row>
    <row r="301" spans="1:8" x14ac:dyDescent="0.2">
      <c r="A301" t="s">
        <v>73</v>
      </c>
      <c r="B301" t="str">
        <f>"transport, "&amp;B297</f>
        <v>transport, Bicycle, electric (&lt;45 km/h)</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30000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2</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3000</v>
      </c>
    </row>
    <row r="310" spans="1:2" x14ac:dyDescent="0.2">
      <c r="A310" t="s">
        <v>132</v>
      </c>
      <c r="B310">
        <f>INDEX('vehicles specifications'!$B$3:$CW$166,MATCH(B300,'vehicles specifications'!$A$3:$A$166,0),MATCH("Curb mass [kg]",'vehicles specifications'!$B$2:$CW$2,0))</f>
        <v>26.169999999999995</v>
      </c>
    </row>
    <row r="311" spans="1:2" x14ac:dyDescent="0.2">
      <c r="A311" t="s">
        <v>133</v>
      </c>
      <c r="B311">
        <f>INDEX('vehicles specifications'!$B$3:$CW$166,MATCH(B300,'vehicles specifications'!$A$3:$A$166,0),MATCH("Power [kW]",'vehicles specifications'!$B$2:$CW$2,0))</f>
        <v>0.5</v>
      </c>
    </row>
    <row r="312" spans="1:2" x14ac:dyDescent="0.2">
      <c r="A312" t="s">
        <v>652</v>
      </c>
      <c r="B312" s="20" t="s">
        <v>45</v>
      </c>
    </row>
    <row r="313" spans="1:2" x14ac:dyDescent="0.2">
      <c r="A313" t="s">
        <v>134</v>
      </c>
      <c r="B313">
        <f>INDEX('vehicles specifications'!$B$3:$CW$166,MATCH(B300,'vehicles specifications'!$A$3:$A$166,0),MATCH("Energy battery mass [kg]",'vehicles specifications'!$B$2:$CW$2,0))</f>
        <v>3.9</v>
      </c>
    </row>
    <row r="314" spans="1:2" x14ac:dyDescent="0.2">
      <c r="A314" t="s">
        <v>135</v>
      </c>
      <c r="B314">
        <f>INDEX('vehicles specifications'!$B$3:$CW$166,MATCH(B300,'vehicles specifications'!$A$3:$A$166,0),MATCH("Electric energy stored [kWh]",'vehicles specifications'!$B$2:$CW$2,0))</f>
        <v>1.5</v>
      </c>
    </row>
    <row r="315" spans="1:2" x14ac:dyDescent="0.2">
      <c r="A315" t="s">
        <v>588</v>
      </c>
      <c r="B315">
        <f>INDEX('vehicles specifications'!$B$3:$CW$166,MATCH(B300,'vehicles specifications'!$A$3:$A$166,0),MATCH("Electric energy available [kWh]",'vehicles specifications'!$B$2:$CW$2,0))</f>
        <v>1.2000000000000002</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95.345420088439695</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0.5 kW. Lifetime: 30000 km. Annual kilometers: 3000 km. Number of passengers: 1. Curb mass: 26.2 kg. Lightweighting of glider: 7%. Emission standard: None. Service visits throughout lifetime: 2. Range: 95 km. Battery capacity: 1.5 kWh. Available battery capacity: 1.2 kWh. Battery mass: 3.9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(&lt;45 km/h), NCA battery, 2050</v>
      </c>
      <c r="B324">
        <v>1</v>
      </c>
      <c r="C324" t="str">
        <f>B296</f>
        <v>CH</v>
      </c>
      <c r="D324" t="s">
        <v>166</v>
      </c>
      <c r="F324" t="s">
        <v>84</v>
      </c>
      <c r="G324" t="s">
        <v>85</v>
      </c>
      <c r="H324" t="str">
        <f>B301</f>
        <v>transport, Bicycle, electric (&lt;45 km/h)</v>
      </c>
    </row>
    <row r="325" spans="1:8" x14ac:dyDescent="0.2">
      <c r="A325" t="str">
        <f>RIGHT(A324,LEN(A324)-11)</f>
        <v>Bicycle, electric (&lt;45 km/h), NCA battery, 2050</v>
      </c>
      <c r="B325" s="7">
        <f>1/B305</f>
        <v>3.3333333333333335E-5</v>
      </c>
      <c r="C325" t="str">
        <f>B296</f>
        <v>CH</v>
      </c>
      <c r="D325" t="s">
        <v>76</v>
      </c>
      <c r="F325" t="s">
        <v>89</v>
      </c>
      <c r="H325" t="str">
        <f>RIGHT(H324,LEN(H324)-11)</f>
        <v>Bicycle, electric (&lt;45 km/h)</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5.4865289999999991E-5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1.3844398595922134E-2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-4.2909159122347196E-6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-4.2313962200767675E-6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-3.9285145743745862E-6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331"/>
  <sheetViews>
    <sheetView topLeftCell="A315" workbookViewId="0">
      <selection activeCell="B347" sqref="B34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cargo bike, NMC battery, 2020</v>
      </c>
    </row>
    <row r="2" spans="1:2" x14ac:dyDescent="0.2">
      <c r="A2" t="s">
        <v>72</v>
      </c>
      <c r="B2" t="s">
        <v>37</v>
      </c>
    </row>
    <row r="3" spans="1:2" x14ac:dyDescent="0.2">
      <c r="A3" t="s">
        <v>86</v>
      </c>
      <c r="B3" t="s">
        <v>496</v>
      </c>
    </row>
    <row r="4" spans="1:2" x14ac:dyDescent="0.2">
      <c r="A4" t="s">
        <v>87</v>
      </c>
    </row>
    <row r="5" spans="1:2" x14ac:dyDescent="0.2">
      <c r="A5" t="s">
        <v>88</v>
      </c>
      <c r="B5">
        <v>2020</v>
      </c>
    </row>
    <row r="6" spans="1:2" x14ac:dyDescent="0.2">
      <c r="A6" t="s">
        <v>126</v>
      </c>
      <c r="B6" t="str">
        <f>B3&amp;" - "&amp;B5&amp;" - "&amp;B18&amp;" - "&amp;B2</f>
        <v>Bicycle, electric, cargo bike - 2020 - NMC - CH</v>
      </c>
    </row>
    <row r="7" spans="1:2" x14ac:dyDescent="0.2">
      <c r="A7" t="s">
        <v>73</v>
      </c>
      <c r="B7" t="str">
        <f>B3</f>
        <v>Bicycle, electric, cargo bike</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f>INDEX('vehicles specifications'!$B$3:$CW$166,MATCH(B6,'vehicles specifications'!$A$3:$A$166,0),MATCH("Curb mass [kg]",'vehicles specifications'!$B$2:$CW$2,0))</f>
        <v>45.25</v>
      </c>
    </row>
    <row r="17" spans="1:8" x14ac:dyDescent="0.2">
      <c r="A17" t="s">
        <v>133</v>
      </c>
      <c r="B17">
        <f>INDEX('vehicles specifications'!$B$3:$CW$166,MATCH(B6,'vehicles specifications'!$A$3:$A$166,0),MATCH("Power [kW]",'vehicles specifications'!$B$2:$CW$2,0))</f>
        <v>0.25</v>
      </c>
    </row>
    <row r="18" spans="1:8" x14ac:dyDescent="0.2">
      <c r="A18" t="s">
        <v>652</v>
      </c>
      <c r="B18" s="20" t="s">
        <v>43</v>
      </c>
    </row>
    <row r="19" spans="1:8" x14ac:dyDescent="0.2">
      <c r="A19" t="s">
        <v>134</v>
      </c>
      <c r="B19">
        <f>INDEX('vehicles specifications'!$B$3:$CW$166,MATCH(B6,'vehicles specifications'!$A$3:$A$166,0),MATCH("Energy battery mass [kg]",'vehicles specifications'!$B$2:$CW$2,0))</f>
        <v>3.25</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41.48860759493671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cargo bike, NMC battery, 2020</v>
      </c>
      <c r="B33">
        <v>1</v>
      </c>
      <c r="C33" t="str">
        <f>B2</f>
        <v>CH</v>
      </c>
      <c r="D33" t="str">
        <f>B9</f>
        <v>unit</v>
      </c>
      <c r="F33" t="s">
        <v>84</v>
      </c>
      <c r="G33" t="s">
        <v>85</v>
      </c>
      <c r="H33" t="str">
        <f>B3</f>
        <v>Bicycle, electric, cargo bike</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2.2352941176470589</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tr">
        <f>INDEX('ei names mapping'!$B$4:$R$33,MATCH($B$3,'ei names mapping'!$A$4:$A$33,0),MATCH(G37,'ei names mapping'!$B$3:$R$3,0))</f>
        <v>Battery cell, NMC-622</v>
      </c>
      <c r="B37" s="4">
        <f>INDEX('vehicles specifications'!$B$3:$CW$166,MATCH(B6,'vehicles specifications'!$A$3:$A$166,0),MATCH(G37,'vehicles specifications'!$B$2:$CW$2,0))*INDEX('ei names mapping'!$B$137:$BL$300,MATCH(B6,'ei names mapping'!$A$137:$A$300,0),MATCH(G37,'ei names mapping'!$B$136:$BL$136,0))</f>
        <v>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-1.5833333333333333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-6.5</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45.25</v>
      </c>
      <c r="C43" t="s">
        <v>92</v>
      </c>
      <c r="D43" t="s">
        <v>233</v>
      </c>
      <c r="F43" t="s">
        <v>89</v>
      </c>
      <c r="H43" s="13" t="s">
        <v>841</v>
      </c>
    </row>
    <row r="44" spans="1:8" x14ac:dyDescent="0.2">
      <c r="A44" s="13" t="s">
        <v>441</v>
      </c>
      <c r="B44" s="2">
        <f>(B16/1000)*B28</f>
        <v>719.47500000000002</v>
      </c>
      <c r="C44" t="s">
        <v>95</v>
      </c>
      <c r="D44" t="s">
        <v>233</v>
      </c>
      <c r="F44" t="s">
        <v>89</v>
      </c>
      <c r="H44" s="13" t="s">
        <v>441</v>
      </c>
    </row>
    <row r="45" spans="1:8" x14ac:dyDescent="0.2">
      <c r="B45" s="11"/>
    </row>
    <row r="46" spans="1:8" ht="16" x14ac:dyDescent="0.2">
      <c r="A46" s="10" t="s">
        <v>71</v>
      </c>
      <c r="B46" s="8" t="str">
        <f>B48&amp;", "&amp;B63&amp;" battery, "&amp;B50</f>
        <v>Bicycle, electric, cargo bike, NMC battery, 2030</v>
      </c>
    </row>
    <row r="47" spans="1:8" x14ac:dyDescent="0.2">
      <c r="A47" t="s">
        <v>72</v>
      </c>
      <c r="B47" t="s">
        <v>37</v>
      </c>
    </row>
    <row r="48" spans="1:8" x14ac:dyDescent="0.2">
      <c r="A48" t="s">
        <v>86</v>
      </c>
      <c r="B48" t="s">
        <v>496</v>
      </c>
    </row>
    <row r="49" spans="1:2" x14ac:dyDescent="0.2">
      <c r="A49" t="s">
        <v>87</v>
      </c>
    </row>
    <row r="50" spans="1:2" x14ac:dyDescent="0.2">
      <c r="A50" t="s">
        <v>88</v>
      </c>
      <c r="B50">
        <v>2030</v>
      </c>
    </row>
    <row r="51" spans="1:2" x14ac:dyDescent="0.2">
      <c r="A51" t="s">
        <v>126</v>
      </c>
      <c r="B51" t="str">
        <f>B48&amp;" - "&amp;B50&amp;" - "&amp;B63&amp;" - "&amp;B47</f>
        <v>Bicycle, electric, cargo bike - 2030 - NMC - CH</v>
      </c>
    </row>
    <row r="52" spans="1:2" x14ac:dyDescent="0.2">
      <c r="A52" t="s">
        <v>73</v>
      </c>
      <c r="B52" t="str">
        <f>B48</f>
        <v>Bicycle, electric, cargo bike</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43.793333333333329</v>
      </c>
    </row>
    <row r="62" spans="1:2" x14ac:dyDescent="0.2">
      <c r="A62" t="s">
        <v>133</v>
      </c>
      <c r="B62">
        <f>INDEX('vehicles specifications'!$B$3:$CW$166,MATCH(B51,'vehicles specifications'!$A$3:$A$166,0),MATCH("Power [kW]",'vehicles specifications'!$B$2:$CW$2,0))</f>
        <v>0.25</v>
      </c>
    </row>
    <row r="63" spans="1:2" x14ac:dyDescent="0.2">
      <c r="A63" t="s">
        <v>652</v>
      </c>
      <c r="B63" s="20" t="s">
        <v>43</v>
      </c>
    </row>
    <row r="64" spans="1:2" x14ac:dyDescent="0.2">
      <c r="A64" t="s">
        <v>134</v>
      </c>
      <c r="B64">
        <f>INDEX('vehicles specifications'!$B$3:$CW$166,MATCH(B51,'vehicles specifications'!$A$3:$A$166,0),MATCH("Energy battery mass [kg]",'vehicles specifications'!$B$2:$CW$2,0))</f>
        <v>3.0333333333333337</v>
      </c>
    </row>
    <row r="65" spans="1:8" x14ac:dyDescent="0.2">
      <c r="A65" t="s">
        <v>135</v>
      </c>
      <c r="B65">
        <f>INDEX('vehicles specifications'!$B$3:$CW$166,MATCH(B51,'vehicles specifications'!$A$3:$A$166,0),MATCH("Electric energy stored [kWh]",'vehicles specifications'!$B$2:$CW$2,0))</f>
        <v>0.7</v>
      </c>
    </row>
    <row r="66" spans="1:8" x14ac:dyDescent="0.2">
      <c r="A66" t="s">
        <v>588</v>
      </c>
      <c r="B66">
        <f>INDEX('vehicles specifications'!$B$3:$CW$166,MATCH(B51,'vehicles specifications'!$A$3:$A$166,0),MATCH("Electric energy available [kWh]",'vehicles specifications'!$B$2:$CW$2,0))</f>
        <v>0.55999999999999994</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58.084050632911385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cargo bike, NMC battery, 2030</v>
      </c>
      <c r="B78">
        <v>1</v>
      </c>
      <c r="C78" t="str">
        <f>B47</f>
        <v>CH</v>
      </c>
      <c r="D78" t="str">
        <f>B54</f>
        <v>unit</v>
      </c>
      <c r="F78" t="s">
        <v>84</v>
      </c>
      <c r="G78" t="s">
        <v>85</v>
      </c>
      <c r="H78" t="str">
        <f>B48</f>
        <v>Bicycle, electric, cargo bike</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2.2352941176470589</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1.1399999999999999</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tr">
        <f>INDEX('ei names mapping'!$B$4:$R$33,MATCH($B$3,'ei names mapping'!$A$4:$A$33,0),MATCH(G82,'ei names mapping'!$B$3:$R$3,0))</f>
        <v>Battery cell, NMC-622</v>
      </c>
      <c r="B82" s="4">
        <f>INDEX('vehicles specifications'!$B$3:$CW$166,MATCH(B51,'vehicles specifications'!$A$3:$A$166,0),MATCH(G82,'vehicles specifications'!$B$2:$CW$2,0))*INDEX('ei names mapping'!$B$137:$BL$300,MATCH(B51,'ei names mapping'!$A$137:$A$300,0),MATCH(G82,'ei names mapping'!$B$136:$BL$136,0))</f>
        <v>3.5</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1.05</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-1.5358333333333332</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-4.5500000000000007</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43.793333333333329</v>
      </c>
      <c r="C88" t="s">
        <v>92</v>
      </c>
      <c r="D88" t="s">
        <v>233</v>
      </c>
      <c r="F88" t="s">
        <v>89</v>
      </c>
      <c r="H88" s="13" t="s">
        <v>841</v>
      </c>
    </row>
    <row r="89" spans="1:8" x14ac:dyDescent="0.2">
      <c r="A89" s="13" t="s">
        <v>441</v>
      </c>
      <c r="B89" s="2">
        <f>(B61/1000)*B73</f>
        <v>696.31399999999996</v>
      </c>
      <c r="C89" t="s">
        <v>95</v>
      </c>
      <c r="D89" t="s">
        <v>233</v>
      </c>
      <c r="F89" t="s">
        <v>89</v>
      </c>
      <c r="H89" s="13" t="s">
        <v>441</v>
      </c>
    </row>
    <row r="91" spans="1:8" ht="16" x14ac:dyDescent="0.2">
      <c r="A91" s="10" t="s">
        <v>71</v>
      </c>
      <c r="B91" s="8" t="str">
        <f>B93&amp;", "&amp;B108&amp;" battery, "&amp;B95</f>
        <v>Bicycle, electric, cargo bike, NMC battery, 2040</v>
      </c>
    </row>
    <row r="92" spans="1:8" x14ac:dyDescent="0.2">
      <c r="A92" t="s">
        <v>72</v>
      </c>
      <c r="B92" t="s">
        <v>37</v>
      </c>
    </row>
    <row r="93" spans="1:8" x14ac:dyDescent="0.2">
      <c r="A93" t="s">
        <v>86</v>
      </c>
      <c r="B93" t="s">
        <v>496</v>
      </c>
    </row>
    <row r="94" spans="1:8" x14ac:dyDescent="0.2">
      <c r="A94" t="s">
        <v>87</v>
      </c>
    </row>
    <row r="95" spans="1:8" x14ac:dyDescent="0.2">
      <c r="A95" t="s">
        <v>88</v>
      </c>
      <c r="B95">
        <v>2040</v>
      </c>
    </row>
    <row r="96" spans="1:8" x14ac:dyDescent="0.2">
      <c r="A96" t="s">
        <v>126</v>
      </c>
      <c r="B96" t="str">
        <f>B93&amp;" - "&amp;B95&amp;" - "&amp;B108&amp;" - "&amp;B92</f>
        <v>Bicycle, electric, cargo bike - 2040 - NMC - CH</v>
      </c>
    </row>
    <row r="97" spans="1:2" x14ac:dyDescent="0.2">
      <c r="A97" t="s">
        <v>73</v>
      </c>
      <c r="B97" t="str">
        <f>B93</f>
        <v>Bicycle, electric, cargo bike</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42.5</v>
      </c>
    </row>
    <row r="107" spans="1:2" x14ac:dyDescent="0.2">
      <c r="A107" t="s">
        <v>133</v>
      </c>
      <c r="B107">
        <f>INDEX('vehicles specifications'!$B$3:$CW$166,MATCH(B96,'vehicles specifications'!$A$3:$A$166,0),MATCH("Power [kW]",'vehicles specifications'!$B$2:$CW$2,0))</f>
        <v>0.25</v>
      </c>
    </row>
    <row r="108" spans="1:2" x14ac:dyDescent="0.2">
      <c r="A108" t="s">
        <v>652</v>
      </c>
      <c r="B108" s="20" t="s">
        <v>43</v>
      </c>
    </row>
    <row r="109" spans="1:2" x14ac:dyDescent="0.2">
      <c r="A109" t="s">
        <v>134</v>
      </c>
      <c r="B109">
        <f>INDEX('vehicles specifications'!$B$3:$CW$166,MATCH(B96,'vehicles specifications'!$A$3:$A$166,0),MATCH("Energy battery mass [kg]",'vehicles specifications'!$B$2:$CW$2,0))</f>
        <v>2.6</v>
      </c>
    </row>
    <row r="110" spans="1:2" x14ac:dyDescent="0.2">
      <c r="A110" t="s">
        <v>135</v>
      </c>
      <c r="B110">
        <f>INDEX('vehicles specifications'!$B$3:$CW$166,MATCH(B96,'vehicles specifications'!$A$3:$A$166,0),MATCH("Electric energy stored [kWh]",'vehicles specifications'!$B$2:$CW$2,0))</f>
        <v>0.8</v>
      </c>
    </row>
    <row r="111" spans="1:2" x14ac:dyDescent="0.2">
      <c r="A111" t="s">
        <v>588</v>
      </c>
      <c r="B111">
        <f>INDEX('vehicles specifications'!$B$3:$CW$166,MATCH(B96,'vehicles specifications'!$A$3:$A$166,0),MATCH("Electric energy available [kWh]",'vehicles specifications'!$B$2:$CW$2,0))</f>
        <v>0.64000000000000012</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66.381772151898744</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cargo bike, NMC battery, 2040</v>
      </c>
      <c r="B123">
        <v>1</v>
      </c>
      <c r="C123" t="str">
        <f>B92</f>
        <v>CH</v>
      </c>
      <c r="D123" t="str">
        <f>B99</f>
        <v>unit</v>
      </c>
      <c r="F123" t="s">
        <v>84</v>
      </c>
      <c r="G123" t="s">
        <v>85</v>
      </c>
      <c r="H123" t="str">
        <f>B93</f>
        <v>Bicycle, electric, cargo bike</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2.2352941176470589</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1.9000000000000001</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tr">
        <f>INDEX('ei names mapping'!$B$4:$R$33,MATCH($B$3,'ei names mapping'!$A$4:$A$33,0),MATCH(G127,'ei names mapping'!$B$3:$R$3,0))</f>
        <v>Battery cell, NMC-622</v>
      </c>
      <c r="B127" s="4">
        <f>INDEX('vehicles specifications'!$B$3:$CW$166,MATCH(B96,'vehicles specifications'!$A$3:$A$166,0),MATCH(G127,'vehicles specifications'!$B$2:$CW$2,0))*INDEX('ei names mapping'!$B$137:$BL$300,MATCH(B96,'ei names mapping'!$A$137:$A$300,0),MATCH(G127,'ei names mapping'!$B$136:$BL$136,0))</f>
        <v>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-1.5041666666666667</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-3.25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42.5</v>
      </c>
      <c r="C133" t="s">
        <v>92</v>
      </c>
      <c r="D133" t="s">
        <v>233</v>
      </c>
      <c r="F133" t="s">
        <v>89</v>
      </c>
      <c r="H133" s="13" t="s">
        <v>841</v>
      </c>
    </row>
    <row r="134" spans="1:8" x14ac:dyDescent="0.2">
      <c r="A134" s="13" t="s">
        <v>441</v>
      </c>
      <c r="B134" s="2">
        <f>(B106/1000)*B118</f>
        <v>675.75</v>
      </c>
      <c r="C134" t="s">
        <v>95</v>
      </c>
      <c r="D134" t="s">
        <v>233</v>
      </c>
      <c r="F134" t="s">
        <v>89</v>
      </c>
      <c r="H134" s="13" t="s">
        <v>441</v>
      </c>
    </row>
    <row r="136" spans="1:8" ht="16" x14ac:dyDescent="0.2">
      <c r="A136" s="10" t="s">
        <v>71</v>
      </c>
      <c r="B136" s="8" t="str">
        <f>B138&amp;", "&amp;B153&amp;" battery, "&amp;B140</f>
        <v>Bicycle, electric, cargo bike, NMC battery, 2050</v>
      </c>
    </row>
    <row r="137" spans="1:8" x14ac:dyDescent="0.2">
      <c r="A137" t="s">
        <v>72</v>
      </c>
      <c r="B137" t="s">
        <v>37</v>
      </c>
    </row>
    <row r="138" spans="1:8" x14ac:dyDescent="0.2">
      <c r="A138" t="s">
        <v>86</v>
      </c>
      <c r="B138" t="s">
        <v>496</v>
      </c>
    </row>
    <row r="139" spans="1:8" x14ac:dyDescent="0.2">
      <c r="A139" t="s">
        <v>87</v>
      </c>
    </row>
    <row r="140" spans="1:8" x14ac:dyDescent="0.2">
      <c r="A140" t="s">
        <v>88</v>
      </c>
      <c r="B140">
        <v>2050</v>
      </c>
    </row>
    <row r="141" spans="1:8" x14ac:dyDescent="0.2">
      <c r="A141" t="s">
        <v>126</v>
      </c>
      <c r="B141" t="str">
        <f>B138&amp;" - "&amp;B140&amp;" - "&amp;B153&amp;" - "&amp;B137</f>
        <v>Bicycle, electric, cargo bike - 2050 - NMC - CH</v>
      </c>
    </row>
    <row r="142" spans="1:8" x14ac:dyDescent="0.2">
      <c r="A142" t="s">
        <v>73</v>
      </c>
      <c r="B142" t="str">
        <f>B138</f>
        <v>Bicycle, electric, cargo bike</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41.64</v>
      </c>
    </row>
    <row r="152" spans="1:2" x14ac:dyDescent="0.2">
      <c r="A152" t="s">
        <v>133</v>
      </c>
      <c r="B152">
        <f>INDEX('vehicles specifications'!$B$3:$CW$166,MATCH(B141,'vehicles specifications'!$A$3:$A$166,0),MATCH("Power [kW]",'vehicles specifications'!$B$2:$CW$2,0))</f>
        <v>0.25</v>
      </c>
    </row>
    <row r="153" spans="1:2" x14ac:dyDescent="0.2">
      <c r="A153" t="s">
        <v>652</v>
      </c>
      <c r="B153" s="20" t="s">
        <v>43</v>
      </c>
    </row>
    <row r="154" spans="1:2" x14ac:dyDescent="0.2">
      <c r="A154" t="s">
        <v>134</v>
      </c>
      <c r="B154">
        <f>INDEX('vehicles specifications'!$B$3:$CW$166,MATCH(B141,'vehicles specifications'!$A$3:$A$166,0),MATCH("Energy battery mass [kg]",'vehicles specifications'!$B$2:$CW$2,0))</f>
        <v>2.6</v>
      </c>
    </row>
    <row r="155" spans="1:2" x14ac:dyDescent="0.2">
      <c r="A155" t="s">
        <v>135</v>
      </c>
      <c r="B155">
        <f>INDEX('vehicles specifications'!$B$3:$CW$166,MATCH(B141,'vehicles specifications'!$A$3:$A$166,0),MATCH("Electric energy stored [kWh]",'vehicles specifications'!$B$2:$CW$2,0))</f>
        <v>1</v>
      </c>
    </row>
    <row r="156" spans="1:2" x14ac:dyDescent="0.2">
      <c r="A156" t="s">
        <v>588</v>
      </c>
      <c r="B156">
        <f>INDEX('vehicles specifications'!$B$3:$CW$166,MATCH(B141,'vehicles specifications'!$A$3:$A$166,0),MATCH("Electric energy available [kWh]",'vehicles specifications'!$B$2:$CW$2,0))</f>
        <v>0.8</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82.977215189873419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cargo bike, NMC battery, 2050</v>
      </c>
      <c r="B168">
        <v>1</v>
      </c>
      <c r="C168" t="str">
        <f>B137</f>
        <v>CH</v>
      </c>
      <c r="D168" t="str">
        <f>B144</f>
        <v>unit</v>
      </c>
      <c r="F168" t="s">
        <v>84</v>
      </c>
      <c r="G168" t="s">
        <v>85</v>
      </c>
      <c r="H168" t="str">
        <f>B138</f>
        <v>Bicycle, electric, cargo bike</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2.2352941176470589</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2.66</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tr">
        <f>INDEX('ei names mapping'!$B$4:$R$33,MATCH($B$3,'ei names mapping'!$A$4:$A$33,0),MATCH(G172,'ei names mapping'!$B$3:$R$3,0))</f>
        <v>Battery cell, NMC-622</v>
      </c>
      <c r="B172" s="4">
        <f>INDEX('vehicles specifications'!$B$3:$CW$166,MATCH(B141,'vehicles specifications'!$A$3:$A$166,0),MATCH(G172,'vehicles specifications'!$B$2:$CW$2,0))*INDEX('ei names mapping'!$B$137:$BL$300,MATCH(B141,'ei names mapping'!$A$137:$A$300,0),MATCH(G172,'ei names mapping'!$B$136:$BL$136,0))</f>
        <v>2</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0.6</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-1.4724999999999997</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-2.6</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41.64</v>
      </c>
      <c r="C178" t="s">
        <v>92</v>
      </c>
      <c r="D178" t="s">
        <v>233</v>
      </c>
      <c r="F178" t="s">
        <v>89</v>
      </c>
      <c r="H178" s="13" t="s">
        <v>841</v>
      </c>
    </row>
    <row r="179" spans="1:8" x14ac:dyDescent="0.2">
      <c r="A179" s="13" t="s">
        <v>441</v>
      </c>
      <c r="B179" s="2">
        <f>(B151/1000)*B163</f>
        <v>662.07600000000002</v>
      </c>
      <c r="C179" t="s">
        <v>95</v>
      </c>
      <c r="D179" t="s">
        <v>233</v>
      </c>
      <c r="F179" t="s">
        <v>89</v>
      </c>
      <c r="H179" s="13" t="s">
        <v>441</v>
      </c>
    </row>
    <row r="181" spans="1:8" ht="16" x14ac:dyDescent="0.2">
      <c r="A181" s="10" t="s">
        <v>71</v>
      </c>
      <c r="B181" s="8" t="str">
        <f>"transport, "&amp;B183&amp;", "&amp;B198&amp;" battery, "&amp;B185</f>
        <v>transport, Bicycle, electric, cargo bike, NMC battery, 2020</v>
      </c>
    </row>
    <row r="182" spans="1:8" x14ac:dyDescent="0.2">
      <c r="A182" t="s">
        <v>72</v>
      </c>
      <c r="B182" t="s">
        <v>37</v>
      </c>
    </row>
    <row r="183" spans="1:8" x14ac:dyDescent="0.2">
      <c r="A183" t="s">
        <v>86</v>
      </c>
      <c r="B183" t="s">
        <v>496</v>
      </c>
    </row>
    <row r="184" spans="1:8" x14ac:dyDescent="0.2">
      <c r="A184" t="s">
        <v>87</v>
      </c>
    </row>
    <row r="185" spans="1:8" x14ac:dyDescent="0.2">
      <c r="A185" t="s">
        <v>88</v>
      </c>
      <c r="B185">
        <v>2020</v>
      </c>
    </row>
    <row r="186" spans="1:8" x14ac:dyDescent="0.2">
      <c r="A186" t="s">
        <v>126</v>
      </c>
      <c r="B186" t="str">
        <f>B183&amp;" - "&amp;B185&amp;" - "&amp;B198&amp;" - "&amp;B182</f>
        <v>Bicycle, electric, cargo bike - 2020 - NMC - CH</v>
      </c>
    </row>
    <row r="187" spans="1:8" x14ac:dyDescent="0.2">
      <c r="A187" t="s">
        <v>73</v>
      </c>
      <c r="B187" t="str">
        <f>"transport, "&amp;B183</f>
        <v>transport, Bicycle, electric, cargo bike</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20000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1.3333333333333333</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2000</v>
      </c>
    </row>
    <row r="196" spans="1:2" x14ac:dyDescent="0.2">
      <c r="A196" t="s">
        <v>132</v>
      </c>
      <c r="B196">
        <f>INDEX('vehicles specifications'!$B$3:$CW$166,MATCH(B186,'vehicles specifications'!$A$3:$A$166,0),MATCH("Curb mass [kg]",'vehicles specifications'!$B$2:$CW$2,0))</f>
        <v>45.25</v>
      </c>
    </row>
    <row r="197" spans="1:2" x14ac:dyDescent="0.2">
      <c r="A197" t="s">
        <v>133</v>
      </c>
      <c r="B197">
        <f>INDEX('vehicles specifications'!$B$3:$CW$166,MATCH(B186,'vehicles specifications'!$A$3:$A$166,0),MATCH("Power [kW]",'vehicles specifications'!$B$2:$CW$2,0))</f>
        <v>0.25</v>
      </c>
    </row>
    <row r="198" spans="1:2" x14ac:dyDescent="0.2">
      <c r="A198" t="s">
        <v>652</v>
      </c>
      <c r="B198" s="20" t="s">
        <v>43</v>
      </c>
    </row>
    <row r="199" spans="1:2" x14ac:dyDescent="0.2">
      <c r="A199" t="s">
        <v>134</v>
      </c>
      <c r="B199">
        <f>INDEX('vehicles specifications'!$B$3:$CW$166,MATCH(B186,'vehicles specifications'!$A$3:$A$166,0),MATCH("Energy battery mass [kg]",'vehicles specifications'!$B$2:$CW$2,0))</f>
        <v>3.25</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41.48860759493671</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cargo bike, NMC battery, 2020</v>
      </c>
      <c r="B210">
        <v>1</v>
      </c>
      <c r="C210" t="str">
        <f>B182</f>
        <v>CH</v>
      </c>
      <c r="D210" t="s">
        <v>166</v>
      </c>
      <c r="F210" t="s">
        <v>84</v>
      </c>
      <c r="G210" t="s">
        <v>85</v>
      </c>
      <c r="H210" t="str">
        <f>B187</f>
        <v>transport, Bicycle, electric, cargo bike</v>
      </c>
    </row>
    <row r="211" spans="1:8" x14ac:dyDescent="0.2">
      <c r="A211" t="str">
        <f>RIGHT(A210,LEN(A210)-11)</f>
        <v>Bicycle, electric, cargo bike, NMC battery, 2020</v>
      </c>
      <c r="B211" s="7">
        <f>1/B191</f>
        <v>5.0000000000000002E-5</v>
      </c>
      <c r="C211" t="str">
        <f>B182</f>
        <v>CH</v>
      </c>
      <c r="D211" t="s">
        <v>76</v>
      </c>
      <c r="F211" t="s">
        <v>89</v>
      </c>
      <c r="H211" t="str">
        <f>RIGHT(H210,LEN(H210)-11)</f>
        <v>Bicycle, electric, cargo bike</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9.1424250000000001E-5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1.0605320966560899E-2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-6.4129100619129601E-6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-5.307335850102609E-6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-5.1556634746423041E-6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cargo bike, NMC battery, 2030</v>
      </c>
    </row>
    <row r="220" spans="1:8" x14ac:dyDescent="0.2">
      <c r="A220" t="s">
        <v>72</v>
      </c>
      <c r="B220" t="s">
        <v>37</v>
      </c>
    </row>
    <row r="221" spans="1:8" x14ac:dyDescent="0.2">
      <c r="A221" t="s">
        <v>86</v>
      </c>
      <c r="B221" t="s">
        <v>496</v>
      </c>
    </row>
    <row r="222" spans="1:8" x14ac:dyDescent="0.2">
      <c r="A222" t="s">
        <v>87</v>
      </c>
    </row>
    <row r="223" spans="1:8" x14ac:dyDescent="0.2">
      <c r="A223" t="s">
        <v>88</v>
      </c>
      <c r="B223">
        <v>2030</v>
      </c>
    </row>
    <row r="224" spans="1:8" x14ac:dyDescent="0.2">
      <c r="A224" t="s">
        <v>126</v>
      </c>
      <c r="B224" t="str">
        <f>B221&amp;" - "&amp;B223&amp;" - "&amp;B236&amp;" - "&amp;B220</f>
        <v>Bicycle, electric, cargo bike - 2030 - NMC - CH</v>
      </c>
    </row>
    <row r="225" spans="1:2" x14ac:dyDescent="0.2">
      <c r="A225" t="s">
        <v>73</v>
      </c>
      <c r="B225" t="str">
        <f>"transport, "&amp;B221</f>
        <v>transport, Bicycle, electric, cargo bike</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20000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1.3333333333333333</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2000</v>
      </c>
    </row>
    <row r="234" spans="1:2" x14ac:dyDescent="0.2">
      <c r="A234" t="s">
        <v>132</v>
      </c>
      <c r="B234">
        <f>INDEX('vehicles specifications'!$B$3:$CW$166,MATCH(B224,'vehicles specifications'!$A$3:$A$166,0),MATCH("Curb mass [kg]",'vehicles specifications'!$B$2:$CW$2,0))</f>
        <v>43.793333333333329</v>
      </c>
    </row>
    <row r="235" spans="1:2" x14ac:dyDescent="0.2">
      <c r="A235" t="s">
        <v>133</v>
      </c>
      <c r="B235">
        <f>INDEX('vehicles specifications'!$B$3:$CW$166,MATCH(B224,'vehicles specifications'!$A$3:$A$166,0),MATCH("Power [kW]",'vehicles specifications'!$B$2:$CW$2,0))</f>
        <v>0.25</v>
      </c>
    </row>
    <row r="236" spans="1:2" x14ac:dyDescent="0.2">
      <c r="A236" t="s">
        <v>652</v>
      </c>
      <c r="B236" s="20" t="s">
        <v>43</v>
      </c>
    </row>
    <row r="237" spans="1:2" x14ac:dyDescent="0.2">
      <c r="A237" t="s">
        <v>134</v>
      </c>
      <c r="B237">
        <f>INDEX('vehicles specifications'!$B$3:$CW$166,MATCH(B224,'vehicles specifications'!$A$3:$A$166,0),MATCH("Energy battery mass [kg]",'vehicles specifications'!$B$2:$CW$2,0))</f>
        <v>3.0333333333333337</v>
      </c>
    </row>
    <row r="238" spans="1:2" x14ac:dyDescent="0.2">
      <c r="A238" t="s">
        <v>135</v>
      </c>
      <c r="B238">
        <f>INDEX('vehicles specifications'!$B$3:$CW$166,MATCH(B224,'vehicles specifications'!$A$3:$A$166,0),MATCH("Electric energy stored [kWh]",'vehicles specifications'!$B$2:$CW$2,0))</f>
        <v>0.7</v>
      </c>
    </row>
    <row r="239" spans="1:2" x14ac:dyDescent="0.2">
      <c r="A239" t="s">
        <v>588</v>
      </c>
      <c r="B239">
        <f>INDEX('vehicles specifications'!$B$3:$CW$166,MATCH(B224,'vehicles specifications'!$A$3:$A$166,0),MATCH("Electric energy available [kWh]",'vehicles specifications'!$B$2:$CW$2,0))</f>
        <v>0.55999999999999994</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58.084050632911385</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cargo bike, NMC battery, 2030</v>
      </c>
      <c r="B248">
        <v>1</v>
      </c>
      <c r="C248" t="str">
        <f>B220</f>
        <v>CH</v>
      </c>
      <c r="D248" t="s">
        <v>166</v>
      </c>
      <c r="F248" t="s">
        <v>84</v>
      </c>
      <c r="G248" t="s">
        <v>85</v>
      </c>
      <c r="H248" t="str">
        <f>B225</f>
        <v>transport, Bicycle, electric, cargo bike</v>
      </c>
    </row>
    <row r="249" spans="1:8" x14ac:dyDescent="0.2">
      <c r="A249" t="str">
        <f>RIGHT(A248,LEN(A248)-11)</f>
        <v>Bicycle, electric, cargo bike, NMC battery, 2030</v>
      </c>
      <c r="B249" s="7">
        <f>1/B229</f>
        <v>5.0000000000000002E-5</v>
      </c>
      <c r="C249" t="str">
        <f>B220</f>
        <v>CH</v>
      </c>
      <c r="D249" t="s">
        <v>76</v>
      </c>
      <c r="F249" t="s">
        <v>89</v>
      </c>
      <c r="H249" t="str">
        <f>RIGHT(H248,LEN(H248)-11)</f>
        <v>Bicycle, electric, cargo bike</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9.0642019999999992E-5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1.0605320966560899E-2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-6.369492396306806E-6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-5.2718476303726863E-6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-5.1220542818673449E-6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cargo bike, NMC battery, 2040</v>
      </c>
    </row>
    <row r="258" spans="1:2" x14ac:dyDescent="0.2">
      <c r="A258" t="s">
        <v>72</v>
      </c>
      <c r="B258" t="s">
        <v>37</v>
      </c>
    </row>
    <row r="259" spans="1:2" x14ac:dyDescent="0.2">
      <c r="A259" t="s">
        <v>86</v>
      </c>
      <c r="B259" t="s">
        <v>496</v>
      </c>
    </row>
    <row r="260" spans="1:2" x14ac:dyDescent="0.2">
      <c r="A260" t="s">
        <v>87</v>
      </c>
    </row>
    <row r="261" spans="1:2" x14ac:dyDescent="0.2">
      <c r="A261" t="s">
        <v>88</v>
      </c>
      <c r="B261">
        <v>2040</v>
      </c>
    </row>
    <row r="262" spans="1:2" x14ac:dyDescent="0.2">
      <c r="A262" t="s">
        <v>126</v>
      </c>
      <c r="B262" t="str">
        <f>B259&amp;" - "&amp;B261&amp;" - "&amp;B274&amp;" - "&amp;B258</f>
        <v>Bicycle, electric, cargo bike - 2040 - NMC - CH</v>
      </c>
    </row>
    <row r="263" spans="1:2" x14ac:dyDescent="0.2">
      <c r="A263" t="s">
        <v>73</v>
      </c>
      <c r="B263" t="str">
        <f>"transport, "&amp;B259</f>
        <v>transport, Bicycle, electric, cargo bike</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20000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1.3333333333333333</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2000</v>
      </c>
    </row>
    <row r="272" spans="1:2" x14ac:dyDescent="0.2">
      <c r="A272" t="s">
        <v>132</v>
      </c>
      <c r="B272">
        <f>INDEX('vehicles specifications'!$B$3:$CW$166,MATCH(B262,'vehicles specifications'!$A$3:$A$166,0),MATCH("Curb mass [kg]",'vehicles specifications'!$B$2:$CW$2,0))</f>
        <v>42.5</v>
      </c>
    </row>
    <row r="273" spans="1:8" x14ac:dyDescent="0.2">
      <c r="A273" t="s">
        <v>133</v>
      </c>
      <c r="B273">
        <f>INDEX('vehicles specifications'!$B$3:$CW$166,MATCH(B262,'vehicles specifications'!$A$3:$A$166,0),MATCH("Power [kW]",'vehicles specifications'!$B$2:$CW$2,0))</f>
        <v>0.25</v>
      </c>
    </row>
    <row r="274" spans="1:8" x14ac:dyDescent="0.2">
      <c r="A274" t="s">
        <v>652</v>
      </c>
      <c r="B274" s="20" t="s">
        <v>43</v>
      </c>
    </row>
    <row r="275" spans="1:8" x14ac:dyDescent="0.2">
      <c r="A275" t="s">
        <v>134</v>
      </c>
      <c r="B275">
        <f>INDEX('vehicles specifications'!$B$3:$CW$166,MATCH(B262,'vehicles specifications'!$A$3:$A$166,0),MATCH("Energy battery mass [kg]",'vehicles specifications'!$B$2:$CW$2,0))</f>
        <v>2.6</v>
      </c>
    </row>
    <row r="276" spans="1:8" x14ac:dyDescent="0.2">
      <c r="A276" t="s">
        <v>135</v>
      </c>
      <c r="B276">
        <f>INDEX('vehicles specifications'!$B$3:$CW$166,MATCH(B262,'vehicles specifications'!$A$3:$A$166,0),MATCH("Electric energy stored [kWh]",'vehicles specifications'!$B$2:$CW$2,0))</f>
        <v>0.8</v>
      </c>
    </row>
    <row r="277" spans="1:8" x14ac:dyDescent="0.2">
      <c r="A277" t="s">
        <v>588</v>
      </c>
      <c r="B277">
        <f>INDEX('vehicles specifications'!$B$3:$CW$166,MATCH(B262,'vehicles specifications'!$A$3:$A$166,0),MATCH("Electric energy available [kWh]",'vehicles specifications'!$B$2:$CW$2,0))</f>
        <v>0.64000000000000012</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66.381772151898744</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cargo bike, NMC battery, 2040</v>
      </c>
      <c r="B286">
        <v>1</v>
      </c>
      <c r="C286" t="str">
        <f>B258</f>
        <v>CH</v>
      </c>
      <c r="D286" t="s">
        <v>166</v>
      </c>
      <c r="F286" t="s">
        <v>84</v>
      </c>
      <c r="G286" t="s">
        <v>85</v>
      </c>
      <c r="H286" t="str">
        <f>B263</f>
        <v>transport, Bicycle, electric, cargo bike</v>
      </c>
    </row>
    <row r="287" spans="1:8" x14ac:dyDescent="0.2">
      <c r="A287" t="str">
        <f>RIGHT(A286,LEN(A286)-11)</f>
        <v>Bicycle, electric, cargo bike, NMC battery, 2040</v>
      </c>
      <c r="B287" s="7">
        <f>1/B267</f>
        <v>5.0000000000000002E-5</v>
      </c>
      <c r="C287" t="str">
        <f>B258</f>
        <v>CH</v>
      </c>
      <c r="D287" t="s">
        <v>76</v>
      </c>
      <c r="F287" t="s">
        <v>89</v>
      </c>
      <c r="H287" t="str">
        <f>RIGHT(H286,LEN(H286)-11)</f>
        <v>Bicycle, electric, cargo bike</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8.9947500000000006E-5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1.0605320966560899E-2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-6.3308830992789148E-6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-5.2399420093405223E-6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-5.0919597087390986E-6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cargo bike, NMC battery, 2050</v>
      </c>
    </row>
    <row r="296" spans="1:8" x14ac:dyDescent="0.2">
      <c r="A296" t="s">
        <v>72</v>
      </c>
      <c r="B296" t="s">
        <v>37</v>
      </c>
    </row>
    <row r="297" spans="1:8" x14ac:dyDescent="0.2">
      <c r="A297" t="s">
        <v>86</v>
      </c>
      <c r="B297" t="s">
        <v>496</v>
      </c>
    </row>
    <row r="298" spans="1:8" x14ac:dyDescent="0.2">
      <c r="A298" t="s">
        <v>87</v>
      </c>
    </row>
    <row r="299" spans="1:8" x14ac:dyDescent="0.2">
      <c r="A299" t="s">
        <v>88</v>
      </c>
      <c r="B299">
        <v>2050</v>
      </c>
    </row>
    <row r="300" spans="1:8" x14ac:dyDescent="0.2">
      <c r="A300" t="s">
        <v>126</v>
      </c>
      <c r="B300" t="str">
        <f>B297&amp;" - "&amp;B299&amp;" - "&amp;B312&amp;" - "&amp;B296</f>
        <v>Bicycle, electric, cargo bike - 2050 - NMC - CH</v>
      </c>
    </row>
    <row r="301" spans="1:8" x14ac:dyDescent="0.2">
      <c r="A301" t="s">
        <v>73</v>
      </c>
      <c r="B301" t="str">
        <f>"transport, "&amp;B297</f>
        <v>transport, Bicycle, electric, cargo bike</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20000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1.3333333333333333</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2000</v>
      </c>
    </row>
    <row r="310" spans="1:2" x14ac:dyDescent="0.2">
      <c r="A310" t="s">
        <v>132</v>
      </c>
      <c r="B310">
        <f>INDEX('vehicles specifications'!$B$3:$CW$166,MATCH(B300,'vehicles specifications'!$A$3:$A$166,0),MATCH("Curb mass [kg]",'vehicles specifications'!$B$2:$CW$2,0))</f>
        <v>41.64</v>
      </c>
    </row>
    <row r="311" spans="1:2" x14ac:dyDescent="0.2">
      <c r="A311" t="s">
        <v>133</v>
      </c>
      <c r="B311">
        <f>INDEX('vehicles specifications'!$B$3:$CW$166,MATCH(B300,'vehicles specifications'!$A$3:$A$166,0),MATCH("Power [kW]",'vehicles specifications'!$B$2:$CW$2,0))</f>
        <v>0.25</v>
      </c>
    </row>
    <row r="312" spans="1:2" x14ac:dyDescent="0.2">
      <c r="A312" t="s">
        <v>652</v>
      </c>
      <c r="B312" s="20" t="s">
        <v>43</v>
      </c>
    </row>
    <row r="313" spans="1:2" x14ac:dyDescent="0.2">
      <c r="A313" t="s">
        <v>134</v>
      </c>
      <c r="B313">
        <f>INDEX('vehicles specifications'!$B$3:$CW$166,MATCH(B300,'vehicles specifications'!$A$3:$A$166,0),MATCH("Energy battery mass [kg]",'vehicles specifications'!$B$2:$CW$2,0))</f>
        <v>2.6</v>
      </c>
    </row>
    <row r="314" spans="1:2" x14ac:dyDescent="0.2">
      <c r="A314" t="s">
        <v>135</v>
      </c>
      <c r="B314">
        <f>INDEX('vehicles specifications'!$B$3:$CW$166,MATCH(B300,'vehicles specifications'!$A$3:$A$166,0),MATCH("Electric energy stored [kWh]",'vehicles specifications'!$B$2:$CW$2,0))</f>
        <v>1</v>
      </c>
    </row>
    <row r="315" spans="1:2" x14ac:dyDescent="0.2">
      <c r="A315" t="s">
        <v>588</v>
      </c>
      <c r="B315">
        <f>INDEX('vehicles specifications'!$B$3:$CW$166,MATCH(B300,'vehicles specifications'!$A$3:$A$166,0),MATCH("Electric energy available [kWh]",'vehicles specifications'!$B$2:$CW$2,0))</f>
        <v>0.8</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82.977215189873419</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cargo bike, NMC battery, 2050</v>
      </c>
      <c r="B324">
        <v>1</v>
      </c>
      <c r="C324" t="str">
        <f>B296</f>
        <v>CH</v>
      </c>
      <c r="D324" t="s">
        <v>166</v>
      </c>
      <c r="F324" t="s">
        <v>84</v>
      </c>
      <c r="G324" t="s">
        <v>85</v>
      </c>
      <c r="H324" t="str">
        <f>B301</f>
        <v>transport, Bicycle, electric, cargo bike</v>
      </c>
    </row>
    <row r="325" spans="1:8" x14ac:dyDescent="0.2">
      <c r="A325" t="str">
        <f>RIGHT(A324,LEN(A324)-11)</f>
        <v>Bicycle, electric, cargo bike, NMC battery, 2050</v>
      </c>
      <c r="B325" s="7">
        <f>1/B305</f>
        <v>5.0000000000000002E-5</v>
      </c>
      <c r="C325" t="str">
        <f>B296</f>
        <v>CH</v>
      </c>
      <c r="D325" t="s">
        <v>76</v>
      </c>
      <c r="F325" t="s">
        <v>89</v>
      </c>
      <c r="H325" t="str">
        <f>RIGHT(H324,LEN(H324)-11)</f>
        <v>Bicycle, electric, cargo bike</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8.9485679999999995E-5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1.0605320966560899E-2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-6.305178396338356E-6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-5.2185117330067561E-6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-5.0718117291060781E-6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H331"/>
  <sheetViews>
    <sheetView topLeftCell="A315" workbookViewId="0">
      <selection activeCell="B349" sqref="B349"/>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cargo bike, LFP battery, 2020</v>
      </c>
    </row>
    <row r="2" spans="1:2" x14ac:dyDescent="0.2">
      <c r="A2" t="s">
        <v>72</v>
      </c>
      <c r="B2" t="s">
        <v>37</v>
      </c>
    </row>
    <row r="3" spans="1:2" x14ac:dyDescent="0.2">
      <c r="A3" t="s">
        <v>86</v>
      </c>
      <c r="B3" t="s">
        <v>496</v>
      </c>
    </row>
    <row r="4" spans="1:2" x14ac:dyDescent="0.2">
      <c r="A4" t="s">
        <v>87</v>
      </c>
    </row>
    <row r="5" spans="1:2" x14ac:dyDescent="0.2">
      <c r="A5" t="s">
        <v>88</v>
      </c>
      <c r="B5">
        <v>2020</v>
      </c>
    </row>
    <row r="6" spans="1:2" x14ac:dyDescent="0.2">
      <c r="A6" t="s">
        <v>126</v>
      </c>
      <c r="B6" t="str">
        <f>B3&amp;" - "&amp;B5&amp;" - "&amp;B18&amp;" - "&amp;B2</f>
        <v>Bicycle, electric, cargo bike - 2020 - LFP - CH</v>
      </c>
    </row>
    <row r="7" spans="1:2" x14ac:dyDescent="0.2">
      <c r="A7" t="s">
        <v>73</v>
      </c>
      <c r="B7" t="str">
        <f>B3</f>
        <v>Bicycle, electric, cargo bike</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f>INDEX('vehicles specifications'!$B$3:$CW$166,MATCH(B6,'vehicles specifications'!$A$3:$A$166,0),MATCH("Curb mass [kg]",'vehicles specifications'!$B$2:$CW$2,0))</f>
        <v>46</v>
      </c>
    </row>
    <row r="17" spans="1:8" x14ac:dyDescent="0.2">
      <c r="A17" t="s">
        <v>133</v>
      </c>
      <c r="B17">
        <f>INDEX('vehicles specifications'!$B$3:$CW$166,MATCH(B6,'vehicles specifications'!$A$3:$A$166,0),MATCH("Power [kW]",'vehicles specifications'!$B$2:$CW$2,0))</f>
        <v>0.25</v>
      </c>
    </row>
    <row r="18" spans="1:8" x14ac:dyDescent="0.2">
      <c r="A18" t="s">
        <v>652</v>
      </c>
      <c r="B18" s="20" t="s">
        <v>44</v>
      </c>
    </row>
    <row r="19" spans="1:8" x14ac:dyDescent="0.2">
      <c r="A19" t="s">
        <v>134</v>
      </c>
      <c r="B19">
        <f>INDEX('vehicles specifications'!$B$3:$CW$166,MATCH(B6,'vehicles specifications'!$A$3:$A$166,0),MATCH("Energy battery mass [kg]",'vehicles specifications'!$B$2:$CW$2,0))</f>
        <v>4</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41.48860759493671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cargo bike, LFP battery, 2020</v>
      </c>
      <c r="B33">
        <v>1</v>
      </c>
      <c r="C33" t="str">
        <f>B2</f>
        <v>CH</v>
      </c>
      <c r="D33" t="str">
        <f>B9</f>
        <v>unit</v>
      </c>
      <c r="F33" t="s">
        <v>84</v>
      </c>
      <c r="G33" t="s">
        <v>85</v>
      </c>
      <c r="H33" t="str">
        <f>B3</f>
        <v>Bicycle, electric, cargo bike</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2.2352941176470589</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759</v>
      </c>
      <c r="B37" s="4">
        <f>INDEX('vehicles specifications'!$B$3:$CW$166,MATCH(B6,'vehicles specifications'!$A$3:$A$166,0),MATCH(G37,'vehicles specifications'!$B$2:$CW$2,0))*INDEX('ei names mapping'!$B$137:$BL$300,MATCH(B6,'ei names mapping'!$A$137:$A$300,0),MATCH(G37,'ei names mapping'!$B$136:$BL$136,0))</f>
        <v>6.666666666666667</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1.3333333333333335</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-1.5833333333333333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-8</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46</v>
      </c>
      <c r="C43" t="s">
        <v>92</v>
      </c>
      <c r="D43" t="s">
        <v>233</v>
      </c>
      <c r="F43" t="s">
        <v>89</v>
      </c>
      <c r="H43" s="13" t="s">
        <v>841</v>
      </c>
    </row>
    <row r="44" spans="1:8" x14ac:dyDescent="0.2">
      <c r="A44" s="13" t="s">
        <v>441</v>
      </c>
      <c r="B44" s="2">
        <f>(B16/1000)*B28</f>
        <v>731.4</v>
      </c>
      <c r="C44" t="s">
        <v>95</v>
      </c>
      <c r="D44" t="s">
        <v>233</v>
      </c>
      <c r="F44" t="s">
        <v>89</v>
      </c>
      <c r="H44" s="13" t="s">
        <v>441</v>
      </c>
    </row>
    <row r="45" spans="1:8" x14ac:dyDescent="0.2">
      <c r="B45" s="11"/>
    </row>
    <row r="46" spans="1:8" ht="16" x14ac:dyDescent="0.2">
      <c r="A46" s="10" t="s">
        <v>71</v>
      </c>
      <c r="B46" s="8" t="str">
        <f>B48&amp;", "&amp;B63&amp;" battery, "&amp;B50</f>
        <v>Bicycle, electric, cargo bike, LFP battery, 2030</v>
      </c>
    </row>
    <row r="47" spans="1:8" x14ac:dyDescent="0.2">
      <c r="A47" t="s">
        <v>72</v>
      </c>
      <c r="B47" t="s">
        <v>37</v>
      </c>
    </row>
    <row r="48" spans="1:8" x14ac:dyDescent="0.2">
      <c r="A48" t="s">
        <v>86</v>
      </c>
      <c r="B48" t="s">
        <v>496</v>
      </c>
    </row>
    <row r="49" spans="1:2" x14ac:dyDescent="0.2">
      <c r="A49" t="s">
        <v>87</v>
      </c>
    </row>
    <row r="50" spans="1:2" x14ac:dyDescent="0.2">
      <c r="A50" t="s">
        <v>88</v>
      </c>
      <c r="B50">
        <v>2030</v>
      </c>
    </row>
    <row r="51" spans="1:2" x14ac:dyDescent="0.2">
      <c r="A51" t="s">
        <v>126</v>
      </c>
      <c r="B51" t="str">
        <f>B48&amp;" - "&amp;B50&amp;" - "&amp;B63&amp;" - "&amp;B47</f>
        <v>Bicycle, electric, cargo bike - 2030 - LFP - CH</v>
      </c>
    </row>
    <row r="52" spans="1:2" x14ac:dyDescent="0.2">
      <c r="A52" t="s">
        <v>73</v>
      </c>
      <c r="B52" t="str">
        <f>B48</f>
        <v>Bicycle, electric, cargo bike</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45.426666666666662</v>
      </c>
    </row>
    <row r="62" spans="1:2" x14ac:dyDescent="0.2">
      <c r="A62" t="s">
        <v>133</v>
      </c>
      <c r="B62">
        <f>INDEX('vehicles specifications'!$B$3:$CW$166,MATCH(B51,'vehicles specifications'!$A$3:$A$166,0),MATCH("Power [kW]",'vehicles specifications'!$B$2:$CW$2,0))</f>
        <v>0.25</v>
      </c>
    </row>
    <row r="63" spans="1:2" x14ac:dyDescent="0.2">
      <c r="A63" t="s">
        <v>652</v>
      </c>
      <c r="B63" s="20" t="s">
        <v>44</v>
      </c>
    </row>
    <row r="64" spans="1:2" x14ac:dyDescent="0.2">
      <c r="A64" t="s">
        <v>134</v>
      </c>
      <c r="B64">
        <f>INDEX('vehicles specifications'!$B$3:$CW$166,MATCH(B51,'vehicles specifications'!$A$3:$A$166,0),MATCH("Energy battery mass [kg]",'vehicles specifications'!$B$2:$CW$2,0))</f>
        <v>4.666666666666667</v>
      </c>
    </row>
    <row r="65" spans="1:8" x14ac:dyDescent="0.2">
      <c r="A65" t="s">
        <v>135</v>
      </c>
      <c r="B65">
        <f>INDEX('vehicles specifications'!$B$3:$CW$166,MATCH(B51,'vehicles specifications'!$A$3:$A$166,0),MATCH("Electric energy stored [kWh]",'vehicles specifications'!$B$2:$CW$2,0))</f>
        <v>0.7</v>
      </c>
    </row>
    <row r="66" spans="1:8" x14ac:dyDescent="0.2">
      <c r="A66" t="s">
        <v>588</v>
      </c>
      <c r="B66">
        <f>INDEX('vehicles specifications'!$B$3:$CW$166,MATCH(B51,'vehicles specifications'!$A$3:$A$166,0),MATCH("Electric energy available [kWh]",'vehicles specifications'!$B$2:$CW$2,0))</f>
        <v>0.55999999999999994</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58.084050632911385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45.4 kg. Lightweighting of glider: 3%. Emission standard: None. Service visits throughout lifetime: 1.3. Range: 58 km. Battery capacity: 0.7 kWh. Available battery capacity: 0.56 kWh. Battery mass: 4.7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cargo bike, LFP battery, 2030</v>
      </c>
      <c r="B78">
        <v>1</v>
      </c>
      <c r="C78" t="str">
        <f>B47</f>
        <v>CH</v>
      </c>
      <c r="D78" t="str">
        <f>B54</f>
        <v>unit</v>
      </c>
      <c r="F78" t="s">
        <v>84</v>
      </c>
      <c r="G78" t="s">
        <v>85</v>
      </c>
      <c r="H78" t="str">
        <f>B48</f>
        <v>Bicycle, electric, cargo bike</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2.2352941176470589</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1.1399999999999999</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759</v>
      </c>
      <c r="B82" s="4">
        <f>INDEX('vehicles specifications'!$B$3:$CW$166,MATCH(B51,'vehicles specifications'!$A$3:$A$166,0),MATCH(G82,'vehicles specifications'!$B$2:$CW$2,0))*INDEX('ei names mapping'!$B$137:$BL$300,MATCH(B51,'ei names mapping'!$A$137:$A$300,0),MATCH(G82,'ei names mapping'!$B$136:$BL$136,0))</f>
        <v>5.833333333333333</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1.1666666666666667</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-1.5358333333333332</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-7</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45.426666666666662</v>
      </c>
      <c r="C88" t="s">
        <v>92</v>
      </c>
      <c r="D88" t="s">
        <v>233</v>
      </c>
      <c r="F88" t="s">
        <v>89</v>
      </c>
      <c r="H88" s="13" t="s">
        <v>841</v>
      </c>
    </row>
    <row r="89" spans="1:8" x14ac:dyDescent="0.2">
      <c r="A89" s="13" t="s">
        <v>441</v>
      </c>
      <c r="B89" s="2">
        <f>(B61/1000)*B73</f>
        <v>722.28399999999999</v>
      </c>
      <c r="C89" t="s">
        <v>95</v>
      </c>
      <c r="D89" t="s">
        <v>233</v>
      </c>
      <c r="F89" t="s">
        <v>89</v>
      </c>
      <c r="H89" s="13" t="s">
        <v>441</v>
      </c>
    </row>
    <row r="91" spans="1:8" ht="16" x14ac:dyDescent="0.2">
      <c r="A91" s="10" t="s">
        <v>71</v>
      </c>
      <c r="B91" s="8" t="str">
        <f>B93&amp;", "&amp;B108&amp;" battery, "&amp;B95</f>
        <v>Bicycle, electric, cargo bike, LFP battery, 2040</v>
      </c>
    </row>
    <row r="92" spans="1:8" x14ac:dyDescent="0.2">
      <c r="A92" t="s">
        <v>72</v>
      </c>
      <c r="B92" t="s">
        <v>37</v>
      </c>
    </row>
    <row r="93" spans="1:8" x14ac:dyDescent="0.2">
      <c r="A93" t="s">
        <v>86</v>
      </c>
      <c r="B93" t="s">
        <v>496</v>
      </c>
    </row>
    <row r="94" spans="1:8" x14ac:dyDescent="0.2">
      <c r="A94" t="s">
        <v>87</v>
      </c>
    </row>
    <row r="95" spans="1:8" x14ac:dyDescent="0.2">
      <c r="A95" t="s">
        <v>88</v>
      </c>
      <c r="B95">
        <v>2040</v>
      </c>
    </row>
    <row r="96" spans="1:8" x14ac:dyDescent="0.2">
      <c r="A96" t="s">
        <v>126</v>
      </c>
      <c r="B96" t="str">
        <f>B93&amp;" - "&amp;B95&amp;" - "&amp;B108&amp;" - "&amp;B92</f>
        <v>Bicycle, electric, cargo bike - 2040 - LFP - CH</v>
      </c>
    </row>
    <row r="97" spans="1:2" x14ac:dyDescent="0.2">
      <c r="A97" t="s">
        <v>73</v>
      </c>
      <c r="B97" t="str">
        <f>B93</f>
        <v>Bicycle, electric, cargo bike</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45.233333333333334</v>
      </c>
    </row>
    <row r="107" spans="1:2" x14ac:dyDescent="0.2">
      <c r="A107" t="s">
        <v>133</v>
      </c>
      <c r="B107">
        <f>INDEX('vehicles specifications'!$B$3:$CW$166,MATCH(B96,'vehicles specifications'!$A$3:$A$166,0),MATCH("Power [kW]",'vehicles specifications'!$B$2:$CW$2,0))</f>
        <v>0.25</v>
      </c>
    </row>
    <row r="108" spans="1:2" x14ac:dyDescent="0.2">
      <c r="A108" t="s">
        <v>652</v>
      </c>
      <c r="B108" s="20" t="s">
        <v>44</v>
      </c>
    </row>
    <row r="109" spans="1:2" x14ac:dyDescent="0.2">
      <c r="A109" t="s">
        <v>134</v>
      </c>
      <c r="B109">
        <f>INDEX('vehicles specifications'!$B$3:$CW$166,MATCH(B96,'vehicles specifications'!$A$3:$A$166,0),MATCH("Energy battery mass [kg]",'vehicles specifications'!$B$2:$CW$2,0))</f>
        <v>5.3333333333333339</v>
      </c>
    </row>
    <row r="110" spans="1:2" x14ac:dyDescent="0.2">
      <c r="A110" t="s">
        <v>135</v>
      </c>
      <c r="B110">
        <f>INDEX('vehicles specifications'!$B$3:$CW$166,MATCH(B96,'vehicles specifications'!$A$3:$A$166,0),MATCH("Electric energy stored [kWh]",'vehicles specifications'!$B$2:$CW$2,0))</f>
        <v>0.8</v>
      </c>
    </row>
    <row r="111" spans="1:2" x14ac:dyDescent="0.2">
      <c r="A111" t="s">
        <v>588</v>
      </c>
      <c r="B111">
        <f>INDEX('vehicles specifications'!$B$3:$CW$166,MATCH(B96,'vehicles specifications'!$A$3:$A$166,0),MATCH("Electric energy available [kWh]",'vehicles specifications'!$B$2:$CW$2,0))</f>
        <v>0.64000000000000012</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66.381772151898744</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45.2 kg. Lightweighting of glider: 5%. Emission standard: None. Service visits throughout lifetime: 1.3. Range: 66 km. Battery capacity: 0.8 kWh. Available battery capacity: 0.64 kWh. Battery mass: 5.3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cargo bike, LFP battery, 2040</v>
      </c>
      <c r="B123">
        <v>1</v>
      </c>
      <c r="C123" t="str">
        <f>B92</f>
        <v>CH</v>
      </c>
      <c r="D123" t="str">
        <f>B99</f>
        <v>unit</v>
      </c>
      <c r="F123" t="s">
        <v>84</v>
      </c>
      <c r="G123" t="s">
        <v>85</v>
      </c>
      <c r="H123" t="str">
        <f>B93</f>
        <v>Bicycle, electric, cargo bike</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2.2352941176470589</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1.9000000000000001</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759</v>
      </c>
      <c r="B127" s="4">
        <f>INDEX('vehicles specifications'!$B$3:$CW$166,MATCH(B96,'vehicles specifications'!$A$3:$A$166,0),MATCH(G127,'vehicles specifications'!$B$2:$CW$2,0))*INDEX('ei names mapping'!$B$137:$BL$300,MATCH(B96,'ei names mapping'!$A$137:$A$300,0),MATCH(G127,'ei names mapping'!$B$136:$BL$136,0))</f>
        <v>5.5555555555555554</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1.1111111111111112</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-1.5041666666666667</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-6.6666666666666679</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45.233333333333334</v>
      </c>
      <c r="C133" t="s">
        <v>92</v>
      </c>
      <c r="D133" t="s">
        <v>233</v>
      </c>
      <c r="F133" t="s">
        <v>89</v>
      </c>
      <c r="H133" s="13" t="s">
        <v>841</v>
      </c>
    </row>
    <row r="134" spans="1:8" x14ac:dyDescent="0.2">
      <c r="A134" s="13" t="s">
        <v>441</v>
      </c>
      <c r="B134" s="2">
        <f>(B106/1000)*B118</f>
        <v>719.21</v>
      </c>
      <c r="C134" t="s">
        <v>95</v>
      </c>
      <c r="D134" t="s">
        <v>233</v>
      </c>
      <c r="F134" t="s">
        <v>89</v>
      </c>
      <c r="H134" s="13" t="s">
        <v>441</v>
      </c>
    </row>
    <row r="136" spans="1:8" ht="16" x14ac:dyDescent="0.2">
      <c r="A136" s="10" t="s">
        <v>71</v>
      </c>
      <c r="B136" s="8" t="str">
        <f>B138&amp;", "&amp;B153&amp;" battery, "&amp;B140</f>
        <v>Bicycle, electric, cargo bike, LFP battery, 2050</v>
      </c>
    </row>
    <row r="137" spans="1:8" x14ac:dyDescent="0.2">
      <c r="A137" t="s">
        <v>72</v>
      </c>
      <c r="B137" t="s">
        <v>37</v>
      </c>
    </row>
    <row r="138" spans="1:8" x14ac:dyDescent="0.2">
      <c r="A138" t="s">
        <v>86</v>
      </c>
      <c r="B138" t="s">
        <v>496</v>
      </c>
    </row>
    <row r="139" spans="1:8" x14ac:dyDescent="0.2">
      <c r="A139" t="s">
        <v>87</v>
      </c>
    </row>
    <row r="140" spans="1:8" x14ac:dyDescent="0.2">
      <c r="A140" t="s">
        <v>88</v>
      </c>
      <c r="B140">
        <v>2050</v>
      </c>
    </row>
    <row r="141" spans="1:8" x14ac:dyDescent="0.2">
      <c r="A141" t="s">
        <v>126</v>
      </c>
      <c r="B141" t="str">
        <f>B138&amp;" - "&amp;B140&amp;" - "&amp;B153&amp;" - "&amp;B137</f>
        <v>Bicycle, electric, cargo bike - 2050 - LFP - CH</v>
      </c>
    </row>
    <row r="142" spans="1:8" x14ac:dyDescent="0.2">
      <c r="A142" t="s">
        <v>73</v>
      </c>
      <c r="B142" t="str">
        <f>B138</f>
        <v>Bicycle, electric, cargo bike</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45.04</v>
      </c>
    </row>
    <row r="152" spans="1:2" x14ac:dyDescent="0.2">
      <c r="A152" t="s">
        <v>133</v>
      </c>
      <c r="B152">
        <f>INDEX('vehicles specifications'!$B$3:$CW$166,MATCH(B141,'vehicles specifications'!$A$3:$A$166,0),MATCH("Power [kW]",'vehicles specifications'!$B$2:$CW$2,0))</f>
        <v>0.25</v>
      </c>
    </row>
    <row r="153" spans="1:2" x14ac:dyDescent="0.2">
      <c r="A153" t="s">
        <v>652</v>
      </c>
      <c r="B153" s="20" t="s">
        <v>44</v>
      </c>
    </row>
    <row r="154" spans="1:2" x14ac:dyDescent="0.2">
      <c r="A154" t="s">
        <v>134</v>
      </c>
      <c r="B154">
        <f>INDEX('vehicles specifications'!$B$3:$CW$166,MATCH(B141,'vehicles specifications'!$A$3:$A$166,0),MATCH("Energy battery mass [kg]",'vehicles specifications'!$B$2:$CW$2,0))</f>
        <v>6</v>
      </c>
    </row>
    <row r="155" spans="1:2" x14ac:dyDescent="0.2">
      <c r="A155" t="s">
        <v>135</v>
      </c>
      <c r="B155">
        <f>INDEX('vehicles specifications'!$B$3:$CW$166,MATCH(B141,'vehicles specifications'!$A$3:$A$166,0),MATCH("Electric energy stored [kWh]",'vehicles specifications'!$B$2:$CW$2,0))</f>
        <v>1</v>
      </c>
    </row>
    <row r="156" spans="1:2" x14ac:dyDescent="0.2">
      <c r="A156" t="s">
        <v>588</v>
      </c>
      <c r="B156">
        <f>INDEX('vehicles specifications'!$B$3:$CW$166,MATCH(B141,'vehicles specifications'!$A$3:$A$166,0),MATCH("Electric energy available [kWh]",'vehicles specifications'!$B$2:$CW$2,0))</f>
        <v>0.8</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82.977215189873419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45 kg. Lightweighting of glider: 7%. Emission standard: None. Service visits throughout lifetime: 1.3. Range: 83 km. Battery capacity: 1 kWh. Available battery capacity: 0.8 kWh. Battery mass: 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cargo bike, LFP battery, 2050</v>
      </c>
      <c r="B168">
        <v>1</v>
      </c>
      <c r="C168" t="str">
        <f>B137</f>
        <v>CH</v>
      </c>
      <c r="D168" t="str">
        <f>B144</f>
        <v>unit</v>
      </c>
      <c r="F168" t="s">
        <v>84</v>
      </c>
      <c r="G168" t="s">
        <v>85</v>
      </c>
      <c r="H168" t="str">
        <f>B138</f>
        <v>Bicycle, electric, cargo bike</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2.2352941176470589</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2.66</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759</v>
      </c>
      <c r="B172" s="4">
        <f>INDEX('vehicles specifications'!$B$3:$CW$166,MATCH(B141,'vehicles specifications'!$A$3:$A$166,0),MATCH(G172,'vehicles specifications'!$B$2:$CW$2,0))*INDEX('ei names mapping'!$B$137:$BL$300,MATCH(B141,'ei names mapping'!$A$137:$A$300,0),MATCH(G172,'ei names mapping'!$B$136:$BL$136,0))</f>
        <v>5</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1</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-1.4724999999999997</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-6</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45.04</v>
      </c>
      <c r="C178" t="s">
        <v>92</v>
      </c>
      <c r="D178" t="s">
        <v>233</v>
      </c>
      <c r="F178" t="s">
        <v>89</v>
      </c>
      <c r="H178" s="13" t="s">
        <v>841</v>
      </c>
    </row>
    <row r="179" spans="1:8" x14ac:dyDescent="0.2">
      <c r="A179" s="13" t="s">
        <v>441</v>
      </c>
      <c r="B179" s="2">
        <f>(B151/1000)*B163</f>
        <v>716.13599999999997</v>
      </c>
      <c r="C179" t="s">
        <v>95</v>
      </c>
      <c r="D179" t="s">
        <v>233</v>
      </c>
      <c r="F179" t="s">
        <v>89</v>
      </c>
      <c r="H179" s="13" t="s">
        <v>441</v>
      </c>
    </row>
    <row r="181" spans="1:8" ht="16" x14ac:dyDescent="0.2">
      <c r="A181" s="10" t="s">
        <v>71</v>
      </c>
      <c r="B181" s="8" t="str">
        <f>"transport, "&amp;B183&amp;", "&amp;B198&amp;" battery, "&amp;B185</f>
        <v>transport, Bicycle, electric, cargo bike, LFP battery, 2020</v>
      </c>
    </row>
    <row r="182" spans="1:8" x14ac:dyDescent="0.2">
      <c r="A182" t="s">
        <v>72</v>
      </c>
      <c r="B182" t="s">
        <v>37</v>
      </c>
    </row>
    <row r="183" spans="1:8" x14ac:dyDescent="0.2">
      <c r="A183" t="s">
        <v>86</v>
      </c>
      <c r="B183" t="s">
        <v>496</v>
      </c>
    </row>
    <row r="184" spans="1:8" x14ac:dyDescent="0.2">
      <c r="A184" t="s">
        <v>87</v>
      </c>
    </row>
    <row r="185" spans="1:8" x14ac:dyDescent="0.2">
      <c r="A185" t="s">
        <v>88</v>
      </c>
      <c r="B185">
        <v>2020</v>
      </c>
    </row>
    <row r="186" spans="1:8" x14ac:dyDescent="0.2">
      <c r="A186" t="s">
        <v>126</v>
      </c>
      <c r="B186" t="str">
        <f>B183&amp;" - "&amp;B185&amp;" - "&amp;B198&amp;" - "&amp;B182</f>
        <v>Bicycle, electric, cargo bike - 2020 - LFP - CH</v>
      </c>
    </row>
    <row r="187" spans="1:8" x14ac:dyDescent="0.2">
      <c r="A187" t="s">
        <v>73</v>
      </c>
      <c r="B187" t="str">
        <f>"transport, "&amp;B183</f>
        <v>transport, Bicycle, electric, cargo bike</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20000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1.3333333333333333</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2000</v>
      </c>
    </row>
    <row r="196" spans="1:2" x14ac:dyDescent="0.2">
      <c r="A196" t="s">
        <v>132</v>
      </c>
      <c r="B196">
        <f>INDEX('vehicles specifications'!$B$3:$CW$166,MATCH(B186,'vehicles specifications'!$A$3:$A$166,0),MATCH("Curb mass [kg]",'vehicles specifications'!$B$2:$CW$2,0))</f>
        <v>46</v>
      </c>
    </row>
    <row r="197" spans="1:2" x14ac:dyDescent="0.2">
      <c r="A197" t="s">
        <v>133</v>
      </c>
      <c r="B197">
        <f>INDEX('vehicles specifications'!$B$3:$CW$166,MATCH(B186,'vehicles specifications'!$A$3:$A$166,0),MATCH("Power [kW]",'vehicles specifications'!$B$2:$CW$2,0))</f>
        <v>0.25</v>
      </c>
    </row>
    <row r="198" spans="1:2" x14ac:dyDescent="0.2">
      <c r="A198" t="s">
        <v>652</v>
      </c>
      <c r="B198" s="20" t="s">
        <v>44</v>
      </c>
    </row>
    <row r="199" spans="1:2" x14ac:dyDescent="0.2">
      <c r="A199" t="s">
        <v>134</v>
      </c>
      <c r="B199">
        <f>INDEX('vehicles specifications'!$B$3:$CW$166,MATCH(B186,'vehicles specifications'!$A$3:$A$166,0),MATCH("Energy battery mass [kg]",'vehicles specifications'!$B$2:$CW$2,0))</f>
        <v>4</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41.48860759493671</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46 kg. Lightweighting of glider: 0%. Emission standard: None. Service visits throughout lifetime: 1.3. Range: 41 km. Battery capacity: 0.5 kWh. Available battery capacity: 0.4 kWh. Battery mass: 4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cargo bike, LFP battery, 2020</v>
      </c>
      <c r="B210">
        <v>1</v>
      </c>
      <c r="C210" t="str">
        <f>B182</f>
        <v>CH</v>
      </c>
      <c r="D210" t="s">
        <v>166</v>
      </c>
      <c r="F210" t="s">
        <v>84</v>
      </c>
      <c r="G210" t="s">
        <v>85</v>
      </c>
      <c r="H210" t="str">
        <f>B187</f>
        <v>transport, Bicycle, electric, cargo bike</v>
      </c>
    </row>
    <row r="211" spans="1:8" x14ac:dyDescent="0.2">
      <c r="A211" t="str">
        <f>RIGHT(A210,LEN(A210)-11)</f>
        <v>Bicycle, electric, cargo bike, LFP battery, 2020</v>
      </c>
      <c r="B211" s="7">
        <f>1/B191</f>
        <v>5.0000000000000002E-5</v>
      </c>
      <c r="C211" t="str">
        <f>B182</f>
        <v>CH</v>
      </c>
      <c r="D211" t="s">
        <v>76</v>
      </c>
      <c r="F211" t="s">
        <v>89</v>
      </c>
      <c r="H211" t="str">
        <f>RIGHT(H210,LEN(H210)-11)</f>
        <v>Bicycle, electric, cargo bike</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9.1827E-5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1.0605320966560899E-2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-6.4352370303012724E-6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-5.3254299086503285E-6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-5.1728534501662442E-6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cargo bike, LFP battery, 2030</v>
      </c>
    </row>
    <row r="220" spans="1:8" x14ac:dyDescent="0.2">
      <c r="A220" t="s">
        <v>72</v>
      </c>
      <c r="B220" t="s">
        <v>37</v>
      </c>
    </row>
    <row r="221" spans="1:8" x14ac:dyDescent="0.2">
      <c r="A221" t="s">
        <v>86</v>
      </c>
      <c r="B221" t="s">
        <v>496</v>
      </c>
    </row>
    <row r="222" spans="1:8" x14ac:dyDescent="0.2">
      <c r="A222" t="s">
        <v>87</v>
      </c>
    </row>
    <row r="223" spans="1:8" x14ac:dyDescent="0.2">
      <c r="A223" t="s">
        <v>88</v>
      </c>
      <c r="B223">
        <v>2030</v>
      </c>
    </row>
    <row r="224" spans="1:8" x14ac:dyDescent="0.2">
      <c r="A224" t="s">
        <v>126</v>
      </c>
      <c r="B224" t="str">
        <f>B221&amp;" - "&amp;B223&amp;" - "&amp;B236&amp;" - "&amp;B220</f>
        <v>Bicycle, electric, cargo bike - 2030 - LFP - CH</v>
      </c>
    </row>
    <row r="225" spans="1:2" x14ac:dyDescent="0.2">
      <c r="A225" t="s">
        <v>73</v>
      </c>
      <c r="B225" t="str">
        <f>"transport, "&amp;B221</f>
        <v>transport, Bicycle, electric, cargo bike</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20000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1.3333333333333333</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2000</v>
      </c>
    </row>
    <row r="234" spans="1:2" x14ac:dyDescent="0.2">
      <c r="A234" t="s">
        <v>132</v>
      </c>
      <c r="B234">
        <f>INDEX('vehicles specifications'!$B$3:$CW$166,MATCH(B224,'vehicles specifications'!$A$3:$A$166,0),MATCH("Curb mass [kg]",'vehicles specifications'!$B$2:$CW$2,0))</f>
        <v>45.426666666666662</v>
      </c>
    </row>
    <row r="235" spans="1:2" x14ac:dyDescent="0.2">
      <c r="A235" t="s">
        <v>133</v>
      </c>
      <c r="B235">
        <f>INDEX('vehicles specifications'!$B$3:$CW$166,MATCH(B224,'vehicles specifications'!$A$3:$A$166,0),MATCH("Power [kW]",'vehicles specifications'!$B$2:$CW$2,0))</f>
        <v>0.25</v>
      </c>
    </row>
    <row r="236" spans="1:2" x14ac:dyDescent="0.2">
      <c r="A236" t="s">
        <v>652</v>
      </c>
      <c r="B236" s="20" t="s">
        <v>44</v>
      </c>
    </row>
    <row r="237" spans="1:2" x14ac:dyDescent="0.2">
      <c r="A237" t="s">
        <v>134</v>
      </c>
      <c r="B237">
        <f>INDEX('vehicles specifications'!$B$3:$CW$166,MATCH(B224,'vehicles specifications'!$A$3:$A$166,0),MATCH("Energy battery mass [kg]",'vehicles specifications'!$B$2:$CW$2,0))</f>
        <v>4.666666666666667</v>
      </c>
    </row>
    <row r="238" spans="1:2" x14ac:dyDescent="0.2">
      <c r="A238" t="s">
        <v>135</v>
      </c>
      <c r="B238">
        <f>INDEX('vehicles specifications'!$B$3:$CW$166,MATCH(B224,'vehicles specifications'!$A$3:$A$166,0),MATCH("Electric energy stored [kWh]",'vehicles specifications'!$B$2:$CW$2,0))</f>
        <v>0.7</v>
      </c>
    </row>
    <row r="239" spans="1:2" x14ac:dyDescent="0.2">
      <c r="A239" t="s">
        <v>588</v>
      </c>
      <c r="B239">
        <f>INDEX('vehicles specifications'!$B$3:$CW$166,MATCH(B224,'vehicles specifications'!$A$3:$A$166,0),MATCH("Electric energy available [kWh]",'vehicles specifications'!$B$2:$CW$2,0))</f>
        <v>0.55999999999999994</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58.084050632911385</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45.4 kg. Lightweighting of glider: 3%. Emission standard: None. Service visits throughout lifetime: 1.3. Range: 58 km. Battery capacity: 0.7 kWh. Available battery capacity: 0.56 kWh. Battery mass: 4.7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cargo bike, LFP battery, 2030</v>
      </c>
      <c r="B248">
        <v>1</v>
      </c>
      <c r="C248" t="str">
        <f>B220</f>
        <v>CH</v>
      </c>
      <c r="D248" t="s">
        <v>166</v>
      </c>
      <c r="F248" t="s">
        <v>84</v>
      </c>
      <c r="G248" t="s">
        <v>85</v>
      </c>
      <c r="H248" t="str">
        <f>B225</f>
        <v>transport, Bicycle, electric, cargo bike</v>
      </c>
    </row>
    <row r="249" spans="1:8" x14ac:dyDescent="0.2">
      <c r="A249" t="str">
        <f>RIGHT(A248,LEN(A248)-11)</f>
        <v>Bicycle, electric, cargo bike, LFP battery, 2030</v>
      </c>
      <c r="B249" s="7">
        <f>1/B229</f>
        <v>5.0000000000000002E-5</v>
      </c>
      <c r="C249" t="str">
        <f>B220</f>
        <v>CH</v>
      </c>
      <c r="D249" t="s">
        <v>76</v>
      </c>
      <c r="F249" t="s">
        <v>89</v>
      </c>
      <c r="H249" t="str">
        <f>RIGHT(H248,LEN(H248)-11)</f>
        <v>Bicycle, electric, cargo bike</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9.1519120000000011E-5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1.0605320966560899E-2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-6.4181709896459926E-6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-5.31160871204398E-6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-5.1597195786025576E-6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cargo bike, LFP battery, 2040</v>
      </c>
    </row>
    <row r="258" spans="1:2" x14ac:dyDescent="0.2">
      <c r="A258" t="s">
        <v>72</v>
      </c>
      <c r="B258" t="s">
        <v>37</v>
      </c>
    </row>
    <row r="259" spans="1:2" x14ac:dyDescent="0.2">
      <c r="A259" t="s">
        <v>86</v>
      </c>
      <c r="B259" t="s">
        <v>496</v>
      </c>
    </row>
    <row r="260" spans="1:2" x14ac:dyDescent="0.2">
      <c r="A260" t="s">
        <v>87</v>
      </c>
    </row>
    <row r="261" spans="1:2" x14ac:dyDescent="0.2">
      <c r="A261" t="s">
        <v>88</v>
      </c>
      <c r="B261">
        <v>2040</v>
      </c>
    </row>
    <row r="262" spans="1:2" x14ac:dyDescent="0.2">
      <c r="A262" t="s">
        <v>126</v>
      </c>
      <c r="B262" t="str">
        <f>B259&amp;" - "&amp;B261&amp;" - "&amp;B274&amp;" - "&amp;B258</f>
        <v>Bicycle, electric, cargo bike - 2040 - LFP - CH</v>
      </c>
    </row>
    <row r="263" spans="1:2" x14ac:dyDescent="0.2">
      <c r="A263" t="s">
        <v>73</v>
      </c>
      <c r="B263" t="str">
        <f>"transport, "&amp;B259</f>
        <v>transport, Bicycle, electric, cargo bike</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20000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1.3333333333333333</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2000</v>
      </c>
    </row>
    <row r="272" spans="1:2" x14ac:dyDescent="0.2">
      <c r="A272" t="s">
        <v>132</v>
      </c>
      <c r="B272">
        <f>INDEX('vehicles specifications'!$B$3:$CW$166,MATCH(B262,'vehicles specifications'!$A$3:$A$166,0),MATCH("Curb mass [kg]",'vehicles specifications'!$B$2:$CW$2,0))</f>
        <v>45.233333333333334</v>
      </c>
    </row>
    <row r="273" spans="1:8" x14ac:dyDescent="0.2">
      <c r="A273" t="s">
        <v>133</v>
      </c>
      <c r="B273">
        <f>INDEX('vehicles specifications'!$B$3:$CW$166,MATCH(B262,'vehicles specifications'!$A$3:$A$166,0),MATCH("Power [kW]",'vehicles specifications'!$B$2:$CW$2,0))</f>
        <v>0.25</v>
      </c>
    </row>
    <row r="274" spans="1:8" x14ac:dyDescent="0.2">
      <c r="A274" t="s">
        <v>652</v>
      </c>
      <c r="B274" s="20" t="s">
        <v>44</v>
      </c>
    </row>
    <row r="275" spans="1:8" x14ac:dyDescent="0.2">
      <c r="A275" t="s">
        <v>134</v>
      </c>
      <c r="B275">
        <f>INDEX('vehicles specifications'!$B$3:$CW$166,MATCH(B262,'vehicles specifications'!$A$3:$A$166,0),MATCH("Energy battery mass [kg]",'vehicles specifications'!$B$2:$CW$2,0))</f>
        <v>5.3333333333333339</v>
      </c>
    </row>
    <row r="276" spans="1:8" x14ac:dyDescent="0.2">
      <c r="A276" t="s">
        <v>135</v>
      </c>
      <c r="B276">
        <f>INDEX('vehicles specifications'!$B$3:$CW$166,MATCH(B262,'vehicles specifications'!$A$3:$A$166,0),MATCH("Electric energy stored [kWh]",'vehicles specifications'!$B$2:$CW$2,0))</f>
        <v>0.8</v>
      </c>
    </row>
    <row r="277" spans="1:8" x14ac:dyDescent="0.2">
      <c r="A277" t="s">
        <v>588</v>
      </c>
      <c r="B277">
        <f>INDEX('vehicles specifications'!$B$3:$CW$166,MATCH(B262,'vehicles specifications'!$A$3:$A$166,0),MATCH("Electric energy available [kWh]",'vehicles specifications'!$B$2:$CW$2,0))</f>
        <v>0.64000000000000012</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66.381772151898744</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45.2 kg. Lightweighting of glider: 5%. Emission standard: None. Service visits throughout lifetime: 1.3. Range: 66 km. Battery capacity: 0.8 kWh. Available battery capacity: 0.64 kWh. Battery mass: 5.3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cargo bike, LFP battery, 2040</v>
      </c>
      <c r="B286">
        <v>1</v>
      </c>
      <c r="C286" t="str">
        <f>B258</f>
        <v>CH</v>
      </c>
      <c r="D286" t="s">
        <v>166</v>
      </c>
      <c r="F286" t="s">
        <v>84</v>
      </c>
      <c r="G286" t="s">
        <v>85</v>
      </c>
      <c r="H286" t="str">
        <f>B263</f>
        <v>transport, Bicycle, electric, cargo bike</v>
      </c>
    </row>
    <row r="287" spans="1:8" x14ac:dyDescent="0.2">
      <c r="A287" t="str">
        <f>RIGHT(A286,LEN(A286)-11)</f>
        <v>Bicycle, electric, cargo bike, LFP battery, 2040</v>
      </c>
      <c r="B287" s="7">
        <f>1/B267</f>
        <v>5.0000000000000002E-5</v>
      </c>
      <c r="C287" t="str">
        <f>B258</f>
        <v>CH</v>
      </c>
      <c r="D287" t="s">
        <v>76</v>
      </c>
      <c r="F287" t="s">
        <v>89</v>
      </c>
      <c r="H287" t="str">
        <f>RIGHT(H286,LEN(H286)-11)</f>
        <v>Bicycle, electric, cargo bike</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9.1415300000000012E-5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1.0605320966560899E-2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-6.4124136942294567E-6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-5.3069324066711127E-6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-5.1552806020513532E-6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cargo bike, LFP battery, 2050</v>
      </c>
    </row>
    <row r="296" spans="1:8" x14ac:dyDescent="0.2">
      <c r="A296" t="s">
        <v>72</v>
      </c>
      <c r="B296" t="s">
        <v>37</v>
      </c>
    </row>
    <row r="297" spans="1:8" x14ac:dyDescent="0.2">
      <c r="A297" t="s">
        <v>86</v>
      </c>
      <c r="B297" t="s">
        <v>496</v>
      </c>
    </row>
    <row r="298" spans="1:8" x14ac:dyDescent="0.2">
      <c r="A298" t="s">
        <v>87</v>
      </c>
    </row>
    <row r="299" spans="1:8" x14ac:dyDescent="0.2">
      <c r="A299" t="s">
        <v>88</v>
      </c>
      <c r="B299">
        <v>2050</v>
      </c>
    </row>
    <row r="300" spans="1:8" x14ac:dyDescent="0.2">
      <c r="A300" t="s">
        <v>126</v>
      </c>
      <c r="B300" t="str">
        <f>B297&amp;" - "&amp;B299&amp;" - "&amp;B312&amp;" - "&amp;B296</f>
        <v>Bicycle, electric, cargo bike - 2050 - LFP - CH</v>
      </c>
    </row>
    <row r="301" spans="1:8" x14ac:dyDescent="0.2">
      <c r="A301" t="s">
        <v>73</v>
      </c>
      <c r="B301" t="str">
        <f>"transport, "&amp;B297</f>
        <v>transport, Bicycle, electric, cargo bike</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20000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1.3333333333333333</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2000</v>
      </c>
    </row>
    <row r="310" spans="1:2" x14ac:dyDescent="0.2">
      <c r="A310" t="s">
        <v>132</v>
      </c>
      <c r="B310">
        <f>INDEX('vehicles specifications'!$B$3:$CW$166,MATCH(B300,'vehicles specifications'!$A$3:$A$166,0),MATCH("Curb mass [kg]",'vehicles specifications'!$B$2:$CW$2,0))</f>
        <v>45.04</v>
      </c>
    </row>
    <row r="311" spans="1:2" x14ac:dyDescent="0.2">
      <c r="A311" t="s">
        <v>133</v>
      </c>
      <c r="B311">
        <f>INDEX('vehicles specifications'!$B$3:$CW$166,MATCH(B300,'vehicles specifications'!$A$3:$A$166,0),MATCH("Power [kW]",'vehicles specifications'!$B$2:$CW$2,0))</f>
        <v>0.25</v>
      </c>
    </row>
    <row r="312" spans="1:2" x14ac:dyDescent="0.2">
      <c r="A312" t="s">
        <v>652</v>
      </c>
      <c r="B312" s="20" t="s">
        <v>44</v>
      </c>
    </row>
    <row r="313" spans="1:2" x14ac:dyDescent="0.2">
      <c r="A313" t="s">
        <v>134</v>
      </c>
      <c r="B313">
        <f>INDEX('vehicles specifications'!$B$3:$CW$166,MATCH(B300,'vehicles specifications'!$A$3:$A$166,0),MATCH("Energy battery mass [kg]",'vehicles specifications'!$B$2:$CW$2,0))</f>
        <v>6</v>
      </c>
    </row>
    <row r="314" spans="1:2" x14ac:dyDescent="0.2">
      <c r="A314" t="s">
        <v>135</v>
      </c>
      <c r="B314">
        <f>INDEX('vehicles specifications'!$B$3:$CW$166,MATCH(B300,'vehicles specifications'!$A$3:$A$166,0),MATCH("Electric energy stored [kWh]",'vehicles specifications'!$B$2:$CW$2,0))</f>
        <v>1</v>
      </c>
    </row>
    <row r="315" spans="1:2" x14ac:dyDescent="0.2">
      <c r="A315" t="s">
        <v>588</v>
      </c>
      <c r="B315">
        <f>INDEX('vehicles specifications'!$B$3:$CW$166,MATCH(B300,'vehicles specifications'!$A$3:$A$166,0),MATCH("Electric energy available [kWh]",'vehicles specifications'!$B$2:$CW$2,0))</f>
        <v>0.8</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82.977215189873419</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45 kg. Lightweighting of glider: 7%. Emission standard: None. Service visits throughout lifetime: 1.3. Range: 83 km. Battery capacity: 1 kWh. Available battery capacity: 0.8 kWh. Battery mass: 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cargo bike, LFP battery, 2050</v>
      </c>
      <c r="B324">
        <v>1</v>
      </c>
      <c r="C324" t="str">
        <f>B296</f>
        <v>CH</v>
      </c>
      <c r="D324" t="s">
        <v>166</v>
      </c>
      <c r="F324" t="s">
        <v>84</v>
      </c>
      <c r="G324" t="s">
        <v>85</v>
      </c>
      <c r="H324" t="str">
        <f>B301</f>
        <v>transport, Bicycle, electric, cargo bike</v>
      </c>
    </row>
    <row r="325" spans="1:8" x14ac:dyDescent="0.2">
      <c r="A325" t="str">
        <f>RIGHT(A324,LEN(A324)-11)</f>
        <v>Bicycle, electric, cargo bike, LFP battery, 2050</v>
      </c>
      <c r="B325" s="7">
        <f>1/B305</f>
        <v>5.0000000000000002E-5</v>
      </c>
      <c r="C325" t="str">
        <f>B296</f>
        <v>CH</v>
      </c>
      <c r="D325" t="s">
        <v>76</v>
      </c>
      <c r="F325" t="s">
        <v>89</v>
      </c>
      <c r="H325" t="str">
        <f>RIGHT(H324,LEN(H324)-11)</f>
        <v>Bicycle, electric, cargo bike</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9.131148E-5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1.0605320966560899E-2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-6.4066551512467225E-6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-5.3022481207505905E-6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-5.1508364825503638E-6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H331"/>
  <sheetViews>
    <sheetView topLeftCell="A315" workbookViewId="0">
      <selection activeCell="A333" sqref="A333:XFD484"/>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"&amp;B18&amp;" battery, "&amp;B5</f>
        <v>Bicycle, electric, cargo bike, NCA battery, 2020</v>
      </c>
    </row>
    <row r="2" spans="1:2" x14ac:dyDescent="0.2">
      <c r="A2" t="s">
        <v>72</v>
      </c>
      <c r="B2" t="s">
        <v>37</v>
      </c>
    </row>
    <row r="3" spans="1:2" x14ac:dyDescent="0.2">
      <c r="A3" t="s">
        <v>86</v>
      </c>
      <c r="B3" t="s">
        <v>496</v>
      </c>
    </row>
    <row r="4" spans="1:2" x14ac:dyDescent="0.2">
      <c r="A4" t="s">
        <v>87</v>
      </c>
    </row>
    <row r="5" spans="1:2" x14ac:dyDescent="0.2">
      <c r="A5" t="s">
        <v>88</v>
      </c>
      <c r="B5">
        <v>2020</v>
      </c>
    </row>
    <row r="6" spans="1:2" x14ac:dyDescent="0.2">
      <c r="A6" t="s">
        <v>126</v>
      </c>
      <c r="B6" t="str">
        <f>B3&amp;" - "&amp;B5&amp;" - "&amp;B18&amp;" - "&amp;B2</f>
        <v>Bicycle, electric, cargo bike - 2020 - NCA - CH</v>
      </c>
    </row>
    <row r="7" spans="1:2" x14ac:dyDescent="0.2">
      <c r="A7" t="s">
        <v>73</v>
      </c>
      <c r="B7" t="str">
        <f>B3</f>
        <v>Bicycle, electric, cargo bike</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20000</v>
      </c>
    </row>
    <row r="12" spans="1:2" x14ac:dyDescent="0.2">
      <c r="A12" t="s">
        <v>128</v>
      </c>
      <c r="B12">
        <f>INDEX('vehicles specifications'!$B$3:$CW$166,MATCH(B6,'vehicles specifications'!$A$3:$A$166,0),MATCH("Passengers [unit]",'vehicles specifications'!$B$2:$CW$2,0))</f>
        <v>1</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1</v>
      </c>
    </row>
    <row r="15" spans="1:2" x14ac:dyDescent="0.2">
      <c r="A15" t="s">
        <v>131</v>
      </c>
      <c r="B15">
        <f>INDEX('vehicles specifications'!$B$3:$CW$166,MATCH(B6,'vehicles specifications'!$A$3:$A$166,0),MATCH("Annual kilometers [km]",'vehicles specifications'!$B$2:$CW$2,0))</f>
        <v>2000</v>
      </c>
    </row>
    <row r="16" spans="1:2" x14ac:dyDescent="0.2">
      <c r="A16" t="s">
        <v>132</v>
      </c>
      <c r="B16" s="2">
        <f>INDEX('vehicles specifications'!$B$3:$CW$166,MATCH(B6,'vehicles specifications'!$A$3:$A$166,0),MATCH("Curb mass [kg]",'vehicles specifications'!$B$2:$CW$2,0))</f>
        <v>44.826086956521742</v>
      </c>
    </row>
    <row r="17" spans="1:8" x14ac:dyDescent="0.2">
      <c r="A17" t="s">
        <v>133</v>
      </c>
      <c r="B17">
        <f>INDEX('vehicles specifications'!$B$3:$CW$166,MATCH(B6,'vehicles specifications'!$A$3:$A$166,0),MATCH("Power [kW]",'vehicles specifications'!$B$2:$CW$2,0))</f>
        <v>0.25</v>
      </c>
    </row>
    <row r="18" spans="1:8" x14ac:dyDescent="0.2">
      <c r="A18" t="s">
        <v>652</v>
      </c>
      <c r="B18" s="20" t="s">
        <v>45</v>
      </c>
    </row>
    <row r="19" spans="1:8" x14ac:dyDescent="0.2">
      <c r="A19" t="s">
        <v>134</v>
      </c>
      <c r="B19" s="3">
        <f>INDEX('vehicles specifications'!$B$3:$CW$166,MATCH(B6,'vehicles specifications'!$A$3:$A$166,0),MATCH("Energy battery mass [kg]",'vehicles specifications'!$B$2:$CW$2,0))</f>
        <v>2.8260869565217388</v>
      </c>
    </row>
    <row r="20" spans="1:8" x14ac:dyDescent="0.2">
      <c r="A20" t="s">
        <v>135</v>
      </c>
      <c r="B20">
        <f>INDEX('vehicles specifications'!$B$3:$CW$166,MATCH(B6,'vehicles specifications'!$A$3:$A$166,0),MATCH("Electric energy stored [kWh]",'vehicles specifications'!$B$2:$CW$2,0))</f>
        <v>0.5</v>
      </c>
    </row>
    <row r="21" spans="1:8" x14ac:dyDescent="0.2">
      <c r="A21" t="s">
        <v>588</v>
      </c>
      <c r="B21">
        <f>INDEX('vehicles specifications'!$B$3:$CW$166,MATCH(B6,'vehicles specifications'!$A$3:$A$166,0),MATCH("Electric energy available [kWh]",'vehicles specifications'!$B$2:$CW$2,0))</f>
        <v>0.4</v>
      </c>
    </row>
    <row r="22" spans="1:8" x14ac:dyDescent="0.2">
      <c r="A22" t="s">
        <v>138</v>
      </c>
      <c r="B22">
        <f>INDEX('vehicles specifications'!$B$3:$CW$166,MATCH(B6,'vehicles specifications'!$A$3:$A$166,0),MATCH("Oxydation energy stored [kWh]",'vehicles specifications'!$B$2:$CW$2,0))</f>
        <v>0</v>
      </c>
    </row>
    <row r="23" spans="1:8" x14ac:dyDescent="0.2">
      <c r="A23" t="s">
        <v>139</v>
      </c>
      <c r="B23">
        <f>INDEX('vehicles specifications'!$B$3:$CW$166,MATCH(B6,'vehicles specifications'!$A$3:$A$166,0),MATCH("Fuel mass [kg]",'vehicles specifications'!$B$2:$CW$2,0))</f>
        <v>0</v>
      </c>
    </row>
    <row r="24" spans="1:8" x14ac:dyDescent="0.2">
      <c r="A24" t="s">
        <v>136</v>
      </c>
      <c r="B24" s="2">
        <f>INDEX('vehicles specifications'!$B$3:$CW$166,MATCH(B6,'vehicles specifications'!$A$3:$A$166,0),MATCH("Range [km]",'vehicles specifications'!$B$2:$CW$2,0))</f>
        <v>41.48860759493671</v>
      </c>
    </row>
    <row r="25" spans="1:8" x14ac:dyDescent="0.2">
      <c r="A25" t="s">
        <v>137</v>
      </c>
      <c r="B25" t="str">
        <f>INDEX('vehicles specifications'!$B$3:$CW$166,MATCH(B6,'vehicles specifications'!$A$3:$A$166,0),MATCH("Emission standard",'vehicles specifications'!$B$2:$CW$2,0))</f>
        <v>None</v>
      </c>
    </row>
    <row r="26" spans="1:8" x14ac:dyDescent="0.2">
      <c r="A26" t="s">
        <v>1174</v>
      </c>
      <c r="B26" s="6">
        <f>INDEX('vehicles specifications'!$B$3:$CW$166,MATCH(B6,'vehicles specifications'!$A$3:$A$166,0),MATCH("Lightweighting rate [%]",'vehicles specifications'!$B$2:$CW$2,0))</f>
        <v>0</v>
      </c>
    </row>
    <row r="27" spans="1:8" x14ac:dyDescent="0.2">
      <c r="A27" t="s">
        <v>485</v>
      </c>
      <c r="B27" s="6" t="s">
        <v>486</v>
      </c>
    </row>
    <row r="28" spans="1:8" x14ac:dyDescent="0.2">
      <c r="A28" t="s">
        <v>487</v>
      </c>
      <c r="B28" s="2">
        <v>15900</v>
      </c>
    </row>
    <row r="29" spans="1:8" x14ac:dyDescent="0.2">
      <c r="A29" t="s">
        <v>488</v>
      </c>
      <c r="B29" s="2">
        <v>1000</v>
      </c>
    </row>
    <row r="30" spans="1:8" x14ac:dyDescent="0.2">
      <c r="A30" t="s">
        <v>83</v>
      </c>
      <c r="B30" t="str">
        <f>"Power: "&amp;B17&amp;" kW. Lifetime: "&amp;B11&amp;" km. Annual kilometers: "&amp;ROUND(B15,0)&amp;" km. Number of passengers: "&amp;ROUND(B12,1)&amp;". Curb mass: "&amp;ROUND(B16,1)&amp;" kg. Lightweighting of glider: "&amp;ROUND(B26*100,0)&amp;"%. Emission standard: "&amp;B25&amp;". Service visits throughout lifetime: "&amp;ROUND(B13,1)&amp;". Range: "&amp;ROUND(B24,0)&amp;" km. Battery capacity: "&amp;ROUND(B20,1)&amp;" kWh. Available battery capacity: "&amp;B21&amp;" kWh. Battery mass: "&amp;ROUND(B19,1)&amp; " kg. Battery replacement throughout lifetime: "&amp;ROUND(B14,1)&amp;". Fuel tank capacity: "&amp;ROUND(B22,1)&amp;" kWh. Fuel mass: "&amp;ROUND(B23,1)&amp;" kg. Origin of manufacture: "&amp;B27&amp;". Shipping distance: "&amp;B28&amp;" km. Lorry distribution distance: "&amp;B29&amp;" km. Documentation: "&amp;Readmefirst!$B$2&amp;", "&amp;Readmefirst!$B$3&amp;". "&amp;'lci-kick scooter - NMC'!B10</f>
        <v>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Origin of manufacture: China. Shipping distance: 15900 km. Lorry distribution distance: 1000 km. Documentation: Life-cycle inventories for on-road vehicles, Sacchi R. (PSI), Bauer C. (PSI), 2021. process</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tr">
        <f>B1</f>
        <v>Bicycle, electric, cargo bike, NCA battery, 2020</v>
      </c>
      <c r="B33">
        <v>1</v>
      </c>
      <c r="C33" t="str">
        <f>B2</f>
        <v>CH</v>
      </c>
      <c r="D33" t="str">
        <f>B9</f>
        <v>unit</v>
      </c>
      <c r="F33" t="s">
        <v>84</v>
      </c>
      <c r="G33" t="s">
        <v>85</v>
      </c>
      <c r="H33" t="str">
        <f>B3</f>
        <v>Bicycle, electric, cargo bike</v>
      </c>
    </row>
    <row r="34" spans="1:8" x14ac:dyDescent="0.2">
      <c r="A34" t="str">
        <f>INDEX('ei names mapping'!$B$4:$R$33,MATCH($B$3,'ei names mapping'!$A$4:$A$33,0),MATCH(G34,'ei names mapping'!$B$3:$R$3,0))</f>
        <v>electric bicycle production, without battery and motor</v>
      </c>
      <c r="B34" s="4">
        <f>INDEX('vehicles specifications'!$B$3:$CW$166,MATCH(B6,'vehicles specifications'!$A$3:$A$166,0),MATCH(G34,'vehicles specifications'!$B$2:$CW$2,0))*INDEX('ei names mapping'!$B$137:$BL$300,MATCH(B6,'ei names mapping'!$A$137:$A$300,0),MATCH(G34,'ei names mapping'!$B$136:$BL$136,0))</f>
        <v>2.2352941176470589</v>
      </c>
      <c r="C34" t="str">
        <f>INDEX('ei names mapping'!$B$38:$R$67,MATCH($B$3,'ei names mapping'!$A$4:$A$33,0),MATCH(G34,'ei names mapping'!$B$3:$R$3,0))</f>
        <v>RER</v>
      </c>
      <c r="D34" t="str">
        <f>INDEX('ei names mapping'!$B$104:$R$133,MATCH(B3,'ei names mapping'!$A$104:$A$133,0),MATCH(G34,'ei names mapping'!$B$3:$R$3,0))</f>
        <v>unit</v>
      </c>
      <c r="F34" t="s">
        <v>89</v>
      </c>
      <c r="G34" t="s">
        <v>15</v>
      </c>
      <c r="H34" t="str">
        <f>INDEX('ei names mapping'!$B$71:$R$100,MATCH($B$3,'ei names mapping'!$A$4:$A$33,0),MATCH(G34,'ei names mapping'!$B$3:$R$3,0))</f>
        <v>electric bicycle, without battery and motor</v>
      </c>
    </row>
    <row r="35" spans="1:8" x14ac:dyDescent="0.2">
      <c r="A35" t="str">
        <f>INDEX('ei names mapping'!$B$4:$R$33,MATCH($B$3,'ei names mapping'!$A$4:$A$33,0),MATCH(G35,'ei names mapping'!$B$3:$R$3,0))</f>
        <v>market for electric motor, vehicle</v>
      </c>
      <c r="B35" s="4">
        <f>INDEX('vehicles specifications'!$B$3:$CW$166,MATCH(B6,'vehicles specifications'!$A$3:$A$166,0),MATCH(G35,'vehicles specifications'!$B$2:$CW$2,0))*INDEX('ei names mapping'!$B$137:$BL$300,MATCH(B6,'ei names mapping'!$A$137:$A$300,0),MATCH(G35,'ei names mapping'!$B$136:$BL$136,0))</f>
        <v>4</v>
      </c>
      <c r="C35" t="str">
        <f>INDEX('ei names mapping'!$B$38:$R$67,MATCH($B$3,'ei names mapping'!$A$4:$A$33,0),MATCH(G35,'ei names mapping'!$B$3:$R$3,0))</f>
        <v>GLO</v>
      </c>
      <c r="D35" t="str">
        <f>INDEX('ei names mapping'!$B$104:$R$133,MATCH(B3,'ei names mapping'!$A$104:$A$133,0),MATCH(G35,'ei names mapping'!$B$3:$R$3,0))</f>
        <v>kilogram</v>
      </c>
      <c r="F35" t="s">
        <v>89</v>
      </c>
      <c r="G35" t="s">
        <v>501</v>
      </c>
      <c r="H35" t="str">
        <f>INDEX('ei names mapping'!$B$71:$R$100,MATCH($B$3,'ei names mapping'!$A$4:$A$33,0),MATCH(G35,'ei names mapping'!$B$3:$R$3,0))</f>
        <v>electric motor, vehicle</v>
      </c>
    </row>
    <row r="36" spans="1:8" x14ac:dyDescent="0.2">
      <c r="A36" t="str">
        <f>INDEX('ei names mapping'!$B$4:$R$33,MATCH(B3,'ei names mapping'!$A$4:$A$33,0),MATCH(G36,'ei names mapping'!$B$3:$R$3,0))</f>
        <v>Glider lightweighting</v>
      </c>
      <c r="B36" s="11">
        <f>INDEX('vehicles specifications'!$B$3:$CW$166,MATCH(B6,'vehicles specifications'!$A$3:$A$166,0),MATCH(G36,'vehicles specifications'!$B$2:$CW$2,0))*INDEX('ei names mapping'!$B$137:$BL$300,MATCH(B6,'ei names mapping'!$A$137:$A$300,0),MATCH(G36,'ei names mapping'!$B$136:$BL$136,0))</f>
        <v>0</v>
      </c>
      <c r="C36" t="str">
        <f>INDEX('ei names mapping'!$B$38:$R$67,MATCH(B3,'ei names mapping'!$A$4:$A$33,0),MATCH(G36,'ei names mapping'!$B$3:$R$3,0))</f>
        <v>GLO</v>
      </c>
      <c r="D36" t="str">
        <f>INDEX('ei names mapping'!$B$104:$R$133,MATCH(B3,'ei names mapping'!$A$104:$A$133,0),MATCH(G36,'ei names mapping'!$B$3:$R$3,0))</f>
        <v>kilogram</v>
      </c>
      <c r="F36" t="s">
        <v>89</v>
      </c>
      <c r="G36" t="s">
        <v>14</v>
      </c>
      <c r="H36" t="str">
        <f>INDEX('ei names mapping'!$B$71:$R$100,MATCH(B3,'ei names mapping'!$A$4:$A$33,0),MATCH(G36,'ei names mapping'!$B$3:$R$3,0))</f>
        <v>Glider lightweighting</v>
      </c>
    </row>
    <row r="37" spans="1:8" x14ac:dyDescent="0.2">
      <c r="A37" t="s">
        <v>760</v>
      </c>
      <c r="B37" s="4">
        <f>INDEX('vehicles specifications'!$B$3:$CW$166,MATCH(B6,'vehicles specifications'!$A$3:$A$166,0),MATCH(G37,'vehicles specifications'!$B$2:$CW$2,0))*INDEX('ei names mapping'!$B$137:$BL$300,MATCH(B6,'ei names mapping'!$A$137:$A$300,0),MATCH(G37,'ei names mapping'!$B$136:$BL$136,0))</f>
        <v>4.3478260869565215</v>
      </c>
      <c r="C37" t="str">
        <f>INDEX('ei names mapping'!$B$38:$R$67,MATCH($B$3,'ei names mapping'!$A$4:$A$33,0),MATCH(G37,'ei names mapping'!$B$3:$R$3,0))</f>
        <v>GLO</v>
      </c>
      <c r="D37" t="str">
        <f>INDEX('ei names mapping'!$B$104:$R$133,MATCH(B3,'ei names mapping'!$A$104:$A$133,0),MATCH(G37,'ei names mapping'!$B$3:$R$3,0))</f>
        <v>kilogram</v>
      </c>
      <c r="F37" t="s">
        <v>89</v>
      </c>
      <c r="G37" t="s">
        <v>19</v>
      </c>
      <c r="H37" t="str">
        <f>INDEX('ei names mapping'!$B$71:$R$100,MATCH($B$3,'ei names mapping'!$A$4:$A$33,0),MATCH(G37,'ei names mapping'!$B$3:$R$3,0))</f>
        <v>Battery cell</v>
      </c>
    </row>
    <row r="38" spans="1:8" x14ac:dyDescent="0.2">
      <c r="A38" t="str">
        <f>INDEX('ei names mapping'!$B$4:$R$33,MATCH($B$3,'ei names mapping'!$A$4:$A$33,0),MATCH(G38,'ei names mapping'!$B$3:$R$3,0))</f>
        <v>Battery BoP</v>
      </c>
      <c r="B38" s="4">
        <f>INDEX('vehicles specifications'!$B$3:$CW$166,MATCH(B6,'vehicles specifications'!$A$3:$A$166,0),MATCH(G38,'vehicles specifications'!$B$2:$CW$2,0))*INDEX('ei names mapping'!$B$137:$BL$300,MATCH(B6,'ei names mapping'!$A$137:$A$300,0),MATCH(G38,'ei names mapping'!$B$136:$BL$136,0))</f>
        <v>1.3043478260869563</v>
      </c>
      <c r="C38" t="str">
        <f>INDEX('ei names mapping'!$B$38:$R$67,MATCH($B$3,'ei names mapping'!$A$4:$A$33,0),MATCH(G38,'ei names mapping'!$B$3:$R$3,0))</f>
        <v>GLO</v>
      </c>
      <c r="D38" t="str">
        <f>INDEX('ei names mapping'!$B$104:$R$133,MATCH(B3,'ei names mapping'!$A$104:$A$133,0),MATCH(G38,'ei names mapping'!$B$3:$R$3,0))</f>
        <v>kilogram</v>
      </c>
      <c r="F38" t="s">
        <v>89</v>
      </c>
      <c r="G38" t="s">
        <v>20</v>
      </c>
      <c r="H38" t="str">
        <f>INDEX('ei names mapping'!$B$71:$R$100,MATCH($B$3,'ei names mapping'!$A$4:$A$33,0),MATCH(G38,'ei names mapping'!$B$3:$R$3,0))</f>
        <v>Battery BoP</v>
      </c>
    </row>
    <row r="39" spans="1:8" x14ac:dyDescent="0.2">
      <c r="A39" t="str">
        <f>INDEX('ei names mapping'!$B$4:$R$33,MATCH($B$3,'ei names mapping'!$A$4:$A$33,0),MATCH(G39,'ei names mapping'!$B$3:$R$3,0))</f>
        <v>charging station, 500W</v>
      </c>
      <c r="B39" s="4">
        <f>INDEX('vehicles specifications'!$B$3:$CW$166,MATCH(B6,'vehicles specifications'!$A$3:$A$166,0),MATCH(G39,'vehicles specifications'!$B$2:$CW$2,0))*INDEX('ei names mapping'!$B$137:$BL$300,MATCH(B6,'ei names mapping'!$A$137:$A$300,0),MATCH(G39,'ei names mapping'!$B$136:$BL$136,0))</f>
        <v>1</v>
      </c>
      <c r="C39" t="str">
        <f>INDEX('ei names mapping'!$B$38:$R$67,MATCH($B$3,'ei names mapping'!$A$4:$A$33,0),MATCH(G39,'ei names mapping'!$B$3:$R$3,0))</f>
        <v>GLO</v>
      </c>
      <c r="D39" t="str">
        <f>INDEX('ei names mapping'!$B$104:$R$133,MATCH(B3,'ei names mapping'!$A$104:$A$133,0),MATCH(G39,'ei names mapping'!$B$3:$R$3,0))</f>
        <v>unit</v>
      </c>
      <c r="F39" t="s">
        <v>89</v>
      </c>
      <c r="G39" t="s">
        <v>52</v>
      </c>
      <c r="H39" t="str">
        <f>INDEX('ei names mapping'!$B$71:$R$100,MATCH($B$3,'ei names mapping'!$A$4:$A$33,0),MATCH(G39,'ei names mapping'!$B$3:$R$3,0))</f>
        <v>charging station, 500W</v>
      </c>
    </row>
    <row r="40" spans="1:8" x14ac:dyDescent="0.2">
      <c r="A40" t="str">
        <f>INDEX('ei names mapping'!$B$4:$R$33,MATCH($B$3,'ei names mapping'!$A$4:$A$33,0),MATCH(G40,'ei names mapping'!$B$3:$R$3,0))</f>
        <v>treatment of used electric bicycle</v>
      </c>
      <c r="B40" s="4">
        <f>INDEX('vehicles specifications'!$B$3:$CW$166,MATCH(B6,'vehicles specifications'!$A$3:$A$166,0),MATCH(G40,'vehicles specifications'!$B$2:$CW$2,0))*INDEX('ei names mapping'!$B$137:$BL$300,MATCH(B6,'ei names mapping'!$A$137:$A$300,0),MATCH(G40,'ei names mapping'!$B$136:$BL$136,0))</f>
        <v>-1.5833333333333333</v>
      </c>
      <c r="C40" t="str">
        <f>INDEX('ei names mapping'!$B$38:$R$67,MATCH($B$3,'ei names mapping'!$A$4:$A$33,0),MATCH(G40,'ei names mapping'!$B$3:$R$3,0))</f>
        <v>CH</v>
      </c>
      <c r="D40" t="str">
        <f>INDEX('ei names mapping'!$B$104:$R$133,MATCH(B3,'ei names mapping'!$A$104:$A$133,0),MATCH(G40,'ei names mapping'!$B$3:$R$3,0))</f>
        <v>unit</v>
      </c>
      <c r="F40" t="s">
        <v>89</v>
      </c>
      <c r="G40" t="s">
        <v>144</v>
      </c>
      <c r="H40" t="str">
        <f>INDEX('ei names mapping'!$B$71:$R$100,MATCH($B$3,'ei names mapping'!$A$4:$A$33,0),MATCH(G40,'ei names mapping'!$B$3:$R$3,0))</f>
        <v>used electric bicycle</v>
      </c>
    </row>
    <row r="41" spans="1:8" x14ac:dyDescent="0.2">
      <c r="A41" t="str">
        <f>INDEX('ei names mapping'!$B$4:$R$33,MATCH($B$3,'ei names mapping'!$A$4:$A$33,0),MATCH(G41,'ei names mapping'!$B$3:$R$3,0))</f>
        <v>treatment of used electric bicycle</v>
      </c>
      <c r="B41" s="4">
        <f>INDEX('vehicles specifications'!$B$3:$CW$166,MATCH(B6,'vehicles specifications'!$A$3:$A$166,0),MATCH(G41,'vehicles specifications'!$B$2:$CW$2,0))*INDEX('ei names mapping'!$B$137:$BL$300,MATCH(B6,'ei names mapping'!$A$137:$A$300,0),MATCH(G41,'ei names mapping'!$B$136:$BL$136,0))</f>
        <v>-0.16666666666666666</v>
      </c>
      <c r="C41" t="str">
        <f>INDEX('ei names mapping'!$B$38:$R$67,MATCH($B$3,'ei names mapping'!$A$4:$A$33,0),MATCH(G41,'ei names mapping'!$B$3:$R$3,0))</f>
        <v>CH</v>
      </c>
      <c r="D41" t="str">
        <f>INDEX('ei names mapping'!$B$104:$R$133,MATCH(B3,'ei names mapping'!$A$104:$A$133,0),MATCH(G41,'ei names mapping'!$B$3:$R$3,0))</f>
        <v>unit</v>
      </c>
      <c r="F41" t="s">
        <v>89</v>
      </c>
      <c r="G41" t="s">
        <v>145</v>
      </c>
      <c r="H41" t="str">
        <f>INDEX('ei names mapping'!$B$71:$R$100,MATCH($B$3,'ei names mapping'!$A$4:$A$33,0),MATCH(G41,'ei names mapping'!$B$3:$R$3,0))</f>
        <v>used electric bicycle</v>
      </c>
    </row>
    <row r="42" spans="1:8" x14ac:dyDescent="0.2">
      <c r="A42" t="str">
        <f>INDEX('ei names mapping'!$B$4:$R$33,MATCH($B$3,'ei names mapping'!$A$4:$A$33,0),MATCH(G42,'ei names mapping'!$B$3:$R$3,0))</f>
        <v>market for used Li-ion battery</v>
      </c>
      <c r="B42" s="4">
        <f>INDEX('vehicles specifications'!$B$3:$CW$166,MATCH(B6,'vehicles specifications'!$A$3:$A$166,0),MATCH(G42,'vehicles specifications'!$B$2:$CW$2,0))*INDEX('ei names mapping'!$B$137:$BL$300,MATCH(B6,'ei names mapping'!$A$137:$A$300,0),MATCH(G42,'ei names mapping'!$B$136:$BL$136,0))</f>
        <v>-5.6521739130434776</v>
      </c>
      <c r="C42" t="str">
        <f>INDEX('ei names mapping'!$B$38:$R$67,MATCH($B$3,'ei names mapping'!$A$4:$A$33,0),MATCH(G42,'ei names mapping'!$B$3:$R$3,0))</f>
        <v>GLO</v>
      </c>
      <c r="D42" t="str">
        <f>INDEX('ei names mapping'!$B$104:$R$133,MATCH(B3,'ei names mapping'!$A$104:$A$133,0),MATCH(G42,'ei names mapping'!$B$3:$R$3,0))</f>
        <v>kilogram</v>
      </c>
      <c r="F42" t="s">
        <v>89</v>
      </c>
      <c r="G42" t="s">
        <v>146</v>
      </c>
      <c r="H42" t="str">
        <f>INDEX('ei names mapping'!$B$71:$R$100,MATCH($B$3,'ei names mapping'!$A$4:$A$33,0),MATCH(G42,'ei names mapping'!$B$3:$R$3,0))</f>
        <v>used Li-ion battery</v>
      </c>
    </row>
    <row r="43" spans="1:8" x14ac:dyDescent="0.2">
      <c r="A43" s="13" t="s">
        <v>840</v>
      </c>
      <c r="B43">
        <f>(B16/1000)*B29</f>
        <v>44.826086956521742</v>
      </c>
      <c r="C43" t="s">
        <v>92</v>
      </c>
      <c r="D43" t="s">
        <v>233</v>
      </c>
      <c r="F43" t="s">
        <v>89</v>
      </c>
      <c r="H43" s="13" t="s">
        <v>841</v>
      </c>
    </row>
    <row r="44" spans="1:8" x14ac:dyDescent="0.2">
      <c r="A44" s="13" t="s">
        <v>441</v>
      </c>
      <c r="B44" s="2">
        <f>(B16/1000)*B28</f>
        <v>712.7347826086957</v>
      </c>
      <c r="C44" t="s">
        <v>95</v>
      </c>
      <c r="D44" t="s">
        <v>233</v>
      </c>
      <c r="F44" t="s">
        <v>89</v>
      </c>
      <c r="H44" s="13" t="s">
        <v>441</v>
      </c>
    </row>
    <row r="45" spans="1:8" x14ac:dyDescent="0.2">
      <c r="B45" s="11"/>
    </row>
    <row r="46" spans="1:8" ht="16" x14ac:dyDescent="0.2">
      <c r="A46" s="10" t="s">
        <v>71</v>
      </c>
      <c r="B46" s="8" t="str">
        <f>B48&amp;", "&amp;B63&amp;" battery, "&amp;B50</f>
        <v>Bicycle, electric, cargo bike, NCA battery, 2030</v>
      </c>
    </row>
    <row r="47" spans="1:8" x14ac:dyDescent="0.2">
      <c r="A47" t="s">
        <v>72</v>
      </c>
      <c r="B47" t="s">
        <v>37</v>
      </c>
    </row>
    <row r="48" spans="1:8" x14ac:dyDescent="0.2">
      <c r="A48" t="s">
        <v>86</v>
      </c>
      <c r="B48" t="s">
        <v>496</v>
      </c>
    </row>
    <row r="49" spans="1:2" x14ac:dyDescent="0.2">
      <c r="A49" t="s">
        <v>87</v>
      </c>
    </row>
    <row r="50" spans="1:2" x14ac:dyDescent="0.2">
      <c r="A50" t="s">
        <v>88</v>
      </c>
      <c r="B50">
        <v>2030</v>
      </c>
    </row>
    <row r="51" spans="1:2" x14ac:dyDescent="0.2">
      <c r="A51" t="s">
        <v>126</v>
      </c>
      <c r="B51" t="str">
        <f>B48&amp;" - "&amp;B50&amp;" - "&amp;B63&amp;" - "&amp;B47</f>
        <v>Bicycle, electric, cargo bike - 2030 - NCA - CH</v>
      </c>
    </row>
    <row r="52" spans="1:2" x14ac:dyDescent="0.2">
      <c r="A52" t="s">
        <v>73</v>
      </c>
      <c r="B52" t="str">
        <f>B48</f>
        <v>Bicycle, electric, cargo bike</v>
      </c>
    </row>
    <row r="53" spans="1:2" x14ac:dyDescent="0.2">
      <c r="A53" t="s">
        <v>74</v>
      </c>
      <c r="B53" t="s">
        <v>75</v>
      </c>
    </row>
    <row r="54" spans="1:2" x14ac:dyDescent="0.2">
      <c r="A54" t="s">
        <v>76</v>
      </c>
      <c r="B54" t="s">
        <v>76</v>
      </c>
    </row>
    <row r="55" spans="1:2" x14ac:dyDescent="0.2">
      <c r="A55" t="s">
        <v>78</v>
      </c>
      <c r="B55" t="s">
        <v>1143</v>
      </c>
    </row>
    <row r="56" spans="1:2" x14ac:dyDescent="0.2">
      <c r="A56" t="s">
        <v>127</v>
      </c>
      <c r="B56">
        <f>INDEX('vehicles specifications'!$B$3:$CW$166,MATCH(B51,'vehicles specifications'!$A$3:$A$166,0),MATCH("Lifetime [km]",'vehicles specifications'!$B$2:$CW$2,0))</f>
        <v>20000</v>
      </c>
    </row>
    <row r="57" spans="1:2" x14ac:dyDescent="0.2">
      <c r="A57" t="s">
        <v>128</v>
      </c>
      <c r="B57">
        <f>INDEX('vehicles specifications'!$B$3:$CW$166,MATCH(B51,'vehicles specifications'!$A$3:$A$166,0),MATCH("Passengers [unit]",'vehicles specifications'!$B$2:$CW$2,0))</f>
        <v>1</v>
      </c>
    </row>
    <row r="58" spans="1:2" x14ac:dyDescent="0.2">
      <c r="A58" t="s">
        <v>129</v>
      </c>
      <c r="B58">
        <f>INDEX('vehicles specifications'!$B$3:$CW$166,MATCH(B51,'vehicles specifications'!$A$3:$A$166,0),MATCH("Servicing [unit]",'vehicles specifications'!$B$2:$CW$2,0))</f>
        <v>1.3333333333333333</v>
      </c>
    </row>
    <row r="59" spans="1:2" x14ac:dyDescent="0.2">
      <c r="A59" t="s">
        <v>130</v>
      </c>
      <c r="B59">
        <f>INDEX('vehicles specifications'!$B$3:$CW$166,MATCH(B51,'vehicles specifications'!$A$3:$A$166,0),MATCH("Energy battery replacement [unit]",'vehicles specifications'!$B$2:$CW$2,0))</f>
        <v>0.5</v>
      </c>
    </row>
    <row r="60" spans="1:2" x14ac:dyDescent="0.2">
      <c r="A60" t="s">
        <v>131</v>
      </c>
      <c r="B60">
        <f>INDEX('vehicles specifications'!$B$3:$CW$166,MATCH(B51,'vehicles specifications'!$A$3:$A$166,0),MATCH("Annual kilometers [km]",'vehicles specifications'!$B$2:$CW$2,0))</f>
        <v>2000</v>
      </c>
    </row>
    <row r="61" spans="1:2" x14ac:dyDescent="0.2">
      <c r="A61" t="s">
        <v>132</v>
      </c>
      <c r="B61">
        <f>INDEX('vehicles specifications'!$B$3:$CW$166,MATCH(B51,'vehicles specifications'!$A$3:$A$166,0),MATCH("Curb mass [kg]",'vehicles specifications'!$B$2:$CW$2,0))</f>
        <v>43.793333333333329</v>
      </c>
    </row>
    <row r="62" spans="1:2" x14ac:dyDescent="0.2">
      <c r="A62" t="s">
        <v>133</v>
      </c>
      <c r="B62">
        <f>INDEX('vehicles specifications'!$B$3:$CW$166,MATCH(B51,'vehicles specifications'!$A$3:$A$166,0),MATCH("Power [kW]",'vehicles specifications'!$B$2:$CW$2,0))</f>
        <v>0.25</v>
      </c>
    </row>
    <row r="63" spans="1:2" x14ac:dyDescent="0.2">
      <c r="A63" t="s">
        <v>652</v>
      </c>
      <c r="B63" s="20" t="s">
        <v>45</v>
      </c>
    </row>
    <row r="64" spans="1:2" x14ac:dyDescent="0.2">
      <c r="A64" t="s">
        <v>134</v>
      </c>
      <c r="B64">
        <f>INDEX('vehicles specifications'!$B$3:$CW$166,MATCH(B51,'vehicles specifications'!$A$3:$A$166,0),MATCH("Energy battery mass [kg]",'vehicles specifications'!$B$2:$CW$2,0))</f>
        <v>3.0333333333333337</v>
      </c>
    </row>
    <row r="65" spans="1:8" x14ac:dyDescent="0.2">
      <c r="A65" t="s">
        <v>135</v>
      </c>
      <c r="B65">
        <f>INDEX('vehicles specifications'!$B$3:$CW$166,MATCH(B51,'vehicles specifications'!$A$3:$A$166,0),MATCH("Electric energy stored [kWh]",'vehicles specifications'!$B$2:$CW$2,0))</f>
        <v>0.7</v>
      </c>
    </row>
    <row r="66" spans="1:8" x14ac:dyDescent="0.2">
      <c r="A66" t="s">
        <v>588</v>
      </c>
      <c r="B66">
        <f>INDEX('vehicles specifications'!$B$3:$CW$166,MATCH(B51,'vehicles specifications'!$A$3:$A$166,0),MATCH("Electric energy available [kWh]",'vehicles specifications'!$B$2:$CW$2,0))</f>
        <v>0.55999999999999994</v>
      </c>
    </row>
    <row r="67" spans="1:8" x14ac:dyDescent="0.2">
      <c r="A67" t="s">
        <v>138</v>
      </c>
      <c r="B67">
        <f>INDEX('vehicles specifications'!$B$3:$CW$166,MATCH(B51,'vehicles specifications'!$A$3:$A$166,0),MATCH("Oxydation energy stored [kWh]",'vehicles specifications'!$B$2:$CW$2,0))</f>
        <v>0</v>
      </c>
    </row>
    <row r="68" spans="1:8" x14ac:dyDescent="0.2">
      <c r="A68" t="s">
        <v>139</v>
      </c>
      <c r="B68">
        <f>INDEX('vehicles specifications'!$B$3:$CW$166,MATCH(B51,'vehicles specifications'!$A$3:$A$166,0),MATCH("Fuel mass [kg]",'vehicles specifications'!$B$2:$CW$2,0))</f>
        <v>0</v>
      </c>
    </row>
    <row r="69" spans="1:8" x14ac:dyDescent="0.2">
      <c r="A69" t="s">
        <v>136</v>
      </c>
      <c r="B69" s="2">
        <f>INDEX('vehicles specifications'!$B$3:$CW$166,MATCH(B51,'vehicles specifications'!$A$3:$A$166,0),MATCH("Range [km]",'vehicles specifications'!$B$2:$CW$2,0))</f>
        <v>58.084050632911385</v>
      </c>
    </row>
    <row r="70" spans="1:8" x14ac:dyDescent="0.2">
      <c r="A70" t="s">
        <v>137</v>
      </c>
      <c r="B70" t="str">
        <f>INDEX('vehicles specifications'!$B$3:$CW$166,MATCH(B51,'vehicles specifications'!$A$3:$A$166,0),MATCH("Emission standard",'vehicles specifications'!$B$2:$CW$2,0))</f>
        <v>None</v>
      </c>
    </row>
    <row r="71" spans="1:8" x14ac:dyDescent="0.2">
      <c r="A71" t="s">
        <v>1174</v>
      </c>
      <c r="B71" s="6">
        <f>INDEX('vehicles specifications'!$B$3:$CW$166,MATCH(B51,'vehicles specifications'!$A$3:$A$166,0),MATCH("Lightweighting rate [%]",'vehicles specifications'!$B$2:$CW$2,0))</f>
        <v>0.03</v>
      </c>
    </row>
    <row r="72" spans="1:8" x14ac:dyDescent="0.2">
      <c r="A72" t="s">
        <v>485</v>
      </c>
      <c r="B72" s="6" t="s">
        <v>486</v>
      </c>
    </row>
    <row r="73" spans="1:8" x14ac:dyDescent="0.2">
      <c r="A73" t="s">
        <v>487</v>
      </c>
      <c r="B73" s="2">
        <v>15900</v>
      </c>
    </row>
    <row r="74" spans="1:8" x14ac:dyDescent="0.2">
      <c r="A74" t="s">
        <v>488</v>
      </c>
      <c r="B74" s="2">
        <v>1000</v>
      </c>
    </row>
    <row r="75" spans="1:8" x14ac:dyDescent="0.2">
      <c r="A75" t="s">
        <v>83</v>
      </c>
      <c r="B75" t="str">
        <f>"Power: "&amp;B62&amp;" kW. Lifetime: "&amp;B56&amp;" km. Annual kilometers: "&amp;ROUND(B60,0)&amp;" km. Number of passengers: "&amp;ROUND(B57,1)&amp;". Curb mass: "&amp;ROUND(B61,1)&amp;" kg. Lightweighting of glider: "&amp;ROUND(B71*100,0)&amp;"%. Emission standard: "&amp;B70&amp;". Service visits throughout lifetime: "&amp;ROUND(B58,1)&amp;". Range: "&amp;ROUND(B69,0)&amp;" km. Battery capacity: "&amp;ROUND(B65,1)&amp;" kWh. Available battery capacity: "&amp;B66&amp;" kWh. Battery mass: "&amp;ROUND(B64,1)&amp; " kg. Battery replacement throughout lifetime: "&amp;ROUND(B59,1)&amp;". Fuel tank capacity: "&amp;ROUND(B67,1)&amp;" kWh. Fuel mass: "&amp;ROUND(B68,1)&amp;" kg. Origin of manufacture: "&amp;B72&amp;". Shipping distance: "&amp;B73&amp;" km. Lorry distribution distance: "&amp;B74&amp;" km. Documentation: "&amp;Readmefirst!$B$2&amp;", "&amp;Readmefirst!$B$3&amp;". "&amp;'lci-kick scooter - NMC'!B56</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Origin of manufacture: China. Shipping distance: 15900 km. Lorry distribution distance: 1000 km. Documentation: Life-cycle inventories for on-road vehicles, Sacchi R. (PSI), Bauer C. (PSI), 2021. unit</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tr">
        <f>B46</f>
        <v>Bicycle, electric, cargo bike, NCA battery, 2030</v>
      </c>
      <c r="B78">
        <v>1</v>
      </c>
      <c r="C78" t="str">
        <f>B47</f>
        <v>CH</v>
      </c>
      <c r="D78" t="str">
        <f>B54</f>
        <v>unit</v>
      </c>
      <c r="F78" t="s">
        <v>84</v>
      </c>
      <c r="G78" t="s">
        <v>85</v>
      </c>
      <c r="H78" t="str">
        <f>B48</f>
        <v>Bicycle, electric, cargo bike</v>
      </c>
    </row>
    <row r="79" spans="1:8" x14ac:dyDescent="0.2">
      <c r="A79" t="str">
        <f>INDEX('ei names mapping'!$B$4:$R$33,MATCH($B$3,'ei names mapping'!$A$4:$A$33,0),MATCH(G79,'ei names mapping'!$B$3:$R$3,0))</f>
        <v>electric bicycle production, without battery and motor</v>
      </c>
      <c r="B79" s="4">
        <f>INDEX('vehicles specifications'!$B$3:$CW$166,MATCH(B51,'vehicles specifications'!$A$3:$A$166,0),MATCH(G79,'vehicles specifications'!$B$2:$CW$2,0))*INDEX('ei names mapping'!$B$137:$BL$300,MATCH(B51,'ei names mapping'!$A$137:$A$300,0),MATCH(G79,'ei names mapping'!$B$136:$BL$136,0))</f>
        <v>2.2352941176470589</v>
      </c>
      <c r="C79" t="str">
        <f>INDEX('ei names mapping'!$B$38:$R$67,MATCH($B$3,'ei names mapping'!$A$4:$A$33,0),MATCH(G79,'ei names mapping'!$B$3:$R$3,0))</f>
        <v>RER</v>
      </c>
      <c r="D79" t="str">
        <f>INDEX('ei names mapping'!$B$104:$R$133,MATCH(B48,'ei names mapping'!$A$104:$A$133,0),MATCH(G79,'ei names mapping'!$B$3:$R$3,0))</f>
        <v>unit</v>
      </c>
      <c r="F79" t="s">
        <v>89</v>
      </c>
      <c r="G79" t="s">
        <v>15</v>
      </c>
      <c r="H79" t="str">
        <f>INDEX('ei names mapping'!$B$71:$R$100,MATCH($B$3,'ei names mapping'!$A$4:$A$33,0),MATCH(G79,'ei names mapping'!$B$3:$R$3,0))</f>
        <v>electric bicycle, without battery and motor</v>
      </c>
    </row>
    <row r="80" spans="1:8" x14ac:dyDescent="0.2">
      <c r="A80" t="str">
        <f>INDEX('ei names mapping'!$B$4:$R$33,MATCH($B$3,'ei names mapping'!$A$4:$A$33,0),MATCH(G80,'ei names mapping'!$B$3:$R$3,0))</f>
        <v>market for electric motor, vehicle</v>
      </c>
      <c r="B80" s="4">
        <f>INDEX('vehicles specifications'!$B$3:$CW$166,MATCH(B51,'vehicles specifications'!$A$3:$A$166,0),MATCH(G80,'vehicles specifications'!$B$2:$CW$2,0))*INDEX('ei names mapping'!$B$137:$BL$300,MATCH(B51,'ei names mapping'!$A$137:$A$300,0),MATCH(G80,'ei names mapping'!$B$136:$BL$136,0))</f>
        <v>3.9</v>
      </c>
      <c r="C80" t="str">
        <f>INDEX('ei names mapping'!$B$38:$R$67,MATCH($B$3,'ei names mapping'!$A$4:$A$33,0),MATCH(G80,'ei names mapping'!$B$3:$R$3,0))</f>
        <v>GLO</v>
      </c>
      <c r="D80" t="str">
        <f>INDEX('ei names mapping'!$B$104:$R$133,MATCH(B48,'ei names mapping'!$A$104:$A$133,0),MATCH(G80,'ei names mapping'!$B$3:$R$3,0))</f>
        <v>kilogram</v>
      </c>
      <c r="F80" t="s">
        <v>89</v>
      </c>
      <c r="G80" t="s">
        <v>501</v>
      </c>
      <c r="H80" t="str">
        <f>INDEX('ei names mapping'!$B$71:$R$100,MATCH($B$3,'ei names mapping'!$A$4:$A$33,0),MATCH(G80,'ei names mapping'!$B$3:$R$3,0))</f>
        <v>electric motor, vehicle</v>
      </c>
    </row>
    <row r="81" spans="1:8" x14ac:dyDescent="0.2">
      <c r="A81" t="str">
        <f>INDEX('ei names mapping'!$B$4:$R$33,MATCH(B48,'ei names mapping'!$A$4:$A$33,0),MATCH(G81,'ei names mapping'!$B$3:$R$3,0))</f>
        <v>Glider lightweighting</v>
      </c>
      <c r="B81" s="11">
        <f>INDEX('vehicles specifications'!$B$3:$CW$166,MATCH(B51,'vehicles specifications'!$A$3:$A$166,0),MATCH(G81,'vehicles specifications'!$B$2:$CW$2,0))*INDEX('ei names mapping'!$B$137:$BL$300,MATCH(B51,'ei names mapping'!$A$137:$A$300,0),MATCH(G81,'ei names mapping'!$B$136:$BL$136,0))</f>
        <v>1.1399999999999999</v>
      </c>
      <c r="C81" t="str">
        <f>INDEX('ei names mapping'!$B$38:$R$67,MATCH(B48,'ei names mapping'!$A$4:$A$33,0),MATCH(G81,'ei names mapping'!$B$3:$R$3,0))</f>
        <v>GLO</v>
      </c>
      <c r="D81" t="str">
        <f>INDEX('ei names mapping'!$B$104:$R$133,MATCH(B48,'ei names mapping'!$A$104:$A$133,0),MATCH(G81,'ei names mapping'!$B$3:$R$3,0))</f>
        <v>kilogram</v>
      </c>
      <c r="F81" t="s">
        <v>89</v>
      </c>
      <c r="G81" t="s">
        <v>14</v>
      </c>
      <c r="H81" t="str">
        <f>INDEX('ei names mapping'!$B$71:$R$100,MATCH(B48,'ei names mapping'!$A$4:$A$33,0),MATCH(G81,'ei names mapping'!$B$3:$R$3,0))</f>
        <v>Glider lightweighting</v>
      </c>
    </row>
    <row r="82" spans="1:8" x14ac:dyDescent="0.2">
      <c r="A82" t="s">
        <v>760</v>
      </c>
      <c r="B82" s="4">
        <f>INDEX('vehicles specifications'!$B$3:$CW$166,MATCH(B51,'vehicles specifications'!$A$3:$A$166,0),MATCH(G82,'vehicles specifications'!$B$2:$CW$2,0))*INDEX('ei names mapping'!$B$137:$BL$300,MATCH(B51,'ei names mapping'!$A$137:$A$300,0),MATCH(G82,'ei names mapping'!$B$136:$BL$136,0))</f>
        <v>3.5</v>
      </c>
      <c r="C82" t="str">
        <f>INDEX('ei names mapping'!$B$38:$R$67,MATCH($B$3,'ei names mapping'!$A$4:$A$33,0),MATCH(G82,'ei names mapping'!$B$3:$R$3,0))</f>
        <v>GLO</v>
      </c>
      <c r="D82" t="str">
        <f>INDEX('ei names mapping'!$B$104:$R$133,MATCH(B48,'ei names mapping'!$A$104:$A$133,0),MATCH(G82,'ei names mapping'!$B$3:$R$3,0))</f>
        <v>kilogram</v>
      </c>
      <c r="F82" t="s">
        <v>89</v>
      </c>
      <c r="G82" t="s">
        <v>19</v>
      </c>
      <c r="H82" t="str">
        <f>INDEX('ei names mapping'!$B$71:$R$100,MATCH($B$3,'ei names mapping'!$A$4:$A$33,0),MATCH(G82,'ei names mapping'!$B$3:$R$3,0))</f>
        <v>Battery cell</v>
      </c>
    </row>
    <row r="83" spans="1:8" x14ac:dyDescent="0.2">
      <c r="A83" t="str">
        <f>INDEX('ei names mapping'!$B$4:$R$33,MATCH($B$3,'ei names mapping'!$A$4:$A$33,0),MATCH(G83,'ei names mapping'!$B$3:$R$3,0))</f>
        <v>Battery BoP</v>
      </c>
      <c r="B83" s="4">
        <f>INDEX('vehicles specifications'!$B$3:$CW$166,MATCH(B51,'vehicles specifications'!$A$3:$A$166,0),MATCH(G83,'vehicles specifications'!$B$2:$CW$2,0))*INDEX('ei names mapping'!$B$137:$BL$300,MATCH(B51,'ei names mapping'!$A$137:$A$300,0),MATCH(G83,'ei names mapping'!$B$136:$BL$136,0))</f>
        <v>1.05</v>
      </c>
      <c r="C83" t="str">
        <f>INDEX('ei names mapping'!$B$38:$R$67,MATCH($B$3,'ei names mapping'!$A$4:$A$33,0),MATCH(G83,'ei names mapping'!$B$3:$R$3,0))</f>
        <v>GLO</v>
      </c>
      <c r="D83" t="str">
        <f>INDEX('ei names mapping'!$B$104:$R$133,MATCH(B48,'ei names mapping'!$A$104:$A$133,0),MATCH(G83,'ei names mapping'!$B$3:$R$3,0))</f>
        <v>kilogram</v>
      </c>
      <c r="F83" t="s">
        <v>89</v>
      </c>
      <c r="G83" t="s">
        <v>20</v>
      </c>
      <c r="H83" t="str">
        <f>INDEX('ei names mapping'!$B$71:$R$100,MATCH($B$3,'ei names mapping'!$A$4:$A$33,0),MATCH(G83,'ei names mapping'!$B$3:$R$3,0))</f>
        <v>Battery BoP</v>
      </c>
    </row>
    <row r="84" spans="1:8" x14ac:dyDescent="0.2">
      <c r="A84" t="str">
        <f>INDEX('ei names mapping'!$B$4:$R$33,MATCH($B$3,'ei names mapping'!$A$4:$A$33,0),MATCH(G84,'ei names mapping'!$B$3:$R$3,0))</f>
        <v>charging station, 500W</v>
      </c>
      <c r="B84" s="4">
        <f>INDEX('vehicles specifications'!$B$3:$CW$166,MATCH(B51,'vehicles specifications'!$A$3:$A$166,0),MATCH(G84,'vehicles specifications'!$B$2:$CW$2,0))*INDEX('ei names mapping'!$B$137:$BL$300,MATCH(B51,'ei names mapping'!$A$137:$A$300,0),MATCH(G84,'ei names mapping'!$B$136:$BL$136,0))</f>
        <v>1</v>
      </c>
      <c r="C84" t="str">
        <f>INDEX('ei names mapping'!$B$38:$R$67,MATCH($B$3,'ei names mapping'!$A$4:$A$33,0),MATCH(G84,'ei names mapping'!$B$3:$R$3,0))</f>
        <v>GLO</v>
      </c>
      <c r="D84" t="str">
        <f>INDEX('ei names mapping'!$B$104:$R$133,MATCH(B48,'ei names mapping'!$A$104:$A$133,0),MATCH(G84,'ei names mapping'!$B$3:$R$3,0))</f>
        <v>unit</v>
      </c>
      <c r="F84" t="s">
        <v>89</v>
      </c>
      <c r="G84" t="s">
        <v>52</v>
      </c>
      <c r="H84" t="str">
        <f>INDEX('ei names mapping'!$B$71:$R$100,MATCH($B$3,'ei names mapping'!$A$4:$A$33,0),MATCH(G84,'ei names mapping'!$B$3:$R$3,0))</f>
        <v>charging station, 500W</v>
      </c>
    </row>
    <row r="85" spans="1:8" x14ac:dyDescent="0.2">
      <c r="A85" t="str">
        <f>INDEX('ei names mapping'!$B$4:$R$33,MATCH($B$3,'ei names mapping'!$A$4:$A$33,0),MATCH(G85,'ei names mapping'!$B$3:$R$3,0))</f>
        <v>treatment of used electric bicycle</v>
      </c>
      <c r="B85" s="4">
        <f>INDEX('vehicles specifications'!$B$3:$CW$166,MATCH(B51,'vehicles specifications'!$A$3:$A$166,0),MATCH(G85,'vehicles specifications'!$B$2:$CW$2,0))*INDEX('ei names mapping'!$B$137:$BL$300,MATCH(B51,'ei names mapping'!$A$137:$A$300,0),MATCH(G85,'ei names mapping'!$B$136:$BL$136,0))</f>
        <v>-1.5358333333333332</v>
      </c>
      <c r="C85" t="str">
        <f>INDEX('ei names mapping'!$B$38:$R$67,MATCH($B$3,'ei names mapping'!$A$4:$A$33,0),MATCH(G85,'ei names mapping'!$B$3:$R$3,0))</f>
        <v>CH</v>
      </c>
      <c r="D85" t="str">
        <f>INDEX('ei names mapping'!$B$104:$R$133,MATCH(B48,'ei names mapping'!$A$104:$A$133,0),MATCH(G85,'ei names mapping'!$B$3:$R$3,0))</f>
        <v>unit</v>
      </c>
      <c r="F85" t="s">
        <v>89</v>
      </c>
      <c r="G85" t="s">
        <v>144</v>
      </c>
      <c r="H85" t="str">
        <f>INDEX('ei names mapping'!$B$71:$R$100,MATCH($B$3,'ei names mapping'!$A$4:$A$33,0),MATCH(G85,'ei names mapping'!$B$3:$R$3,0))</f>
        <v>used electric bicycle</v>
      </c>
    </row>
    <row r="86" spans="1:8" x14ac:dyDescent="0.2">
      <c r="A86" t="str">
        <f>INDEX('ei names mapping'!$B$4:$R$33,MATCH($B$3,'ei names mapping'!$A$4:$A$33,0),MATCH(G86,'ei names mapping'!$B$3:$R$3,0))</f>
        <v>treatment of used electric bicycle</v>
      </c>
      <c r="B86" s="4">
        <f>INDEX('vehicles specifications'!$B$3:$CW$166,MATCH(B51,'vehicles specifications'!$A$3:$A$166,0),MATCH(G86,'vehicles specifications'!$B$2:$CW$2,0))*INDEX('ei names mapping'!$B$137:$BL$300,MATCH(B51,'ei names mapping'!$A$137:$A$300,0),MATCH(G86,'ei names mapping'!$B$136:$BL$136,0))</f>
        <v>-0.16249999999999998</v>
      </c>
      <c r="C86" t="str">
        <f>INDEX('ei names mapping'!$B$38:$R$67,MATCH($B$3,'ei names mapping'!$A$4:$A$33,0),MATCH(G86,'ei names mapping'!$B$3:$R$3,0))</f>
        <v>CH</v>
      </c>
      <c r="D86" t="str">
        <f>INDEX('ei names mapping'!$B$104:$R$133,MATCH(B48,'ei names mapping'!$A$104:$A$133,0),MATCH(G86,'ei names mapping'!$B$3:$R$3,0))</f>
        <v>unit</v>
      </c>
      <c r="F86" t="s">
        <v>89</v>
      </c>
      <c r="G86" t="s">
        <v>145</v>
      </c>
      <c r="H86" t="str">
        <f>INDEX('ei names mapping'!$B$71:$R$100,MATCH($B$3,'ei names mapping'!$A$4:$A$33,0),MATCH(G86,'ei names mapping'!$B$3:$R$3,0))</f>
        <v>used electric bicycle</v>
      </c>
    </row>
    <row r="87" spans="1:8" x14ac:dyDescent="0.2">
      <c r="A87" t="str">
        <f>INDEX('ei names mapping'!$B$4:$R$33,MATCH($B$3,'ei names mapping'!$A$4:$A$33,0),MATCH(G87,'ei names mapping'!$B$3:$R$3,0))</f>
        <v>market for used Li-ion battery</v>
      </c>
      <c r="B87" s="4">
        <f>INDEX('vehicles specifications'!$B$3:$CW$166,MATCH(B51,'vehicles specifications'!$A$3:$A$166,0),MATCH(G87,'vehicles specifications'!$B$2:$CW$2,0))*INDEX('ei names mapping'!$B$137:$BL$300,MATCH(B51,'ei names mapping'!$A$137:$A$300,0),MATCH(G87,'ei names mapping'!$B$136:$BL$136,0))</f>
        <v>-4.5500000000000007</v>
      </c>
      <c r="C87" t="str">
        <f>INDEX('ei names mapping'!$B$38:$R$67,MATCH($B$3,'ei names mapping'!$A$4:$A$33,0),MATCH(G87,'ei names mapping'!$B$3:$R$3,0))</f>
        <v>GLO</v>
      </c>
      <c r="D87" t="str">
        <f>INDEX('ei names mapping'!$B$104:$R$133,MATCH(B48,'ei names mapping'!$A$104:$A$133,0),MATCH(G87,'ei names mapping'!$B$3:$R$3,0))</f>
        <v>kilogram</v>
      </c>
      <c r="F87" t="s">
        <v>89</v>
      </c>
      <c r="G87" t="s">
        <v>146</v>
      </c>
      <c r="H87" t="str">
        <f>INDEX('ei names mapping'!$B$71:$R$100,MATCH($B$3,'ei names mapping'!$A$4:$A$33,0),MATCH(G87,'ei names mapping'!$B$3:$R$3,0))</f>
        <v>used Li-ion battery</v>
      </c>
    </row>
    <row r="88" spans="1:8" x14ac:dyDescent="0.2">
      <c r="A88" s="13" t="s">
        <v>840</v>
      </c>
      <c r="B88">
        <f>(B61/1000)*B74</f>
        <v>43.793333333333329</v>
      </c>
      <c r="C88" t="s">
        <v>92</v>
      </c>
      <c r="D88" t="s">
        <v>233</v>
      </c>
      <c r="F88" t="s">
        <v>89</v>
      </c>
      <c r="H88" s="13" t="s">
        <v>841</v>
      </c>
    </row>
    <row r="89" spans="1:8" x14ac:dyDescent="0.2">
      <c r="A89" s="13" t="s">
        <v>441</v>
      </c>
      <c r="B89" s="2">
        <f>(B61/1000)*B73</f>
        <v>696.31399999999996</v>
      </c>
      <c r="C89" t="s">
        <v>95</v>
      </c>
      <c r="D89" t="s">
        <v>233</v>
      </c>
      <c r="F89" t="s">
        <v>89</v>
      </c>
      <c r="H89" s="13" t="s">
        <v>441</v>
      </c>
    </row>
    <row r="91" spans="1:8" ht="16" x14ac:dyDescent="0.2">
      <c r="A91" s="10" t="s">
        <v>71</v>
      </c>
      <c r="B91" s="8" t="str">
        <f>B93&amp;", "&amp;B108&amp;" battery, "&amp;B95</f>
        <v>Bicycle, electric, cargo bike, NCA battery, 2040</v>
      </c>
    </row>
    <row r="92" spans="1:8" x14ac:dyDescent="0.2">
      <c r="A92" t="s">
        <v>72</v>
      </c>
      <c r="B92" t="s">
        <v>37</v>
      </c>
    </row>
    <row r="93" spans="1:8" x14ac:dyDescent="0.2">
      <c r="A93" t="s">
        <v>86</v>
      </c>
      <c r="B93" t="s">
        <v>496</v>
      </c>
    </row>
    <row r="94" spans="1:8" x14ac:dyDescent="0.2">
      <c r="A94" t="s">
        <v>87</v>
      </c>
    </row>
    <row r="95" spans="1:8" x14ac:dyDescent="0.2">
      <c r="A95" t="s">
        <v>88</v>
      </c>
      <c r="B95">
        <v>2040</v>
      </c>
    </row>
    <row r="96" spans="1:8" x14ac:dyDescent="0.2">
      <c r="A96" t="s">
        <v>126</v>
      </c>
      <c r="B96" t="str">
        <f>B93&amp;" - "&amp;B95&amp;" - "&amp;B108&amp;" - "&amp;B92</f>
        <v>Bicycle, electric, cargo bike - 2040 - NCA - CH</v>
      </c>
    </row>
    <row r="97" spans="1:2" x14ac:dyDescent="0.2">
      <c r="A97" t="s">
        <v>73</v>
      </c>
      <c r="B97" t="str">
        <f>B93</f>
        <v>Bicycle, electric, cargo bike</v>
      </c>
    </row>
    <row r="98" spans="1:2" x14ac:dyDescent="0.2">
      <c r="A98" t="s">
        <v>74</v>
      </c>
      <c r="B98" t="s">
        <v>75</v>
      </c>
    </row>
    <row r="99" spans="1:2" x14ac:dyDescent="0.2">
      <c r="A99" t="s">
        <v>76</v>
      </c>
      <c r="B99" t="s">
        <v>76</v>
      </c>
    </row>
    <row r="100" spans="1:2" x14ac:dyDescent="0.2">
      <c r="A100" t="s">
        <v>78</v>
      </c>
      <c r="B100" t="s">
        <v>1143</v>
      </c>
    </row>
    <row r="101" spans="1:2" x14ac:dyDescent="0.2">
      <c r="A101" t="s">
        <v>127</v>
      </c>
      <c r="B101">
        <f>INDEX('vehicles specifications'!$B$3:$CW$166,MATCH(B96,'vehicles specifications'!$A$3:$A$166,0),MATCH("Lifetime [km]",'vehicles specifications'!$B$2:$CW$2,0))</f>
        <v>20000</v>
      </c>
    </row>
    <row r="102" spans="1:2" x14ac:dyDescent="0.2">
      <c r="A102" t="s">
        <v>128</v>
      </c>
      <c r="B102">
        <f>INDEX('vehicles specifications'!$B$3:$CW$166,MATCH(B96,'vehicles specifications'!$A$3:$A$166,0),MATCH("Passengers [unit]",'vehicles specifications'!$B$2:$CW$2,0))</f>
        <v>1</v>
      </c>
    </row>
    <row r="103" spans="1:2" x14ac:dyDescent="0.2">
      <c r="A103" t="s">
        <v>129</v>
      </c>
      <c r="B103">
        <f>INDEX('vehicles specifications'!$B$3:$CW$166,MATCH(B96,'vehicles specifications'!$A$3:$A$166,0),MATCH("Servicing [unit]",'vehicles specifications'!$B$2:$CW$2,0))</f>
        <v>1.3333333333333333</v>
      </c>
    </row>
    <row r="104" spans="1:2" x14ac:dyDescent="0.2">
      <c r="A104" t="s">
        <v>130</v>
      </c>
      <c r="B104">
        <f>INDEX('vehicles specifications'!$B$3:$CW$166,MATCH(B96,'vehicles specifications'!$A$3:$A$166,0),MATCH("Energy battery replacement [unit]",'vehicles specifications'!$B$2:$CW$2,0))</f>
        <v>0.25</v>
      </c>
    </row>
    <row r="105" spans="1:2" x14ac:dyDescent="0.2">
      <c r="A105" t="s">
        <v>131</v>
      </c>
      <c r="B105">
        <f>INDEX('vehicles specifications'!$B$3:$CW$166,MATCH(B96,'vehicles specifications'!$A$3:$A$166,0),MATCH("Annual kilometers [km]",'vehicles specifications'!$B$2:$CW$2,0))</f>
        <v>2000</v>
      </c>
    </row>
    <row r="106" spans="1:2" x14ac:dyDescent="0.2">
      <c r="A106" t="s">
        <v>132</v>
      </c>
      <c r="B106">
        <f>INDEX('vehicles specifications'!$B$3:$CW$166,MATCH(B96,'vehicles specifications'!$A$3:$A$166,0),MATCH("Curb mass [kg]",'vehicles specifications'!$B$2:$CW$2,0))</f>
        <v>42.5</v>
      </c>
    </row>
    <row r="107" spans="1:2" x14ac:dyDescent="0.2">
      <c r="A107" t="s">
        <v>133</v>
      </c>
      <c r="B107">
        <f>INDEX('vehicles specifications'!$B$3:$CW$166,MATCH(B96,'vehicles specifications'!$A$3:$A$166,0),MATCH("Power [kW]",'vehicles specifications'!$B$2:$CW$2,0))</f>
        <v>0.25</v>
      </c>
    </row>
    <row r="108" spans="1:2" x14ac:dyDescent="0.2">
      <c r="A108" t="s">
        <v>652</v>
      </c>
      <c r="B108" s="20" t="s">
        <v>45</v>
      </c>
    </row>
    <row r="109" spans="1:2" x14ac:dyDescent="0.2">
      <c r="A109" t="s">
        <v>134</v>
      </c>
      <c r="B109">
        <f>INDEX('vehicles specifications'!$B$3:$CW$166,MATCH(B96,'vehicles specifications'!$A$3:$A$166,0),MATCH("Energy battery mass [kg]",'vehicles specifications'!$B$2:$CW$2,0))</f>
        <v>2.6</v>
      </c>
    </row>
    <row r="110" spans="1:2" x14ac:dyDescent="0.2">
      <c r="A110" t="s">
        <v>135</v>
      </c>
      <c r="B110">
        <f>INDEX('vehicles specifications'!$B$3:$CW$166,MATCH(B96,'vehicles specifications'!$A$3:$A$166,0),MATCH("Electric energy stored [kWh]",'vehicles specifications'!$B$2:$CW$2,0))</f>
        <v>0.8</v>
      </c>
    </row>
    <row r="111" spans="1:2" x14ac:dyDescent="0.2">
      <c r="A111" t="s">
        <v>588</v>
      </c>
      <c r="B111">
        <f>INDEX('vehicles specifications'!$B$3:$CW$166,MATCH(B96,'vehicles specifications'!$A$3:$A$166,0),MATCH("Electric energy available [kWh]",'vehicles specifications'!$B$2:$CW$2,0))</f>
        <v>0.64000000000000012</v>
      </c>
    </row>
    <row r="112" spans="1:2" x14ac:dyDescent="0.2">
      <c r="A112" t="s">
        <v>138</v>
      </c>
      <c r="B112">
        <f>INDEX('vehicles specifications'!$B$3:$CW$166,MATCH(B96,'vehicles specifications'!$A$3:$A$166,0),MATCH("Oxydation energy stored [kWh]",'vehicles specifications'!$B$2:$CW$2,0))</f>
        <v>0</v>
      </c>
    </row>
    <row r="113" spans="1:8" x14ac:dyDescent="0.2">
      <c r="A113" t="s">
        <v>139</v>
      </c>
      <c r="B113">
        <f>INDEX('vehicles specifications'!$B$3:$CW$166,MATCH(B96,'vehicles specifications'!$A$3:$A$166,0),MATCH("Fuel mass [kg]",'vehicles specifications'!$B$2:$CW$2,0))</f>
        <v>0</v>
      </c>
    </row>
    <row r="114" spans="1:8" x14ac:dyDescent="0.2">
      <c r="A114" t="s">
        <v>136</v>
      </c>
      <c r="B114" s="2">
        <f>INDEX('vehicles specifications'!$B$3:$CW$166,MATCH(B96,'vehicles specifications'!$A$3:$A$166,0),MATCH("Range [km]",'vehicles specifications'!$B$2:$CW$2,0))</f>
        <v>66.381772151898744</v>
      </c>
    </row>
    <row r="115" spans="1:8" x14ac:dyDescent="0.2">
      <c r="A115" t="s">
        <v>137</v>
      </c>
      <c r="B115" t="str">
        <f>INDEX('vehicles specifications'!$B$3:$CW$166,MATCH(B96,'vehicles specifications'!$A$3:$A$166,0),MATCH("Emission standard",'vehicles specifications'!$B$2:$CW$2,0))</f>
        <v>None</v>
      </c>
    </row>
    <row r="116" spans="1:8" x14ac:dyDescent="0.2">
      <c r="A116" t="s">
        <v>1174</v>
      </c>
      <c r="B116" s="6">
        <f>INDEX('vehicles specifications'!$B$3:$CW$166,MATCH(B96,'vehicles specifications'!$A$3:$A$166,0),MATCH("Lightweighting rate [%]",'vehicles specifications'!$B$2:$CW$2,0))</f>
        <v>0.05</v>
      </c>
    </row>
    <row r="117" spans="1:8" x14ac:dyDescent="0.2">
      <c r="A117" t="s">
        <v>485</v>
      </c>
      <c r="B117" s="6" t="s">
        <v>486</v>
      </c>
    </row>
    <row r="118" spans="1:8" x14ac:dyDescent="0.2">
      <c r="A118" t="s">
        <v>487</v>
      </c>
      <c r="B118" s="2">
        <v>15900</v>
      </c>
    </row>
    <row r="119" spans="1:8" x14ac:dyDescent="0.2">
      <c r="A119" t="s">
        <v>488</v>
      </c>
      <c r="B119" s="2">
        <v>1000</v>
      </c>
    </row>
    <row r="120" spans="1:8" x14ac:dyDescent="0.2">
      <c r="A120" t="s">
        <v>83</v>
      </c>
      <c r="B120" t="str">
        <f>"Power: "&amp;B107&amp;" kW. Lifetime: "&amp;B101&amp;" km. Annual kilometers: "&amp;ROUND(B105,0)&amp;" km. Number of passengers: "&amp;ROUND(B102,1)&amp;". Curb mass: "&amp;ROUND(B106,1)&amp;" kg. Lightweighting of glider: "&amp;ROUND(B116*100,0)&amp;"%. Emission standard: "&amp;B115&amp;". Service visits throughout lifetime: "&amp;ROUND(B103,1)&amp;". Range: "&amp;ROUND(B114,0)&amp;" km. Battery capacity: "&amp;ROUND(B110,1)&amp;" kWh. Available battery capacity: "&amp;B111&amp;" kWh. Battery mass: "&amp;ROUND(B109,1)&amp; " kg. Battery replacement throughout lifetime: "&amp;ROUND(B104,1)&amp;". Fuel tank capacity: "&amp;ROUND(B112,1)&amp;" kWh. Fuel mass: "&amp;ROUND(B113,1)&amp;" kg. Origin of manufacture: "&amp;B117&amp;". Shipping distance: "&amp;B118&amp;" km. Lorry distribution distance: "&amp;B119&amp;" km. Documentation: "&amp;Readmefirst!$B$2&amp;", "&amp;Readmefirst!$B$3&amp;". "&amp;'lci-kick scooter - NMC'!B102</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1" spans="1:8" ht="16" x14ac:dyDescent="0.2">
      <c r="A121" s="10" t="s">
        <v>79</v>
      </c>
    </row>
    <row r="122" spans="1:8" x14ac:dyDescent="0.2">
      <c r="A122" t="s">
        <v>80</v>
      </c>
      <c r="B122" t="s">
        <v>81</v>
      </c>
      <c r="C122" t="s">
        <v>72</v>
      </c>
      <c r="D122" t="s">
        <v>76</v>
      </c>
      <c r="E122" t="s">
        <v>82</v>
      </c>
      <c r="F122" t="s">
        <v>74</v>
      </c>
      <c r="G122" t="s">
        <v>83</v>
      </c>
      <c r="H122" t="s">
        <v>73</v>
      </c>
    </row>
    <row r="123" spans="1:8" x14ac:dyDescent="0.2">
      <c r="A123" t="str">
        <f>B91</f>
        <v>Bicycle, electric, cargo bike, NCA battery, 2040</v>
      </c>
      <c r="B123">
        <v>1</v>
      </c>
      <c r="C123" t="str">
        <f>B92</f>
        <v>CH</v>
      </c>
      <c r="D123" t="str">
        <f>B99</f>
        <v>unit</v>
      </c>
      <c r="F123" t="s">
        <v>84</v>
      </c>
      <c r="G123" t="s">
        <v>85</v>
      </c>
      <c r="H123" t="str">
        <f>B93</f>
        <v>Bicycle, electric, cargo bike</v>
      </c>
    </row>
    <row r="124" spans="1:8" x14ac:dyDescent="0.2">
      <c r="A124" t="str">
        <f>INDEX('ei names mapping'!$B$4:$R$33,MATCH($B$3,'ei names mapping'!$A$4:$A$33,0),MATCH(G124,'ei names mapping'!$B$3:$R$3,0))</f>
        <v>electric bicycle production, without battery and motor</v>
      </c>
      <c r="B124" s="4">
        <f>INDEX('vehicles specifications'!$B$3:$CW$166,MATCH(B96,'vehicles specifications'!$A$3:$A$166,0),MATCH(G124,'vehicles specifications'!$B$2:$CW$2,0))*INDEX('ei names mapping'!$B$137:$BL$300,MATCH(B96,'ei names mapping'!$A$137:$A$300,0),MATCH(G124,'ei names mapping'!$B$136:$BL$136,0))</f>
        <v>2.2352941176470589</v>
      </c>
      <c r="C124" t="str">
        <f>INDEX('ei names mapping'!$B$38:$R$67,MATCH($B$3,'ei names mapping'!$A$4:$A$33,0),MATCH(G124,'ei names mapping'!$B$3:$R$3,0))</f>
        <v>RER</v>
      </c>
      <c r="D124" t="str">
        <f>INDEX('ei names mapping'!$B$104:$R$133,MATCH(B93,'ei names mapping'!$A$104:$A$133,0),MATCH(G124,'ei names mapping'!$B$3:$R$3,0))</f>
        <v>unit</v>
      </c>
      <c r="F124" t="s">
        <v>89</v>
      </c>
      <c r="G124" t="s">
        <v>15</v>
      </c>
      <c r="H124" t="str">
        <f>INDEX('ei names mapping'!$B$71:$R$100,MATCH($B$3,'ei names mapping'!$A$4:$A$33,0),MATCH(G124,'ei names mapping'!$B$3:$R$3,0))</f>
        <v>electric bicycle, without battery and motor</v>
      </c>
    </row>
    <row r="125" spans="1:8" x14ac:dyDescent="0.2">
      <c r="A125" t="str">
        <f>INDEX('ei names mapping'!$B$4:$R$33,MATCH($B$3,'ei names mapping'!$A$4:$A$33,0),MATCH(G125,'ei names mapping'!$B$3:$R$3,0))</f>
        <v>market for electric motor, vehicle</v>
      </c>
      <c r="B125" s="4">
        <f>INDEX('vehicles specifications'!$B$3:$CW$166,MATCH(B96,'vehicles specifications'!$A$3:$A$166,0),MATCH(G125,'vehicles specifications'!$B$2:$CW$2,0))*INDEX('ei names mapping'!$B$137:$BL$300,MATCH(B96,'ei names mapping'!$A$137:$A$300,0),MATCH(G125,'ei names mapping'!$B$136:$BL$136,0))</f>
        <v>3.8</v>
      </c>
      <c r="C125" t="str">
        <f>INDEX('ei names mapping'!$B$38:$R$67,MATCH($B$3,'ei names mapping'!$A$4:$A$33,0),MATCH(G125,'ei names mapping'!$B$3:$R$3,0))</f>
        <v>GLO</v>
      </c>
      <c r="D125" t="str">
        <f>INDEX('ei names mapping'!$B$104:$R$133,MATCH(B93,'ei names mapping'!$A$104:$A$133,0),MATCH(G125,'ei names mapping'!$B$3:$R$3,0))</f>
        <v>kilogram</v>
      </c>
      <c r="F125" t="s">
        <v>89</v>
      </c>
      <c r="G125" t="s">
        <v>501</v>
      </c>
      <c r="H125" t="str">
        <f>INDEX('ei names mapping'!$B$71:$R$100,MATCH($B$3,'ei names mapping'!$A$4:$A$33,0),MATCH(G125,'ei names mapping'!$B$3:$R$3,0))</f>
        <v>electric motor, vehicle</v>
      </c>
    </row>
    <row r="126" spans="1:8" x14ac:dyDescent="0.2">
      <c r="A126" t="str">
        <f>INDEX('ei names mapping'!$B$4:$R$33,MATCH(B93,'ei names mapping'!$A$4:$A$33,0),MATCH(G126,'ei names mapping'!$B$3:$R$3,0))</f>
        <v>Glider lightweighting</v>
      </c>
      <c r="B126" s="11">
        <f>INDEX('vehicles specifications'!$B$3:$CW$166,MATCH(B96,'vehicles specifications'!$A$3:$A$166,0),MATCH(G126,'vehicles specifications'!$B$2:$CW$2,0))*INDEX('ei names mapping'!$B$137:$BL$300,MATCH(B96,'ei names mapping'!$A$137:$A$300,0),MATCH(G126,'ei names mapping'!$B$136:$BL$136,0))</f>
        <v>1.9000000000000001</v>
      </c>
      <c r="C126" t="str">
        <f>INDEX('ei names mapping'!$B$38:$R$67,MATCH(B93,'ei names mapping'!$A$4:$A$33,0),MATCH(G126,'ei names mapping'!$B$3:$R$3,0))</f>
        <v>GLO</v>
      </c>
      <c r="D126" t="str">
        <f>INDEX('ei names mapping'!$B$104:$R$133,MATCH(B93,'ei names mapping'!$A$104:$A$133,0),MATCH(G126,'ei names mapping'!$B$3:$R$3,0))</f>
        <v>kilogram</v>
      </c>
      <c r="F126" t="s">
        <v>89</v>
      </c>
      <c r="G126" t="s">
        <v>14</v>
      </c>
      <c r="H126" t="str">
        <f>INDEX('ei names mapping'!$B$71:$R$100,MATCH(B93,'ei names mapping'!$A$4:$A$33,0),MATCH(G126,'ei names mapping'!$B$3:$R$3,0))</f>
        <v>Glider lightweighting</v>
      </c>
    </row>
    <row r="127" spans="1:8" x14ac:dyDescent="0.2">
      <c r="A127" t="s">
        <v>760</v>
      </c>
      <c r="B127" s="4">
        <f>INDEX('vehicles specifications'!$B$3:$CW$166,MATCH(B96,'vehicles specifications'!$A$3:$A$166,0),MATCH(G127,'vehicles specifications'!$B$2:$CW$2,0))*INDEX('ei names mapping'!$B$137:$BL$300,MATCH(B96,'ei names mapping'!$A$137:$A$300,0),MATCH(G127,'ei names mapping'!$B$136:$BL$136,0))</f>
        <v>2.5</v>
      </c>
      <c r="C127" t="str">
        <f>INDEX('ei names mapping'!$B$38:$R$67,MATCH($B$3,'ei names mapping'!$A$4:$A$33,0),MATCH(G127,'ei names mapping'!$B$3:$R$3,0))</f>
        <v>GLO</v>
      </c>
      <c r="D127" t="str">
        <f>INDEX('ei names mapping'!$B$104:$R$133,MATCH(B93,'ei names mapping'!$A$104:$A$133,0),MATCH(G127,'ei names mapping'!$B$3:$R$3,0))</f>
        <v>kilogram</v>
      </c>
      <c r="F127" t="s">
        <v>89</v>
      </c>
      <c r="G127" t="s">
        <v>19</v>
      </c>
      <c r="H127" t="str">
        <f>INDEX('ei names mapping'!$B$71:$R$100,MATCH($B$3,'ei names mapping'!$A$4:$A$33,0),MATCH(G127,'ei names mapping'!$B$3:$R$3,0))</f>
        <v>Battery cell</v>
      </c>
    </row>
    <row r="128" spans="1:8" x14ac:dyDescent="0.2">
      <c r="A128" t="str">
        <f>INDEX('ei names mapping'!$B$4:$R$33,MATCH($B$3,'ei names mapping'!$A$4:$A$33,0),MATCH(G128,'ei names mapping'!$B$3:$R$3,0))</f>
        <v>Battery BoP</v>
      </c>
      <c r="B128" s="4">
        <f>INDEX('vehicles specifications'!$B$3:$CW$166,MATCH(B96,'vehicles specifications'!$A$3:$A$166,0),MATCH(G128,'vehicles specifications'!$B$2:$CW$2,0))*INDEX('ei names mapping'!$B$137:$BL$300,MATCH(B96,'ei names mapping'!$A$137:$A$300,0),MATCH(G128,'ei names mapping'!$B$136:$BL$136,0))</f>
        <v>0.75</v>
      </c>
      <c r="C128" t="str">
        <f>INDEX('ei names mapping'!$B$38:$R$67,MATCH($B$3,'ei names mapping'!$A$4:$A$33,0),MATCH(G128,'ei names mapping'!$B$3:$R$3,0))</f>
        <v>GLO</v>
      </c>
      <c r="D128" t="str">
        <f>INDEX('ei names mapping'!$B$104:$R$133,MATCH(B93,'ei names mapping'!$A$104:$A$133,0),MATCH(G128,'ei names mapping'!$B$3:$R$3,0))</f>
        <v>kilogram</v>
      </c>
      <c r="F128" t="s">
        <v>89</v>
      </c>
      <c r="G128" t="s">
        <v>20</v>
      </c>
      <c r="H128" t="str">
        <f>INDEX('ei names mapping'!$B$71:$R$100,MATCH($B$3,'ei names mapping'!$A$4:$A$33,0),MATCH(G128,'ei names mapping'!$B$3:$R$3,0))</f>
        <v>Battery BoP</v>
      </c>
    </row>
    <row r="129" spans="1:8" x14ac:dyDescent="0.2">
      <c r="A129" t="str">
        <f>INDEX('ei names mapping'!$B$4:$R$33,MATCH($B$3,'ei names mapping'!$A$4:$A$33,0),MATCH(G129,'ei names mapping'!$B$3:$R$3,0))</f>
        <v>charging station, 500W</v>
      </c>
      <c r="B129" s="4">
        <f>INDEX('vehicles specifications'!$B$3:$CW$166,MATCH(B96,'vehicles specifications'!$A$3:$A$166,0),MATCH(G129,'vehicles specifications'!$B$2:$CW$2,0))*INDEX('ei names mapping'!$B$137:$BL$300,MATCH(B96,'ei names mapping'!$A$137:$A$300,0),MATCH(G129,'ei names mapping'!$B$136:$BL$136,0))</f>
        <v>1</v>
      </c>
      <c r="C129" t="str">
        <f>INDEX('ei names mapping'!$B$38:$R$67,MATCH($B$3,'ei names mapping'!$A$4:$A$33,0),MATCH(G129,'ei names mapping'!$B$3:$R$3,0))</f>
        <v>GLO</v>
      </c>
      <c r="D129" t="str">
        <f>INDEX('ei names mapping'!$B$104:$R$133,MATCH(B93,'ei names mapping'!$A$104:$A$133,0),MATCH(G129,'ei names mapping'!$B$3:$R$3,0))</f>
        <v>unit</v>
      </c>
      <c r="F129" t="s">
        <v>89</v>
      </c>
      <c r="G129" t="s">
        <v>52</v>
      </c>
      <c r="H129" t="str">
        <f>INDEX('ei names mapping'!$B$71:$R$100,MATCH($B$3,'ei names mapping'!$A$4:$A$33,0),MATCH(G129,'ei names mapping'!$B$3:$R$3,0))</f>
        <v>charging station, 500W</v>
      </c>
    </row>
    <row r="130" spans="1:8" x14ac:dyDescent="0.2">
      <c r="A130" t="str">
        <f>INDEX('ei names mapping'!$B$4:$R$33,MATCH($B$3,'ei names mapping'!$A$4:$A$33,0),MATCH(G130,'ei names mapping'!$B$3:$R$3,0))</f>
        <v>treatment of used electric bicycle</v>
      </c>
      <c r="B130" s="4">
        <f>INDEX('vehicles specifications'!$B$3:$CW$166,MATCH(B96,'vehicles specifications'!$A$3:$A$166,0),MATCH(G130,'vehicles specifications'!$B$2:$CW$2,0))*INDEX('ei names mapping'!$B$137:$BL$300,MATCH(B96,'ei names mapping'!$A$137:$A$300,0),MATCH(G130,'ei names mapping'!$B$136:$BL$136,0))</f>
        <v>-1.5041666666666667</v>
      </c>
      <c r="C130" t="str">
        <f>INDEX('ei names mapping'!$B$38:$R$67,MATCH($B$3,'ei names mapping'!$A$4:$A$33,0),MATCH(G130,'ei names mapping'!$B$3:$R$3,0))</f>
        <v>CH</v>
      </c>
      <c r="D130" t="str">
        <f>INDEX('ei names mapping'!$B$104:$R$133,MATCH(B93,'ei names mapping'!$A$104:$A$133,0),MATCH(G130,'ei names mapping'!$B$3:$R$3,0))</f>
        <v>unit</v>
      </c>
      <c r="F130" t="s">
        <v>89</v>
      </c>
      <c r="G130" t="s">
        <v>144</v>
      </c>
      <c r="H130" t="str">
        <f>INDEX('ei names mapping'!$B$71:$R$100,MATCH($B$3,'ei names mapping'!$A$4:$A$33,0),MATCH(G130,'ei names mapping'!$B$3:$R$3,0))</f>
        <v>used electric bicycle</v>
      </c>
    </row>
    <row r="131" spans="1:8" x14ac:dyDescent="0.2">
      <c r="A131" t="str">
        <f>INDEX('ei names mapping'!$B$4:$R$33,MATCH($B$3,'ei names mapping'!$A$4:$A$33,0),MATCH(G131,'ei names mapping'!$B$3:$R$3,0))</f>
        <v>treatment of used electric bicycle</v>
      </c>
      <c r="B131" s="4">
        <f>INDEX('vehicles specifications'!$B$3:$CW$166,MATCH(B96,'vehicles specifications'!$A$3:$A$166,0),MATCH(G131,'vehicles specifications'!$B$2:$CW$2,0))*INDEX('ei names mapping'!$B$137:$BL$300,MATCH(B96,'ei names mapping'!$A$137:$A$300,0),MATCH(G131,'ei names mapping'!$B$136:$BL$136,0))</f>
        <v>-0.15833333333333333</v>
      </c>
      <c r="C131" t="str">
        <f>INDEX('ei names mapping'!$B$38:$R$67,MATCH($B$3,'ei names mapping'!$A$4:$A$33,0),MATCH(G131,'ei names mapping'!$B$3:$R$3,0))</f>
        <v>CH</v>
      </c>
      <c r="D131" t="str">
        <f>INDEX('ei names mapping'!$B$104:$R$133,MATCH(B93,'ei names mapping'!$A$104:$A$133,0),MATCH(G131,'ei names mapping'!$B$3:$R$3,0))</f>
        <v>unit</v>
      </c>
      <c r="F131" t="s">
        <v>89</v>
      </c>
      <c r="G131" t="s">
        <v>145</v>
      </c>
      <c r="H131" t="str">
        <f>INDEX('ei names mapping'!$B$71:$R$100,MATCH($B$3,'ei names mapping'!$A$4:$A$33,0),MATCH(G131,'ei names mapping'!$B$3:$R$3,0))</f>
        <v>used electric bicycle</v>
      </c>
    </row>
    <row r="132" spans="1:8" x14ac:dyDescent="0.2">
      <c r="A132" t="str">
        <f>INDEX('ei names mapping'!$B$4:$R$33,MATCH($B$3,'ei names mapping'!$A$4:$A$33,0),MATCH(G132,'ei names mapping'!$B$3:$R$3,0))</f>
        <v>market for used Li-ion battery</v>
      </c>
      <c r="B132" s="4">
        <f>INDEX('vehicles specifications'!$B$3:$CW$166,MATCH(B96,'vehicles specifications'!$A$3:$A$166,0),MATCH(G132,'vehicles specifications'!$B$2:$CW$2,0))*INDEX('ei names mapping'!$B$137:$BL$300,MATCH(B96,'ei names mapping'!$A$137:$A$300,0),MATCH(G132,'ei names mapping'!$B$136:$BL$136,0))</f>
        <v>-3.25</v>
      </c>
      <c r="C132" t="str">
        <f>INDEX('ei names mapping'!$B$38:$R$67,MATCH($B$3,'ei names mapping'!$A$4:$A$33,0),MATCH(G132,'ei names mapping'!$B$3:$R$3,0))</f>
        <v>GLO</v>
      </c>
      <c r="D132" t="str">
        <f>INDEX('ei names mapping'!$B$104:$R$133,MATCH(B93,'ei names mapping'!$A$104:$A$133,0),MATCH(G132,'ei names mapping'!$B$3:$R$3,0))</f>
        <v>kilogram</v>
      </c>
      <c r="F132" t="s">
        <v>89</v>
      </c>
      <c r="G132" t="s">
        <v>146</v>
      </c>
      <c r="H132" t="str">
        <f>INDEX('ei names mapping'!$B$71:$R$100,MATCH($B$3,'ei names mapping'!$A$4:$A$33,0),MATCH(G132,'ei names mapping'!$B$3:$R$3,0))</f>
        <v>used Li-ion battery</v>
      </c>
    </row>
    <row r="133" spans="1:8" x14ac:dyDescent="0.2">
      <c r="A133" s="13" t="s">
        <v>840</v>
      </c>
      <c r="B133">
        <f>(B106/1000)*B119</f>
        <v>42.5</v>
      </c>
      <c r="C133" t="s">
        <v>92</v>
      </c>
      <c r="D133" t="s">
        <v>233</v>
      </c>
      <c r="F133" t="s">
        <v>89</v>
      </c>
      <c r="H133" s="13" t="s">
        <v>841</v>
      </c>
    </row>
    <row r="134" spans="1:8" x14ac:dyDescent="0.2">
      <c r="A134" s="13" t="s">
        <v>441</v>
      </c>
      <c r="B134" s="2">
        <f>(B106/1000)*B118</f>
        <v>675.75</v>
      </c>
      <c r="C134" t="s">
        <v>95</v>
      </c>
      <c r="D134" t="s">
        <v>233</v>
      </c>
      <c r="F134" t="s">
        <v>89</v>
      </c>
      <c r="H134" s="13" t="s">
        <v>441</v>
      </c>
    </row>
    <row r="136" spans="1:8" ht="16" x14ac:dyDescent="0.2">
      <c r="A136" s="10" t="s">
        <v>71</v>
      </c>
      <c r="B136" s="8" t="str">
        <f>B138&amp;", "&amp;B153&amp;" battery, "&amp;B140</f>
        <v>Bicycle, electric, cargo bike, NCA battery, 2050</v>
      </c>
    </row>
    <row r="137" spans="1:8" x14ac:dyDescent="0.2">
      <c r="A137" t="s">
        <v>72</v>
      </c>
      <c r="B137" t="s">
        <v>37</v>
      </c>
    </row>
    <row r="138" spans="1:8" x14ac:dyDescent="0.2">
      <c r="A138" t="s">
        <v>86</v>
      </c>
      <c r="B138" t="s">
        <v>496</v>
      </c>
    </row>
    <row r="139" spans="1:8" x14ac:dyDescent="0.2">
      <c r="A139" t="s">
        <v>87</v>
      </c>
    </row>
    <row r="140" spans="1:8" x14ac:dyDescent="0.2">
      <c r="A140" t="s">
        <v>88</v>
      </c>
      <c r="B140">
        <v>2050</v>
      </c>
    </row>
    <row r="141" spans="1:8" x14ac:dyDescent="0.2">
      <c r="A141" t="s">
        <v>126</v>
      </c>
      <c r="B141" t="str">
        <f>B138&amp;" - "&amp;B140&amp;" - "&amp;B153&amp;" - "&amp;B137</f>
        <v>Bicycle, electric, cargo bike - 2050 - NCA - CH</v>
      </c>
    </row>
    <row r="142" spans="1:8" x14ac:dyDescent="0.2">
      <c r="A142" t="s">
        <v>73</v>
      </c>
      <c r="B142" t="str">
        <f>B138</f>
        <v>Bicycle, electric, cargo bike</v>
      </c>
    </row>
    <row r="143" spans="1:8" x14ac:dyDescent="0.2">
      <c r="A143" t="s">
        <v>74</v>
      </c>
      <c r="B143" t="s">
        <v>75</v>
      </c>
    </row>
    <row r="144" spans="1:8" x14ac:dyDescent="0.2">
      <c r="A144" t="s">
        <v>76</v>
      </c>
      <c r="B144" t="s">
        <v>76</v>
      </c>
    </row>
    <row r="145" spans="1:2" x14ac:dyDescent="0.2">
      <c r="A145" t="s">
        <v>78</v>
      </c>
      <c r="B145" t="s">
        <v>1143</v>
      </c>
    </row>
    <row r="146" spans="1:2" x14ac:dyDescent="0.2">
      <c r="A146" t="s">
        <v>127</v>
      </c>
      <c r="B146">
        <f>INDEX('vehicles specifications'!$B$3:$CW$166,MATCH(B141,'vehicles specifications'!$A$3:$A$166,0),MATCH("Lifetime [km]",'vehicles specifications'!$B$2:$CW$2,0))</f>
        <v>20000</v>
      </c>
    </row>
    <row r="147" spans="1:2" x14ac:dyDescent="0.2">
      <c r="A147" t="s">
        <v>128</v>
      </c>
      <c r="B147">
        <f>INDEX('vehicles specifications'!$B$3:$CW$166,MATCH(B141,'vehicles specifications'!$A$3:$A$166,0),MATCH("Passengers [unit]",'vehicles specifications'!$B$2:$CW$2,0))</f>
        <v>1</v>
      </c>
    </row>
    <row r="148" spans="1:2" x14ac:dyDescent="0.2">
      <c r="A148" t="s">
        <v>129</v>
      </c>
      <c r="B148">
        <f>INDEX('vehicles specifications'!$B$3:$CW$166,MATCH(B141,'vehicles specifications'!$A$3:$A$166,0),MATCH("Servicing [unit]",'vehicles specifications'!$B$2:$CW$2,0))</f>
        <v>1.3333333333333333</v>
      </c>
    </row>
    <row r="149" spans="1:2" x14ac:dyDescent="0.2">
      <c r="A149" t="s">
        <v>130</v>
      </c>
      <c r="B149">
        <f>INDEX('vehicles specifications'!$B$3:$CW$166,MATCH(B141,'vehicles specifications'!$A$3:$A$166,0),MATCH("Energy battery replacement [unit]",'vehicles specifications'!$B$2:$CW$2,0))</f>
        <v>0</v>
      </c>
    </row>
    <row r="150" spans="1:2" x14ac:dyDescent="0.2">
      <c r="A150" t="s">
        <v>131</v>
      </c>
      <c r="B150">
        <f>INDEX('vehicles specifications'!$B$3:$CW$166,MATCH(B141,'vehicles specifications'!$A$3:$A$166,0),MATCH("Annual kilometers [km]",'vehicles specifications'!$B$2:$CW$2,0))</f>
        <v>2000</v>
      </c>
    </row>
    <row r="151" spans="1:2" x14ac:dyDescent="0.2">
      <c r="A151" t="s">
        <v>132</v>
      </c>
      <c r="B151">
        <f>INDEX('vehicles specifications'!$B$3:$CW$166,MATCH(B141,'vehicles specifications'!$A$3:$A$166,0),MATCH("Curb mass [kg]",'vehicles specifications'!$B$2:$CW$2,0))</f>
        <v>41.64</v>
      </c>
    </row>
    <row r="152" spans="1:2" x14ac:dyDescent="0.2">
      <c r="A152" t="s">
        <v>133</v>
      </c>
      <c r="B152">
        <f>INDEX('vehicles specifications'!$B$3:$CW$166,MATCH(B141,'vehicles specifications'!$A$3:$A$166,0),MATCH("Power [kW]",'vehicles specifications'!$B$2:$CW$2,0))</f>
        <v>0.25</v>
      </c>
    </row>
    <row r="153" spans="1:2" x14ac:dyDescent="0.2">
      <c r="A153" t="s">
        <v>652</v>
      </c>
      <c r="B153" s="20" t="s">
        <v>45</v>
      </c>
    </row>
    <row r="154" spans="1:2" x14ac:dyDescent="0.2">
      <c r="A154" t="s">
        <v>134</v>
      </c>
      <c r="B154">
        <f>INDEX('vehicles specifications'!$B$3:$CW$166,MATCH(B141,'vehicles specifications'!$A$3:$A$166,0),MATCH("Energy battery mass [kg]",'vehicles specifications'!$B$2:$CW$2,0))</f>
        <v>2.6</v>
      </c>
    </row>
    <row r="155" spans="1:2" x14ac:dyDescent="0.2">
      <c r="A155" t="s">
        <v>135</v>
      </c>
      <c r="B155">
        <f>INDEX('vehicles specifications'!$B$3:$CW$166,MATCH(B141,'vehicles specifications'!$A$3:$A$166,0),MATCH("Electric energy stored [kWh]",'vehicles specifications'!$B$2:$CW$2,0))</f>
        <v>1</v>
      </c>
    </row>
    <row r="156" spans="1:2" x14ac:dyDescent="0.2">
      <c r="A156" t="s">
        <v>588</v>
      </c>
      <c r="B156">
        <f>INDEX('vehicles specifications'!$B$3:$CW$166,MATCH(B141,'vehicles specifications'!$A$3:$A$166,0),MATCH("Electric energy available [kWh]",'vehicles specifications'!$B$2:$CW$2,0))</f>
        <v>0.8</v>
      </c>
    </row>
    <row r="157" spans="1:2" x14ac:dyDescent="0.2">
      <c r="A157" t="s">
        <v>138</v>
      </c>
      <c r="B157">
        <f>INDEX('vehicles specifications'!$B$3:$CW$166,MATCH(B141,'vehicles specifications'!$A$3:$A$166,0),MATCH("Oxydation energy stored [kWh]",'vehicles specifications'!$B$2:$CW$2,0))</f>
        <v>0</v>
      </c>
    </row>
    <row r="158" spans="1:2" x14ac:dyDescent="0.2">
      <c r="A158" t="s">
        <v>139</v>
      </c>
      <c r="B158">
        <f>INDEX('vehicles specifications'!$B$3:$CW$166,MATCH(B141,'vehicles specifications'!$A$3:$A$166,0),MATCH("Fuel mass [kg]",'vehicles specifications'!$B$2:$CW$2,0))</f>
        <v>0</v>
      </c>
    </row>
    <row r="159" spans="1:2" x14ac:dyDescent="0.2">
      <c r="A159" t="s">
        <v>136</v>
      </c>
      <c r="B159" s="2">
        <f>INDEX('vehicles specifications'!$B$3:$CW$166,MATCH(B141,'vehicles specifications'!$A$3:$A$166,0),MATCH("Range [km]",'vehicles specifications'!$B$2:$CW$2,0))</f>
        <v>82.977215189873419</v>
      </c>
    </row>
    <row r="160" spans="1:2" x14ac:dyDescent="0.2">
      <c r="A160" t="s">
        <v>137</v>
      </c>
      <c r="B160" t="str">
        <f>INDEX('vehicles specifications'!$B$3:$CW$166,MATCH(B141,'vehicles specifications'!$A$3:$A$166,0),MATCH("Emission standard",'vehicles specifications'!$B$2:$CW$2,0))</f>
        <v>None</v>
      </c>
    </row>
    <row r="161" spans="1:8" x14ac:dyDescent="0.2">
      <c r="A161" t="s">
        <v>1174</v>
      </c>
      <c r="B161" s="6">
        <f>INDEX('vehicles specifications'!$B$3:$CW$166,MATCH(B141,'vehicles specifications'!$A$3:$A$166,0),MATCH("Lightweighting rate [%]",'vehicles specifications'!$B$2:$CW$2,0))</f>
        <v>7.0000000000000007E-2</v>
      </c>
    </row>
    <row r="162" spans="1:8" x14ac:dyDescent="0.2">
      <c r="A162" t="s">
        <v>485</v>
      </c>
      <c r="B162" s="6" t="s">
        <v>486</v>
      </c>
    </row>
    <row r="163" spans="1:8" x14ac:dyDescent="0.2">
      <c r="A163" t="s">
        <v>487</v>
      </c>
      <c r="B163" s="2">
        <v>15900</v>
      </c>
    </row>
    <row r="164" spans="1:8" x14ac:dyDescent="0.2">
      <c r="A164" t="s">
        <v>488</v>
      </c>
      <c r="B164" s="2">
        <v>1000</v>
      </c>
    </row>
    <row r="165" spans="1:8" x14ac:dyDescent="0.2">
      <c r="A165" t="s">
        <v>83</v>
      </c>
      <c r="B165" t="str">
        <f>"Power: "&amp;B152&amp;" kW. Lifetime: "&amp;B146&amp;" km. Annual kilometers: "&amp;ROUND(B150,0)&amp;" km. Number of passengers: "&amp;ROUND(B147,1)&amp;". Curb mass: "&amp;ROUND(B151,1)&amp;" kg. Lightweighting of glider: "&amp;ROUND(B161*100,0)&amp;"%. Emission standard: "&amp;B160&amp;". Service visits throughout lifetime: "&amp;ROUND(B148,1)&amp;". Range: "&amp;ROUND(B159,0)&amp;" km. Battery capacity: "&amp;ROUND(B155,1)&amp;" kWh. Available battery capacity: "&amp;B156&amp;" kWh. Battery mass: "&amp;ROUND(B154,1)&amp; " kg. Battery replacement throughout lifetime: "&amp;ROUND(B149,1)&amp;". Fuel tank capacity: "&amp;ROUND(B157,1)&amp;" kWh. Fuel mass: "&amp;ROUND(B158,1)&amp;" kg. Origin of manufacture: "&amp;B162&amp;". Shipping distance: "&amp;B163&amp;" km. Lorry distribution distance: "&amp;B164&amp;" km. Documentation: "&amp;Readmefirst!$B$2&amp;", "&amp;Readmefirst!$B$3&amp;". "&amp;'lci-kick scooter - NMC'!B148</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Origin of manufacture: China. Shipping distance: 15900 km. Lorry distribution distance: 1000 km. Documentation: Life-cycle inventories for on-road vehicles, Sacchi R. (PSI), Bauer C. (PSI), 2021. 1785</v>
      </c>
    </row>
    <row r="166" spans="1:8" ht="16" x14ac:dyDescent="0.2">
      <c r="A166" s="10" t="s">
        <v>79</v>
      </c>
    </row>
    <row r="167" spans="1:8" x14ac:dyDescent="0.2">
      <c r="A167" t="s">
        <v>80</v>
      </c>
      <c r="B167" t="s">
        <v>81</v>
      </c>
      <c r="C167" t="s">
        <v>72</v>
      </c>
      <c r="D167" t="s">
        <v>76</v>
      </c>
      <c r="E167" t="s">
        <v>82</v>
      </c>
      <c r="F167" t="s">
        <v>74</v>
      </c>
      <c r="G167" t="s">
        <v>83</v>
      </c>
      <c r="H167" t="s">
        <v>73</v>
      </c>
    </row>
    <row r="168" spans="1:8" x14ac:dyDescent="0.2">
      <c r="A168" t="str">
        <f>B136</f>
        <v>Bicycle, electric, cargo bike, NCA battery, 2050</v>
      </c>
      <c r="B168">
        <v>1</v>
      </c>
      <c r="C168" t="str">
        <f>B137</f>
        <v>CH</v>
      </c>
      <c r="D168" t="str">
        <f>B144</f>
        <v>unit</v>
      </c>
      <c r="F168" t="s">
        <v>84</v>
      </c>
      <c r="G168" t="s">
        <v>85</v>
      </c>
      <c r="H168" t="str">
        <f>B138</f>
        <v>Bicycle, electric, cargo bike</v>
      </c>
    </row>
    <row r="169" spans="1:8" x14ac:dyDescent="0.2">
      <c r="A169" t="str">
        <f>INDEX('ei names mapping'!$B$4:$R$33,MATCH($B$3,'ei names mapping'!$A$4:$A$33,0),MATCH(G169,'ei names mapping'!$B$3:$R$3,0))</f>
        <v>electric bicycle production, without battery and motor</v>
      </c>
      <c r="B169" s="4">
        <f>INDEX('vehicles specifications'!$B$3:$CW$166,MATCH(B141,'vehicles specifications'!$A$3:$A$166,0),MATCH(G169,'vehicles specifications'!$B$2:$CW$2,0))*INDEX('ei names mapping'!$B$137:$BL$300,MATCH(B141,'ei names mapping'!$A$137:$A$300,0),MATCH(G169,'ei names mapping'!$B$136:$BL$136,0))</f>
        <v>2.2352941176470589</v>
      </c>
      <c r="C169" t="str">
        <f>INDEX('ei names mapping'!$B$38:$R$67,MATCH($B$3,'ei names mapping'!$A$4:$A$33,0),MATCH(G169,'ei names mapping'!$B$3:$R$3,0))</f>
        <v>RER</v>
      </c>
      <c r="D169" t="str">
        <f>INDEX('ei names mapping'!$B$104:$R$133,MATCH(B138,'ei names mapping'!$A$104:$A$133,0),MATCH(G169,'ei names mapping'!$B$3:$R$3,0))</f>
        <v>unit</v>
      </c>
      <c r="F169" t="s">
        <v>89</v>
      </c>
      <c r="G169" t="s">
        <v>15</v>
      </c>
      <c r="H169" t="str">
        <f>INDEX('ei names mapping'!$B$71:$R$100,MATCH($B$3,'ei names mapping'!$A$4:$A$33,0),MATCH(G169,'ei names mapping'!$B$3:$R$3,0))</f>
        <v>electric bicycle, without battery and motor</v>
      </c>
    </row>
    <row r="170" spans="1:8" x14ac:dyDescent="0.2">
      <c r="A170" t="str">
        <f>INDEX('ei names mapping'!$B$4:$R$33,MATCH($B$3,'ei names mapping'!$A$4:$A$33,0),MATCH(G170,'ei names mapping'!$B$3:$R$3,0))</f>
        <v>market for electric motor, vehicle</v>
      </c>
      <c r="B170" s="4">
        <f>INDEX('vehicles specifications'!$B$3:$CW$166,MATCH(B141,'vehicles specifications'!$A$3:$A$166,0),MATCH(G170,'vehicles specifications'!$B$2:$CW$2,0))*INDEX('ei names mapping'!$B$137:$BL$300,MATCH(B141,'ei names mapping'!$A$137:$A$300,0),MATCH(G170,'ei names mapping'!$B$136:$BL$136,0))</f>
        <v>3.7</v>
      </c>
      <c r="C170" t="str">
        <f>INDEX('ei names mapping'!$B$38:$R$67,MATCH($B$3,'ei names mapping'!$A$4:$A$33,0),MATCH(G170,'ei names mapping'!$B$3:$R$3,0))</f>
        <v>GLO</v>
      </c>
      <c r="D170" t="str">
        <f>INDEX('ei names mapping'!$B$104:$R$133,MATCH(B138,'ei names mapping'!$A$104:$A$133,0),MATCH(G170,'ei names mapping'!$B$3:$R$3,0))</f>
        <v>kilogram</v>
      </c>
      <c r="F170" t="s">
        <v>89</v>
      </c>
      <c r="G170" t="s">
        <v>501</v>
      </c>
      <c r="H170" t="str">
        <f>INDEX('ei names mapping'!$B$71:$R$100,MATCH($B$3,'ei names mapping'!$A$4:$A$33,0),MATCH(G170,'ei names mapping'!$B$3:$R$3,0))</f>
        <v>electric motor, vehicle</v>
      </c>
    </row>
    <row r="171" spans="1:8" x14ac:dyDescent="0.2">
      <c r="A171" t="str">
        <f>INDEX('ei names mapping'!$B$4:$R$33,MATCH(B138,'ei names mapping'!$A$4:$A$33,0),MATCH(G171,'ei names mapping'!$B$3:$R$3,0))</f>
        <v>Glider lightweighting</v>
      </c>
      <c r="B171" s="11">
        <f>INDEX('vehicles specifications'!$B$3:$CW$166,MATCH(B141,'vehicles specifications'!$A$3:$A$166,0),MATCH(G171,'vehicles specifications'!$B$2:$CW$2,0))*INDEX('ei names mapping'!$B$137:$BL$300,MATCH(B141,'ei names mapping'!$A$137:$A$300,0),MATCH(G171,'ei names mapping'!$B$136:$BL$136,0))</f>
        <v>2.66</v>
      </c>
      <c r="C171" t="str">
        <f>INDEX('ei names mapping'!$B$38:$R$67,MATCH(B138,'ei names mapping'!$A$4:$A$33,0),MATCH(G171,'ei names mapping'!$B$3:$R$3,0))</f>
        <v>GLO</v>
      </c>
      <c r="D171" t="str">
        <f>INDEX('ei names mapping'!$B$104:$R$133,MATCH(B138,'ei names mapping'!$A$104:$A$133,0),MATCH(G171,'ei names mapping'!$B$3:$R$3,0))</f>
        <v>kilogram</v>
      </c>
      <c r="F171" t="s">
        <v>89</v>
      </c>
      <c r="G171" t="s">
        <v>14</v>
      </c>
      <c r="H171" t="str">
        <f>INDEX('ei names mapping'!$B$71:$R$100,MATCH(B138,'ei names mapping'!$A$4:$A$33,0),MATCH(G171,'ei names mapping'!$B$3:$R$3,0))</f>
        <v>Glider lightweighting</v>
      </c>
    </row>
    <row r="172" spans="1:8" x14ac:dyDescent="0.2">
      <c r="A172" t="s">
        <v>760</v>
      </c>
      <c r="B172" s="4">
        <f>INDEX('vehicles specifications'!$B$3:$CW$166,MATCH(B141,'vehicles specifications'!$A$3:$A$166,0),MATCH(G172,'vehicles specifications'!$B$2:$CW$2,0))*INDEX('ei names mapping'!$B$137:$BL$300,MATCH(B141,'ei names mapping'!$A$137:$A$300,0),MATCH(G172,'ei names mapping'!$B$136:$BL$136,0))</f>
        <v>2</v>
      </c>
      <c r="C172" t="str">
        <f>INDEX('ei names mapping'!$B$38:$R$67,MATCH($B$3,'ei names mapping'!$A$4:$A$33,0),MATCH(G172,'ei names mapping'!$B$3:$R$3,0))</f>
        <v>GLO</v>
      </c>
      <c r="D172" t="str">
        <f>INDEX('ei names mapping'!$B$104:$R$133,MATCH(B138,'ei names mapping'!$A$104:$A$133,0),MATCH(G172,'ei names mapping'!$B$3:$R$3,0))</f>
        <v>kilogram</v>
      </c>
      <c r="F172" t="s">
        <v>89</v>
      </c>
      <c r="G172" t="s">
        <v>19</v>
      </c>
      <c r="H172" t="str">
        <f>INDEX('ei names mapping'!$B$71:$R$100,MATCH($B$3,'ei names mapping'!$A$4:$A$33,0),MATCH(G172,'ei names mapping'!$B$3:$R$3,0))</f>
        <v>Battery cell</v>
      </c>
    </row>
    <row r="173" spans="1:8" x14ac:dyDescent="0.2">
      <c r="A173" t="str">
        <f>INDEX('ei names mapping'!$B$4:$R$33,MATCH($B$3,'ei names mapping'!$A$4:$A$33,0),MATCH(G173,'ei names mapping'!$B$3:$R$3,0))</f>
        <v>Battery BoP</v>
      </c>
      <c r="B173" s="4">
        <f>INDEX('vehicles specifications'!$B$3:$CW$166,MATCH(B141,'vehicles specifications'!$A$3:$A$166,0),MATCH(G173,'vehicles specifications'!$B$2:$CW$2,0))*INDEX('ei names mapping'!$B$137:$BL$300,MATCH(B141,'ei names mapping'!$A$137:$A$300,0),MATCH(G173,'ei names mapping'!$B$136:$BL$136,0))</f>
        <v>0.6</v>
      </c>
      <c r="C173" t="str">
        <f>INDEX('ei names mapping'!$B$38:$R$67,MATCH($B$3,'ei names mapping'!$A$4:$A$33,0),MATCH(G173,'ei names mapping'!$B$3:$R$3,0))</f>
        <v>GLO</v>
      </c>
      <c r="D173" t="str">
        <f>INDEX('ei names mapping'!$B$104:$R$133,MATCH(B138,'ei names mapping'!$A$104:$A$133,0),MATCH(G173,'ei names mapping'!$B$3:$R$3,0))</f>
        <v>kilogram</v>
      </c>
      <c r="F173" t="s">
        <v>89</v>
      </c>
      <c r="G173" t="s">
        <v>20</v>
      </c>
      <c r="H173" t="str">
        <f>INDEX('ei names mapping'!$B$71:$R$100,MATCH($B$3,'ei names mapping'!$A$4:$A$33,0),MATCH(G173,'ei names mapping'!$B$3:$R$3,0))</f>
        <v>Battery BoP</v>
      </c>
    </row>
    <row r="174" spans="1:8" x14ac:dyDescent="0.2">
      <c r="A174" t="str">
        <f>INDEX('ei names mapping'!$B$4:$R$33,MATCH($B$3,'ei names mapping'!$A$4:$A$33,0),MATCH(G174,'ei names mapping'!$B$3:$R$3,0))</f>
        <v>charging station, 500W</v>
      </c>
      <c r="B174" s="4">
        <f>INDEX('vehicles specifications'!$B$3:$CW$166,MATCH(B141,'vehicles specifications'!$A$3:$A$166,0),MATCH(G174,'vehicles specifications'!$B$2:$CW$2,0))*INDEX('ei names mapping'!$B$137:$BL$300,MATCH(B141,'ei names mapping'!$A$137:$A$300,0),MATCH(G174,'ei names mapping'!$B$136:$BL$136,0))</f>
        <v>1</v>
      </c>
      <c r="C174" t="str">
        <f>INDEX('ei names mapping'!$B$38:$R$67,MATCH($B$3,'ei names mapping'!$A$4:$A$33,0),MATCH(G174,'ei names mapping'!$B$3:$R$3,0))</f>
        <v>GLO</v>
      </c>
      <c r="D174" t="str">
        <f>INDEX('ei names mapping'!$B$104:$R$133,MATCH(B138,'ei names mapping'!$A$104:$A$133,0),MATCH(G174,'ei names mapping'!$B$3:$R$3,0))</f>
        <v>unit</v>
      </c>
      <c r="F174" t="s">
        <v>89</v>
      </c>
      <c r="G174" t="s">
        <v>52</v>
      </c>
      <c r="H174" t="str">
        <f>INDEX('ei names mapping'!$B$71:$R$100,MATCH($B$3,'ei names mapping'!$A$4:$A$33,0),MATCH(G174,'ei names mapping'!$B$3:$R$3,0))</f>
        <v>charging station, 500W</v>
      </c>
    </row>
    <row r="175" spans="1:8" x14ac:dyDescent="0.2">
      <c r="A175" t="str">
        <f>INDEX('ei names mapping'!$B$4:$R$33,MATCH($B$3,'ei names mapping'!$A$4:$A$33,0),MATCH(G175,'ei names mapping'!$B$3:$R$3,0))</f>
        <v>treatment of used electric bicycle</v>
      </c>
      <c r="B175" s="4">
        <f>INDEX('vehicles specifications'!$B$3:$CW$166,MATCH(B141,'vehicles specifications'!$A$3:$A$166,0),MATCH(G175,'vehicles specifications'!$B$2:$CW$2,0))*INDEX('ei names mapping'!$B$137:$BL$300,MATCH(B141,'ei names mapping'!$A$137:$A$300,0),MATCH(G175,'ei names mapping'!$B$136:$BL$136,0))</f>
        <v>-1.4724999999999997</v>
      </c>
      <c r="C175" t="str">
        <f>INDEX('ei names mapping'!$B$38:$R$67,MATCH($B$3,'ei names mapping'!$A$4:$A$33,0),MATCH(G175,'ei names mapping'!$B$3:$R$3,0))</f>
        <v>CH</v>
      </c>
      <c r="D175" t="str">
        <f>INDEX('ei names mapping'!$B$104:$R$133,MATCH(B138,'ei names mapping'!$A$104:$A$133,0),MATCH(G175,'ei names mapping'!$B$3:$R$3,0))</f>
        <v>unit</v>
      </c>
      <c r="F175" t="s">
        <v>89</v>
      </c>
      <c r="G175" t="s">
        <v>144</v>
      </c>
      <c r="H175" t="str">
        <f>INDEX('ei names mapping'!$B$71:$R$100,MATCH($B$3,'ei names mapping'!$A$4:$A$33,0),MATCH(G175,'ei names mapping'!$B$3:$R$3,0))</f>
        <v>used electric bicycle</v>
      </c>
    </row>
    <row r="176" spans="1:8" x14ac:dyDescent="0.2">
      <c r="A176" t="str">
        <f>INDEX('ei names mapping'!$B$4:$R$33,MATCH($B$3,'ei names mapping'!$A$4:$A$33,0),MATCH(G176,'ei names mapping'!$B$3:$R$3,0))</f>
        <v>treatment of used electric bicycle</v>
      </c>
      <c r="B176" s="4">
        <f>INDEX('vehicles specifications'!$B$3:$CW$166,MATCH(B141,'vehicles specifications'!$A$3:$A$166,0),MATCH(G176,'vehicles specifications'!$B$2:$CW$2,0))*INDEX('ei names mapping'!$B$137:$BL$300,MATCH(B141,'ei names mapping'!$A$137:$A$300,0),MATCH(G176,'ei names mapping'!$B$136:$BL$136,0))</f>
        <v>-0.15416666666666667</v>
      </c>
      <c r="C176" t="str">
        <f>INDEX('ei names mapping'!$B$38:$R$67,MATCH($B$3,'ei names mapping'!$A$4:$A$33,0),MATCH(G176,'ei names mapping'!$B$3:$R$3,0))</f>
        <v>CH</v>
      </c>
      <c r="D176" t="str">
        <f>INDEX('ei names mapping'!$B$104:$R$133,MATCH(B138,'ei names mapping'!$A$104:$A$133,0),MATCH(G176,'ei names mapping'!$B$3:$R$3,0))</f>
        <v>unit</v>
      </c>
      <c r="F176" t="s">
        <v>89</v>
      </c>
      <c r="G176" t="s">
        <v>145</v>
      </c>
      <c r="H176" t="str">
        <f>INDEX('ei names mapping'!$B$71:$R$100,MATCH($B$3,'ei names mapping'!$A$4:$A$33,0),MATCH(G176,'ei names mapping'!$B$3:$R$3,0))</f>
        <v>used electric bicycle</v>
      </c>
    </row>
    <row r="177" spans="1:8" x14ac:dyDescent="0.2">
      <c r="A177" t="str">
        <f>INDEX('ei names mapping'!$B$4:$R$33,MATCH($B$3,'ei names mapping'!$A$4:$A$33,0),MATCH(G177,'ei names mapping'!$B$3:$R$3,0))</f>
        <v>market for used Li-ion battery</v>
      </c>
      <c r="B177" s="4">
        <f>INDEX('vehicles specifications'!$B$3:$CW$166,MATCH(B141,'vehicles specifications'!$A$3:$A$166,0),MATCH(G177,'vehicles specifications'!$B$2:$CW$2,0))*INDEX('ei names mapping'!$B$137:$BL$300,MATCH(B141,'ei names mapping'!$A$137:$A$300,0),MATCH(G177,'ei names mapping'!$B$136:$BL$136,0))</f>
        <v>-2.6</v>
      </c>
      <c r="C177" t="str">
        <f>INDEX('ei names mapping'!$B$38:$R$67,MATCH($B$3,'ei names mapping'!$A$4:$A$33,0),MATCH(G177,'ei names mapping'!$B$3:$R$3,0))</f>
        <v>GLO</v>
      </c>
      <c r="D177" t="str">
        <f>INDEX('ei names mapping'!$B$104:$R$133,MATCH(B138,'ei names mapping'!$A$104:$A$133,0),MATCH(G177,'ei names mapping'!$B$3:$R$3,0))</f>
        <v>kilogram</v>
      </c>
      <c r="F177" t="s">
        <v>89</v>
      </c>
      <c r="G177" t="s">
        <v>146</v>
      </c>
      <c r="H177" t="str">
        <f>INDEX('ei names mapping'!$B$71:$R$100,MATCH($B$3,'ei names mapping'!$A$4:$A$33,0),MATCH(G177,'ei names mapping'!$B$3:$R$3,0))</f>
        <v>used Li-ion battery</v>
      </c>
    </row>
    <row r="178" spans="1:8" x14ac:dyDescent="0.2">
      <c r="A178" s="13" t="s">
        <v>840</v>
      </c>
      <c r="B178">
        <f>(B151/1000)*B164</f>
        <v>41.64</v>
      </c>
      <c r="C178" t="s">
        <v>92</v>
      </c>
      <c r="D178" t="s">
        <v>233</v>
      </c>
      <c r="F178" t="s">
        <v>89</v>
      </c>
      <c r="H178" s="13" t="s">
        <v>841</v>
      </c>
    </row>
    <row r="179" spans="1:8" x14ac:dyDescent="0.2">
      <c r="A179" s="13" t="s">
        <v>441</v>
      </c>
      <c r="B179" s="2">
        <f>(B151/1000)*B163</f>
        <v>662.07600000000002</v>
      </c>
      <c r="C179" t="s">
        <v>95</v>
      </c>
      <c r="D179" t="s">
        <v>233</v>
      </c>
      <c r="F179" t="s">
        <v>89</v>
      </c>
      <c r="H179" s="13" t="s">
        <v>441</v>
      </c>
    </row>
    <row r="181" spans="1:8" ht="16" x14ac:dyDescent="0.2">
      <c r="A181" s="10" t="s">
        <v>71</v>
      </c>
      <c r="B181" s="8" t="str">
        <f>"transport, "&amp;B183&amp;", "&amp;B198&amp;" battery, "&amp;B185</f>
        <v>transport, Bicycle, electric, cargo bike, NCA battery, 2020</v>
      </c>
    </row>
    <row r="182" spans="1:8" x14ac:dyDescent="0.2">
      <c r="A182" t="s">
        <v>72</v>
      </c>
      <c r="B182" t="s">
        <v>37</v>
      </c>
    </row>
    <row r="183" spans="1:8" x14ac:dyDescent="0.2">
      <c r="A183" t="s">
        <v>86</v>
      </c>
      <c r="B183" t="s">
        <v>496</v>
      </c>
    </row>
    <row r="184" spans="1:8" x14ac:dyDescent="0.2">
      <c r="A184" t="s">
        <v>87</v>
      </c>
    </row>
    <row r="185" spans="1:8" x14ac:dyDescent="0.2">
      <c r="A185" t="s">
        <v>88</v>
      </c>
      <c r="B185">
        <v>2020</v>
      </c>
    </row>
    <row r="186" spans="1:8" x14ac:dyDescent="0.2">
      <c r="A186" t="s">
        <v>126</v>
      </c>
      <c r="B186" t="str">
        <f>B183&amp;" - "&amp;B185&amp;" - "&amp;B198&amp;" - "&amp;B182</f>
        <v>Bicycle, electric, cargo bike - 2020 - NCA - CH</v>
      </c>
    </row>
    <row r="187" spans="1:8" x14ac:dyDescent="0.2">
      <c r="A187" t="s">
        <v>73</v>
      </c>
      <c r="B187" t="str">
        <f>"transport, "&amp;B183</f>
        <v>transport, Bicycle, electric, cargo bike</v>
      </c>
    </row>
    <row r="188" spans="1:8" x14ac:dyDescent="0.2">
      <c r="A188" t="s">
        <v>74</v>
      </c>
      <c r="B188" t="s">
        <v>75</v>
      </c>
    </row>
    <row r="189" spans="1:8" x14ac:dyDescent="0.2">
      <c r="A189" t="s">
        <v>76</v>
      </c>
      <c r="B189" t="s">
        <v>166</v>
      </c>
    </row>
    <row r="190" spans="1:8" x14ac:dyDescent="0.2">
      <c r="A190" t="s">
        <v>78</v>
      </c>
      <c r="B190" t="s">
        <v>1143</v>
      </c>
    </row>
    <row r="191" spans="1:8" x14ac:dyDescent="0.2">
      <c r="A191" t="s">
        <v>127</v>
      </c>
      <c r="B191">
        <f>INDEX('vehicles specifications'!$B$3:$CW$166,MATCH(B186,'vehicles specifications'!$A$3:$A$166,0),MATCH("Lifetime [km]",'vehicles specifications'!$B$2:$CW$2,0))</f>
        <v>20000</v>
      </c>
    </row>
    <row r="192" spans="1:8" x14ac:dyDescent="0.2">
      <c r="A192" t="s">
        <v>128</v>
      </c>
      <c r="B192">
        <f>INDEX('vehicles specifications'!$B$3:$CW$166,MATCH(B186,'vehicles specifications'!$A$3:$A$166,0),MATCH("Passengers [unit]",'vehicles specifications'!$B$2:$CW$2,0))</f>
        <v>1</v>
      </c>
    </row>
    <row r="193" spans="1:2" x14ac:dyDescent="0.2">
      <c r="A193" t="s">
        <v>129</v>
      </c>
      <c r="B193">
        <f>INDEX('vehicles specifications'!$B$3:$CW$166,MATCH(B186,'vehicles specifications'!$A$3:$A$166,0),MATCH("Servicing [unit]",'vehicles specifications'!$B$2:$CW$2,0))</f>
        <v>1.3333333333333333</v>
      </c>
    </row>
    <row r="194" spans="1:2" x14ac:dyDescent="0.2">
      <c r="A194" t="s">
        <v>130</v>
      </c>
      <c r="B194">
        <f>INDEX('vehicles specifications'!$B$3:$CW$166,MATCH(B186,'vehicles specifications'!$A$3:$A$166,0),MATCH("Energy battery replacement [unit]",'vehicles specifications'!$B$2:$CW$2,0))</f>
        <v>1</v>
      </c>
    </row>
    <row r="195" spans="1:2" x14ac:dyDescent="0.2">
      <c r="A195" t="s">
        <v>131</v>
      </c>
      <c r="B195">
        <f>INDEX('vehicles specifications'!$B$3:$CW$166,MATCH(B186,'vehicles specifications'!$A$3:$A$166,0),MATCH("Annual kilometers [km]",'vehicles specifications'!$B$2:$CW$2,0))</f>
        <v>2000</v>
      </c>
    </row>
    <row r="196" spans="1:2" x14ac:dyDescent="0.2">
      <c r="A196" t="s">
        <v>132</v>
      </c>
      <c r="B196">
        <f>INDEX('vehicles specifications'!$B$3:$CW$166,MATCH(B186,'vehicles specifications'!$A$3:$A$166,0),MATCH("Curb mass [kg]",'vehicles specifications'!$B$2:$CW$2,0))</f>
        <v>44.826086956521742</v>
      </c>
    </row>
    <row r="197" spans="1:2" x14ac:dyDescent="0.2">
      <c r="A197" t="s">
        <v>133</v>
      </c>
      <c r="B197">
        <f>INDEX('vehicles specifications'!$B$3:$CW$166,MATCH(B186,'vehicles specifications'!$A$3:$A$166,0),MATCH("Power [kW]",'vehicles specifications'!$B$2:$CW$2,0))</f>
        <v>0.25</v>
      </c>
    </row>
    <row r="198" spans="1:2" x14ac:dyDescent="0.2">
      <c r="A198" t="s">
        <v>652</v>
      </c>
      <c r="B198" s="20" t="s">
        <v>45</v>
      </c>
    </row>
    <row r="199" spans="1:2" x14ac:dyDescent="0.2">
      <c r="A199" t="s">
        <v>134</v>
      </c>
      <c r="B199">
        <f>INDEX('vehicles specifications'!$B$3:$CW$166,MATCH(B186,'vehicles specifications'!$A$3:$A$166,0),MATCH("Energy battery mass [kg]",'vehicles specifications'!$B$2:$CW$2,0))</f>
        <v>2.8260869565217388</v>
      </c>
    </row>
    <row r="200" spans="1:2" x14ac:dyDescent="0.2">
      <c r="A200" t="s">
        <v>135</v>
      </c>
      <c r="B200">
        <f>INDEX('vehicles specifications'!$B$3:$CW$166,MATCH(B186,'vehicles specifications'!$A$3:$A$166,0),MATCH("Electric energy stored [kWh]",'vehicles specifications'!$B$2:$CW$2,0))</f>
        <v>0.5</v>
      </c>
    </row>
    <row r="201" spans="1:2" x14ac:dyDescent="0.2">
      <c r="A201" t="s">
        <v>588</v>
      </c>
      <c r="B201">
        <f>INDEX('vehicles specifications'!$B$3:$CW$166,MATCH(B186,'vehicles specifications'!$A$3:$A$166,0),MATCH("Electric energy available [kWh]",'vehicles specifications'!$B$2:$CW$2,0))</f>
        <v>0.4</v>
      </c>
    </row>
    <row r="202" spans="1:2" x14ac:dyDescent="0.2">
      <c r="A202" t="s">
        <v>138</v>
      </c>
      <c r="B202">
        <f>INDEX('vehicles specifications'!$B$3:$CW$166,MATCH(B186,'vehicles specifications'!$A$3:$A$166,0),MATCH("Oxydation energy stored [kWh]",'vehicles specifications'!$B$2:$CW$2,0))</f>
        <v>0</v>
      </c>
    </row>
    <row r="203" spans="1:2" x14ac:dyDescent="0.2">
      <c r="A203" t="s">
        <v>139</v>
      </c>
      <c r="B203">
        <f>INDEX('vehicles specifications'!$B$3:$CW$166,MATCH(B186,'vehicles specifications'!$A$3:$A$166,0),MATCH("Fuel mass [kg]",'vehicles specifications'!$B$2:$CW$2,0))</f>
        <v>0</v>
      </c>
    </row>
    <row r="204" spans="1:2" x14ac:dyDescent="0.2">
      <c r="A204" t="s">
        <v>136</v>
      </c>
      <c r="B204">
        <f>INDEX('vehicles specifications'!$B$3:$CW$166,MATCH(B186,'vehicles specifications'!$A$3:$A$166,0),MATCH("Range [km]",'vehicles specifications'!$B$2:$CW$2,0))</f>
        <v>41.48860759493671</v>
      </c>
    </row>
    <row r="205" spans="1:2" x14ac:dyDescent="0.2">
      <c r="A205" t="s">
        <v>137</v>
      </c>
      <c r="B205" t="str">
        <f>INDEX('vehicles specifications'!$B$3:$CW$166,MATCH(B186,'vehicles specifications'!$A$3:$A$166,0),MATCH("Emission standard",'vehicles specifications'!$B$2:$CW$2,0))</f>
        <v>None</v>
      </c>
    </row>
    <row r="206" spans="1:2" x14ac:dyDescent="0.2">
      <c r="A206" t="s">
        <v>1174</v>
      </c>
      <c r="B206" s="6">
        <f>INDEX('vehicles specifications'!$B$3:$CW$166,MATCH(B186,'vehicles specifications'!$A$3:$A$166,0),MATCH("Lightweighting rate [%]",'vehicles specifications'!$B$2:$CW$2,0))</f>
        <v>0</v>
      </c>
    </row>
    <row r="207" spans="1:2" x14ac:dyDescent="0.2">
      <c r="A207" t="s">
        <v>83</v>
      </c>
      <c r="B207" t="str">
        <f>"Power: "&amp;B197&amp;" kW. Lifetime: "&amp;B191&amp;" km. Annual kilometers: "&amp;B195&amp;" km. Number of passengers: "&amp;B192&amp;". Curb mass: "&amp;ROUND(B196,1)&amp;" kg. Lightweighting of glider: "&amp;ROUND(B206*100,0)&amp;"%. Emission standard: "&amp;B205&amp;". Service visits throughout lifetime: "&amp;ROUND(B193,1)&amp;". Range: "&amp;ROUND(B204,0)&amp;" km. Battery capacity: "&amp;ROUND(B200,1)&amp;" kWh. Available battery capacity: "&amp;B201&amp;" kWh. Battery mass: "&amp;ROUND(B199,1)&amp; " kg. Battery replacement throughout lifetime: "&amp;ROUND(B194,1)&amp;". Fuel tank capacity: "&amp;ROUND(B202,1)&amp;" kWh. Fuel mass: "&amp;ROUND(B203,1)&amp;" kg. Documentation: "&amp;Readmefirst!$B$2&amp;", "&amp;Readmefirst!$B$3&amp;". "&amp;B190</f>
        <v>Power: 0.25 kW. Lifetime: 20000 km. Annual kilometers: 2000 km. Number of passengers: 1. Curb mass: 44.8 kg. Lightweighting of glider: 0%. Emission standard: None. Service visits throughout lifetime: 1.3. Range: 41 km. Battery capacity: 0.5 kWh. Available battery capacity: 0.4 kWh. Battery mass: 2.8 kg. Battery replacement throughout lifetime: 1. Fuel tank capacity: 0 kWh. Fuel mass: 0 kg. Documentation: Life-cycle inventories for on-road vehicles, Sacchi R. (PSI), Bauer C. (PSI), 2021. Sacchi R., Bauer C. Life cycle inventories for on-road vehicles. Paul Scherrer Institut, 2021.</v>
      </c>
    </row>
    <row r="208" spans="1:2" ht="16" x14ac:dyDescent="0.2">
      <c r="A208" s="10" t="s">
        <v>79</v>
      </c>
    </row>
    <row r="209" spans="1:8" x14ac:dyDescent="0.2">
      <c r="A209" t="s">
        <v>80</v>
      </c>
      <c r="B209" t="s">
        <v>81</v>
      </c>
      <c r="C209" t="s">
        <v>72</v>
      </c>
      <c r="D209" t="s">
        <v>76</v>
      </c>
      <c r="E209" t="s">
        <v>82</v>
      </c>
      <c r="F209" t="s">
        <v>74</v>
      </c>
      <c r="G209" t="s">
        <v>83</v>
      </c>
      <c r="H209" t="s">
        <v>73</v>
      </c>
    </row>
    <row r="210" spans="1:8" x14ac:dyDescent="0.2">
      <c r="A210" t="str">
        <f>B181</f>
        <v>transport, Bicycle, electric, cargo bike, NCA battery, 2020</v>
      </c>
      <c r="B210">
        <v>1</v>
      </c>
      <c r="C210" t="str">
        <f>B182</f>
        <v>CH</v>
      </c>
      <c r="D210" t="s">
        <v>166</v>
      </c>
      <c r="F210" t="s">
        <v>84</v>
      </c>
      <c r="G210" t="s">
        <v>85</v>
      </c>
      <c r="H210" t="str">
        <f>B187</f>
        <v>transport, Bicycle, electric, cargo bike</v>
      </c>
    </row>
    <row r="211" spans="1:8" x14ac:dyDescent="0.2">
      <c r="A211" t="str">
        <f>RIGHT(A210,LEN(A210)-11)</f>
        <v>Bicycle, electric, cargo bike, NCA battery, 2020</v>
      </c>
      <c r="B211" s="7">
        <f>1/B191</f>
        <v>5.0000000000000002E-5</v>
      </c>
      <c r="C211" t="str">
        <f>B182</f>
        <v>CH</v>
      </c>
      <c r="D211" t="s">
        <v>76</v>
      </c>
      <c r="F211" t="s">
        <v>89</v>
      </c>
      <c r="H211" t="str">
        <f>RIGHT(H210,LEN(H210)-11)</f>
        <v>Bicycle, electric, cargo bike</v>
      </c>
    </row>
    <row r="212" spans="1:8" x14ac:dyDescent="0.2">
      <c r="A212" t="str">
        <f>INDEX('ei names mapping'!$B$4:$R$33,MATCH(B183,'ei names mapping'!$A$4:$A$33,0),MATCH(G212,'ei names mapping'!$B$3:$R$3,0))</f>
        <v>road construction</v>
      </c>
      <c r="B212" s="7">
        <f>INDEX('vehicles specifications'!$B$3:$CW$166,MATCH(B186,'vehicles specifications'!$A$3:$A$166,0),MATCH(G212,'vehicles specifications'!$B$2:$CW$2,0))*INDEX('ei names mapping'!$B$137:$BL$300,MATCH(B186,'ei names mapping'!$A$137:$A$300,0),MATCH(G212,'ei names mapping'!$B$136:$BL$136,0))</f>
        <v>9.1196608695652177E-5</v>
      </c>
      <c r="C212" t="str">
        <f>INDEX('ei names mapping'!$B$38:$R$67,MATCH(B183,'ei names mapping'!$A$4:$A$33,0),MATCH(G212,'ei names mapping'!$B$3:$R$3,0))</f>
        <v>CH</v>
      </c>
      <c r="D212" t="str">
        <f>INDEX('ei names mapping'!$B$104:$BL$133,MATCH(B183,'ei names mapping'!$A$4:$A$33,0),MATCH(G212,'ei names mapping'!$B$3:$BL$3,0))</f>
        <v>meter-year</v>
      </c>
      <c r="F212" t="s">
        <v>89</v>
      </c>
      <c r="G212" t="s">
        <v>105</v>
      </c>
      <c r="H212" t="str">
        <f>INDEX('ei names mapping'!$B$71:$BL$100,MATCH(B183,'ei names mapping'!$A$4:$A$33,0),MATCH(G212,'ei names mapping'!$B$3:$BL$3,0))</f>
        <v>road</v>
      </c>
    </row>
    <row r="213" spans="1:8" x14ac:dyDescent="0.2">
      <c r="A213" t="str">
        <f>INDEX('ei names mapping'!$B$4:$R$33,MATCH($B$3,'ei names mapping'!$A$4:$A$33,0),MATCH(G213,'ei names mapping'!$B$3:$R$3,0))</f>
        <v>market for electricity, low voltage</v>
      </c>
      <c r="B213" s="7">
        <f>INDEX('vehicles specifications'!$B$3:$CW$166,MATCH(B186,'vehicles specifications'!$A$3:$A$166,0),MATCH(G213,'vehicles specifications'!$B$2:$CW$2,0))*INDEX('ei names mapping'!$B$137:$BL$300,MATCH(B186,'ei names mapping'!$A$137:$A$300,0),MATCH(G213,'ei names mapping'!$B$136:$BL$136,0))</f>
        <v>1.0605320966560899E-2</v>
      </c>
      <c r="C213" t="str">
        <f>INDEX('ei names mapping'!$B$38:$R$67,MATCH($B$3,'ei names mapping'!$A$4:$A$33,0),MATCH(G213,'ei names mapping'!$B$3:$R$3,0))</f>
        <v>CH</v>
      </c>
      <c r="D213" t="str">
        <f>INDEX('ei names mapping'!$B$104:$R$133,MATCH($B$3,'ei names mapping'!$A$4:$A$33,0),MATCH(G213,'ei names mapping'!$B$3:$R$3,0))</f>
        <v>kilowatt hour</v>
      </c>
      <c r="F213" t="s">
        <v>89</v>
      </c>
      <c r="G213" t="s">
        <v>28</v>
      </c>
      <c r="H213" t="str">
        <f>INDEX('ei names mapping'!$B$71:$R$100,MATCH($B$3,'ei names mapping'!$A$4:$A$33,0),MATCH(G213,'ei names mapping'!$B$3:$R$3,0))</f>
        <v>electricity, low voltage</v>
      </c>
    </row>
    <row r="214" spans="1:8" x14ac:dyDescent="0.2">
      <c r="A214" t="str">
        <f>INDEX('ei names mapping'!$B$4:$R$33,MATCH($B$3,'ei names mapping'!$A$4:$A$33,0),MATCH(G214,'ei names mapping'!$B$3:$R$3,0))</f>
        <v>maintenance, electric bicycle, without battery</v>
      </c>
      <c r="B214" s="7">
        <f>INDEX('vehicles specifications'!$B$3:$CW$166,MATCH(B186,'vehicles specifications'!$A$3:$A$166,0),MATCH(G214,'vehicles specifications'!$B$2:$CW$2,0))*INDEX('ei names mapping'!$B$137:$BL$300,MATCH(B186,'ei names mapping'!$A$137:$A$300,0),MATCH(G214,'ei names mapping'!$B$136:$BL$136,0))</f>
        <v>6.666666666666667E-5</v>
      </c>
      <c r="C214" t="str">
        <f>INDEX('ei names mapping'!$B$38:$R$67,MATCH($B$3,'ei names mapping'!$A$4:$A$33,0),MATCH(G214,'ei names mapping'!$B$3:$R$3,0))</f>
        <v>CH</v>
      </c>
      <c r="D214" t="str">
        <f>INDEX('ei names mapping'!$B$104:$R$133,MATCH($B$3,'ei names mapping'!$A$4:$A$33,0),MATCH(G214,'ei names mapping'!$B$3:$R$3,0))</f>
        <v>unit</v>
      </c>
      <c r="F214" t="s">
        <v>89</v>
      </c>
      <c r="G214" t="s">
        <v>118</v>
      </c>
      <c r="H214" t="str">
        <f>INDEX('ei names mapping'!$B$71:$R$100,MATCH($B$3,'ei names mapping'!$A$4:$A$33,0),MATCH(G214,'ei names mapping'!$B$3:$R$3,0))</f>
        <v>maintenance, electric bicycle, without battery</v>
      </c>
    </row>
    <row r="215" spans="1:8" x14ac:dyDescent="0.2">
      <c r="A215" t="str">
        <f>INDEX('ei names mapping'!$B$4:$BL$33,MATCH($B$183,'ei names mapping'!$A$4:$A$33,0),MATCH(G215,'ei names mapping'!$B$3:$BL$3,0))</f>
        <v>treatment of road wear emissions, passenger car</v>
      </c>
      <c r="B215" s="7">
        <f>INDEX('vehicles specifications'!$B$3:$CW$166,MATCH(B186,'vehicles specifications'!$A$3:$A$166,0),MATCH(G215,'vehicles specifications'!$B$2:$CW$2,0))*INDEX('ei names mapping'!$B$137:$BL$300,MATCH(B186,'ei names mapping'!$A$137:$A$300,0),MATCH(G215,'ei names mapping'!$B$136:$BL$136,0))</f>
        <v>-6.4002821739257562E-6</v>
      </c>
      <c r="C215" t="str">
        <f>INDEX('ei names mapping'!$B$38:$BL$67,MATCH($B$183,'ei names mapping'!$A$4:$A$33,0),MATCH(G215,'ei names mapping'!$B$3:$BL$3,0))</f>
        <v>RER</v>
      </c>
      <c r="D215" t="str">
        <f>INDEX('ei names mapping'!$B$104:$BL$133,MATCH($B$183,'ei names mapping'!$A$4:$A$33,0),MATCH(G215,'ei names mapping'!$B$3:$BL$3,0))</f>
        <v>kilogram</v>
      </c>
      <c r="F215" t="s">
        <v>89</v>
      </c>
      <c r="G215" t="s">
        <v>29</v>
      </c>
      <c r="H215" t="str">
        <f>INDEX('ei names mapping'!$B$71:$BL$100,MATCH(B183,'ei names mapping'!$A$4:$A$33,0),MATCH(G215,'ei names mapping'!$B$3:$BL$3,0))</f>
        <v>road wear emissions, passenger car</v>
      </c>
    </row>
    <row r="216" spans="1:8" x14ac:dyDescent="0.2">
      <c r="A216" t="str">
        <f>INDEX('ei names mapping'!$B$4:$BL$33,MATCH($B$183,'ei names mapping'!$A$4:$A$33,0),MATCH(G216,'ei names mapping'!$B$3:$BL$3,0))</f>
        <v>treatment of tyre wear emissions, passenger car</v>
      </c>
      <c r="B216" s="7">
        <f>INDEX('vehicles specifications'!$B$3:$CW$166,MATCH(B186,'vehicles specifications'!$A$3:$A$166,0),MATCH(G216,'vehicles specifications'!$B$2:$CW$2,0))*INDEX('ei names mapping'!$B$137:$BL$300,MATCH(B186,'ei names mapping'!$A$137:$A$300,0),MATCH(G216,'ei names mapping'!$B$136:$BL$136,0))</f>
        <v>-5.2970558500651591E-6</v>
      </c>
      <c r="C216" t="str">
        <f>INDEX('ei names mapping'!$B$38:$BL$67,MATCH($B$183,'ei names mapping'!$A$4:$A$33,0),MATCH(G216,'ei names mapping'!$B$3:$BL$3,0))</f>
        <v>RER</v>
      </c>
      <c r="D216" t="str">
        <f>INDEX('ei names mapping'!$B$104:$BL$133,MATCH($B$183,'ei names mapping'!$A$4:$A$33,0),MATCH(G216,'ei names mapping'!$B$3:$BL$3,0))</f>
        <v>kilogram</v>
      </c>
      <c r="F216" t="s">
        <v>89</v>
      </c>
      <c r="G216" t="s">
        <v>30</v>
      </c>
      <c r="H216" t="str">
        <f>INDEX('ei names mapping'!$B$71:$BL$100,MATCH($B$183,'ei names mapping'!$A$4:$A$33,0),MATCH(G216,'ei names mapping'!$B$3:$BL$3,0))</f>
        <v>tyre wear emissions, passenger car</v>
      </c>
    </row>
    <row r="217" spans="1:8" x14ac:dyDescent="0.2">
      <c r="A217" t="str">
        <f>INDEX('ei names mapping'!$B$4:$BL$33,MATCH($B$183,'ei names mapping'!$A$4:$A$33,0),MATCH(G217,'ei names mapping'!$B$3:$BL$3,0))</f>
        <v>treatment of brake wear emissions, passenger car</v>
      </c>
      <c r="B217" s="7">
        <f>INDEX('vehicles specifications'!$B$3:$CW$166,MATCH(B186,'vehicles specifications'!$A$3:$A$166,0),MATCH(G217,'vehicles specifications'!$B$2:$CW$2,0))*INDEX('ei names mapping'!$B$137:$BL$300,MATCH(B186,'ei names mapping'!$A$137:$A$300,0),MATCH(G217,'ei names mapping'!$B$136:$BL$136,0))</f>
        <v>-5.145913276111852E-6</v>
      </c>
      <c r="C217" t="str">
        <f>INDEX('ei names mapping'!$B$38:$BL$67,MATCH($B$183,'ei names mapping'!$A$4:$A$33,0),MATCH(G217,'ei names mapping'!$B$3:$BL$3,0))</f>
        <v>RER</v>
      </c>
      <c r="D217" t="str">
        <f>INDEX('ei names mapping'!$B$104:$BL$133,MATCH($B$183,'ei names mapping'!$A$4:$A$33,0),MATCH(G217,'ei names mapping'!$B$3:$BL$3,0))</f>
        <v>kilogram</v>
      </c>
      <c r="F217" t="s">
        <v>89</v>
      </c>
      <c r="G217" t="s">
        <v>31</v>
      </c>
      <c r="H217" t="str">
        <f>INDEX('ei names mapping'!$B$71:$BL$100,MATCH($B$183,'ei names mapping'!$A$4:$A$33,0),MATCH(G217,'ei names mapping'!$B$3:$BL$3,0))</f>
        <v>brake wear emissions, passenger car</v>
      </c>
    </row>
    <row r="219" spans="1:8" ht="16" x14ac:dyDescent="0.2">
      <c r="A219" s="10" t="s">
        <v>71</v>
      </c>
      <c r="B219" s="8" t="str">
        <f>"transport, "&amp;B221&amp;", "&amp;B236&amp;" battery, "&amp;B223</f>
        <v>transport, Bicycle, electric, cargo bike, NCA battery, 2030</v>
      </c>
    </row>
    <row r="220" spans="1:8" x14ac:dyDescent="0.2">
      <c r="A220" t="s">
        <v>72</v>
      </c>
      <c r="B220" t="s">
        <v>37</v>
      </c>
    </row>
    <row r="221" spans="1:8" x14ac:dyDescent="0.2">
      <c r="A221" t="s">
        <v>86</v>
      </c>
      <c r="B221" t="s">
        <v>496</v>
      </c>
    </row>
    <row r="222" spans="1:8" x14ac:dyDescent="0.2">
      <c r="A222" t="s">
        <v>87</v>
      </c>
    </row>
    <row r="223" spans="1:8" x14ac:dyDescent="0.2">
      <c r="A223" t="s">
        <v>88</v>
      </c>
      <c r="B223">
        <v>2030</v>
      </c>
    </row>
    <row r="224" spans="1:8" x14ac:dyDescent="0.2">
      <c r="A224" t="s">
        <v>126</v>
      </c>
      <c r="B224" t="str">
        <f>B221&amp;" - "&amp;B223&amp;" - "&amp;B236&amp;" - "&amp;B220</f>
        <v>Bicycle, electric, cargo bike - 2030 - NCA - CH</v>
      </c>
    </row>
    <row r="225" spans="1:2" x14ac:dyDescent="0.2">
      <c r="A225" t="s">
        <v>73</v>
      </c>
      <c r="B225" t="str">
        <f>"transport, "&amp;B221</f>
        <v>transport, Bicycle, electric, cargo bike</v>
      </c>
    </row>
    <row r="226" spans="1:2" x14ac:dyDescent="0.2">
      <c r="A226" t="s">
        <v>74</v>
      </c>
      <c r="B226" t="s">
        <v>75</v>
      </c>
    </row>
    <row r="227" spans="1:2" x14ac:dyDescent="0.2">
      <c r="A227" t="s">
        <v>76</v>
      </c>
      <c r="B227" t="s">
        <v>166</v>
      </c>
    </row>
    <row r="228" spans="1:2" x14ac:dyDescent="0.2">
      <c r="A228" t="s">
        <v>78</v>
      </c>
      <c r="B228" t="s">
        <v>1143</v>
      </c>
    </row>
    <row r="229" spans="1:2" x14ac:dyDescent="0.2">
      <c r="A229" t="s">
        <v>127</v>
      </c>
      <c r="B229">
        <f>INDEX('vehicles specifications'!$B$3:$CW$166,MATCH(B224,'vehicles specifications'!$A$3:$A$166,0),MATCH("Lifetime [km]",'vehicles specifications'!$B$2:$CW$2,0))</f>
        <v>20000</v>
      </c>
    </row>
    <row r="230" spans="1:2" x14ac:dyDescent="0.2">
      <c r="A230" t="s">
        <v>128</v>
      </c>
      <c r="B230">
        <f>INDEX('vehicles specifications'!$B$3:$CW$166,MATCH(B224,'vehicles specifications'!$A$3:$A$166,0),MATCH("Passengers [unit]",'vehicles specifications'!$B$2:$CW$2,0))</f>
        <v>1</v>
      </c>
    </row>
    <row r="231" spans="1:2" x14ac:dyDescent="0.2">
      <c r="A231" t="s">
        <v>129</v>
      </c>
      <c r="B231">
        <f>INDEX('vehicles specifications'!$B$3:$CW$166,MATCH(B224,'vehicles specifications'!$A$3:$A$166,0),MATCH("Servicing [unit]",'vehicles specifications'!$B$2:$CW$2,0))</f>
        <v>1.3333333333333333</v>
      </c>
    </row>
    <row r="232" spans="1:2" x14ac:dyDescent="0.2">
      <c r="A232" t="s">
        <v>130</v>
      </c>
      <c r="B232">
        <f>INDEX('vehicles specifications'!$B$3:$CW$166,MATCH(B224,'vehicles specifications'!$A$3:$A$166,0),MATCH("Energy battery replacement [unit]",'vehicles specifications'!$B$2:$CW$2,0))</f>
        <v>0.5</v>
      </c>
    </row>
    <row r="233" spans="1:2" x14ac:dyDescent="0.2">
      <c r="A233" t="s">
        <v>131</v>
      </c>
      <c r="B233">
        <f>INDEX('vehicles specifications'!$B$3:$CW$166,MATCH(B224,'vehicles specifications'!$A$3:$A$166,0),MATCH("Annual kilometers [km]",'vehicles specifications'!$B$2:$CW$2,0))</f>
        <v>2000</v>
      </c>
    </row>
    <row r="234" spans="1:2" x14ac:dyDescent="0.2">
      <c r="A234" t="s">
        <v>132</v>
      </c>
      <c r="B234">
        <f>INDEX('vehicles specifications'!$B$3:$CW$166,MATCH(B224,'vehicles specifications'!$A$3:$A$166,0),MATCH("Curb mass [kg]",'vehicles specifications'!$B$2:$CW$2,0))</f>
        <v>43.793333333333329</v>
      </c>
    </row>
    <row r="235" spans="1:2" x14ac:dyDescent="0.2">
      <c r="A235" t="s">
        <v>133</v>
      </c>
      <c r="B235">
        <f>INDEX('vehicles specifications'!$B$3:$CW$166,MATCH(B224,'vehicles specifications'!$A$3:$A$166,0),MATCH("Power [kW]",'vehicles specifications'!$B$2:$CW$2,0))</f>
        <v>0.25</v>
      </c>
    </row>
    <row r="236" spans="1:2" x14ac:dyDescent="0.2">
      <c r="A236" t="s">
        <v>652</v>
      </c>
      <c r="B236" s="20" t="s">
        <v>45</v>
      </c>
    </row>
    <row r="237" spans="1:2" x14ac:dyDescent="0.2">
      <c r="A237" t="s">
        <v>134</v>
      </c>
      <c r="B237">
        <f>INDEX('vehicles specifications'!$B$3:$CW$166,MATCH(B224,'vehicles specifications'!$A$3:$A$166,0),MATCH("Energy battery mass [kg]",'vehicles specifications'!$B$2:$CW$2,0))</f>
        <v>3.0333333333333337</v>
      </c>
    </row>
    <row r="238" spans="1:2" x14ac:dyDescent="0.2">
      <c r="A238" t="s">
        <v>135</v>
      </c>
      <c r="B238">
        <f>INDEX('vehicles specifications'!$B$3:$CW$166,MATCH(B224,'vehicles specifications'!$A$3:$A$166,0),MATCH("Electric energy stored [kWh]",'vehicles specifications'!$B$2:$CW$2,0))</f>
        <v>0.7</v>
      </c>
    </row>
    <row r="239" spans="1:2" x14ac:dyDescent="0.2">
      <c r="A239" t="s">
        <v>588</v>
      </c>
      <c r="B239">
        <f>INDEX('vehicles specifications'!$B$3:$CW$166,MATCH(B224,'vehicles specifications'!$A$3:$A$166,0),MATCH("Electric energy available [kWh]",'vehicles specifications'!$B$2:$CW$2,0))</f>
        <v>0.55999999999999994</v>
      </c>
    </row>
    <row r="240" spans="1:2" x14ac:dyDescent="0.2">
      <c r="A240" t="s">
        <v>138</v>
      </c>
      <c r="B240">
        <f>INDEX('vehicles specifications'!$B$3:$CW$166,MATCH(B224,'vehicles specifications'!$A$3:$A$166,0),MATCH("Oxydation energy stored [kWh]",'vehicles specifications'!$B$2:$CW$2,0))</f>
        <v>0</v>
      </c>
    </row>
    <row r="241" spans="1:8" x14ac:dyDescent="0.2">
      <c r="A241" t="s">
        <v>139</v>
      </c>
      <c r="B241">
        <f>INDEX('vehicles specifications'!$B$3:$CW$166,MATCH(B224,'vehicles specifications'!$A$3:$A$166,0),MATCH("Fuel mass [kg]",'vehicles specifications'!$B$2:$CW$2,0))</f>
        <v>0</v>
      </c>
    </row>
    <row r="242" spans="1:8" x14ac:dyDescent="0.2">
      <c r="A242" t="s">
        <v>136</v>
      </c>
      <c r="B242">
        <f>INDEX('vehicles specifications'!$B$3:$CW$166,MATCH(B224,'vehicles specifications'!$A$3:$A$166,0),MATCH("Range [km]",'vehicles specifications'!$B$2:$CW$2,0))</f>
        <v>58.084050632911385</v>
      </c>
    </row>
    <row r="243" spans="1:8" x14ac:dyDescent="0.2">
      <c r="A243" t="s">
        <v>137</v>
      </c>
      <c r="B243" t="str">
        <f>INDEX('vehicles specifications'!$B$3:$CW$166,MATCH(B224,'vehicles specifications'!$A$3:$A$166,0),MATCH("Emission standard",'vehicles specifications'!$B$2:$CW$2,0))</f>
        <v>None</v>
      </c>
    </row>
    <row r="244" spans="1:8" x14ac:dyDescent="0.2">
      <c r="A244" t="s">
        <v>1174</v>
      </c>
      <c r="B244" s="6">
        <f>INDEX('vehicles specifications'!$B$3:$CW$166,MATCH(B224,'vehicles specifications'!$A$3:$A$166,0),MATCH("Lightweighting rate [%]",'vehicles specifications'!$B$2:$CW$2,0))</f>
        <v>0.03</v>
      </c>
    </row>
    <row r="245" spans="1:8" x14ac:dyDescent="0.2">
      <c r="A245" t="s">
        <v>83</v>
      </c>
      <c r="B245" t="str">
        <f>"Power: "&amp;B235&amp;" kW. Lifetime: "&amp;B229&amp;" km. Annual kilometers: "&amp;B233&amp;" km. Number of passengers: "&amp;B230&amp;". Curb mass: "&amp;ROUND(B234,1)&amp;" kg. Lightweighting of glider: "&amp;ROUND(B244*100,0)&amp;"%. Emission standard: "&amp;B243&amp;". Service visits throughout lifetime: "&amp;ROUND(B231,1)&amp;". Range: "&amp;ROUND(B242,0)&amp;" km. Battery capacity: "&amp;ROUND(B238,1)&amp;" kWh. Available battery capacity: "&amp;B239&amp;" kWh. Battery mass: "&amp;ROUND(B237,1)&amp; " kg. Battery replacement throughout lifetime: "&amp;ROUND(B232,1)&amp;". Fuel tank capacity: "&amp;ROUND(B240,1)&amp;" kWh. Fuel mass: "&amp;ROUND(B241,1)&amp;" kg. Documentation: "&amp;Readmefirst!$B$2&amp;", "&amp;Readmefirst!$B$3&amp;". "&amp;B228</f>
        <v>Power: 0.25 kW. Lifetime: 20000 km. Annual kilometers: 2000 km. Number of passengers: 1. Curb mass: 43.8 kg. Lightweighting of glider: 3%. Emission standard: None. Service visits throughout lifetime: 1.3. Range: 58 km. Battery capacity: 0.7 kWh. Available battery capacity: 0.56 kWh. Battery mass: 3 kg. Battery replacement throughout lifetime: 0.5. Fuel tank capacity: 0 kWh. Fuel mass: 0 kg. Documentation: Life-cycle inventories for on-road vehicles, Sacchi R. (PSI), Bauer C. (PSI), 2021. Sacchi R., Bauer C. Life cycle inventories for on-road vehicles. Paul Scherrer Institut, 2021.</v>
      </c>
    </row>
    <row r="246" spans="1:8" ht="16" x14ac:dyDescent="0.2">
      <c r="A246" s="10" t="s">
        <v>79</v>
      </c>
    </row>
    <row r="247" spans="1:8" x14ac:dyDescent="0.2">
      <c r="A247" t="s">
        <v>80</v>
      </c>
      <c r="B247" t="s">
        <v>81</v>
      </c>
      <c r="C247" t="s">
        <v>72</v>
      </c>
      <c r="D247" t="s">
        <v>76</v>
      </c>
      <c r="E247" t="s">
        <v>82</v>
      </c>
      <c r="F247" t="s">
        <v>74</v>
      </c>
      <c r="G247" t="s">
        <v>83</v>
      </c>
      <c r="H247" t="s">
        <v>73</v>
      </c>
    </row>
    <row r="248" spans="1:8" x14ac:dyDescent="0.2">
      <c r="A248" t="str">
        <f>B219</f>
        <v>transport, Bicycle, electric, cargo bike, NCA battery, 2030</v>
      </c>
      <c r="B248">
        <v>1</v>
      </c>
      <c r="C248" t="str">
        <f>B220</f>
        <v>CH</v>
      </c>
      <c r="D248" t="s">
        <v>166</v>
      </c>
      <c r="F248" t="s">
        <v>84</v>
      </c>
      <c r="G248" t="s">
        <v>85</v>
      </c>
      <c r="H248" t="str">
        <f>B225</f>
        <v>transport, Bicycle, electric, cargo bike</v>
      </c>
    </row>
    <row r="249" spans="1:8" x14ac:dyDescent="0.2">
      <c r="A249" t="str">
        <f>RIGHT(A248,LEN(A248)-11)</f>
        <v>Bicycle, electric, cargo bike, NCA battery, 2030</v>
      </c>
      <c r="B249" s="7">
        <f>1/B229</f>
        <v>5.0000000000000002E-5</v>
      </c>
      <c r="C249" t="str">
        <f>B220</f>
        <v>CH</v>
      </c>
      <c r="D249" t="s">
        <v>76</v>
      </c>
      <c r="F249" t="s">
        <v>89</v>
      </c>
      <c r="H249" t="str">
        <f>RIGHT(H248,LEN(H248)-11)</f>
        <v>Bicycle, electric, cargo bike</v>
      </c>
    </row>
    <row r="250" spans="1:8" x14ac:dyDescent="0.2">
      <c r="A250" t="str">
        <f>INDEX('ei names mapping'!$B$4:$R$33,MATCH(B221,'ei names mapping'!$A$4:$A$33,0),MATCH(G250,'ei names mapping'!$B$3:$R$3,0))</f>
        <v>road construction</v>
      </c>
      <c r="B250" s="7">
        <f>INDEX('vehicles specifications'!$B$3:$CW$166,MATCH(B224,'vehicles specifications'!$A$3:$A$166,0),MATCH(G250,'vehicles specifications'!$B$2:$CW$2,0))*INDEX('ei names mapping'!$B$137:$BL$300,MATCH(B224,'ei names mapping'!$A$137:$A$300,0),MATCH(G250,'ei names mapping'!$B$136:$BL$136,0))</f>
        <v>9.0642019999999992E-5</v>
      </c>
      <c r="C250" t="str">
        <f>INDEX('ei names mapping'!$B$38:$R$67,MATCH(B221,'ei names mapping'!$A$4:$A$33,0),MATCH(G250,'ei names mapping'!$B$3:$R$3,0))</f>
        <v>CH</v>
      </c>
      <c r="D250" t="str">
        <f>INDEX('ei names mapping'!$B$104:$BL$133,MATCH(B221,'ei names mapping'!$A$4:$A$33,0),MATCH(G250,'ei names mapping'!$B$3:$BL$3,0))</f>
        <v>meter-year</v>
      </c>
      <c r="F250" t="s">
        <v>89</v>
      </c>
      <c r="G250" t="s">
        <v>105</v>
      </c>
      <c r="H250" t="str">
        <f>INDEX('ei names mapping'!$B$71:$BL$100,MATCH(B221,'ei names mapping'!$A$4:$A$33,0),MATCH(G250,'ei names mapping'!$B$3:$BL$3,0))</f>
        <v>road</v>
      </c>
    </row>
    <row r="251" spans="1:8" x14ac:dyDescent="0.2">
      <c r="A251" t="str">
        <f>INDEX('ei names mapping'!$B$4:$R$33,MATCH($B$3,'ei names mapping'!$A$4:$A$33,0),MATCH(G251,'ei names mapping'!$B$3:$R$3,0))</f>
        <v>market for electricity, low voltage</v>
      </c>
      <c r="B251" s="7">
        <f>INDEX('vehicles specifications'!$B$3:$CW$166,MATCH(B224,'vehicles specifications'!$A$3:$A$166,0),MATCH(G251,'vehicles specifications'!$B$2:$CW$2,0))*INDEX('ei names mapping'!$B$137:$BL$300,MATCH(B224,'ei names mapping'!$A$137:$A$300,0),MATCH(G251,'ei names mapping'!$B$136:$BL$136,0))</f>
        <v>1.0605320966560899E-2</v>
      </c>
      <c r="C251" t="str">
        <f>INDEX('ei names mapping'!$B$38:$R$67,MATCH($B$3,'ei names mapping'!$A$4:$A$33,0),MATCH(G251,'ei names mapping'!$B$3:$R$3,0))</f>
        <v>CH</v>
      </c>
      <c r="D251" t="str">
        <f>INDEX('ei names mapping'!$B$104:$R$133,MATCH($B$3,'ei names mapping'!$A$4:$A$33,0),MATCH(G251,'ei names mapping'!$B$3:$R$3,0))</f>
        <v>kilowatt hour</v>
      </c>
      <c r="F251" t="s">
        <v>89</v>
      </c>
      <c r="G251" t="s">
        <v>28</v>
      </c>
      <c r="H251" t="str">
        <f>INDEX('ei names mapping'!$B$71:$R$100,MATCH($B$3,'ei names mapping'!$A$4:$A$33,0),MATCH(G251,'ei names mapping'!$B$3:$R$3,0))</f>
        <v>electricity, low voltage</v>
      </c>
    </row>
    <row r="252" spans="1:8" x14ac:dyDescent="0.2">
      <c r="A252" t="str">
        <f>INDEX('ei names mapping'!$B$4:$R$33,MATCH($B$3,'ei names mapping'!$A$4:$A$33,0),MATCH(G252,'ei names mapping'!$B$3:$R$3,0))</f>
        <v>maintenance, electric bicycle, without battery</v>
      </c>
      <c r="B252" s="7">
        <f>INDEX('vehicles specifications'!$B$3:$CW$166,MATCH(B224,'vehicles specifications'!$A$3:$A$166,0),MATCH(G252,'vehicles specifications'!$B$2:$CW$2,0))*INDEX('ei names mapping'!$B$137:$BL$300,MATCH(B224,'ei names mapping'!$A$137:$A$300,0),MATCH(G252,'ei names mapping'!$B$136:$BL$136,0))</f>
        <v>6.666666666666667E-5</v>
      </c>
      <c r="C252" t="str">
        <f>INDEX('ei names mapping'!$B$38:$R$67,MATCH($B$3,'ei names mapping'!$A$4:$A$33,0),MATCH(G252,'ei names mapping'!$B$3:$R$3,0))</f>
        <v>CH</v>
      </c>
      <c r="D252" t="str">
        <f>INDEX('ei names mapping'!$B$104:$R$133,MATCH($B$3,'ei names mapping'!$A$4:$A$33,0),MATCH(G252,'ei names mapping'!$B$3:$R$3,0))</f>
        <v>unit</v>
      </c>
      <c r="F252" t="s">
        <v>89</v>
      </c>
      <c r="G252" t="s">
        <v>118</v>
      </c>
      <c r="H252" t="str">
        <f>INDEX('ei names mapping'!$B$71:$R$100,MATCH($B$3,'ei names mapping'!$A$4:$A$33,0),MATCH(G252,'ei names mapping'!$B$3:$R$3,0))</f>
        <v>maintenance, electric bicycle, without battery</v>
      </c>
    </row>
    <row r="253" spans="1:8" x14ac:dyDescent="0.2">
      <c r="A253" t="str">
        <f>INDEX('ei names mapping'!$B$4:$BL$33,MATCH($B$183,'ei names mapping'!$A$4:$A$33,0),MATCH(G253,'ei names mapping'!$B$3:$BL$3,0))</f>
        <v>treatment of road wear emissions, passenger car</v>
      </c>
      <c r="B253" s="7">
        <f>INDEX('vehicles specifications'!$B$3:$CW$166,MATCH(B224,'vehicles specifications'!$A$3:$A$166,0),MATCH(G253,'vehicles specifications'!$B$2:$CW$2,0))*INDEX('ei names mapping'!$B$137:$BL$300,MATCH(B224,'ei names mapping'!$A$137:$A$300,0),MATCH(G253,'ei names mapping'!$B$136:$BL$136,0))</f>
        <v>-6.369492396306806E-6</v>
      </c>
      <c r="C253" t="str">
        <f>INDEX('ei names mapping'!$B$38:$BL$67,MATCH($B$183,'ei names mapping'!$A$4:$A$33,0),MATCH(G253,'ei names mapping'!$B$3:$BL$3,0))</f>
        <v>RER</v>
      </c>
      <c r="D253" t="str">
        <f>INDEX('ei names mapping'!$B$104:$BL$133,MATCH($B$183,'ei names mapping'!$A$4:$A$33,0),MATCH(G253,'ei names mapping'!$B$3:$BL$3,0))</f>
        <v>kilogram</v>
      </c>
      <c r="F253" t="s">
        <v>89</v>
      </c>
      <c r="G253" t="s">
        <v>29</v>
      </c>
      <c r="H253" t="str">
        <f>INDEX('ei names mapping'!$B$71:$BL$100,MATCH(B221,'ei names mapping'!$A$4:$A$33,0),MATCH(G253,'ei names mapping'!$B$3:$BL$3,0))</f>
        <v>road wear emissions, passenger car</v>
      </c>
    </row>
    <row r="254" spans="1:8" x14ac:dyDescent="0.2">
      <c r="A254" t="str">
        <f>INDEX('ei names mapping'!$B$4:$BL$33,MATCH($B$183,'ei names mapping'!$A$4:$A$33,0),MATCH(G254,'ei names mapping'!$B$3:$BL$3,0))</f>
        <v>treatment of tyre wear emissions, passenger car</v>
      </c>
      <c r="B254" s="7">
        <f>INDEX('vehicles specifications'!$B$3:$CW$166,MATCH(B224,'vehicles specifications'!$A$3:$A$166,0),MATCH(G254,'vehicles specifications'!$B$2:$CW$2,0))*INDEX('ei names mapping'!$B$137:$BL$300,MATCH(B224,'ei names mapping'!$A$137:$A$300,0),MATCH(G254,'ei names mapping'!$B$136:$BL$136,0))</f>
        <v>-5.2718476303726863E-6</v>
      </c>
      <c r="C254" t="str">
        <f>INDEX('ei names mapping'!$B$38:$BL$67,MATCH($B$183,'ei names mapping'!$A$4:$A$33,0),MATCH(G254,'ei names mapping'!$B$3:$BL$3,0))</f>
        <v>RER</v>
      </c>
      <c r="D254" t="str">
        <f>INDEX('ei names mapping'!$B$104:$BL$133,MATCH($B$183,'ei names mapping'!$A$4:$A$33,0),MATCH(G254,'ei names mapping'!$B$3:$BL$3,0))</f>
        <v>kilogram</v>
      </c>
      <c r="F254" t="s">
        <v>89</v>
      </c>
      <c r="G254" t="s">
        <v>30</v>
      </c>
      <c r="H254" t="str">
        <f>INDEX('ei names mapping'!$B$71:$BL$100,MATCH($B$183,'ei names mapping'!$A$4:$A$33,0),MATCH(G254,'ei names mapping'!$B$3:$BL$3,0))</f>
        <v>tyre wear emissions, passenger car</v>
      </c>
    </row>
    <row r="255" spans="1:8" x14ac:dyDescent="0.2">
      <c r="A255" t="str">
        <f>INDEX('ei names mapping'!$B$4:$BL$33,MATCH($B$183,'ei names mapping'!$A$4:$A$33,0),MATCH(G255,'ei names mapping'!$B$3:$BL$3,0))</f>
        <v>treatment of brake wear emissions, passenger car</v>
      </c>
      <c r="B255" s="7">
        <f>INDEX('vehicles specifications'!$B$3:$CW$166,MATCH(B224,'vehicles specifications'!$A$3:$A$166,0),MATCH(G255,'vehicles specifications'!$B$2:$CW$2,0))*INDEX('ei names mapping'!$B$137:$BL$300,MATCH(B224,'ei names mapping'!$A$137:$A$300,0),MATCH(G255,'ei names mapping'!$B$136:$BL$136,0))</f>
        <v>-5.1220542818673449E-6</v>
      </c>
      <c r="C255" t="str">
        <f>INDEX('ei names mapping'!$B$38:$BL$67,MATCH($B$183,'ei names mapping'!$A$4:$A$33,0),MATCH(G255,'ei names mapping'!$B$3:$BL$3,0))</f>
        <v>RER</v>
      </c>
      <c r="D255" t="str">
        <f>INDEX('ei names mapping'!$B$104:$BL$133,MATCH($B$183,'ei names mapping'!$A$4:$A$33,0),MATCH(G255,'ei names mapping'!$B$3:$BL$3,0))</f>
        <v>kilogram</v>
      </c>
      <c r="F255" t="s">
        <v>89</v>
      </c>
      <c r="G255" t="s">
        <v>31</v>
      </c>
      <c r="H255" t="str">
        <f>INDEX('ei names mapping'!$B$71:$BL$100,MATCH($B$183,'ei names mapping'!$A$4:$A$33,0),MATCH(G255,'ei names mapping'!$B$3:$BL$3,0))</f>
        <v>brake wear emissions, passenger car</v>
      </c>
    </row>
    <row r="257" spans="1:2" ht="16" x14ac:dyDescent="0.2">
      <c r="A257" s="10" t="s">
        <v>71</v>
      </c>
      <c r="B257" s="8" t="str">
        <f>"transport, "&amp;B259&amp;", "&amp;B274&amp;" battery, "&amp;B261</f>
        <v>transport, Bicycle, electric, cargo bike, NCA battery, 2040</v>
      </c>
    </row>
    <row r="258" spans="1:2" x14ac:dyDescent="0.2">
      <c r="A258" t="s">
        <v>72</v>
      </c>
      <c r="B258" t="s">
        <v>37</v>
      </c>
    </row>
    <row r="259" spans="1:2" x14ac:dyDescent="0.2">
      <c r="A259" t="s">
        <v>86</v>
      </c>
      <c r="B259" t="s">
        <v>496</v>
      </c>
    </row>
    <row r="260" spans="1:2" x14ac:dyDescent="0.2">
      <c r="A260" t="s">
        <v>87</v>
      </c>
    </row>
    <row r="261" spans="1:2" x14ac:dyDescent="0.2">
      <c r="A261" t="s">
        <v>88</v>
      </c>
      <c r="B261">
        <v>2040</v>
      </c>
    </row>
    <row r="262" spans="1:2" x14ac:dyDescent="0.2">
      <c r="A262" t="s">
        <v>126</v>
      </c>
      <c r="B262" t="str">
        <f>B259&amp;" - "&amp;B261&amp;" - "&amp;B274&amp;" - "&amp;B258</f>
        <v>Bicycle, electric, cargo bike - 2040 - NCA - CH</v>
      </c>
    </row>
    <row r="263" spans="1:2" x14ac:dyDescent="0.2">
      <c r="A263" t="s">
        <v>73</v>
      </c>
      <c r="B263" t="str">
        <f>"transport, "&amp;B259</f>
        <v>transport, Bicycle, electric, cargo bike</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specifications'!$B$3:$CW$166,MATCH(B262,'vehicles specifications'!$A$3:$A$166,0),MATCH("Lifetime [km]",'vehicles specifications'!$B$2:$CW$2,0))</f>
        <v>20000</v>
      </c>
    </row>
    <row r="268" spans="1:2" x14ac:dyDescent="0.2">
      <c r="A268" t="s">
        <v>128</v>
      </c>
      <c r="B268">
        <f>INDEX('vehicles specifications'!$B$3:$CW$166,MATCH(B262,'vehicles specifications'!$A$3:$A$166,0),MATCH("Passengers [unit]",'vehicles specifications'!$B$2:$CW$2,0))</f>
        <v>1</v>
      </c>
    </row>
    <row r="269" spans="1:2" x14ac:dyDescent="0.2">
      <c r="A269" t="s">
        <v>129</v>
      </c>
      <c r="B269">
        <f>INDEX('vehicles specifications'!$B$3:$CW$166,MATCH(B262,'vehicles specifications'!$A$3:$A$166,0),MATCH("Servicing [unit]",'vehicles specifications'!$B$2:$CW$2,0))</f>
        <v>1.3333333333333333</v>
      </c>
    </row>
    <row r="270" spans="1:2" x14ac:dyDescent="0.2">
      <c r="A270" t="s">
        <v>130</v>
      </c>
      <c r="B270">
        <f>INDEX('vehicles specifications'!$B$3:$CW$166,MATCH(B262,'vehicles specifications'!$A$3:$A$166,0),MATCH("Energy battery replacement [unit]",'vehicles specifications'!$B$2:$CW$2,0))</f>
        <v>0.25</v>
      </c>
    </row>
    <row r="271" spans="1:2" x14ac:dyDescent="0.2">
      <c r="A271" t="s">
        <v>131</v>
      </c>
      <c r="B271">
        <f>INDEX('vehicles specifications'!$B$3:$CW$166,MATCH(B262,'vehicles specifications'!$A$3:$A$166,0),MATCH("Annual kilometers [km]",'vehicles specifications'!$B$2:$CW$2,0))</f>
        <v>2000</v>
      </c>
    </row>
    <row r="272" spans="1:2" x14ac:dyDescent="0.2">
      <c r="A272" t="s">
        <v>132</v>
      </c>
      <c r="B272">
        <f>INDEX('vehicles specifications'!$B$3:$CW$166,MATCH(B262,'vehicles specifications'!$A$3:$A$166,0),MATCH("Curb mass [kg]",'vehicles specifications'!$B$2:$CW$2,0))</f>
        <v>42.5</v>
      </c>
    </row>
    <row r="273" spans="1:8" x14ac:dyDescent="0.2">
      <c r="A273" t="s">
        <v>133</v>
      </c>
      <c r="B273">
        <f>INDEX('vehicles specifications'!$B$3:$CW$166,MATCH(B262,'vehicles specifications'!$A$3:$A$166,0),MATCH("Power [kW]",'vehicles specifications'!$B$2:$CW$2,0))</f>
        <v>0.25</v>
      </c>
    </row>
    <row r="274" spans="1:8" x14ac:dyDescent="0.2">
      <c r="A274" t="s">
        <v>652</v>
      </c>
      <c r="B274" s="20" t="s">
        <v>45</v>
      </c>
    </row>
    <row r="275" spans="1:8" x14ac:dyDescent="0.2">
      <c r="A275" t="s">
        <v>134</v>
      </c>
      <c r="B275">
        <f>INDEX('vehicles specifications'!$B$3:$CW$166,MATCH(B262,'vehicles specifications'!$A$3:$A$166,0),MATCH("Energy battery mass [kg]",'vehicles specifications'!$B$2:$CW$2,0))</f>
        <v>2.6</v>
      </c>
    </row>
    <row r="276" spans="1:8" x14ac:dyDescent="0.2">
      <c r="A276" t="s">
        <v>135</v>
      </c>
      <c r="B276">
        <f>INDEX('vehicles specifications'!$B$3:$CW$166,MATCH(B262,'vehicles specifications'!$A$3:$A$166,0),MATCH("Electric energy stored [kWh]",'vehicles specifications'!$B$2:$CW$2,0))</f>
        <v>0.8</v>
      </c>
    </row>
    <row r="277" spans="1:8" x14ac:dyDescent="0.2">
      <c r="A277" t="s">
        <v>588</v>
      </c>
      <c r="B277">
        <f>INDEX('vehicles specifications'!$B$3:$CW$166,MATCH(B262,'vehicles specifications'!$A$3:$A$166,0),MATCH("Electric energy available [kWh]",'vehicles specifications'!$B$2:$CW$2,0))</f>
        <v>0.64000000000000012</v>
      </c>
    </row>
    <row r="278" spans="1:8" x14ac:dyDescent="0.2">
      <c r="A278" t="s">
        <v>138</v>
      </c>
      <c r="B278">
        <f>INDEX('vehicles specifications'!$B$3:$CW$166,MATCH(B262,'vehicles specifications'!$A$3:$A$166,0),MATCH("Oxydation energy stored [kWh]",'vehicles specifications'!$B$2:$CW$2,0))</f>
        <v>0</v>
      </c>
    </row>
    <row r="279" spans="1:8" x14ac:dyDescent="0.2">
      <c r="A279" t="s">
        <v>139</v>
      </c>
      <c r="B279">
        <f>INDEX('vehicles specifications'!$B$3:$CW$166,MATCH(B262,'vehicles specifications'!$A$3:$A$166,0),MATCH("Fuel mass [kg]",'vehicles specifications'!$B$2:$CW$2,0))</f>
        <v>0</v>
      </c>
    </row>
    <row r="280" spans="1:8" x14ac:dyDescent="0.2">
      <c r="A280" t="s">
        <v>136</v>
      </c>
      <c r="B280">
        <f>INDEX('vehicles specifications'!$B$3:$CW$166,MATCH(B262,'vehicles specifications'!$A$3:$A$166,0),MATCH("Range [km]",'vehicles specifications'!$B$2:$CW$2,0))</f>
        <v>66.381772151898744</v>
      </c>
    </row>
    <row r="281" spans="1:8" x14ac:dyDescent="0.2">
      <c r="A281" t="s">
        <v>137</v>
      </c>
      <c r="B281" t="str">
        <f>INDEX('vehicles specifications'!$B$3:$CW$166,MATCH(B262,'vehicles specifications'!$A$3:$A$166,0),MATCH("Emission standard",'vehicles specifications'!$B$2:$CW$2,0))</f>
        <v>None</v>
      </c>
    </row>
    <row r="282" spans="1:8" x14ac:dyDescent="0.2">
      <c r="A282" t="s">
        <v>1174</v>
      </c>
      <c r="B282" s="6">
        <f>INDEX('vehicles specifications'!$B$3:$CW$166,MATCH(B262,'vehicles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"&amp;B266</f>
        <v>Power: 0.25 kW. Lifetime: 20000 km. Annual kilometers: 2000 km. Number of passengers: 1. Curb mass: 42.5 kg. Lightweighting of glider: 5%. Emission standard: None. Service visits throughout lifetime: 1.3. Range: 66 km. Battery capacity: 0.8 kWh. Available battery capacity: 0.64 kWh. Battery mass: 2.6 kg. Battery replacement throughout lifetime: 0.3. Fuel tank capacity: 0 kWh. Fuel mass: 0 kg. Documentation: Life-cycle inventories for on-road vehicles, Sacchi R. (PSI), Bauer C. (PSI), 2021. Sacchi R., Bauer C. Life cycle inventories for on-road vehicles. Paul Scherrer Institut, 2021.</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Bicycle, electric, cargo bike, NCA battery, 2040</v>
      </c>
      <c r="B286">
        <v>1</v>
      </c>
      <c r="C286" t="str">
        <f>B258</f>
        <v>CH</v>
      </c>
      <c r="D286" t="s">
        <v>166</v>
      </c>
      <c r="F286" t="s">
        <v>84</v>
      </c>
      <c r="G286" t="s">
        <v>85</v>
      </c>
      <c r="H286" t="str">
        <f>B263</f>
        <v>transport, Bicycle, electric, cargo bike</v>
      </c>
    </row>
    <row r="287" spans="1:8" x14ac:dyDescent="0.2">
      <c r="A287" t="str">
        <f>RIGHT(A286,LEN(A286)-11)</f>
        <v>Bicycle, electric, cargo bike, NCA battery, 2040</v>
      </c>
      <c r="B287" s="7">
        <f>1/B267</f>
        <v>5.0000000000000002E-5</v>
      </c>
      <c r="C287" t="str">
        <f>B258</f>
        <v>CH</v>
      </c>
      <c r="D287" t="s">
        <v>76</v>
      </c>
      <c r="F287" t="s">
        <v>89</v>
      </c>
      <c r="H287" t="str">
        <f>RIGHT(H286,LEN(H286)-11)</f>
        <v>Bicycle, electric, cargo bike</v>
      </c>
    </row>
    <row r="288" spans="1:8" x14ac:dyDescent="0.2">
      <c r="A288" t="str">
        <f>INDEX('ei names mapping'!$B$4:$R$33,MATCH(B259,'ei names mapping'!$A$4:$A$33,0),MATCH(G288,'ei names mapping'!$B$3:$R$3,0))</f>
        <v>road construction</v>
      </c>
      <c r="B288" s="7">
        <f>INDEX('vehicles specifications'!$B$3:$CW$166,MATCH(B262,'vehicles specifications'!$A$3:$A$166,0),MATCH(G288,'vehicles specifications'!$B$2:$CW$2,0))*INDEX('ei names mapping'!$B$137:$BL$300,MATCH(B262,'ei names mapping'!$A$137:$A$300,0),MATCH(G288,'ei names mapping'!$B$136:$BL$136,0))</f>
        <v>8.9947500000000006E-5</v>
      </c>
      <c r="C288" t="str">
        <f>INDEX('ei names mapping'!$B$38:$R$67,MATCH(B259,'ei names mapping'!$A$4:$A$33,0),MATCH(G288,'ei names mapping'!$B$3:$R$3,0))</f>
        <v>CH</v>
      </c>
      <c r="D288" t="str">
        <f>INDEX('ei names mapping'!$B$104:$BL$133,MATCH(B259,'ei names mapping'!$A$4:$A$33,0),MATCH(G288,'ei names mapping'!$B$3:$BL$3,0))</f>
        <v>meter-year</v>
      </c>
      <c r="F288" t="s">
        <v>89</v>
      </c>
      <c r="G288" t="s">
        <v>105</v>
      </c>
      <c r="H288" t="str">
        <f>INDEX('ei names mapping'!$B$71:$BL$100,MATCH(B259,'ei names mapping'!$A$4:$A$33,0),MATCH(G288,'ei names mapping'!$B$3:$BL$3,0))</f>
        <v>road</v>
      </c>
    </row>
    <row r="289" spans="1:8" x14ac:dyDescent="0.2">
      <c r="A289" t="str">
        <f>INDEX('ei names mapping'!$B$4:$R$33,MATCH($B$3,'ei names mapping'!$A$4:$A$33,0),MATCH(G289,'ei names mapping'!$B$3:$R$3,0))</f>
        <v>market for electricity, low voltage</v>
      </c>
      <c r="B289" s="7">
        <f>INDEX('vehicles specifications'!$B$3:$CW$166,MATCH(B262,'vehicles specifications'!$A$3:$A$166,0),MATCH(G289,'vehicles specifications'!$B$2:$CW$2,0))*INDEX('ei names mapping'!$B$137:$BL$300,MATCH(B262,'ei names mapping'!$A$137:$A$300,0),MATCH(G289,'ei names mapping'!$B$136:$BL$136,0))</f>
        <v>1.0605320966560899E-2</v>
      </c>
      <c r="C289" t="str">
        <f>INDEX('ei names mapping'!$B$38:$R$67,MATCH($B$3,'ei names mapping'!$A$4:$A$33,0),MATCH(G289,'ei names mapping'!$B$3:$R$3,0))</f>
        <v>CH</v>
      </c>
      <c r="D289" t="str">
        <f>INDEX('ei names mapping'!$B$104:$R$133,MATCH($B$3,'ei names mapping'!$A$4:$A$33,0),MATCH(G289,'ei names mapping'!$B$3:$R$3,0))</f>
        <v>kilowatt hour</v>
      </c>
      <c r="F289" t="s">
        <v>89</v>
      </c>
      <c r="G289" t="s">
        <v>28</v>
      </c>
      <c r="H289" t="str">
        <f>INDEX('ei names mapping'!$B$71:$R$100,MATCH($B$3,'ei names mapping'!$A$4:$A$33,0),MATCH(G289,'ei names mapping'!$B$3:$R$3,0))</f>
        <v>electricity, low voltage</v>
      </c>
    </row>
    <row r="290" spans="1:8" x14ac:dyDescent="0.2">
      <c r="A290" t="str">
        <f>INDEX('ei names mapping'!$B$4:$R$33,MATCH($B$3,'ei names mapping'!$A$4:$A$33,0),MATCH(G290,'ei names mapping'!$B$3:$R$3,0))</f>
        <v>maintenance, electric bicycle, without battery</v>
      </c>
      <c r="B290" s="7">
        <f>INDEX('vehicles specifications'!$B$3:$CW$166,MATCH(B262,'vehicles specifications'!$A$3:$A$166,0),MATCH(G290,'vehicles specifications'!$B$2:$CW$2,0))*INDEX('ei names mapping'!$B$137:$BL$300,MATCH(B262,'ei names mapping'!$A$137:$A$300,0),MATCH(G290,'ei names mapping'!$B$136:$BL$136,0))</f>
        <v>6.666666666666667E-5</v>
      </c>
      <c r="C290" t="str">
        <f>INDEX('ei names mapping'!$B$38:$R$67,MATCH($B$3,'ei names mapping'!$A$4:$A$33,0),MATCH(G290,'ei names mapping'!$B$3:$R$3,0))</f>
        <v>CH</v>
      </c>
      <c r="D290" t="str">
        <f>INDEX('ei names mapping'!$B$104:$R$133,MATCH($B$3,'ei names mapping'!$A$4:$A$33,0),MATCH(G290,'ei names mapping'!$B$3:$R$3,0))</f>
        <v>unit</v>
      </c>
      <c r="F290" t="s">
        <v>89</v>
      </c>
      <c r="G290" t="s">
        <v>118</v>
      </c>
      <c r="H290" t="str">
        <f>INDEX('ei names mapping'!$B$71:$R$100,MATCH($B$3,'ei names mapping'!$A$4:$A$33,0),MATCH(G290,'ei names mapping'!$B$3:$R$3,0))</f>
        <v>maintenance, electric bicycle, without battery</v>
      </c>
    </row>
    <row r="291" spans="1:8" x14ac:dyDescent="0.2">
      <c r="A291" t="str">
        <f>INDEX('ei names mapping'!$B$4:$BL$33,MATCH($B$183,'ei names mapping'!$A$4:$A$33,0),MATCH(G291,'ei names mapping'!$B$3:$BL$3,0))</f>
        <v>treatment of road wear emissions, passenger car</v>
      </c>
      <c r="B291" s="7">
        <f>INDEX('vehicles specifications'!$B$3:$CW$166,MATCH(B262,'vehicles specifications'!$A$3:$A$166,0),MATCH(G291,'vehicles specifications'!$B$2:$CW$2,0))*INDEX('ei names mapping'!$B$137:$BL$300,MATCH(B262,'ei names mapping'!$A$137:$A$300,0),MATCH(G291,'ei names mapping'!$B$136:$BL$136,0))</f>
        <v>-6.3308830992789148E-6</v>
      </c>
      <c r="C291" t="str">
        <f>INDEX('ei names mapping'!$B$38:$BL$67,MATCH($B$183,'ei names mapping'!$A$4:$A$33,0),MATCH(G291,'ei names mapping'!$B$3:$BL$3,0))</f>
        <v>RER</v>
      </c>
      <c r="D291" t="str">
        <f>INDEX('ei names mapping'!$B$104:$BL$133,MATCH($B$183,'ei names mapping'!$A$4:$A$33,0),MATCH(G291,'ei names mapping'!$B$3:$BL$3,0))</f>
        <v>kilogram</v>
      </c>
      <c r="F291" t="s">
        <v>89</v>
      </c>
      <c r="G291" t="s">
        <v>29</v>
      </c>
      <c r="H291" t="str">
        <f>INDEX('ei names mapping'!$B$71:$BL$100,MATCH(B259,'ei names mapping'!$A$4:$A$33,0),MATCH(G291,'ei names mapping'!$B$3:$BL$3,0))</f>
        <v>road wear emissions, passenger car</v>
      </c>
    </row>
    <row r="292" spans="1:8" x14ac:dyDescent="0.2">
      <c r="A292" t="str">
        <f>INDEX('ei names mapping'!$B$4:$BL$33,MATCH($B$183,'ei names mapping'!$A$4:$A$33,0),MATCH(G292,'ei names mapping'!$B$3:$BL$3,0))</f>
        <v>treatment of tyre wear emissions, passenger car</v>
      </c>
      <c r="B292" s="7">
        <f>INDEX('vehicles specifications'!$B$3:$CW$166,MATCH(B262,'vehicles specifications'!$A$3:$A$166,0),MATCH(G292,'vehicles specifications'!$B$2:$CW$2,0))*INDEX('ei names mapping'!$B$137:$BL$300,MATCH(B262,'ei names mapping'!$A$137:$A$300,0),MATCH(G292,'ei names mapping'!$B$136:$BL$136,0))</f>
        <v>-5.2399420093405223E-6</v>
      </c>
      <c r="C292" t="str">
        <f>INDEX('ei names mapping'!$B$38:$BL$67,MATCH($B$183,'ei names mapping'!$A$4:$A$33,0),MATCH(G292,'ei names mapping'!$B$3:$BL$3,0))</f>
        <v>RER</v>
      </c>
      <c r="D292" t="str">
        <f>INDEX('ei names mapping'!$B$104:$BL$133,MATCH($B$183,'ei names mapping'!$A$4:$A$33,0),MATCH(G292,'ei names mapping'!$B$3:$BL$3,0))</f>
        <v>kilogram</v>
      </c>
      <c r="F292" t="s">
        <v>89</v>
      </c>
      <c r="G292" t="s">
        <v>30</v>
      </c>
      <c r="H292" t="str">
        <f>INDEX('ei names mapping'!$B$71:$BL$100,MATCH($B$183,'ei names mapping'!$A$4:$A$33,0),MATCH(G292,'ei names mapping'!$B$3:$BL$3,0))</f>
        <v>tyre wear emissions, passenger car</v>
      </c>
    </row>
    <row r="293" spans="1:8" x14ac:dyDescent="0.2">
      <c r="A293" t="str">
        <f>INDEX('ei names mapping'!$B$4:$BL$33,MATCH($B$183,'ei names mapping'!$A$4:$A$33,0),MATCH(G293,'ei names mapping'!$B$3:$BL$3,0))</f>
        <v>treatment of brake wear emissions, passenger car</v>
      </c>
      <c r="B293" s="7">
        <f>INDEX('vehicles specifications'!$B$3:$CW$166,MATCH(B262,'vehicles specifications'!$A$3:$A$166,0),MATCH(G293,'vehicles specifications'!$B$2:$CW$2,0))*INDEX('ei names mapping'!$B$137:$BL$300,MATCH(B262,'ei names mapping'!$A$137:$A$300,0),MATCH(G293,'ei names mapping'!$B$136:$BL$136,0))</f>
        <v>-5.0919597087390986E-6</v>
      </c>
      <c r="C293" t="str">
        <f>INDEX('ei names mapping'!$B$38:$BL$67,MATCH($B$183,'ei names mapping'!$A$4:$A$33,0),MATCH(G293,'ei names mapping'!$B$3:$BL$3,0))</f>
        <v>RER</v>
      </c>
      <c r="D293" t="str">
        <f>INDEX('ei names mapping'!$B$104:$BL$133,MATCH($B$183,'ei names mapping'!$A$4:$A$33,0),MATCH(G293,'ei names mapping'!$B$3:$BL$3,0))</f>
        <v>kilogram</v>
      </c>
      <c r="F293" t="s">
        <v>89</v>
      </c>
      <c r="G293" t="s">
        <v>31</v>
      </c>
      <c r="H293" t="str">
        <f>INDEX('ei names mapping'!$B$71:$BL$100,MATCH($B$183,'ei names mapping'!$A$4:$A$33,0),MATCH(G293,'ei names mapping'!$B$3:$BL$3,0))</f>
        <v>brake wear emissions, passenger car</v>
      </c>
    </row>
    <row r="295" spans="1:8" ht="16" x14ac:dyDescent="0.2">
      <c r="A295" s="10" t="s">
        <v>71</v>
      </c>
      <c r="B295" s="8" t="str">
        <f>"transport, "&amp;B297&amp;", "&amp;B312&amp;" battery, "&amp;B299</f>
        <v>transport, Bicycle, electric, cargo bike, NCA battery, 2050</v>
      </c>
    </row>
    <row r="296" spans="1:8" x14ac:dyDescent="0.2">
      <c r="A296" t="s">
        <v>72</v>
      </c>
      <c r="B296" t="s">
        <v>37</v>
      </c>
    </row>
    <row r="297" spans="1:8" x14ac:dyDescent="0.2">
      <c r="A297" t="s">
        <v>86</v>
      </c>
      <c r="B297" t="s">
        <v>496</v>
      </c>
    </row>
    <row r="298" spans="1:8" x14ac:dyDescent="0.2">
      <c r="A298" t="s">
        <v>87</v>
      </c>
    </row>
    <row r="299" spans="1:8" x14ac:dyDescent="0.2">
      <c r="A299" t="s">
        <v>88</v>
      </c>
      <c r="B299">
        <v>2050</v>
      </c>
    </row>
    <row r="300" spans="1:8" x14ac:dyDescent="0.2">
      <c r="A300" t="s">
        <v>126</v>
      </c>
      <c r="B300" t="str">
        <f>B297&amp;" - "&amp;B299&amp;" - "&amp;B312&amp;" - "&amp;B296</f>
        <v>Bicycle, electric, cargo bike - 2050 - NCA - CH</v>
      </c>
    </row>
    <row r="301" spans="1:8" x14ac:dyDescent="0.2">
      <c r="A301" t="s">
        <v>73</v>
      </c>
      <c r="B301" t="str">
        <f>"transport, "&amp;B297</f>
        <v>transport, Bicycle, electric, cargo bike</v>
      </c>
    </row>
    <row r="302" spans="1:8" x14ac:dyDescent="0.2">
      <c r="A302" t="s">
        <v>74</v>
      </c>
      <c r="B302" t="s">
        <v>75</v>
      </c>
    </row>
    <row r="303" spans="1:8" x14ac:dyDescent="0.2">
      <c r="A303" t="s">
        <v>76</v>
      </c>
      <c r="B303" t="s">
        <v>166</v>
      </c>
    </row>
    <row r="304" spans="1:8" x14ac:dyDescent="0.2">
      <c r="A304" t="s">
        <v>78</v>
      </c>
      <c r="B304" t="s">
        <v>1143</v>
      </c>
    </row>
    <row r="305" spans="1:2" x14ac:dyDescent="0.2">
      <c r="A305" t="s">
        <v>127</v>
      </c>
      <c r="B305">
        <f>INDEX('vehicles specifications'!$B$3:$CW$166,MATCH(B300,'vehicles specifications'!$A$3:$A$166,0),MATCH("Lifetime [km]",'vehicles specifications'!$B$2:$CW$2,0))</f>
        <v>20000</v>
      </c>
    </row>
    <row r="306" spans="1:2" x14ac:dyDescent="0.2">
      <c r="A306" t="s">
        <v>128</v>
      </c>
      <c r="B306">
        <f>INDEX('vehicles specifications'!$B$3:$CW$166,MATCH(B300,'vehicles specifications'!$A$3:$A$166,0),MATCH("Passengers [unit]",'vehicles specifications'!$B$2:$CW$2,0))</f>
        <v>1</v>
      </c>
    </row>
    <row r="307" spans="1:2" x14ac:dyDescent="0.2">
      <c r="A307" t="s">
        <v>129</v>
      </c>
      <c r="B307">
        <f>INDEX('vehicles specifications'!$B$3:$CW$166,MATCH(B300,'vehicles specifications'!$A$3:$A$166,0),MATCH("Servicing [unit]",'vehicles specifications'!$B$2:$CW$2,0))</f>
        <v>1.3333333333333333</v>
      </c>
    </row>
    <row r="308" spans="1:2" x14ac:dyDescent="0.2">
      <c r="A308" t="s">
        <v>130</v>
      </c>
      <c r="B308">
        <f>INDEX('vehicles specifications'!$B$3:$CW$166,MATCH(B300,'vehicles specifications'!$A$3:$A$166,0),MATCH("Energy battery replacement [unit]",'vehicles specifications'!$B$2:$CW$2,0))</f>
        <v>0</v>
      </c>
    </row>
    <row r="309" spans="1:2" x14ac:dyDescent="0.2">
      <c r="A309" t="s">
        <v>131</v>
      </c>
      <c r="B309">
        <f>INDEX('vehicles specifications'!$B$3:$CW$166,MATCH(B300,'vehicles specifications'!$A$3:$A$166,0),MATCH("Annual kilometers [km]",'vehicles specifications'!$B$2:$CW$2,0))</f>
        <v>2000</v>
      </c>
    </row>
    <row r="310" spans="1:2" x14ac:dyDescent="0.2">
      <c r="A310" t="s">
        <v>132</v>
      </c>
      <c r="B310">
        <f>INDEX('vehicles specifications'!$B$3:$CW$166,MATCH(B300,'vehicles specifications'!$A$3:$A$166,0),MATCH("Curb mass [kg]",'vehicles specifications'!$B$2:$CW$2,0))</f>
        <v>41.64</v>
      </c>
    </row>
    <row r="311" spans="1:2" x14ac:dyDescent="0.2">
      <c r="A311" t="s">
        <v>133</v>
      </c>
      <c r="B311">
        <f>INDEX('vehicles specifications'!$B$3:$CW$166,MATCH(B300,'vehicles specifications'!$A$3:$A$166,0),MATCH("Power [kW]",'vehicles specifications'!$B$2:$CW$2,0))</f>
        <v>0.25</v>
      </c>
    </row>
    <row r="312" spans="1:2" x14ac:dyDescent="0.2">
      <c r="A312" t="s">
        <v>652</v>
      </c>
      <c r="B312" s="20" t="s">
        <v>45</v>
      </c>
    </row>
    <row r="313" spans="1:2" x14ac:dyDescent="0.2">
      <c r="A313" t="s">
        <v>134</v>
      </c>
      <c r="B313">
        <f>INDEX('vehicles specifications'!$B$3:$CW$166,MATCH(B300,'vehicles specifications'!$A$3:$A$166,0),MATCH("Energy battery mass [kg]",'vehicles specifications'!$B$2:$CW$2,0))</f>
        <v>2.6</v>
      </c>
    </row>
    <row r="314" spans="1:2" x14ac:dyDescent="0.2">
      <c r="A314" t="s">
        <v>135</v>
      </c>
      <c r="B314">
        <f>INDEX('vehicles specifications'!$B$3:$CW$166,MATCH(B300,'vehicles specifications'!$A$3:$A$166,0),MATCH("Electric energy stored [kWh]",'vehicles specifications'!$B$2:$CW$2,0))</f>
        <v>1</v>
      </c>
    </row>
    <row r="315" spans="1:2" x14ac:dyDescent="0.2">
      <c r="A315" t="s">
        <v>588</v>
      </c>
      <c r="B315">
        <f>INDEX('vehicles specifications'!$B$3:$CW$166,MATCH(B300,'vehicles specifications'!$A$3:$A$166,0),MATCH("Electric energy available [kWh]",'vehicles specifications'!$B$2:$CW$2,0))</f>
        <v>0.8</v>
      </c>
    </row>
    <row r="316" spans="1:2" x14ac:dyDescent="0.2">
      <c r="A316" t="s">
        <v>138</v>
      </c>
      <c r="B316">
        <f>INDEX('vehicles specifications'!$B$3:$CW$166,MATCH(B300,'vehicles specifications'!$A$3:$A$166,0),MATCH("Oxydation energy stored [kWh]",'vehicles specifications'!$B$2:$CW$2,0))</f>
        <v>0</v>
      </c>
    </row>
    <row r="317" spans="1:2" x14ac:dyDescent="0.2">
      <c r="A317" t="s">
        <v>139</v>
      </c>
      <c r="B317">
        <f>INDEX('vehicles specifications'!$B$3:$CW$166,MATCH(B300,'vehicles specifications'!$A$3:$A$166,0),MATCH("Fuel mass [kg]",'vehicles specifications'!$B$2:$CW$2,0))</f>
        <v>0</v>
      </c>
    </row>
    <row r="318" spans="1:2" x14ac:dyDescent="0.2">
      <c r="A318" t="s">
        <v>136</v>
      </c>
      <c r="B318">
        <f>INDEX('vehicles specifications'!$B$3:$CW$166,MATCH(B300,'vehicles specifications'!$A$3:$A$166,0),MATCH("Range [km]",'vehicles specifications'!$B$2:$CW$2,0))</f>
        <v>82.977215189873419</v>
      </c>
    </row>
    <row r="319" spans="1:2" x14ac:dyDescent="0.2">
      <c r="A319" t="s">
        <v>137</v>
      </c>
      <c r="B319" t="str">
        <f>INDEX('vehicles specifications'!$B$3:$CW$166,MATCH(B300,'vehicles specifications'!$A$3:$A$166,0),MATCH("Emission standard",'vehicles specifications'!$B$2:$CW$2,0))</f>
        <v>None</v>
      </c>
    </row>
    <row r="320" spans="1:2" x14ac:dyDescent="0.2">
      <c r="A320" t="s">
        <v>1174</v>
      </c>
      <c r="B320" s="6">
        <f>INDEX('vehicles specifications'!$B$3:$CW$166,MATCH(B300,'vehicles specifications'!$A$3:$A$166,0),MATCH("Lightweighting rate [%]",'vehicles specifications'!$B$2:$CW$2,0))</f>
        <v>7.0000000000000007E-2</v>
      </c>
    </row>
    <row r="321" spans="1:8" x14ac:dyDescent="0.2">
      <c r="A321" t="s">
        <v>83</v>
      </c>
      <c r="B321" t="str">
        <f>"Power: "&amp;B311&amp;" kW. Lifetime: "&amp;B305&amp;" km. Annual kilometers: "&amp;B309&amp;" km. Number of passengers: "&amp;B306&amp;". Curb mass: "&amp;ROUND(B310,1)&amp;" kg. Lightweighting of glider: "&amp;ROUND(B320*100,0)&amp;"%. Emission standard: "&amp;B319&amp;". Service visits throughout lifetime: "&amp;ROUND(B307,1)&amp;". Range: "&amp;ROUND(B318,0)&amp;" km. Battery capacity: "&amp;ROUND(B314,1)&amp;" kWh. Available battery capacity: "&amp;B315&amp;" kWh. Battery mass: "&amp;ROUND(B313,1)&amp; " kg. Battery replacement throughout lifetime: "&amp;ROUND(B308,1)&amp;". Fuel tank capacity: "&amp;ROUND(B316,1)&amp;" kWh. Fuel mass: "&amp;ROUND(B317,1)&amp;" kg. Documentation: "&amp;Readmefirst!$B$2&amp;", "&amp;Readmefirst!$B$3&amp;". "&amp;B304</f>
        <v>Power: 0.25 kW. Lifetime: 20000 km. Annual kilometers: 2000 km. Number of passengers: 1. Curb mass: 41.6 kg. Lightweighting of glider: 7%. Emission standard: None. Service visits throughout lifetime: 1.3. Range: 83 km. Battery capacity: 1 kWh. Available battery capacity: 0.8 kWh. Battery mass: 2.6 kg. Battery replacement throughout lifetime: 0. Fuel tank capacity: 0 kWh. Fuel mass: 0 kg. Documentation: Life-cycle inventories for on-road vehicles, Sacchi R. (PSI), Bauer C. (PSI), 2021. Sacchi R., Bauer C. Life cycle inventories for on-road vehicles. Paul Scherrer Institut, 2021.</v>
      </c>
    </row>
    <row r="322" spans="1:8" ht="16" x14ac:dyDescent="0.2">
      <c r="A322" s="10" t="s">
        <v>79</v>
      </c>
    </row>
    <row r="323" spans="1:8" x14ac:dyDescent="0.2">
      <c r="A323" t="s">
        <v>80</v>
      </c>
      <c r="B323" t="s">
        <v>81</v>
      </c>
      <c r="C323" t="s">
        <v>72</v>
      </c>
      <c r="D323" t="s">
        <v>76</v>
      </c>
      <c r="E323" t="s">
        <v>82</v>
      </c>
      <c r="F323" t="s">
        <v>74</v>
      </c>
      <c r="G323" t="s">
        <v>83</v>
      </c>
      <c r="H323" t="s">
        <v>73</v>
      </c>
    </row>
    <row r="324" spans="1:8" x14ac:dyDescent="0.2">
      <c r="A324" t="str">
        <f>B295</f>
        <v>transport, Bicycle, electric, cargo bike, NCA battery, 2050</v>
      </c>
      <c r="B324">
        <v>1</v>
      </c>
      <c r="C324" t="str">
        <f>B296</f>
        <v>CH</v>
      </c>
      <c r="D324" t="s">
        <v>166</v>
      </c>
      <c r="F324" t="s">
        <v>84</v>
      </c>
      <c r="G324" t="s">
        <v>85</v>
      </c>
      <c r="H324" t="str">
        <f>B301</f>
        <v>transport, Bicycle, electric, cargo bike</v>
      </c>
    </row>
    <row r="325" spans="1:8" x14ac:dyDescent="0.2">
      <c r="A325" t="str">
        <f>RIGHT(A324,LEN(A324)-11)</f>
        <v>Bicycle, electric, cargo bike, NCA battery, 2050</v>
      </c>
      <c r="B325" s="7">
        <f>1/B305</f>
        <v>5.0000000000000002E-5</v>
      </c>
      <c r="C325" t="str">
        <f>B296</f>
        <v>CH</v>
      </c>
      <c r="D325" t="s">
        <v>76</v>
      </c>
      <c r="F325" t="s">
        <v>89</v>
      </c>
      <c r="H325" t="str">
        <f>RIGHT(H324,LEN(H324)-11)</f>
        <v>Bicycle, electric, cargo bike</v>
      </c>
    </row>
    <row r="326" spans="1:8" x14ac:dyDescent="0.2">
      <c r="A326" t="str">
        <f>INDEX('ei names mapping'!$B$4:$R$33,MATCH(B297,'ei names mapping'!$A$4:$A$33,0),MATCH(G326,'ei names mapping'!$B$3:$R$3,0))</f>
        <v>road construction</v>
      </c>
      <c r="B326" s="7">
        <f>INDEX('vehicles specifications'!$B$3:$CW$166,MATCH(B300,'vehicles specifications'!$A$3:$A$166,0),MATCH(G326,'vehicles specifications'!$B$2:$CW$2,0))*INDEX('ei names mapping'!$B$137:$BL$300,MATCH(B300,'ei names mapping'!$A$137:$A$300,0),MATCH(G326,'ei names mapping'!$B$136:$BL$136,0))</f>
        <v>8.9485679999999995E-5</v>
      </c>
      <c r="C326" t="str">
        <f>INDEX('ei names mapping'!$B$38:$R$67,MATCH(B297,'ei names mapping'!$A$4:$A$33,0),MATCH(G326,'ei names mapping'!$B$3:$R$3,0))</f>
        <v>CH</v>
      </c>
      <c r="D326" t="str">
        <f>INDEX('ei names mapping'!$B$104:$BL$133,MATCH(B297,'ei names mapping'!$A$4:$A$33,0),MATCH(G326,'ei names mapping'!$B$3:$BL$3,0))</f>
        <v>meter-year</v>
      </c>
      <c r="F326" t="s">
        <v>89</v>
      </c>
      <c r="G326" t="s">
        <v>105</v>
      </c>
      <c r="H326" t="str">
        <f>INDEX('ei names mapping'!$B$71:$BL$100,MATCH(B297,'ei names mapping'!$A$4:$A$33,0),MATCH(G326,'ei names mapping'!$B$3:$BL$3,0))</f>
        <v>road</v>
      </c>
    </row>
    <row r="327" spans="1:8" x14ac:dyDescent="0.2">
      <c r="A327" t="str">
        <f>INDEX('ei names mapping'!$B$4:$R$33,MATCH($B$3,'ei names mapping'!$A$4:$A$33,0),MATCH(G327,'ei names mapping'!$B$3:$R$3,0))</f>
        <v>market for electricity, low voltage</v>
      </c>
      <c r="B327" s="7">
        <f>INDEX('vehicles specifications'!$B$3:$CW$166,MATCH(B300,'vehicles specifications'!$A$3:$A$166,0),MATCH(G327,'vehicles specifications'!$B$2:$CW$2,0))*INDEX('ei names mapping'!$B$137:$BL$300,MATCH(B300,'ei names mapping'!$A$137:$A$300,0),MATCH(G327,'ei names mapping'!$B$136:$BL$136,0))</f>
        <v>1.0605320966560899E-2</v>
      </c>
      <c r="C327" t="str">
        <f>INDEX('ei names mapping'!$B$38:$R$67,MATCH($B$3,'ei names mapping'!$A$4:$A$33,0),MATCH(G327,'ei names mapping'!$B$3:$R$3,0))</f>
        <v>CH</v>
      </c>
      <c r="D327" t="str">
        <f>INDEX('ei names mapping'!$B$104:$R$133,MATCH($B$3,'ei names mapping'!$A$4:$A$33,0),MATCH(G327,'ei names mapping'!$B$3:$R$3,0))</f>
        <v>kilowatt hour</v>
      </c>
      <c r="F327" t="s">
        <v>89</v>
      </c>
      <c r="G327" t="s">
        <v>28</v>
      </c>
      <c r="H327" t="str">
        <f>INDEX('ei names mapping'!$B$71:$R$100,MATCH($B$3,'ei names mapping'!$A$4:$A$33,0),MATCH(G327,'ei names mapping'!$B$3:$R$3,0))</f>
        <v>electricity, low voltage</v>
      </c>
    </row>
    <row r="328" spans="1:8" x14ac:dyDescent="0.2">
      <c r="A328" t="str">
        <f>INDEX('ei names mapping'!$B$4:$R$33,MATCH($B$3,'ei names mapping'!$A$4:$A$33,0),MATCH(G328,'ei names mapping'!$B$3:$R$3,0))</f>
        <v>maintenance, electric bicycle, without battery</v>
      </c>
      <c r="B328" s="7">
        <f>INDEX('vehicles specifications'!$B$3:$CW$166,MATCH(B300,'vehicles specifications'!$A$3:$A$166,0),MATCH(G328,'vehicles specifications'!$B$2:$CW$2,0))*INDEX('ei names mapping'!$B$137:$BL$300,MATCH(B300,'ei names mapping'!$A$137:$A$300,0),MATCH(G328,'ei names mapping'!$B$136:$BL$136,0))</f>
        <v>6.666666666666667E-5</v>
      </c>
      <c r="C328" t="str">
        <f>INDEX('ei names mapping'!$B$38:$R$67,MATCH($B$3,'ei names mapping'!$A$4:$A$33,0),MATCH(G328,'ei names mapping'!$B$3:$R$3,0))</f>
        <v>CH</v>
      </c>
      <c r="D328" t="str">
        <f>INDEX('ei names mapping'!$B$104:$R$133,MATCH($B$3,'ei names mapping'!$A$4:$A$33,0),MATCH(G328,'ei names mapping'!$B$3:$R$3,0))</f>
        <v>unit</v>
      </c>
      <c r="F328" t="s">
        <v>89</v>
      </c>
      <c r="G328" t="s">
        <v>118</v>
      </c>
      <c r="H328" t="str">
        <f>INDEX('ei names mapping'!$B$71:$R$100,MATCH($B$3,'ei names mapping'!$A$4:$A$33,0),MATCH(G328,'ei names mapping'!$B$3:$R$3,0))</f>
        <v>maintenance, electric bicycle, without battery</v>
      </c>
    </row>
    <row r="329" spans="1:8" x14ac:dyDescent="0.2">
      <c r="A329" t="str">
        <f>INDEX('ei names mapping'!$B$4:$BL$33,MATCH($B$183,'ei names mapping'!$A$4:$A$33,0),MATCH(G329,'ei names mapping'!$B$3:$BL$3,0))</f>
        <v>treatment of road wear emissions, passenger car</v>
      </c>
      <c r="B329" s="7">
        <f>INDEX('vehicles specifications'!$B$3:$CW$166,MATCH(B300,'vehicles specifications'!$A$3:$A$166,0),MATCH(G329,'vehicles specifications'!$B$2:$CW$2,0))*INDEX('ei names mapping'!$B$137:$BL$300,MATCH(B300,'ei names mapping'!$A$137:$A$300,0),MATCH(G329,'ei names mapping'!$B$136:$BL$136,0))</f>
        <v>-6.305178396338356E-6</v>
      </c>
      <c r="C329" t="str">
        <f>INDEX('ei names mapping'!$B$38:$BL$67,MATCH($B$183,'ei names mapping'!$A$4:$A$33,0),MATCH(G329,'ei names mapping'!$B$3:$BL$3,0))</f>
        <v>RER</v>
      </c>
      <c r="D329" t="str">
        <f>INDEX('ei names mapping'!$B$104:$BL$133,MATCH($B$183,'ei names mapping'!$A$4:$A$33,0),MATCH(G329,'ei names mapping'!$B$3:$BL$3,0))</f>
        <v>kilogram</v>
      </c>
      <c r="F329" t="s">
        <v>89</v>
      </c>
      <c r="G329" t="s">
        <v>29</v>
      </c>
      <c r="H329" t="str">
        <f>INDEX('ei names mapping'!$B$71:$BL$100,MATCH(B297,'ei names mapping'!$A$4:$A$33,0),MATCH(G329,'ei names mapping'!$B$3:$BL$3,0))</f>
        <v>road wear emissions, passenger car</v>
      </c>
    </row>
    <row r="330" spans="1:8" x14ac:dyDescent="0.2">
      <c r="A330" t="str">
        <f>INDEX('ei names mapping'!$B$4:$BL$33,MATCH($B$183,'ei names mapping'!$A$4:$A$33,0),MATCH(G330,'ei names mapping'!$B$3:$BL$3,0))</f>
        <v>treatment of tyre wear emissions, passenger car</v>
      </c>
      <c r="B330" s="7">
        <f>INDEX('vehicles specifications'!$B$3:$CW$166,MATCH(B300,'vehicles specifications'!$A$3:$A$166,0),MATCH(G330,'vehicles specifications'!$B$2:$CW$2,0))*INDEX('ei names mapping'!$B$137:$BL$300,MATCH(B300,'ei names mapping'!$A$137:$A$300,0),MATCH(G330,'ei names mapping'!$B$136:$BL$136,0))</f>
        <v>-5.2185117330067561E-6</v>
      </c>
      <c r="C330" t="str">
        <f>INDEX('ei names mapping'!$B$38:$BL$67,MATCH($B$183,'ei names mapping'!$A$4:$A$33,0),MATCH(G330,'ei names mapping'!$B$3:$BL$3,0))</f>
        <v>RER</v>
      </c>
      <c r="D330" t="str">
        <f>INDEX('ei names mapping'!$B$104:$BL$133,MATCH($B$183,'ei names mapping'!$A$4:$A$33,0),MATCH(G330,'ei names mapping'!$B$3:$BL$3,0))</f>
        <v>kilogram</v>
      </c>
      <c r="F330" t="s">
        <v>89</v>
      </c>
      <c r="G330" t="s">
        <v>30</v>
      </c>
      <c r="H330" t="str">
        <f>INDEX('ei names mapping'!$B$71:$BL$100,MATCH($B$183,'ei names mapping'!$A$4:$A$33,0),MATCH(G330,'ei names mapping'!$B$3:$BL$3,0))</f>
        <v>tyre wear emissions, passenger car</v>
      </c>
    </row>
    <row r="331" spans="1:8" x14ac:dyDescent="0.2">
      <c r="A331" t="str">
        <f>INDEX('ei names mapping'!$B$4:$BL$33,MATCH($B$183,'ei names mapping'!$A$4:$A$33,0),MATCH(G331,'ei names mapping'!$B$3:$BL$3,0))</f>
        <v>treatment of brake wear emissions, passenger car</v>
      </c>
      <c r="B331" s="7">
        <f>INDEX('vehicles specifications'!$B$3:$CW$166,MATCH(B300,'vehicles specifications'!$A$3:$A$166,0),MATCH(G331,'vehicles specifications'!$B$2:$CW$2,0))*INDEX('ei names mapping'!$B$137:$BL$300,MATCH(B300,'ei names mapping'!$A$137:$A$300,0),MATCH(G331,'ei names mapping'!$B$136:$BL$136,0))</f>
        <v>-5.0718117291060781E-6</v>
      </c>
      <c r="C331" t="str">
        <f>INDEX('ei names mapping'!$B$38:$BL$67,MATCH($B$183,'ei names mapping'!$A$4:$A$33,0),MATCH(G331,'ei names mapping'!$B$3:$BL$3,0))</f>
        <v>RER</v>
      </c>
      <c r="D331" t="str">
        <f>INDEX('ei names mapping'!$B$104:$BL$133,MATCH($B$183,'ei names mapping'!$A$4:$A$33,0),MATCH(G331,'ei names mapping'!$B$3:$BL$3,0))</f>
        <v>kilogram</v>
      </c>
      <c r="F331" t="s">
        <v>89</v>
      </c>
      <c r="G331" t="s">
        <v>31</v>
      </c>
      <c r="H331" t="str">
        <f>INDEX('ei names mapping'!$B$71:$BL$100,MATCH($B$183,'ei names mapping'!$A$4:$A$33,0),MATCH(G331,'ei names mapping'!$B$3:$BL$3,0))</f>
        <v>brake wear emissions, passenger car</v>
      </c>
    </row>
  </sheetData>
  <pageMargins left="0.7" right="0.7" top="0.75" bottom="0.75" header="0.3" footer="0.3"/>
  <pageSetup orientation="portrait" horizontalDpi="300" verticalDpi="3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327"/>
  <sheetViews>
    <sheetView topLeftCell="A311" workbookViewId="0">
      <selection activeCell="C332" sqref="C332"/>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tr">
        <f>B3&amp;", "&amp;B5</f>
        <v>Tram, electric, 2020</v>
      </c>
    </row>
    <row r="2" spans="1:2" x14ac:dyDescent="0.2">
      <c r="A2" t="s">
        <v>72</v>
      </c>
      <c r="B2" t="s">
        <v>37</v>
      </c>
    </row>
    <row r="3" spans="1:2" x14ac:dyDescent="0.2">
      <c r="A3" t="s">
        <v>86</v>
      </c>
      <c r="B3" t="s">
        <v>491</v>
      </c>
    </row>
    <row r="4" spans="1:2" x14ac:dyDescent="0.2">
      <c r="A4" t="s">
        <v>87</v>
      </c>
    </row>
    <row r="5" spans="1:2" x14ac:dyDescent="0.2">
      <c r="A5" t="s">
        <v>88</v>
      </c>
      <c r="B5">
        <v>2020</v>
      </c>
    </row>
    <row r="6" spans="1:2" x14ac:dyDescent="0.2">
      <c r="A6" t="s">
        <v>126</v>
      </c>
      <c r="B6" t="str">
        <f>B3&amp;" - "&amp;B5&amp;" - "&amp;B2</f>
        <v>Tram, electric - 2020 - CH</v>
      </c>
    </row>
    <row r="7" spans="1:2" x14ac:dyDescent="0.2">
      <c r="A7" t="s">
        <v>73</v>
      </c>
      <c r="B7" t="str">
        <f>B3</f>
        <v>Tram, electric</v>
      </c>
    </row>
    <row r="8" spans="1:2" x14ac:dyDescent="0.2">
      <c r="A8" t="s">
        <v>74</v>
      </c>
      <c r="B8" t="s">
        <v>75</v>
      </c>
    </row>
    <row r="9" spans="1:2" x14ac:dyDescent="0.2">
      <c r="A9" t="s">
        <v>76</v>
      </c>
      <c r="B9" t="s">
        <v>76</v>
      </c>
    </row>
    <row r="10" spans="1:2" x14ac:dyDescent="0.2">
      <c r="A10" t="s">
        <v>78</v>
      </c>
      <c r="B10" t="s">
        <v>1143</v>
      </c>
    </row>
    <row r="11" spans="1:2" x14ac:dyDescent="0.2">
      <c r="A11" t="s">
        <v>127</v>
      </c>
      <c r="B11">
        <f>INDEX('vehicles specifications'!$B$3:$CW$166,MATCH(B6,'vehicles specifications'!$A$3:$A$166,0),MATCH("Lifetime [km]",'vehicles specifications'!$B$2:$CW$2,0))</f>
        <v>2800000</v>
      </c>
    </row>
    <row r="12" spans="1:2" x14ac:dyDescent="0.2">
      <c r="A12" t="s">
        <v>128</v>
      </c>
      <c r="B12">
        <f>INDEX('vehicles specifications'!$B$3:$CW$166,MATCH(B6,'vehicles specifications'!$A$3:$A$166,0),MATCH("Passengers [unit]",'vehicles specifications'!$B$2:$CW$2,0))</f>
        <v>38</v>
      </c>
    </row>
    <row r="13" spans="1:2" x14ac:dyDescent="0.2">
      <c r="A13" t="s">
        <v>129</v>
      </c>
      <c r="B13">
        <f>INDEX('vehicles specifications'!$B$3:$CW$166,MATCH(B6,'vehicles specifications'!$A$3:$A$166,0),MATCH("Servicing [unit]",'vehicles specifications'!$B$2:$CW$2,0))</f>
        <v>1.3333333333333333</v>
      </c>
    </row>
    <row r="14" spans="1:2" x14ac:dyDescent="0.2">
      <c r="A14" t="s">
        <v>130</v>
      </c>
      <c r="B14">
        <f>INDEX('vehicles specifications'!$B$3:$CW$166,MATCH(B6,'vehicles specifications'!$A$3:$A$166,0),MATCH("Energy battery replacement [unit]",'vehicles specifications'!$B$2:$CW$2,0))</f>
        <v>0</v>
      </c>
    </row>
    <row r="15" spans="1:2" x14ac:dyDescent="0.2">
      <c r="A15" t="s">
        <v>131</v>
      </c>
      <c r="B15">
        <f>INDEX('vehicles specifications'!$B$3:$CW$166,MATCH(B6,'vehicles specifications'!$A$3:$A$166,0),MATCH("Annual kilometers [km]",'vehicles specifications'!$B$2:$CW$2,0))</f>
        <v>70000</v>
      </c>
    </row>
    <row r="16" spans="1:2" x14ac:dyDescent="0.2">
      <c r="A16" t="s">
        <v>132</v>
      </c>
      <c r="B16">
        <f>INDEX('vehicles specifications'!$B$3:$CW$166,MATCH(B6,'vehicles specifications'!$A$3:$A$166,0),MATCH("Curb mass [kg]",'vehicles specifications'!$B$2:$CW$2,0))</f>
        <v>54000</v>
      </c>
    </row>
    <row r="17" spans="1:8" x14ac:dyDescent="0.2">
      <c r="A17" t="s">
        <v>133</v>
      </c>
      <c r="B17">
        <f>INDEX('vehicles specifications'!$B$3:$CW$166,MATCH(B6,'vehicles specifications'!$A$3:$A$166,0),MATCH("Power [kW]",'vehicles specifications'!$B$2:$CW$2,0))</f>
        <v>660</v>
      </c>
    </row>
    <row r="18" spans="1:8" x14ac:dyDescent="0.2">
      <c r="A18" t="s">
        <v>134</v>
      </c>
      <c r="B18">
        <v>0</v>
      </c>
    </row>
    <row r="19" spans="1:8" x14ac:dyDescent="0.2">
      <c r="A19" t="s">
        <v>135</v>
      </c>
      <c r="B19">
        <f>INDEX('vehicles specifications'!$B$3:$CW$166,MATCH(B6,'vehicles specifications'!$A$3:$A$166,0),MATCH("Electric energy available [kWh]",'vehicles specifications'!$B$2:$CW$2,0))</f>
        <v>0</v>
      </c>
    </row>
    <row r="20" spans="1:8" x14ac:dyDescent="0.2">
      <c r="A20" t="s">
        <v>138</v>
      </c>
      <c r="B20">
        <f>INDEX('vehicles specifications'!$B$3:$CW$166,MATCH(B6,'vehicles specifications'!$A$3:$A$166,0),MATCH("Oxydation energy stored [kWh]",'vehicles specifications'!$B$2:$CW$2,0))</f>
        <v>0</v>
      </c>
    </row>
    <row r="21" spans="1:8" x14ac:dyDescent="0.2">
      <c r="A21" t="s">
        <v>139</v>
      </c>
      <c r="B21">
        <f>INDEX('vehicles specifications'!$B$3:$CW$166,MATCH(B6,'vehicles specifications'!$A$3:$A$166,0),MATCH("Fuel mass [kg]",'vehicles specifications'!$B$2:$CW$2,0))</f>
        <v>0</v>
      </c>
    </row>
    <row r="22" spans="1:8" x14ac:dyDescent="0.2">
      <c r="A22" t="s">
        <v>136</v>
      </c>
      <c r="B22">
        <f>INDEX('vehicles specifications'!$B$3:$CW$166,MATCH(B6,'vehicles specifications'!$A$3:$A$166,0),MATCH("Range [km]",'vehicles specifications'!$B$2:$CW$2,0))</f>
        <v>0</v>
      </c>
    </row>
    <row r="23" spans="1:8" x14ac:dyDescent="0.2">
      <c r="A23" t="s">
        <v>137</v>
      </c>
      <c r="B23" t="str">
        <f>INDEX('vehicles specifications'!$B$3:$CW$166,MATCH(B6,'vehicles specifications'!$A$3:$A$166,0),MATCH("Emission standard",'vehicles specifications'!$B$2:$CW$2,0))</f>
        <v>None</v>
      </c>
    </row>
    <row r="24" spans="1:8" x14ac:dyDescent="0.2">
      <c r="A24" t="s">
        <v>1174</v>
      </c>
      <c r="B24" s="6">
        <f>INDEX('vehicles specifications'!$B$3:$CW$166,MATCH(B6,'vehicles specifications'!$A$3:$A$166,0),MATCH("Lightweighting rate [%]",'vehicles specifications'!$B$2:$CW$2,0))</f>
        <v>0</v>
      </c>
    </row>
    <row r="25" spans="1:8" x14ac:dyDescent="0.2">
      <c r="A25" t="s">
        <v>485</v>
      </c>
      <c r="B25" s="6" t="s">
        <v>502</v>
      </c>
    </row>
    <row r="26" spans="1:8" x14ac:dyDescent="0.2">
      <c r="A26" t="s">
        <v>487</v>
      </c>
      <c r="B26" s="2">
        <v>0</v>
      </c>
    </row>
    <row r="27" spans="1:8" x14ac:dyDescent="0.2">
      <c r="A27" t="s">
        <v>488</v>
      </c>
      <c r="B27" s="2">
        <v>1000</v>
      </c>
    </row>
    <row r="28" spans="1:8" x14ac:dyDescent="0.2">
      <c r="A28" t="s">
        <v>83</v>
      </c>
      <c r="B28" t="str">
        <f>"Power: "&amp;B17&amp;" kW. Lifetime: "&amp;B11&amp;" km. Annual kilometers: "&amp;ROUND(B15,0)&amp;" km. Number of passengers: "&amp;ROUND(B12,1)&amp;". Curb mass: "&amp;ROUND(B16,1)&amp;" kg. Lightweighting of glider: "&amp;ROUND(B24*100,0)&amp;"%. Emission standard: "&amp;B23&amp;". Service visits throughout lifetime: every year for "&amp;B11/B15&amp;" years. Range: "&amp;ROUND(B22,0)&amp;" km. Battery capacity: "&amp;ROUND(B19,1)&amp;" kWh. Battery mass: "&amp;ROUND(B18,1)&amp; " kg. Battery replacement throughout lifetime: "&amp;ROUND(B14,1)&amp;". Fuel tank capacity: "&amp;ROUND(B20,1)&amp;" kWh. Fuel mass: "&amp;ROUND(B21,1)&amp;" kg. Origin of manufacture: "&amp;B25&amp;". Shipping distance: "&amp;B26&amp;" km. Lorry distribution distance: "&amp;B27&amp;" km. Documentation: "&amp;Readmefirst!$B$2&amp;", "&amp;Readmefirst!$B$3&amp;". "&amp;B10</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tr">
        <f>B1</f>
        <v>Tram, electric, 2020</v>
      </c>
      <c r="B31">
        <v>1</v>
      </c>
      <c r="C31" t="str">
        <f>B2</f>
        <v>CH</v>
      </c>
      <c r="D31" t="str">
        <f>B9</f>
        <v>unit</v>
      </c>
      <c r="F31" t="s">
        <v>84</v>
      </c>
      <c r="G31" t="s">
        <v>85</v>
      </c>
      <c r="H31" t="str">
        <f>B3</f>
        <v>Tram, electric</v>
      </c>
    </row>
    <row r="32" spans="1:8" x14ac:dyDescent="0.2">
      <c r="A32" t="str">
        <f>INDEX('ei names mapping'!$B$4:$R$33,MATCH($B$3,'ei names mapping'!$A$4:$A$33,0),MATCH(G32,'ei names mapping'!$B$3:$R$3,0))</f>
        <v>tram production</v>
      </c>
      <c r="B32" s="4">
        <f>INDEX('vehicles specifications'!$B$3:$CW$166,MATCH(B6,'vehicles specifications'!$A$3:$A$166,0),MATCH(G32,'vehicles specifications'!$B$2:$CW$2,0))*INDEX('ei names mapping'!$B$137:$BL$300,MATCH(B6,'ei names mapping'!$A$137:$A$300,0),MATCH(G32,'ei names mapping'!$B$136:$BL$136,0))</f>
        <v>2.0579268292682928</v>
      </c>
      <c r="C32" t="str">
        <f>INDEX('ei names mapping'!$B$38:$R$67,MATCH($B$3,'ei names mapping'!$A$4:$A$33,0),MATCH(G32,'ei names mapping'!$B$3:$R$3,0))</f>
        <v>RER</v>
      </c>
      <c r="D32" t="str">
        <f>INDEX('ei names mapping'!$B$104:$R$133,MATCH(B3,'ei names mapping'!$A$104:$A$133,0),MATCH(G32,'ei names mapping'!$B$3:$R$3,0))</f>
        <v>unit</v>
      </c>
      <c r="F32" t="s">
        <v>89</v>
      </c>
      <c r="G32" t="s">
        <v>15</v>
      </c>
      <c r="H32" t="str">
        <f>INDEX('ei names mapping'!$B$71:$R$100,MATCH($B$3,'ei names mapping'!$A$4:$A$33,0),MATCH(G32,'ei names mapping'!$B$3:$R$3,0))</f>
        <v>tram</v>
      </c>
    </row>
    <row r="33" spans="1:8" x14ac:dyDescent="0.2">
      <c r="A33" t="str">
        <f>INDEX('ei names mapping'!$B$4:$R$33,MATCH($B$3,'ei names mapping'!$A$4:$A$33,0),MATCH(G33,'ei names mapping'!$B$3:$R$3,0))</f>
        <v>tram production</v>
      </c>
      <c r="B33" s="4">
        <f>INDEX('vehicles specifications'!$B$3:$CW$166,MATCH(B6,'vehicles specifications'!$A$3:$A$166,0),MATCH(G33,'vehicles specifications'!$B$2:$CW$2,0))*INDEX('ei names mapping'!$B$137:$BL$300,MATCH(B6,'ei names mapping'!$A$137:$A$300,0),MATCH(G33,'ei names mapping'!$B$136:$BL$136,0))</f>
        <v>0.37157012195121952</v>
      </c>
      <c r="C33" t="str">
        <f>INDEX('ei names mapping'!$B$38:$R$67,MATCH($B$3,'ei names mapping'!$A$4:$A$33,0),MATCH(G33,'ei names mapping'!$B$3:$R$3,0))</f>
        <v>RER</v>
      </c>
      <c r="D33" t="str">
        <f>INDEX('ei names mapping'!$B$104:$R$133,MATCH(B3,'ei names mapping'!$A$104:$A$133,0),MATCH(G33,'ei names mapping'!$B$3:$R$3,0))</f>
        <v>unit</v>
      </c>
      <c r="F33" t="s">
        <v>89</v>
      </c>
      <c r="G33" t="s">
        <v>16</v>
      </c>
      <c r="H33" t="str">
        <f>INDEX('ei names mapping'!$B$71:$R$100,MATCH($B$3,'ei names mapping'!$A$4:$A$33,0),MATCH(G33,'ei names mapping'!$B$3:$R$3,0))</f>
        <v>tram</v>
      </c>
    </row>
    <row r="34" spans="1:8" x14ac:dyDescent="0.2">
      <c r="A34" t="str">
        <f>INDEX('ei names mapping'!$B$4:$R$33,MATCH($B$3,'ei names mapping'!$A$4:$A$33,0),MATCH(G34,'ei names mapping'!$B$3:$R$3,0))</f>
        <v>tram production</v>
      </c>
      <c r="B34" s="4">
        <f>INDEX('vehicles specifications'!$B$3:$CW$166,MATCH(B6,'vehicles specifications'!$A$3:$A$166,0),MATCH(G34,'vehicles specifications'!$B$2:$CW$2,0))*INDEX('ei names mapping'!$B$137:$BL$300,MATCH(B6,'ei names mapping'!$A$137:$A$300,0),MATCH(G34,'ei names mapping'!$B$136:$BL$136,0))</f>
        <v>0.14291158536585366</v>
      </c>
      <c r="C34" t="str">
        <f>INDEX('ei names mapping'!$B$38:$R$67,MATCH($B$3,'ei names mapping'!$A$4:$A$33,0),MATCH(G34,'ei names mapping'!$B$3:$R$3,0))</f>
        <v>RER</v>
      </c>
      <c r="D34" t="str">
        <f>INDEX('ei names mapping'!$B$104:$R$133,MATCH(B3,'ei names mapping'!$A$104:$A$133,0),MATCH(G34,'ei names mapping'!$B$3:$R$3,0))</f>
        <v>unit</v>
      </c>
      <c r="F34" t="s">
        <v>89</v>
      </c>
      <c r="G34" t="s">
        <v>501</v>
      </c>
      <c r="H34" t="str">
        <f>INDEX('ei names mapping'!$B$71:$R$100,MATCH($B$3,'ei names mapping'!$A$4:$A$33,0),MATCH(G34,'ei names mapping'!$B$3:$R$3,0))</f>
        <v>tram</v>
      </c>
    </row>
    <row r="35" spans="1:8" x14ac:dyDescent="0.2">
      <c r="A35" t="str">
        <f>INDEX('ei names mapping'!$B$4:$R$33,MATCH(B3,'ei names mapping'!$A$4:$A$33,0),MATCH(G35,'ei names mapping'!$B$3:$R$3,0))</f>
        <v>Glider lightweighting</v>
      </c>
      <c r="B35" s="11">
        <f>INDEX('vehicles specifications'!$B$3:$CW$166,MATCH(B6,'vehicles specifications'!$A$3:$A$166,0),MATCH(G35,'vehicles specifications'!$B$2:$CW$2,0))*INDEX('ei names mapping'!$B$137:$BL$300,MATCH(B6,'ei names mapping'!$A$137:$A$300,0),MATCH(G35,'ei names mapping'!$B$136:$BL$136,0))</f>
        <v>0</v>
      </c>
      <c r="C35" t="str">
        <f>INDEX('ei names mapping'!$B$38:$R$67,MATCH(B3,'ei names mapping'!$A$4:$A$33,0),MATCH(G35,'ei names mapping'!$B$3:$R$3,0))</f>
        <v>GLO</v>
      </c>
      <c r="D35" t="str">
        <f>INDEX('ei names mapping'!$B$104:$R$133,MATCH(B3,'ei names mapping'!$A$104:$A$133,0),MATCH(G35,'ei names mapping'!$B$3:$R$3,0))</f>
        <v>kilogram</v>
      </c>
      <c r="F35" t="s">
        <v>89</v>
      </c>
      <c r="G35" t="s">
        <v>14</v>
      </c>
      <c r="H35" t="str">
        <f>INDEX('ei names mapping'!$B$71:$R$100,MATCH(B3,'ei names mapping'!$A$4:$A$33,0),MATCH(G35,'ei names mapping'!$B$3:$R$3,0))</f>
        <v>Glider lightweighting</v>
      </c>
    </row>
    <row r="36" spans="1:8" x14ac:dyDescent="0.2">
      <c r="A36" t="str">
        <f>INDEX('ei names mapping'!$B$4:$R$33,MATCH($B$3,'ei names mapping'!$A$4:$A$33,0),MATCH(G36,'ei names mapping'!$B$3:$R$3,0))</f>
        <v>tram track construction</v>
      </c>
      <c r="B36" s="2">
        <f>INDEX('vehicles specifications'!$B$3:$CW$166,MATCH(B6,'vehicles specifications'!$A$3:$A$166,0),MATCH(G36,'vehicles specifications'!$B$2:$CW$2,0))*INDEX('ei names mapping'!$B$137:$BL$300,MATCH(B6,'ei names mapping'!$A$137:$A$300,0),MATCH(G36,'ei names mapping'!$B$136:$BL$136,0))</f>
        <v>4.5599999999999998E-3</v>
      </c>
      <c r="C36" t="str">
        <f>INDEX('ei names mapping'!$B$38:$R$67,MATCH($B$3,'ei names mapping'!$A$4:$A$33,0),MATCH(G36,'ei names mapping'!$B$3:$R$3,0))</f>
        <v>CH</v>
      </c>
      <c r="D36" t="str">
        <f>INDEX('ei names mapping'!$B$104:$R$133,MATCH(B3,'ei names mapping'!$A$104:$A$133,0),MATCH(G36,'ei names mapping'!$B$3:$R$3,0))</f>
        <v>meter-year</v>
      </c>
      <c r="F36" t="s">
        <v>89</v>
      </c>
      <c r="G36" t="s">
        <v>105</v>
      </c>
      <c r="H36" t="str">
        <f>INDEX('ei names mapping'!$B$71:$R$100,MATCH($B$3,'ei names mapping'!$A$4:$A$33,0),MATCH(G36,'ei names mapping'!$B$3:$R$3,0))</f>
        <v>tram track</v>
      </c>
    </row>
    <row r="37" spans="1:8" x14ac:dyDescent="0.2">
      <c r="A37" t="s">
        <v>513</v>
      </c>
      <c r="B37" s="2">
        <f>-1*B36</f>
        <v>-4.5599999999999998E-3</v>
      </c>
      <c r="C37" t="s">
        <v>37</v>
      </c>
      <c r="D37" t="s">
        <v>107</v>
      </c>
      <c r="F37" t="s">
        <v>89</v>
      </c>
      <c r="G37" t="s">
        <v>511</v>
      </c>
      <c r="H37" t="s">
        <v>512</v>
      </c>
    </row>
    <row r="38" spans="1:8" x14ac:dyDescent="0.2">
      <c r="A38" s="13" t="s">
        <v>840</v>
      </c>
      <c r="B38">
        <f>(B16/1000)*B27</f>
        <v>54000</v>
      </c>
      <c r="C38" t="s">
        <v>92</v>
      </c>
      <c r="D38" t="s">
        <v>233</v>
      </c>
      <c r="F38" t="s">
        <v>89</v>
      </c>
      <c r="H38" s="13" t="s">
        <v>841</v>
      </c>
    </row>
    <row r="39" spans="1:8" x14ac:dyDescent="0.2">
      <c r="B39" s="11"/>
    </row>
    <row r="40" spans="1:8" ht="16" x14ac:dyDescent="0.2">
      <c r="A40" s="10" t="s">
        <v>71</v>
      </c>
      <c r="B40" s="8" t="str">
        <f>B42&amp;", "&amp;B44</f>
        <v>Tram, electric, 2030</v>
      </c>
    </row>
    <row r="41" spans="1:8" x14ac:dyDescent="0.2">
      <c r="A41" t="s">
        <v>72</v>
      </c>
      <c r="B41" t="s">
        <v>37</v>
      </c>
    </row>
    <row r="42" spans="1:8" x14ac:dyDescent="0.2">
      <c r="A42" t="s">
        <v>86</v>
      </c>
      <c r="B42" t="s">
        <v>491</v>
      </c>
    </row>
    <row r="43" spans="1:8" x14ac:dyDescent="0.2">
      <c r="A43" t="s">
        <v>87</v>
      </c>
    </row>
    <row r="44" spans="1:8" x14ac:dyDescent="0.2">
      <c r="A44" t="s">
        <v>88</v>
      </c>
      <c r="B44">
        <v>2030</v>
      </c>
    </row>
    <row r="45" spans="1:8" x14ac:dyDescent="0.2">
      <c r="A45" t="s">
        <v>126</v>
      </c>
      <c r="B45" t="str">
        <f>B42&amp;" - "&amp;B44&amp;" - "&amp;B41</f>
        <v>Tram, electric - 2030 - CH</v>
      </c>
    </row>
    <row r="46" spans="1:8" x14ac:dyDescent="0.2">
      <c r="A46" t="s">
        <v>73</v>
      </c>
      <c r="B46" t="str">
        <f>B42</f>
        <v>Tram, electric</v>
      </c>
    </row>
    <row r="47" spans="1:8" x14ac:dyDescent="0.2">
      <c r="A47" t="s">
        <v>74</v>
      </c>
      <c r="B47" t="s">
        <v>75</v>
      </c>
    </row>
    <row r="48" spans="1:8" x14ac:dyDescent="0.2">
      <c r="A48" t="s">
        <v>76</v>
      </c>
      <c r="B48" t="s">
        <v>76</v>
      </c>
    </row>
    <row r="49" spans="1:2" x14ac:dyDescent="0.2">
      <c r="A49" t="s">
        <v>78</v>
      </c>
      <c r="B49" t="s">
        <v>1143</v>
      </c>
    </row>
    <row r="50" spans="1:2" x14ac:dyDescent="0.2">
      <c r="A50" t="s">
        <v>127</v>
      </c>
      <c r="B50">
        <f>INDEX('vehicles specifications'!$B$3:$CW$166,MATCH(B45,'vehicles specifications'!$A$3:$A$166,0),MATCH("Lifetime [km]",'vehicles specifications'!$B$2:$CW$2,0))</f>
        <v>2800000</v>
      </c>
    </row>
    <row r="51" spans="1:2" x14ac:dyDescent="0.2">
      <c r="A51" t="s">
        <v>128</v>
      </c>
      <c r="B51">
        <f>INDEX('vehicles specifications'!$B$3:$CW$166,MATCH(B45,'vehicles specifications'!$A$3:$A$166,0),MATCH("Passengers [unit]",'vehicles specifications'!$B$2:$CW$2,0))</f>
        <v>38</v>
      </c>
    </row>
    <row r="52" spans="1:2" x14ac:dyDescent="0.2">
      <c r="A52" t="s">
        <v>129</v>
      </c>
      <c r="B52">
        <f>INDEX('vehicles specifications'!$B$3:$CW$166,MATCH(B45,'vehicles specifications'!$A$3:$A$166,0),MATCH("Servicing [unit]",'vehicles specifications'!$B$2:$CW$2,0))</f>
        <v>1.3333333333333333</v>
      </c>
    </row>
    <row r="53" spans="1:2" x14ac:dyDescent="0.2">
      <c r="A53" t="s">
        <v>130</v>
      </c>
      <c r="B53">
        <f>INDEX('vehicles specifications'!$B$3:$CW$166,MATCH(B45,'vehicles specifications'!$A$3:$A$166,0),MATCH("Energy battery replacement [unit]",'vehicles specifications'!$B$2:$CW$2,0))</f>
        <v>0</v>
      </c>
    </row>
    <row r="54" spans="1:2" x14ac:dyDescent="0.2">
      <c r="A54" t="s">
        <v>131</v>
      </c>
      <c r="B54">
        <f>INDEX('vehicles specifications'!$B$3:$CW$166,MATCH(B45,'vehicles specifications'!$A$3:$A$166,0),MATCH("Annual kilometers [km]",'vehicles specifications'!$B$2:$CW$2,0))</f>
        <v>70000</v>
      </c>
    </row>
    <row r="55" spans="1:2" x14ac:dyDescent="0.2">
      <c r="A55" t="s">
        <v>132</v>
      </c>
      <c r="B55">
        <f>INDEX('vehicles specifications'!$B$3:$CW$166,MATCH(B45,'vehicles specifications'!$A$3:$A$166,0),MATCH("Curb mass [kg]",'vehicles specifications'!$B$2:$CW$2,0))</f>
        <v>52380</v>
      </c>
    </row>
    <row r="56" spans="1:2" x14ac:dyDescent="0.2">
      <c r="A56" t="s">
        <v>133</v>
      </c>
      <c r="B56">
        <f>INDEX('vehicles specifications'!$B$3:$CW$166,MATCH(B45,'vehicles specifications'!$A$3:$A$166,0),MATCH("Power [kW]",'vehicles specifications'!$B$2:$CW$2,0))</f>
        <v>660</v>
      </c>
    </row>
    <row r="57" spans="1:2" x14ac:dyDescent="0.2">
      <c r="A57" t="s">
        <v>134</v>
      </c>
      <c r="B57">
        <v>0</v>
      </c>
    </row>
    <row r="58" spans="1:2" x14ac:dyDescent="0.2">
      <c r="A58" t="s">
        <v>135</v>
      </c>
      <c r="B58">
        <f>INDEX('vehicles specifications'!$B$3:$CW$166,MATCH(B45,'vehicles specifications'!$A$3:$A$166,0),MATCH("Electric energy available [kWh]",'vehicles specifications'!$B$2:$CW$2,0))</f>
        <v>0</v>
      </c>
    </row>
    <row r="59" spans="1:2" x14ac:dyDescent="0.2">
      <c r="A59" t="s">
        <v>138</v>
      </c>
      <c r="B59">
        <f>INDEX('vehicles specifications'!$B$3:$CW$166,MATCH(B45,'vehicles specifications'!$A$3:$A$166,0),MATCH("Oxydation energy stored [kWh]",'vehicles specifications'!$B$2:$CW$2,0))</f>
        <v>0</v>
      </c>
    </row>
    <row r="60" spans="1:2" x14ac:dyDescent="0.2">
      <c r="A60" t="s">
        <v>139</v>
      </c>
      <c r="B60">
        <f>INDEX('vehicles specifications'!$B$3:$CW$166,MATCH(B45,'vehicles specifications'!$A$3:$A$166,0),MATCH("Fuel mass [kg]",'vehicles specifications'!$B$2:$CW$2,0))</f>
        <v>0</v>
      </c>
    </row>
    <row r="61" spans="1:2" x14ac:dyDescent="0.2">
      <c r="A61" t="s">
        <v>136</v>
      </c>
      <c r="B61">
        <f>INDEX('vehicles specifications'!$B$3:$CW$166,MATCH(B45,'vehicles specifications'!$A$3:$A$166,0),MATCH("Range [km]",'vehicles specifications'!$B$2:$CW$2,0))</f>
        <v>0</v>
      </c>
    </row>
    <row r="62" spans="1:2" x14ac:dyDescent="0.2">
      <c r="A62" t="s">
        <v>137</v>
      </c>
      <c r="B62" t="str">
        <f>INDEX('vehicles specifications'!$B$3:$CW$166,MATCH(B45,'vehicles specifications'!$A$3:$A$166,0),MATCH("Emission standard",'vehicles specifications'!$B$2:$CW$2,0))</f>
        <v>None</v>
      </c>
    </row>
    <row r="63" spans="1:2" x14ac:dyDescent="0.2">
      <c r="A63" t="s">
        <v>1174</v>
      </c>
      <c r="B63" s="6">
        <f>INDEX('vehicles specifications'!$B$3:$CW$166,MATCH(B45,'vehicles specifications'!$A$3:$A$166,0),MATCH("Lightweighting rate [%]",'vehicles specifications'!$B$2:$CW$2,0))</f>
        <v>0.03</v>
      </c>
    </row>
    <row r="64" spans="1:2" x14ac:dyDescent="0.2">
      <c r="A64" t="s">
        <v>485</v>
      </c>
      <c r="B64" s="6" t="s">
        <v>502</v>
      </c>
    </row>
    <row r="65" spans="1:8" x14ac:dyDescent="0.2">
      <c r="A65" t="s">
        <v>487</v>
      </c>
      <c r="B65" s="2">
        <v>0</v>
      </c>
    </row>
    <row r="66" spans="1:8" x14ac:dyDescent="0.2">
      <c r="A66" t="s">
        <v>488</v>
      </c>
      <c r="B66" s="2">
        <v>1000</v>
      </c>
    </row>
    <row r="67" spans="1:8" x14ac:dyDescent="0.2">
      <c r="A67" t="s">
        <v>83</v>
      </c>
      <c r="B67" t="str">
        <f>"Power: "&amp;B56&amp;" kW. Lifetime: "&amp;B50&amp;" km. Annual kilometers: "&amp;ROUND(B54,0)&amp;" km. Number of passengers: "&amp;ROUND(B51,1)&amp;". Curb mass: "&amp;ROUND(B55,1)&amp;" kg. Lightweighting of glider: "&amp;ROUND(B63*100,0)&amp;"%. Emission standard: "&amp;B62&amp;". Service visits throughout lifetime: every year for "&amp;B50/B54&amp;" years. Range: "&amp;ROUND(B61,0)&amp;" km. Battery capacity: "&amp;ROUND(B58,1)&amp;" kWh. Battery mass: "&amp;ROUND(B57,1)&amp; " kg. Battery replacement throughout lifetime: "&amp;ROUND(B53,1)&amp;". Fuel tank capacity: "&amp;ROUND(B59,1)&amp;" kWh. Fuel mass: "&amp;ROUND(B60,1)&amp;" kg. Origin of manufacture: "&amp;B64&amp;". Shipping distance: "&amp;B65&amp;" km. Lorry distribution distance: "&amp;B66&amp;" km. Documentation: "&amp;Readmefirst!$B$2&amp;", "&amp;Readmefirst!$B$3&amp;". "&amp;B49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68" spans="1:8" ht="16" x14ac:dyDescent="0.2">
      <c r="A68" s="10" t="s">
        <v>79</v>
      </c>
    </row>
    <row r="69" spans="1:8" x14ac:dyDescent="0.2">
      <c r="A69" t="s">
        <v>80</v>
      </c>
      <c r="B69" t="s">
        <v>81</v>
      </c>
      <c r="C69" t="s">
        <v>72</v>
      </c>
      <c r="D69" t="s">
        <v>76</v>
      </c>
      <c r="E69" t="s">
        <v>82</v>
      </c>
      <c r="F69" t="s">
        <v>74</v>
      </c>
      <c r="G69" t="s">
        <v>83</v>
      </c>
      <c r="H69" t="s">
        <v>73</v>
      </c>
    </row>
    <row r="70" spans="1:8" x14ac:dyDescent="0.2">
      <c r="A70" t="str">
        <f>B40</f>
        <v>Tram, electric, 2030</v>
      </c>
      <c r="B70">
        <v>1</v>
      </c>
      <c r="C70" t="str">
        <f>B41</f>
        <v>CH</v>
      </c>
      <c r="D70" t="str">
        <f>B48</f>
        <v>unit</v>
      </c>
      <c r="F70" t="s">
        <v>84</v>
      </c>
      <c r="G70" t="s">
        <v>85</v>
      </c>
      <c r="H70" t="str">
        <f>B42</f>
        <v>Tram, electric</v>
      </c>
    </row>
    <row r="71" spans="1:8" x14ac:dyDescent="0.2">
      <c r="A71" t="str">
        <f>INDEX('ei names mapping'!$B$4:$R$33,MATCH($B$3,'ei names mapping'!$A$4:$A$33,0),MATCH(G71,'ei names mapping'!$B$3:$R$3,0))</f>
        <v>tram production</v>
      </c>
      <c r="B71" s="4">
        <f>INDEX('vehicles specifications'!$B$3:$CW$166,MATCH(B45,'vehicles specifications'!$A$3:$A$166,0),MATCH(G71,'vehicles specifications'!$B$2:$CW$2,0))*INDEX('ei names mapping'!$B$137:$BL$300,MATCH(B45,'ei names mapping'!$A$137:$A$300,0),MATCH(G71,'ei names mapping'!$B$136:$BL$136,0))</f>
        <v>2.0579268292682928</v>
      </c>
      <c r="C71" t="str">
        <f>INDEX('ei names mapping'!$B$38:$R$67,MATCH($B$3,'ei names mapping'!$A$4:$A$33,0),MATCH(G71,'ei names mapping'!$B$3:$R$3,0))</f>
        <v>RER</v>
      </c>
      <c r="D71" t="str">
        <f>INDEX('ei names mapping'!$B$104:$R$133,MATCH(B42,'ei names mapping'!$A$104:$A$133,0),MATCH(G71,'ei names mapping'!$B$3:$R$3,0))</f>
        <v>unit</v>
      </c>
      <c r="F71" t="s">
        <v>89</v>
      </c>
      <c r="G71" t="s">
        <v>15</v>
      </c>
      <c r="H71" t="str">
        <f>INDEX('ei names mapping'!$B$71:$R$100,MATCH($B$3,'ei names mapping'!$A$4:$A$33,0),MATCH(G71,'ei names mapping'!$B$3:$R$3,0))</f>
        <v>tram</v>
      </c>
    </row>
    <row r="72" spans="1:8" x14ac:dyDescent="0.2">
      <c r="A72" t="str">
        <f>INDEX('ei names mapping'!$B$4:$R$33,MATCH($B$3,'ei names mapping'!$A$4:$A$33,0),MATCH(G72,'ei names mapping'!$B$3:$R$3,0))</f>
        <v>tram production</v>
      </c>
      <c r="B72" s="4">
        <f>INDEX('vehicles specifications'!$B$3:$CW$166,MATCH(B45,'vehicles specifications'!$A$3:$A$166,0),MATCH(G72,'vehicles specifications'!$B$2:$CW$2,0))*INDEX('ei names mapping'!$B$137:$BL$300,MATCH(B45,'ei names mapping'!$A$137:$A$300,0),MATCH(G72,'ei names mapping'!$B$136:$BL$136,0))</f>
        <v>0.36042301829268292</v>
      </c>
      <c r="C72" t="str">
        <f>INDEX('ei names mapping'!$B$38:$R$67,MATCH($B$3,'ei names mapping'!$A$4:$A$33,0),MATCH(G72,'ei names mapping'!$B$3:$R$3,0))</f>
        <v>RER</v>
      </c>
      <c r="D72" t="str">
        <f>INDEX('ei names mapping'!$B$104:$R$133,MATCH(B42,'ei names mapping'!$A$104:$A$133,0),MATCH(G72,'ei names mapping'!$B$3:$R$3,0))</f>
        <v>unit</v>
      </c>
      <c r="F72" t="s">
        <v>89</v>
      </c>
      <c r="G72" t="s">
        <v>16</v>
      </c>
      <c r="H72" t="str">
        <f>INDEX('ei names mapping'!$B$71:$R$100,MATCH($B$3,'ei names mapping'!$A$4:$A$33,0),MATCH(G72,'ei names mapping'!$B$3:$R$3,0))</f>
        <v>tram</v>
      </c>
    </row>
    <row r="73" spans="1:8" x14ac:dyDescent="0.2">
      <c r="A73" t="str">
        <f>INDEX('ei names mapping'!$B$4:$R$33,MATCH($B$3,'ei names mapping'!$A$4:$A$33,0),MATCH(G73,'ei names mapping'!$B$3:$R$3,0))</f>
        <v>tram production</v>
      </c>
      <c r="B73" s="4">
        <f>INDEX('vehicles specifications'!$B$3:$CW$166,MATCH(B45,'vehicles specifications'!$A$3:$A$166,0),MATCH(G73,'vehicles specifications'!$B$2:$CW$2,0))*INDEX('ei names mapping'!$B$137:$BL$300,MATCH(B45,'ei names mapping'!$A$137:$A$300,0),MATCH(G73,'ei names mapping'!$B$136:$BL$136,0))</f>
        <v>0.13862423780487806</v>
      </c>
      <c r="C73" t="str">
        <f>INDEX('ei names mapping'!$B$38:$R$67,MATCH($B$3,'ei names mapping'!$A$4:$A$33,0),MATCH(G73,'ei names mapping'!$B$3:$R$3,0))</f>
        <v>RER</v>
      </c>
      <c r="D73" t="str">
        <f>INDEX('ei names mapping'!$B$104:$R$133,MATCH(B42,'ei names mapping'!$A$104:$A$133,0),MATCH(G73,'ei names mapping'!$B$3:$R$3,0))</f>
        <v>unit</v>
      </c>
      <c r="F73" t="s">
        <v>89</v>
      </c>
      <c r="G73" t="s">
        <v>501</v>
      </c>
      <c r="H73" t="str">
        <f>INDEX('ei names mapping'!$B$71:$R$100,MATCH($B$3,'ei names mapping'!$A$4:$A$33,0),MATCH(G73,'ei names mapping'!$B$3:$R$3,0))</f>
        <v>tram</v>
      </c>
    </row>
    <row r="74" spans="1:8" x14ac:dyDescent="0.2">
      <c r="A74" t="str">
        <f>INDEX('ei names mapping'!$B$4:$R$33,MATCH(B42,'ei names mapping'!$A$4:$A$33,0),MATCH(G74,'ei names mapping'!$B$3:$R$3,0))</f>
        <v>Glider lightweighting</v>
      </c>
      <c r="B74" s="11">
        <f>INDEX('vehicles specifications'!$B$3:$CW$166,MATCH(B45,'vehicles specifications'!$A$3:$A$166,0),MATCH(G74,'vehicles specifications'!$B$2:$CW$2,0))*INDEX('ei names mapping'!$B$137:$BL$300,MATCH(B45,'ei names mapping'!$A$137:$A$300,0),MATCH(G74,'ei names mapping'!$B$136:$BL$136,0))</f>
        <v>1296</v>
      </c>
      <c r="C74" t="str">
        <f>INDEX('ei names mapping'!$B$38:$R$67,MATCH(B42,'ei names mapping'!$A$4:$A$33,0),MATCH(G74,'ei names mapping'!$B$3:$R$3,0))</f>
        <v>GLO</v>
      </c>
      <c r="D74" t="str">
        <f>INDEX('ei names mapping'!$B$104:$R$133,MATCH(B42,'ei names mapping'!$A$104:$A$133,0),MATCH(G74,'ei names mapping'!$B$3:$R$3,0))</f>
        <v>kilogram</v>
      </c>
      <c r="F74" t="s">
        <v>89</v>
      </c>
      <c r="G74" t="s">
        <v>14</v>
      </c>
      <c r="H74" t="str">
        <f>INDEX('ei names mapping'!$B$71:$R$100,MATCH(B42,'ei names mapping'!$A$4:$A$33,0),MATCH(G74,'ei names mapping'!$B$3:$R$3,0))</f>
        <v>Glider lightweighting</v>
      </c>
    </row>
    <row r="75" spans="1:8" x14ac:dyDescent="0.2">
      <c r="A75" t="str">
        <f>INDEX('ei names mapping'!$B$4:$R$33,MATCH($B$3,'ei names mapping'!$A$4:$A$33,0),MATCH(G75,'ei names mapping'!$B$3:$R$3,0))</f>
        <v>tram track construction</v>
      </c>
      <c r="B75" s="2">
        <f>INDEX('vehicles specifications'!$B$3:$CW$166,MATCH(B45,'vehicles specifications'!$A$3:$A$166,0),MATCH(G75,'vehicles specifications'!$B$2:$CW$2,0))*INDEX('ei names mapping'!$B$137:$BL$300,MATCH(B45,'ei names mapping'!$A$137:$A$300,0),MATCH(G75,'ei names mapping'!$B$136:$BL$136,0))</f>
        <v>4.5599999999999998E-3</v>
      </c>
      <c r="C75" t="str">
        <f>INDEX('ei names mapping'!$B$38:$R$67,MATCH($B$3,'ei names mapping'!$A$4:$A$33,0),MATCH(G75,'ei names mapping'!$B$3:$R$3,0))</f>
        <v>CH</v>
      </c>
      <c r="D75" t="str">
        <f>INDEX('ei names mapping'!$B$104:$R$133,MATCH(B42,'ei names mapping'!$A$104:$A$133,0),MATCH(G75,'ei names mapping'!$B$3:$R$3,0))</f>
        <v>meter-year</v>
      </c>
      <c r="F75" t="s">
        <v>89</v>
      </c>
      <c r="G75" t="s">
        <v>105</v>
      </c>
      <c r="H75" t="str">
        <f>INDEX('ei names mapping'!$B$71:$R$100,MATCH($B$3,'ei names mapping'!$A$4:$A$33,0),MATCH(G75,'ei names mapping'!$B$3:$R$3,0))</f>
        <v>tram track</v>
      </c>
    </row>
    <row r="76" spans="1:8" x14ac:dyDescent="0.2">
      <c r="A76" t="s">
        <v>513</v>
      </c>
      <c r="B76" s="2">
        <f>-1*B75</f>
        <v>-4.5599999999999998E-3</v>
      </c>
      <c r="C76" t="s">
        <v>37</v>
      </c>
      <c r="D76" t="s">
        <v>107</v>
      </c>
      <c r="F76" t="s">
        <v>89</v>
      </c>
      <c r="G76" t="s">
        <v>511</v>
      </c>
      <c r="H76" t="s">
        <v>512</v>
      </c>
    </row>
    <row r="77" spans="1:8" x14ac:dyDescent="0.2">
      <c r="A77" s="13" t="s">
        <v>840</v>
      </c>
      <c r="B77">
        <f>(B55/1000)*B66</f>
        <v>52380</v>
      </c>
      <c r="C77" t="s">
        <v>92</v>
      </c>
      <c r="D77" t="s">
        <v>233</v>
      </c>
      <c r="F77" t="s">
        <v>89</v>
      </c>
      <c r="H77" s="13" t="s">
        <v>841</v>
      </c>
    </row>
    <row r="79" spans="1:8" ht="16" x14ac:dyDescent="0.2">
      <c r="A79" s="10" t="s">
        <v>71</v>
      </c>
      <c r="B79" s="8" t="str">
        <f>B81&amp;", "&amp;B83</f>
        <v>Tram, electric, 2040</v>
      </c>
    </row>
    <row r="80" spans="1:8" x14ac:dyDescent="0.2">
      <c r="A80" t="s">
        <v>72</v>
      </c>
      <c r="B80" t="s">
        <v>37</v>
      </c>
    </row>
    <row r="81" spans="1:2" x14ac:dyDescent="0.2">
      <c r="A81" t="s">
        <v>86</v>
      </c>
      <c r="B81" t="s">
        <v>491</v>
      </c>
    </row>
    <row r="82" spans="1:2" x14ac:dyDescent="0.2">
      <c r="A82" t="s">
        <v>87</v>
      </c>
    </row>
    <row r="83" spans="1:2" x14ac:dyDescent="0.2">
      <c r="A83" t="s">
        <v>88</v>
      </c>
      <c r="B83">
        <v>2040</v>
      </c>
    </row>
    <row r="84" spans="1:2" x14ac:dyDescent="0.2">
      <c r="A84" t="s">
        <v>126</v>
      </c>
      <c r="B84" t="str">
        <f>B81&amp;" - "&amp;B83&amp;" - "&amp;B80</f>
        <v>Tram, electric - 2040 - CH</v>
      </c>
    </row>
    <row r="85" spans="1:2" x14ac:dyDescent="0.2">
      <c r="A85" t="s">
        <v>73</v>
      </c>
      <c r="B85" t="str">
        <f>B81</f>
        <v>Tram, electric</v>
      </c>
    </row>
    <row r="86" spans="1:2" x14ac:dyDescent="0.2">
      <c r="A86" t="s">
        <v>74</v>
      </c>
      <c r="B86" t="s">
        <v>75</v>
      </c>
    </row>
    <row r="87" spans="1:2" x14ac:dyDescent="0.2">
      <c r="A87" t="s">
        <v>76</v>
      </c>
      <c r="B87" t="s">
        <v>76</v>
      </c>
    </row>
    <row r="88" spans="1:2" x14ac:dyDescent="0.2">
      <c r="A88" t="s">
        <v>78</v>
      </c>
      <c r="B88" t="s">
        <v>1143</v>
      </c>
    </row>
    <row r="89" spans="1:2" x14ac:dyDescent="0.2">
      <c r="A89" t="s">
        <v>127</v>
      </c>
      <c r="B89">
        <f>INDEX('vehicles specifications'!$B$3:$CW$166,MATCH(B84,'vehicles specifications'!$A$3:$A$166,0),MATCH("Lifetime [km]",'vehicles specifications'!$B$2:$CW$2,0))</f>
        <v>2800000</v>
      </c>
    </row>
    <row r="90" spans="1:2" x14ac:dyDescent="0.2">
      <c r="A90" t="s">
        <v>128</v>
      </c>
      <c r="B90">
        <f>INDEX('vehicles specifications'!$B$3:$CW$166,MATCH(B84,'vehicles specifications'!$A$3:$A$166,0),MATCH("Passengers [unit]",'vehicles specifications'!$B$2:$CW$2,0))</f>
        <v>38</v>
      </c>
    </row>
    <row r="91" spans="1:2" x14ac:dyDescent="0.2">
      <c r="A91" t="s">
        <v>129</v>
      </c>
      <c r="B91">
        <f>INDEX('vehicles specifications'!$B$3:$CW$166,MATCH(B84,'vehicles specifications'!$A$3:$A$166,0),MATCH("Servicing [unit]",'vehicles specifications'!$B$2:$CW$2,0))</f>
        <v>1.3333333333333333</v>
      </c>
    </row>
    <row r="92" spans="1:2" x14ac:dyDescent="0.2">
      <c r="A92" t="s">
        <v>130</v>
      </c>
      <c r="B92">
        <f>INDEX('vehicles specifications'!$B$3:$CW$166,MATCH(B84,'vehicles specifications'!$A$3:$A$166,0),MATCH("Energy battery replacement [unit]",'vehicles specifications'!$B$2:$CW$2,0))</f>
        <v>0</v>
      </c>
    </row>
    <row r="93" spans="1:2" x14ac:dyDescent="0.2">
      <c r="A93" t="s">
        <v>131</v>
      </c>
      <c r="B93">
        <f>INDEX('vehicles specifications'!$B$3:$CW$166,MATCH(B84,'vehicles specifications'!$A$3:$A$166,0),MATCH("Annual kilometers [km]",'vehicles specifications'!$B$2:$CW$2,0))</f>
        <v>70000</v>
      </c>
    </row>
    <row r="94" spans="1:2" x14ac:dyDescent="0.2">
      <c r="A94" t="s">
        <v>132</v>
      </c>
      <c r="B94">
        <f>INDEX('vehicles specifications'!$B$3:$CW$166,MATCH(B84,'vehicles specifications'!$A$3:$A$166,0),MATCH("Curb mass [kg]",'vehicles specifications'!$B$2:$CW$2,0))</f>
        <v>51202</v>
      </c>
    </row>
    <row r="95" spans="1:2" x14ac:dyDescent="0.2">
      <c r="A95" t="s">
        <v>133</v>
      </c>
      <c r="B95">
        <f>INDEX('vehicles specifications'!$B$3:$CW$166,MATCH(B84,'vehicles specifications'!$A$3:$A$166,0),MATCH("Power [kW]",'vehicles specifications'!$B$2:$CW$2,0))</f>
        <v>660</v>
      </c>
    </row>
    <row r="96" spans="1:2" x14ac:dyDescent="0.2">
      <c r="A96" t="s">
        <v>134</v>
      </c>
      <c r="B96">
        <v>0</v>
      </c>
    </row>
    <row r="97" spans="1:8" x14ac:dyDescent="0.2">
      <c r="A97" t="s">
        <v>135</v>
      </c>
      <c r="B97">
        <f>INDEX('vehicles specifications'!$B$3:$CW$166,MATCH(B84,'vehicles specifications'!$A$3:$A$166,0),MATCH("Electric energy available [kWh]",'vehicles specifications'!$B$2:$CW$2,0))</f>
        <v>0</v>
      </c>
    </row>
    <row r="98" spans="1:8" x14ac:dyDescent="0.2">
      <c r="A98" t="s">
        <v>138</v>
      </c>
      <c r="B98">
        <f>INDEX('vehicles specifications'!$B$3:$CW$166,MATCH(B84,'vehicles specifications'!$A$3:$A$166,0),MATCH("Oxydation energy stored [kWh]",'vehicles specifications'!$B$2:$CW$2,0))</f>
        <v>0</v>
      </c>
    </row>
    <row r="99" spans="1:8" x14ac:dyDescent="0.2">
      <c r="A99" t="s">
        <v>139</v>
      </c>
      <c r="B99">
        <f>INDEX('vehicles specifications'!$B$3:$CW$166,MATCH(B84,'vehicles specifications'!$A$3:$A$166,0),MATCH("Fuel mass [kg]",'vehicles specifications'!$B$2:$CW$2,0))</f>
        <v>0</v>
      </c>
    </row>
    <row r="100" spans="1:8" x14ac:dyDescent="0.2">
      <c r="A100" t="s">
        <v>136</v>
      </c>
      <c r="B100">
        <f>INDEX('vehicles specifications'!$B$3:$CW$166,MATCH(B84,'vehicles specifications'!$A$3:$A$166,0),MATCH("Range [km]",'vehicles specifications'!$B$2:$CW$2,0))</f>
        <v>0</v>
      </c>
    </row>
    <row r="101" spans="1:8" x14ac:dyDescent="0.2">
      <c r="A101" t="s">
        <v>137</v>
      </c>
      <c r="B101" t="str">
        <f>INDEX('vehicles specifications'!$B$3:$CW$166,MATCH(B84,'vehicles specifications'!$A$3:$A$166,0),MATCH("Emission standard",'vehicles specifications'!$B$2:$CW$2,0))</f>
        <v>None</v>
      </c>
    </row>
    <row r="102" spans="1:8" x14ac:dyDescent="0.2">
      <c r="A102" t="s">
        <v>1174</v>
      </c>
      <c r="B102" s="6">
        <f>INDEX('vehicles specifications'!$B$3:$CW$166,MATCH(B84,'vehicles specifications'!$A$3:$A$166,0),MATCH("Lightweighting rate [%]",'vehicles specifications'!$B$2:$CW$2,0))</f>
        <v>0.05</v>
      </c>
    </row>
    <row r="103" spans="1:8" x14ac:dyDescent="0.2">
      <c r="A103" t="s">
        <v>485</v>
      </c>
      <c r="B103" s="6" t="s">
        <v>502</v>
      </c>
    </row>
    <row r="104" spans="1:8" x14ac:dyDescent="0.2">
      <c r="A104" t="s">
        <v>487</v>
      </c>
      <c r="B104" s="2">
        <v>0</v>
      </c>
    </row>
    <row r="105" spans="1:8" x14ac:dyDescent="0.2">
      <c r="A105" t="s">
        <v>488</v>
      </c>
      <c r="B105" s="2">
        <v>1000</v>
      </c>
    </row>
    <row r="106" spans="1:8" x14ac:dyDescent="0.2">
      <c r="A106" t="s">
        <v>83</v>
      </c>
      <c r="B106" t="str">
        <f>"Power: "&amp;B95&amp;" kW. Lifetime: "&amp;B89&amp;" km. Annual kilometers: "&amp;ROUND(B93,0)&amp;" km. Number of passengers: "&amp;ROUND(B90,1)&amp;". Curb mass: "&amp;ROUND(B94,1)&amp;" kg. Lightweighting of glider: "&amp;ROUND(B102*100,0)&amp;"%. Emission standard: "&amp;B101&amp;". Service visits throughout lifetime: every year for "&amp;B89/B93&amp;" years. Range: "&amp;ROUND(B100,0)&amp;" km. Battery capacity: "&amp;ROUND(B97,1)&amp;" kWh. Battery mass: "&amp;ROUND(B96,1)&amp; " kg. Battery replacement throughout lifetime: "&amp;ROUND(B92,1)&amp;". Fuel tank capacity: "&amp;ROUND(B98,1)&amp;" kWh. Fuel mass: "&amp;ROUND(B99,1)&amp;" kg. Origin of manufacture: "&amp;B103&amp;". Shipping distance: "&amp;B104&amp;" km. Lorry distribution distance: "&amp;B105&amp;" km. Documentation: "&amp;Readmefirst!$B$2&amp;", "&amp;Readmefirst!$B$3&amp;". "&amp;B88</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107" spans="1:8" ht="16" x14ac:dyDescent="0.2">
      <c r="A107" s="10" t="s">
        <v>79</v>
      </c>
    </row>
    <row r="108" spans="1:8" x14ac:dyDescent="0.2">
      <c r="A108" t="s">
        <v>80</v>
      </c>
      <c r="B108" t="s">
        <v>81</v>
      </c>
      <c r="C108" t="s">
        <v>72</v>
      </c>
      <c r="D108" t="s">
        <v>76</v>
      </c>
      <c r="E108" t="s">
        <v>82</v>
      </c>
      <c r="F108" t="s">
        <v>74</v>
      </c>
      <c r="G108" t="s">
        <v>83</v>
      </c>
      <c r="H108" t="s">
        <v>73</v>
      </c>
    </row>
    <row r="109" spans="1:8" x14ac:dyDescent="0.2">
      <c r="A109" t="str">
        <f>B79</f>
        <v>Tram, electric, 2040</v>
      </c>
      <c r="B109">
        <v>1</v>
      </c>
      <c r="C109" t="str">
        <f>B80</f>
        <v>CH</v>
      </c>
      <c r="D109" t="str">
        <f>B87</f>
        <v>unit</v>
      </c>
      <c r="F109" t="s">
        <v>84</v>
      </c>
      <c r="G109" t="s">
        <v>85</v>
      </c>
      <c r="H109" t="str">
        <f>B81</f>
        <v>Tram, electric</v>
      </c>
    </row>
    <row r="110" spans="1:8" x14ac:dyDescent="0.2">
      <c r="A110" t="str">
        <f>INDEX('ei names mapping'!$B$4:$R$33,MATCH($B$3,'ei names mapping'!$A$4:$A$33,0),MATCH(G110,'ei names mapping'!$B$3:$R$3,0))</f>
        <v>tram production</v>
      </c>
      <c r="B110" s="4">
        <f>INDEX('vehicles specifications'!$B$3:$CW$166,MATCH(B84,'vehicles specifications'!$A$3:$A$166,0),MATCH(G110,'vehicles specifications'!$B$2:$CW$2,0))*INDEX('ei names mapping'!$B$137:$BL$300,MATCH(B84,'ei names mapping'!$A$137:$A$300,0),MATCH(G110,'ei names mapping'!$B$136:$BL$136,0))</f>
        <v>2.0579268292682928</v>
      </c>
      <c r="C110" t="str">
        <f>INDEX('ei names mapping'!$B$38:$R$67,MATCH($B$3,'ei names mapping'!$A$4:$A$33,0),MATCH(G110,'ei names mapping'!$B$3:$R$3,0))</f>
        <v>RER</v>
      </c>
      <c r="D110" t="str">
        <f>INDEX('ei names mapping'!$B$104:$R$133,MATCH(B81,'ei names mapping'!$A$104:$A$133,0),MATCH(G110,'ei names mapping'!$B$3:$R$3,0))</f>
        <v>unit</v>
      </c>
      <c r="F110" t="s">
        <v>89</v>
      </c>
      <c r="G110" t="s">
        <v>15</v>
      </c>
      <c r="H110" t="str">
        <f>INDEX('ei names mapping'!$B$71:$R$100,MATCH($B$3,'ei names mapping'!$A$4:$A$33,0),MATCH(G110,'ei names mapping'!$B$3:$R$3,0))</f>
        <v>tram</v>
      </c>
    </row>
    <row r="111" spans="1:8" x14ac:dyDescent="0.2">
      <c r="A111" t="str">
        <f>INDEX('ei names mapping'!$B$4:$R$33,MATCH($B$3,'ei names mapping'!$A$4:$A$33,0),MATCH(G111,'ei names mapping'!$B$3:$R$3,0))</f>
        <v>tram production</v>
      </c>
      <c r="B111" s="4">
        <f>INDEX('vehicles specifications'!$B$3:$CW$166,MATCH(B84,'vehicles specifications'!$A$3:$A$166,0),MATCH(G111,'vehicles specifications'!$B$2:$CW$2,0))*INDEX('ei names mapping'!$B$137:$BL$300,MATCH(B84,'ei names mapping'!$A$137:$A$300,0),MATCH(G111,'ei names mapping'!$B$136:$BL$136,0))</f>
        <v>0.34965701219512196</v>
      </c>
      <c r="C111" t="str">
        <f>INDEX('ei names mapping'!$B$38:$R$67,MATCH($B$3,'ei names mapping'!$A$4:$A$33,0),MATCH(G111,'ei names mapping'!$B$3:$R$3,0))</f>
        <v>RER</v>
      </c>
      <c r="D111" t="str">
        <f>INDEX('ei names mapping'!$B$104:$R$133,MATCH(B81,'ei names mapping'!$A$104:$A$133,0),MATCH(G111,'ei names mapping'!$B$3:$R$3,0))</f>
        <v>unit</v>
      </c>
      <c r="F111" t="s">
        <v>89</v>
      </c>
      <c r="G111" t="s">
        <v>16</v>
      </c>
      <c r="H111" t="str">
        <f>INDEX('ei names mapping'!$B$71:$R$100,MATCH($B$3,'ei names mapping'!$A$4:$A$33,0),MATCH(G111,'ei names mapping'!$B$3:$R$3,0))</f>
        <v>tram</v>
      </c>
    </row>
    <row r="112" spans="1:8" x14ac:dyDescent="0.2">
      <c r="A112" t="str">
        <f>INDEX('ei names mapping'!$B$4:$R$33,MATCH($B$3,'ei names mapping'!$A$4:$A$33,0),MATCH(G112,'ei names mapping'!$B$3:$R$3,0))</f>
        <v>tram production</v>
      </c>
      <c r="B112" s="4">
        <f>INDEX('vehicles specifications'!$B$3:$CW$166,MATCH(B84,'vehicles specifications'!$A$3:$A$166,0),MATCH(G112,'vehicles specifications'!$B$2:$CW$2,0))*INDEX('ei names mapping'!$B$137:$BL$300,MATCH(B84,'ei names mapping'!$A$137:$A$300,0),MATCH(G112,'ei names mapping'!$B$136:$BL$136,0))</f>
        <v>0.13443216463414634</v>
      </c>
      <c r="C112" t="str">
        <f>INDEX('ei names mapping'!$B$38:$R$67,MATCH($B$3,'ei names mapping'!$A$4:$A$33,0),MATCH(G112,'ei names mapping'!$B$3:$R$3,0))</f>
        <v>RER</v>
      </c>
      <c r="D112" t="str">
        <f>INDEX('ei names mapping'!$B$104:$R$133,MATCH(B81,'ei names mapping'!$A$104:$A$133,0),MATCH(G112,'ei names mapping'!$B$3:$R$3,0))</f>
        <v>unit</v>
      </c>
      <c r="F112" t="s">
        <v>89</v>
      </c>
      <c r="G112" t="s">
        <v>501</v>
      </c>
      <c r="H112" t="str">
        <f>INDEX('ei names mapping'!$B$71:$R$100,MATCH($B$3,'ei names mapping'!$A$4:$A$33,0),MATCH(G112,'ei names mapping'!$B$3:$R$3,0))</f>
        <v>tram</v>
      </c>
    </row>
    <row r="113" spans="1:8" x14ac:dyDescent="0.2">
      <c r="A113" t="str">
        <f>INDEX('ei names mapping'!$B$4:$R$33,MATCH(B81,'ei names mapping'!$A$4:$A$33,0),MATCH(G113,'ei names mapping'!$B$3:$R$3,0))</f>
        <v>Glider lightweighting</v>
      </c>
      <c r="B113" s="11">
        <f>INDEX('vehicles specifications'!$B$3:$CW$166,MATCH(B84,'vehicles specifications'!$A$3:$A$166,0),MATCH(G113,'vehicles specifications'!$B$2:$CW$2,0))*INDEX('ei names mapping'!$B$137:$BL$300,MATCH(B84,'ei names mapping'!$A$137:$A$300,0),MATCH(G113,'ei names mapping'!$B$136:$BL$136,0))</f>
        <v>2160</v>
      </c>
      <c r="C113" t="str">
        <f>INDEX('ei names mapping'!$B$38:$R$67,MATCH(B81,'ei names mapping'!$A$4:$A$33,0),MATCH(G113,'ei names mapping'!$B$3:$R$3,0))</f>
        <v>GLO</v>
      </c>
      <c r="D113" t="str">
        <f>INDEX('ei names mapping'!$B$104:$R$133,MATCH(B81,'ei names mapping'!$A$104:$A$133,0),MATCH(G113,'ei names mapping'!$B$3:$R$3,0))</f>
        <v>kilogram</v>
      </c>
      <c r="F113" t="s">
        <v>89</v>
      </c>
      <c r="G113" t="s">
        <v>14</v>
      </c>
      <c r="H113" t="str">
        <f>INDEX('ei names mapping'!$B$71:$R$100,MATCH(B81,'ei names mapping'!$A$4:$A$33,0),MATCH(G113,'ei names mapping'!$B$3:$R$3,0))</f>
        <v>Glider lightweighting</v>
      </c>
    </row>
    <row r="114" spans="1:8" x14ac:dyDescent="0.2">
      <c r="A114" t="str">
        <f>INDEX('ei names mapping'!$B$4:$R$33,MATCH($B$3,'ei names mapping'!$A$4:$A$33,0),MATCH(G114,'ei names mapping'!$B$3:$R$3,0))</f>
        <v>tram track construction</v>
      </c>
      <c r="B114" s="2">
        <f>INDEX('vehicles specifications'!$B$3:$CW$166,MATCH(B84,'vehicles specifications'!$A$3:$A$166,0),MATCH(G114,'vehicles specifications'!$B$2:$CW$2,0))*INDEX('ei names mapping'!$B$137:$BL$300,MATCH(B84,'ei names mapping'!$A$137:$A$300,0),MATCH(G114,'ei names mapping'!$B$136:$BL$136,0))</f>
        <v>4.5599999999999998E-3</v>
      </c>
      <c r="C114" t="str">
        <f>INDEX('ei names mapping'!$B$38:$R$67,MATCH($B$3,'ei names mapping'!$A$4:$A$33,0),MATCH(G114,'ei names mapping'!$B$3:$R$3,0))</f>
        <v>CH</v>
      </c>
      <c r="D114" t="str">
        <f>INDEX('ei names mapping'!$B$104:$R$133,MATCH(B81,'ei names mapping'!$A$104:$A$133,0),MATCH(G114,'ei names mapping'!$B$3:$R$3,0))</f>
        <v>meter-year</v>
      </c>
      <c r="F114" t="s">
        <v>89</v>
      </c>
      <c r="G114" t="s">
        <v>105</v>
      </c>
      <c r="H114" t="str">
        <f>INDEX('ei names mapping'!$B$71:$R$100,MATCH($B$3,'ei names mapping'!$A$4:$A$33,0),MATCH(G114,'ei names mapping'!$B$3:$R$3,0))</f>
        <v>tram track</v>
      </c>
    </row>
    <row r="115" spans="1:8" x14ac:dyDescent="0.2">
      <c r="A115" t="s">
        <v>513</v>
      </c>
      <c r="B115" s="2">
        <f>-1*B114</f>
        <v>-4.5599999999999998E-3</v>
      </c>
      <c r="C115" t="s">
        <v>37</v>
      </c>
      <c r="D115" t="s">
        <v>107</v>
      </c>
      <c r="F115" t="s">
        <v>89</v>
      </c>
      <c r="G115" t="s">
        <v>511</v>
      </c>
      <c r="H115" t="s">
        <v>512</v>
      </c>
    </row>
    <row r="116" spans="1:8" x14ac:dyDescent="0.2">
      <c r="A116" s="13" t="s">
        <v>840</v>
      </c>
      <c r="B116">
        <f>(B94/1000)*B105</f>
        <v>51202</v>
      </c>
      <c r="C116" t="s">
        <v>92</v>
      </c>
      <c r="D116" t="s">
        <v>233</v>
      </c>
      <c r="F116" t="s">
        <v>89</v>
      </c>
      <c r="H116" s="13" t="s">
        <v>841</v>
      </c>
    </row>
    <row r="118" spans="1:8" ht="16" x14ac:dyDescent="0.2">
      <c r="A118" s="10" t="s">
        <v>71</v>
      </c>
      <c r="B118" s="8" t="str">
        <f>B120&amp;", "&amp;B122</f>
        <v>Tram, electric, 2050</v>
      </c>
    </row>
    <row r="119" spans="1:8" x14ac:dyDescent="0.2">
      <c r="A119" t="s">
        <v>72</v>
      </c>
      <c r="B119" t="s">
        <v>37</v>
      </c>
    </row>
    <row r="120" spans="1:8" x14ac:dyDescent="0.2">
      <c r="A120" t="s">
        <v>86</v>
      </c>
      <c r="B120" t="s">
        <v>491</v>
      </c>
    </row>
    <row r="121" spans="1:8" x14ac:dyDescent="0.2">
      <c r="A121" t="s">
        <v>87</v>
      </c>
    </row>
    <row r="122" spans="1:8" x14ac:dyDescent="0.2">
      <c r="A122" t="s">
        <v>88</v>
      </c>
      <c r="B122">
        <v>2050</v>
      </c>
    </row>
    <row r="123" spans="1:8" x14ac:dyDescent="0.2">
      <c r="A123" t="s">
        <v>126</v>
      </c>
      <c r="B123" t="str">
        <f>B120&amp;" - "&amp;B122&amp;" - "&amp;B119</f>
        <v>Tram, electric - 2050 - CH</v>
      </c>
    </row>
    <row r="124" spans="1:8" x14ac:dyDescent="0.2">
      <c r="A124" t="s">
        <v>73</v>
      </c>
      <c r="B124" t="str">
        <f>B120</f>
        <v>Tram, electric</v>
      </c>
    </row>
    <row r="125" spans="1:8" x14ac:dyDescent="0.2">
      <c r="A125" t="s">
        <v>74</v>
      </c>
      <c r="B125" t="s">
        <v>75</v>
      </c>
    </row>
    <row r="126" spans="1:8" x14ac:dyDescent="0.2">
      <c r="A126" t="s">
        <v>76</v>
      </c>
      <c r="B126" t="s">
        <v>76</v>
      </c>
    </row>
    <row r="127" spans="1:8" x14ac:dyDescent="0.2">
      <c r="A127" t="s">
        <v>78</v>
      </c>
      <c r="B127" t="s">
        <v>1143</v>
      </c>
    </row>
    <row r="128" spans="1:8" x14ac:dyDescent="0.2">
      <c r="A128" t="s">
        <v>127</v>
      </c>
      <c r="B128">
        <f>INDEX('vehicles specifications'!$B$3:$CW$166,MATCH(B123,'vehicles specifications'!$A$3:$A$166,0),MATCH("Lifetime [km]",'vehicles specifications'!$B$2:$CW$2,0))</f>
        <v>2800000</v>
      </c>
    </row>
    <row r="129" spans="1:2" x14ac:dyDescent="0.2">
      <c r="A129" t="s">
        <v>128</v>
      </c>
      <c r="B129">
        <f>INDEX('vehicles specifications'!$B$3:$CW$166,MATCH(B123,'vehicles specifications'!$A$3:$A$166,0),MATCH("Passengers [unit]",'vehicles specifications'!$B$2:$CW$2,0))</f>
        <v>38</v>
      </c>
    </row>
    <row r="130" spans="1:2" x14ac:dyDescent="0.2">
      <c r="A130" t="s">
        <v>129</v>
      </c>
      <c r="B130">
        <f>INDEX('vehicles specifications'!$B$3:$CW$166,MATCH(B123,'vehicles specifications'!$A$3:$A$166,0),MATCH("Servicing [unit]",'vehicles specifications'!$B$2:$CW$2,0))</f>
        <v>1.3333333333333333</v>
      </c>
    </row>
    <row r="131" spans="1:2" x14ac:dyDescent="0.2">
      <c r="A131" t="s">
        <v>130</v>
      </c>
      <c r="B131">
        <f>INDEX('vehicles specifications'!$B$3:$CW$166,MATCH(B123,'vehicles specifications'!$A$3:$A$166,0),MATCH("Energy battery replacement [unit]",'vehicles specifications'!$B$2:$CW$2,0))</f>
        <v>0</v>
      </c>
    </row>
    <row r="132" spans="1:2" x14ac:dyDescent="0.2">
      <c r="A132" t="s">
        <v>131</v>
      </c>
      <c r="B132">
        <f>INDEX('vehicles specifications'!$B$3:$CW$166,MATCH(B123,'vehicles specifications'!$A$3:$A$166,0),MATCH("Annual kilometers [km]",'vehicles specifications'!$B$2:$CW$2,0))</f>
        <v>70000</v>
      </c>
    </row>
    <row r="133" spans="1:2" x14ac:dyDescent="0.2">
      <c r="A133" t="s">
        <v>132</v>
      </c>
      <c r="B133">
        <f>INDEX('vehicles specifications'!$B$3:$CW$166,MATCH(B123,'vehicles specifications'!$A$3:$A$166,0),MATCH("Curb mass [kg]",'vehicles specifications'!$B$2:$CW$2,0))</f>
        <v>50033</v>
      </c>
    </row>
    <row r="134" spans="1:2" x14ac:dyDescent="0.2">
      <c r="A134" t="s">
        <v>133</v>
      </c>
      <c r="B134">
        <f>INDEX('vehicles specifications'!$B$3:$CW$166,MATCH(B123,'vehicles specifications'!$A$3:$A$166,0),MATCH("Power [kW]",'vehicles specifications'!$B$2:$CW$2,0))</f>
        <v>660</v>
      </c>
    </row>
    <row r="135" spans="1:2" x14ac:dyDescent="0.2">
      <c r="A135" t="s">
        <v>134</v>
      </c>
      <c r="B135">
        <v>0</v>
      </c>
    </row>
    <row r="136" spans="1:2" x14ac:dyDescent="0.2">
      <c r="A136" t="s">
        <v>135</v>
      </c>
      <c r="B136">
        <f>INDEX('vehicles specifications'!$B$3:$CW$166,MATCH(B123,'vehicles specifications'!$A$3:$A$166,0),MATCH("Electric energy available [kWh]",'vehicles specifications'!$B$2:$CW$2,0))</f>
        <v>0</v>
      </c>
    </row>
    <row r="137" spans="1:2" x14ac:dyDescent="0.2">
      <c r="A137" t="s">
        <v>138</v>
      </c>
      <c r="B137">
        <f>INDEX('vehicles specifications'!$B$3:$CW$166,MATCH(B123,'vehicles specifications'!$A$3:$A$166,0),MATCH("Oxydation energy stored [kWh]",'vehicles specifications'!$B$2:$CW$2,0))</f>
        <v>0</v>
      </c>
    </row>
    <row r="138" spans="1:2" x14ac:dyDescent="0.2">
      <c r="A138" t="s">
        <v>139</v>
      </c>
      <c r="B138">
        <f>INDEX('vehicles specifications'!$B$3:$CW$166,MATCH(B123,'vehicles specifications'!$A$3:$A$166,0),MATCH("Fuel mass [kg]",'vehicles specifications'!$B$2:$CW$2,0))</f>
        <v>0</v>
      </c>
    </row>
    <row r="139" spans="1:2" x14ac:dyDescent="0.2">
      <c r="A139" t="s">
        <v>136</v>
      </c>
      <c r="B139">
        <f>INDEX('vehicles specifications'!$B$3:$CW$166,MATCH(B123,'vehicles specifications'!$A$3:$A$166,0),MATCH("Range [km]",'vehicles specifications'!$B$2:$CW$2,0))</f>
        <v>0</v>
      </c>
    </row>
    <row r="140" spans="1:2" x14ac:dyDescent="0.2">
      <c r="A140" t="s">
        <v>137</v>
      </c>
      <c r="B140" t="str">
        <f>INDEX('vehicles specifications'!$B$3:$CW$166,MATCH(B123,'vehicles specifications'!$A$3:$A$166,0),MATCH("Emission standard",'vehicles specifications'!$B$2:$CW$2,0))</f>
        <v>None</v>
      </c>
    </row>
    <row r="141" spans="1:2" x14ac:dyDescent="0.2">
      <c r="A141" t="s">
        <v>1174</v>
      </c>
      <c r="B141" s="6">
        <f>INDEX('vehicles specifications'!$B$3:$CW$166,MATCH(B123,'vehicles specifications'!$A$3:$A$166,0),MATCH("Lightweighting rate [%]",'vehicles specifications'!$B$2:$CW$2,0))</f>
        <v>7.0000000000000007E-2</v>
      </c>
    </row>
    <row r="142" spans="1:2" x14ac:dyDescent="0.2">
      <c r="A142" t="s">
        <v>485</v>
      </c>
      <c r="B142" s="6" t="s">
        <v>502</v>
      </c>
    </row>
    <row r="143" spans="1:2" x14ac:dyDescent="0.2">
      <c r="A143" t="s">
        <v>487</v>
      </c>
      <c r="B143" s="2">
        <v>0</v>
      </c>
    </row>
    <row r="144" spans="1:2" x14ac:dyDescent="0.2">
      <c r="A144" t="s">
        <v>488</v>
      </c>
      <c r="B144" s="2">
        <v>1000</v>
      </c>
    </row>
    <row r="145" spans="1:8" x14ac:dyDescent="0.2">
      <c r="A145" t="s">
        <v>83</v>
      </c>
      <c r="B145" t="str">
        <f>"Power: "&amp;B134&amp;" kW. Lifetime: "&amp;B128&amp;" km. Annual kilometers: "&amp;ROUND(B132,0)&amp;" km. Number of passengers: "&amp;ROUND(B129,1)&amp;". Curb mass: "&amp;ROUND(B133,1)&amp;" kg. Lightweighting of glider: "&amp;ROUND(B141*100,0)&amp;"%. Emission standard: "&amp;B140&amp;". Service visits throughout lifetime: every year for "&amp;B128/B132&amp;" years. Range: "&amp;ROUND(B139,0)&amp;" km. Battery capacity: "&amp;ROUND(B136,1)&amp;" kWh. Battery mass: "&amp;ROUND(B135,1)&amp; " kg. Battery replacement throughout lifetime: "&amp;ROUND(B131,1)&amp;". Fuel tank capacity: "&amp;ROUND(B137,1)&amp;" kWh. Fuel mass: "&amp;ROUND(B138,1)&amp;" kg. Origin of manufacture: "&amp;B142&amp;". Shipping distance: "&amp;B143&amp;" km. Lorry distribution distance: "&amp;B144&amp;" km. Documentation: "&amp;Readmefirst!$B$2&amp;", "&amp;Readmefirst!$B$3&amp;". "&amp;B127</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v>
      </c>
    </row>
    <row r="146" spans="1:8" ht="16" x14ac:dyDescent="0.2">
      <c r="A146" s="10" t="s">
        <v>79</v>
      </c>
    </row>
    <row r="147" spans="1:8" x14ac:dyDescent="0.2">
      <c r="A147" t="s">
        <v>80</v>
      </c>
      <c r="B147" t="s">
        <v>81</v>
      </c>
      <c r="C147" t="s">
        <v>72</v>
      </c>
      <c r="D147" t="s">
        <v>76</v>
      </c>
      <c r="E147" t="s">
        <v>82</v>
      </c>
      <c r="F147" t="s">
        <v>74</v>
      </c>
      <c r="G147" t="s">
        <v>83</v>
      </c>
      <c r="H147" t="s">
        <v>73</v>
      </c>
    </row>
    <row r="148" spans="1:8" x14ac:dyDescent="0.2">
      <c r="A148" t="str">
        <f>B118</f>
        <v>Tram, electric, 2050</v>
      </c>
      <c r="B148">
        <v>1</v>
      </c>
      <c r="C148" t="str">
        <f>B119</f>
        <v>CH</v>
      </c>
      <c r="D148" t="str">
        <f>B126</f>
        <v>unit</v>
      </c>
      <c r="F148" t="s">
        <v>84</v>
      </c>
      <c r="G148" t="s">
        <v>85</v>
      </c>
      <c r="H148" t="str">
        <f>B120</f>
        <v>Tram, electric</v>
      </c>
    </row>
    <row r="149" spans="1:8" x14ac:dyDescent="0.2">
      <c r="A149" t="str">
        <f>INDEX('ei names mapping'!$B$4:$R$33,MATCH($B$3,'ei names mapping'!$A$4:$A$33,0),MATCH(G149,'ei names mapping'!$B$3:$R$3,0))</f>
        <v>tram production</v>
      </c>
      <c r="B149" s="3">
        <f>INDEX('vehicles specifications'!$B$3:$CW$166,MATCH(B123,'vehicles specifications'!$A$3:$A$166,0),MATCH(G149,'vehicles specifications'!$B$2:$CW$2,0))*INDEX('ei names mapping'!$B$137:$BL$300,MATCH(B123,'ei names mapping'!$A$137:$A$300,0),MATCH(G149,'ei names mapping'!$B$136:$BL$136,0))</f>
        <v>2.0579268292682928</v>
      </c>
      <c r="C149" t="str">
        <f>INDEX('ei names mapping'!$B$38:$R$67,MATCH($B$3,'ei names mapping'!$A$4:$A$33,0),MATCH(G149,'ei names mapping'!$B$3:$R$3,0))</f>
        <v>RER</v>
      </c>
      <c r="D149" t="str">
        <f>INDEX('ei names mapping'!$B$104:$R$133,MATCH(B120,'ei names mapping'!$A$104:$A$133,0),MATCH(G149,'ei names mapping'!$B$3:$R$3,0))</f>
        <v>unit</v>
      </c>
      <c r="F149" t="s">
        <v>89</v>
      </c>
      <c r="G149" t="s">
        <v>15</v>
      </c>
      <c r="H149" t="str">
        <f>INDEX('ei names mapping'!$B$71:$R$100,MATCH($B$3,'ei names mapping'!$A$4:$A$33,0),MATCH(G149,'ei names mapping'!$B$3:$R$3,0))</f>
        <v>tram</v>
      </c>
    </row>
    <row r="150" spans="1:8" x14ac:dyDescent="0.2">
      <c r="A150" t="str">
        <f>INDEX('ei names mapping'!$B$4:$R$33,MATCH($B$3,'ei names mapping'!$A$4:$A$33,0),MATCH(G150,'ei names mapping'!$B$3:$R$3,0))</f>
        <v>tram production</v>
      </c>
      <c r="B150" s="3">
        <f>INDEX('vehicles specifications'!$B$3:$CW$166,MATCH(B123,'vehicles specifications'!$A$3:$A$166,0),MATCH(G150,'vehicles specifications'!$B$2:$CW$2,0))*INDEX('ei names mapping'!$B$137:$BL$300,MATCH(B123,'ei names mapping'!$A$137:$A$300,0),MATCH(G150,'ei names mapping'!$B$136:$BL$136,0))</f>
        <v>0.33912919207317077</v>
      </c>
      <c r="C150" t="str">
        <f>INDEX('ei names mapping'!$B$38:$R$67,MATCH($B$3,'ei names mapping'!$A$4:$A$33,0),MATCH(G150,'ei names mapping'!$B$3:$R$3,0))</f>
        <v>RER</v>
      </c>
      <c r="D150" t="str">
        <f>INDEX('ei names mapping'!$B$104:$R$133,MATCH(B120,'ei names mapping'!$A$104:$A$133,0),MATCH(G150,'ei names mapping'!$B$3:$R$3,0))</f>
        <v>unit</v>
      </c>
      <c r="F150" t="s">
        <v>89</v>
      </c>
      <c r="G150" t="s">
        <v>16</v>
      </c>
      <c r="H150" t="str">
        <f>INDEX('ei names mapping'!$B$71:$R$100,MATCH($B$3,'ei names mapping'!$A$4:$A$33,0),MATCH(G150,'ei names mapping'!$B$3:$R$3,0))</f>
        <v>tram</v>
      </c>
    </row>
    <row r="151" spans="1:8" x14ac:dyDescent="0.2">
      <c r="A151" t="str">
        <f>INDEX('ei names mapping'!$B$4:$R$33,MATCH($B$3,'ei names mapping'!$A$4:$A$33,0),MATCH(G151,'ei names mapping'!$B$3:$R$3,0))</f>
        <v>tram production</v>
      </c>
      <c r="B151" s="3">
        <f>INDEX('vehicles specifications'!$B$3:$CW$166,MATCH(B123,'vehicles specifications'!$A$3:$A$166,0),MATCH(G151,'vehicles specifications'!$B$2:$CW$2,0))*INDEX('ei names mapping'!$B$137:$BL$300,MATCH(B123,'ei names mapping'!$A$137:$A$300,0),MATCH(G151,'ei names mapping'!$B$136:$BL$136,0))</f>
        <v>0.13043064024390244</v>
      </c>
      <c r="C151" t="str">
        <f>INDEX('ei names mapping'!$B$38:$R$67,MATCH($B$3,'ei names mapping'!$A$4:$A$33,0),MATCH(G151,'ei names mapping'!$B$3:$R$3,0))</f>
        <v>RER</v>
      </c>
      <c r="D151" t="str">
        <f>INDEX('ei names mapping'!$B$104:$R$133,MATCH(B120,'ei names mapping'!$A$104:$A$133,0),MATCH(G151,'ei names mapping'!$B$3:$R$3,0))</f>
        <v>unit</v>
      </c>
      <c r="F151" t="s">
        <v>89</v>
      </c>
      <c r="G151" t="s">
        <v>501</v>
      </c>
      <c r="H151" t="str">
        <f>INDEX('ei names mapping'!$B$71:$R$100,MATCH($B$3,'ei names mapping'!$A$4:$A$33,0),MATCH(G151,'ei names mapping'!$B$3:$R$3,0))</f>
        <v>tram</v>
      </c>
    </row>
    <row r="152" spans="1:8" x14ac:dyDescent="0.2">
      <c r="A152" t="str">
        <f>INDEX('ei names mapping'!$B$4:$R$33,MATCH(B120,'ei names mapping'!$A$4:$A$33,0),MATCH(G152,'ei names mapping'!$B$3:$R$3,0))</f>
        <v>Glider lightweighting</v>
      </c>
      <c r="B152" s="3">
        <f>INDEX('vehicles specifications'!$B$3:$CW$166,MATCH(B123,'vehicles specifications'!$A$3:$A$166,0),MATCH(G152,'vehicles specifications'!$B$2:$CW$2,0))*INDEX('ei names mapping'!$B$137:$BL$300,MATCH(B123,'ei names mapping'!$A$137:$A$300,0),MATCH(G152,'ei names mapping'!$B$136:$BL$136,0))</f>
        <v>3024.0000000000005</v>
      </c>
      <c r="C152" t="str">
        <f>INDEX('ei names mapping'!$B$38:$R$67,MATCH(B120,'ei names mapping'!$A$4:$A$33,0),MATCH(G152,'ei names mapping'!$B$3:$R$3,0))</f>
        <v>GLO</v>
      </c>
      <c r="D152" t="str">
        <f>INDEX('ei names mapping'!$B$104:$R$133,MATCH(B120,'ei names mapping'!$A$104:$A$133,0),MATCH(G152,'ei names mapping'!$B$3:$R$3,0))</f>
        <v>kilogram</v>
      </c>
      <c r="F152" t="s">
        <v>89</v>
      </c>
      <c r="G152" t="s">
        <v>14</v>
      </c>
      <c r="H152" t="str">
        <f>INDEX('ei names mapping'!$B$71:$R$100,MATCH(B120,'ei names mapping'!$A$4:$A$33,0),MATCH(G152,'ei names mapping'!$B$3:$R$3,0))</f>
        <v>Glider lightweighting</v>
      </c>
    </row>
    <row r="153" spans="1:8" x14ac:dyDescent="0.2">
      <c r="A153" t="str">
        <f>INDEX('ei names mapping'!$B$4:$R$33,MATCH($B$3,'ei names mapping'!$A$4:$A$33,0),MATCH(G153,'ei names mapping'!$B$3:$R$3,0))</f>
        <v>tram track construction</v>
      </c>
      <c r="B153" s="3">
        <f>INDEX('vehicles specifications'!$B$3:$CW$166,MATCH(B123,'vehicles specifications'!$A$3:$A$166,0),MATCH(G153,'vehicles specifications'!$B$2:$CW$2,0))*INDEX('ei names mapping'!$B$137:$BL$300,MATCH(B123,'ei names mapping'!$A$137:$A$300,0),MATCH(G153,'ei names mapping'!$B$136:$BL$136,0))</f>
        <v>4.5599999999999998E-3</v>
      </c>
      <c r="C153" t="str">
        <f>INDEX('ei names mapping'!$B$38:$R$67,MATCH($B$3,'ei names mapping'!$A$4:$A$33,0),MATCH(G153,'ei names mapping'!$B$3:$R$3,0))</f>
        <v>CH</v>
      </c>
      <c r="D153" t="str">
        <f>INDEX('ei names mapping'!$B$104:$R$133,MATCH(B120,'ei names mapping'!$A$104:$A$133,0),MATCH(G153,'ei names mapping'!$B$3:$R$3,0))</f>
        <v>meter-year</v>
      </c>
      <c r="F153" t="s">
        <v>89</v>
      </c>
      <c r="G153" t="s">
        <v>105</v>
      </c>
      <c r="H153" t="str">
        <f>INDEX('ei names mapping'!$B$71:$R$100,MATCH($B$3,'ei names mapping'!$A$4:$A$33,0),MATCH(G153,'ei names mapping'!$B$3:$R$3,0))</f>
        <v>tram track</v>
      </c>
    </row>
    <row r="154" spans="1:8" x14ac:dyDescent="0.2">
      <c r="A154" t="s">
        <v>513</v>
      </c>
      <c r="B154" s="3">
        <f>-1*B153</f>
        <v>-4.5599999999999998E-3</v>
      </c>
      <c r="C154" t="s">
        <v>37</v>
      </c>
      <c r="D154" t="s">
        <v>107</v>
      </c>
      <c r="F154" t="s">
        <v>89</v>
      </c>
      <c r="G154" t="s">
        <v>511</v>
      </c>
      <c r="H154" t="s">
        <v>512</v>
      </c>
    </row>
    <row r="155" spans="1:8" x14ac:dyDescent="0.2">
      <c r="A155" s="13" t="s">
        <v>840</v>
      </c>
      <c r="B155" s="3">
        <f>(B133/1000)*B144</f>
        <v>50033</v>
      </c>
      <c r="C155" t="s">
        <v>92</v>
      </c>
      <c r="D155" t="s">
        <v>233</v>
      </c>
      <c r="F155" t="s">
        <v>89</v>
      </c>
      <c r="H155" s="13" t="s">
        <v>841</v>
      </c>
    </row>
    <row r="157" spans="1:8" ht="16" x14ac:dyDescent="0.2">
      <c r="A157" s="10" t="s">
        <v>71</v>
      </c>
      <c r="B157" s="8" t="str">
        <f>"transport, "&amp;B159&amp;", "&amp;B161</f>
        <v>transport, Tram, electric, 2020</v>
      </c>
    </row>
    <row r="158" spans="1:8" x14ac:dyDescent="0.2">
      <c r="A158" t="s">
        <v>72</v>
      </c>
      <c r="B158" t="s">
        <v>37</v>
      </c>
    </row>
    <row r="159" spans="1:8" x14ac:dyDescent="0.2">
      <c r="A159" t="s">
        <v>86</v>
      </c>
      <c r="B159" t="s">
        <v>491</v>
      </c>
    </row>
    <row r="160" spans="1:8" x14ac:dyDescent="0.2">
      <c r="A160" t="s">
        <v>87</v>
      </c>
    </row>
    <row r="161" spans="1:2" x14ac:dyDescent="0.2">
      <c r="A161" t="s">
        <v>88</v>
      </c>
      <c r="B161">
        <v>2020</v>
      </c>
    </row>
    <row r="162" spans="1:2" x14ac:dyDescent="0.2">
      <c r="A162" t="s">
        <v>126</v>
      </c>
      <c r="B162" t="str">
        <f>B159&amp;" - "&amp;B161&amp;" - "&amp;B158</f>
        <v>Tram, electric - 2020 - CH</v>
      </c>
    </row>
    <row r="163" spans="1:2" x14ac:dyDescent="0.2">
      <c r="A163" t="s">
        <v>73</v>
      </c>
      <c r="B163" t="str">
        <f>"transport, "&amp;B159</f>
        <v>transport, Tram, electric</v>
      </c>
    </row>
    <row r="164" spans="1:2" x14ac:dyDescent="0.2">
      <c r="A164" t="s">
        <v>74</v>
      </c>
      <c r="B164" t="s">
        <v>75</v>
      </c>
    </row>
    <row r="165" spans="1:2" x14ac:dyDescent="0.2">
      <c r="A165" t="s">
        <v>76</v>
      </c>
      <c r="B165" t="s">
        <v>169</v>
      </c>
    </row>
    <row r="166" spans="1:2" x14ac:dyDescent="0.2">
      <c r="A166" t="s">
        <v>78</v>
      </c>
      <c r="B166" t="s">
        <v>1143</v>
      </c>
    </row>
    <row r="167" spans="1:2" x14ac:dyDescent="0.2">
      <c r="A167" t="s">
        <v>127</v>
      </c>
      <c r="B167">
        <f>INDEX('vehicles specifications'!$B$3:$CW$166,MATCH(B162,'vehicles specifications'!$A$3:$A$166,0),MATCH("Lifetime [km]",'vehicles specifications'!$B$2:$CW$2,0))</f>
        <v>2800000</v>
      </c>
    </row>
    <row r="168" spans="1:2" x14ac:dyDescent="0.2">
      <c r="A168" t="s">
        <v>128</v>
      </c>
      <c r="B168">
        <f>INDEX('vehicles specifications'!$B$3:$CW$166,MATCH(B162,'vehicles specifications'!$A$3:$A$166,0),MATCH("Passengers [unit]",'vehicles specifications'!$B$2:$CW$2,0))</f>
        <v>38</v>
      </c>
    </row>
    <row r="169" spans="1:2" x14ac:dyDescent="0.2">
      <c r="A169" t="s">
        <v>129</v>
      </c>
      <c r="B169">
        <f>INDEX('vehicles specifications'!$B$3:$CW$166,MATCH(B162,'vehicles specifications'!$A$3:$A$166,0),MATCH("Servicing [unit]",'vehicles specifications'!$B$2:$CW$2,0))</f>
        <v>1.3333333333333333</v>
      </c>
    </row>
    <row r="170" spans="1:2" x14ac:dyDescent="0.2">
      <c r="A170" t="s">
        <v>130</v>
      </c>
      <c r="B170">
        <f>INDEX('vehicles specifications'!$B$3:$CW$166,MATCH(B162,'vehicles specifications'!$A$3:$A$166,0),MATCH("Energy battery replacement [unit]",'vehicles specifications'!$B$2:$CW$2,0))</f>
        <v>0</v>
      </c>
    </row>
    <row r="171" spans="1:2" x14ac:dyDescent="0.2">
      <c r="A171" t="s">
        <v>131</v>
      </c>
      <c r="B171">
        <f>INDEX('vehicles specifications'!$B$3:$CW$166,MATCH(B162,'vehicles specifications'!$A$3:$A$166,0),MATCH("Annual kilometers [km]",'vehicles specifications'!$B$2:$CW$2,0))</f>
        <v>70000</v>
      </c>
    </row>
    <row r="172" spans="1:2" x14ac:dyDescent="0.2">
      <c r="A172" t="s">
        <v>132</v>
      </c>
      <c r="B172">
        <f>INDEX('vehicles specifications'!$B$3:$CW$166,MATCH(B162,'vehicles specifications'!$A$3:$A$166,0),MATCH("Curb mass [kg]",'vehicles specifications'!$B$2:$CW$2,0))</f>
        <v>54000</v>
      </c>
    </row>
    <row r="173" spans="1:2" x14ac:dyDescent="0.2">
      <c r="A173" t="s">
        <v>133</v>
      </c>
      <c r="B173">
        <f>INDEX('vehicles specifications'!$B$3:$CW$166,MATCH(B162,'vehicles specifications'!$A$3:$A$166,0),MATCH("Power [kW]",'vehicles specifications'!$B$2:$CW$2,0))</f>
        <v>660</v>
      </c>
    </row>
    <row r="174" spans="1:2" x14ac:dyDescent="0.2">
      <c r="A174" t="s">
        <v>134</v>
      </c>
      <c r="B174">
        <v>0</v>
      </c>
    </row>
    <row r="175" spans="1:2" x14ac:dyDescent="0.2">
      <c r="A175" t="s">
        <v>135</v>
      </c>
      <c r="B175">
        <f>INDEX('vehicles specifications'!$B$3:$CW$166,MATCH(B162,'vehicles specifications'!$A$3:$A$166,0),MATCH("Electric energy available [kWh]",'vehicles specifications'!$B$2:$CW$2,0))</f>
        <v>0</v>
      </c>
    </row>
    <row r="176" spans="1:2" x14ac:dyDescent="0.2">
      <c r="A176" t="s">
        <v>138</v>
      </c>
      <c r="B176">
        <f>INDEX('vehicles specifications'!$B$3:$CW$166,MATCH(B162,'vehicles specifications'!$A$3:$A$166,0),MATCH("Oxydation energy stored [kWh]",'vehicles specifications'!$B$2:$CW$2,0))</f>
        <v>0</v>
      </c>
    </row>
    <row r="177" spans="1:12" x14ac:dyDescent="0.2">
      <c r="A177" t="s">
        <v>139</v>
      </c>
      <c r="B177">
        <f>INDEX('vehicles specifications'!$B$3:$CW$166,MATCH(B162,'vehicles specifications'!$A$3:$A$166,0),MATCH("Fuel mass [kg]",'vehicles specifications'!$B$2:$CW$2,0))</f>
        <v>0</v>
      </c>
    </row>
    <row r="178" spans="1:12" x14ac:dyDescent="0.2">
      <c r="A178" t="s">
        <v>136</v>
      </c>
      <c r="B178">
        <f>INDEX('vehicles specifications'!$B$3:$CW$166,MATCH(B162,'vehicles specifications'!$A$3:$A$166,0),MATCH("Range [km]",'vehicles specifications'!$B$2:$CW$2,0))</f>
        <v>0</v>
      </c>
    </row>
    <row r="179" spans="1:12" x14ac:dyDescent="0.2">
      <c r="A179" t="s">
        <v>137</v>
      </c>
      <c r="B179" t="str">
        <f>INDEX('vehicles specifications'!$B$3:$CW$166,MATCH(B162,'vehicles specifications'!$A$3:$A$166,0),MATCH("Emission standard",'vehicles specifications'!$B$2:$CW$2,0))</f>
        <v>None</v>
      </c>
    </row>
    <row r="180" spans="1:12" x14ac:dyDescent="0.2">
      <c r="A180" t="s">
        <v>1174</v>
      </c>
      <c r="B180" s="6">
        <f>INDEX('vehicles specifications'!$B$3:$CW$166,MATCH(B162,'vehicles specifications'!$A$3:$A$166,0),MATCH("Lightweighting rate [%]",'vehicles specifications'!$B$2:$CW$2,0))</f>
        <v>0</v>
      </c>
    </row>
    <row r="181" spans="1:12" x14ac:dyDescent="0.2">
      <c r="A181" t="s">
        <v>83</v>
      </c>
      <c r="B181" t="str">
        <f>"Power: "&amp;B173&amp;" kW. Lifetime: "&amp;B167&amp;" km. Annual kilometers: "&amp;B171&amp;" km. Number of passengers: "&amp;B168&amp;". Curb mass: "&amp;ROUND(B172,1)&amp;" kg. Lightweighting of glider: "&amp;ROUND(B180*100,0)&amp;"%. Emission standard: "&amp;B179&amp;". Service visits throughout lifetime: every year for "&amp;B167/B171&amp;" years. Range: "&amp;ROUND(B178,0)&amp;" km. Battery capacity: "&amp;ROUND(B175,1)&amp;" kWh. Battery mass: "&amp;ROUND(B174,1)&amp; " kg. Battery replacement throughout lifetime: "&amp;ROUND(B170,1)&amp;". Fuel tank capacity: "&amp;ROUND(B176,1)&amp;" kWh. Fuel mass: "&amp;ROUND(B177,1)&amp;" kg. Documentation: "&amp;Readmefirst!$B$2&amp;", "&amp;Readmefirst!$B$3&amp;". "&amp;B166</f>
        <v>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182" spans="1:12" ht="16" x14ac:dyDescent="0.2">
      <c r="A182" s="10" t="s">
        <v>79</v>
      </c>
    </row>
    <row r="183" spans="1:12" x14ac:dyDescent="0.2">
      <c r="A183" t="s">
        <v>80</v>
      </c>
      <c r="B183" t="s">
        <v>81</v>
      </c>
      <c r="C183" t="s">
        <v>72</v>
      </c>
      <c r="D183" t="s">
        <v>76</v>
      </c>
      <c r="E183" t="s">
        <v>82</v>
      </c>
      <c r="F183" t="s">
        <v>74</v>
      </c>
      <c r="G183" t="s">
        <v>83</v>
      </c>
      <c r="H183" t="s">
        <v>73</v>
      </c>
    </row>
    <row r="184" spans="1:12" x14ac:dyDescent="0.2">
      <c r="A184" t="str">
        <f>B157</f>
        <v>transport, Tram, electric, 2020</v>
      </c>
      <c r="B184">
        <v>1</v>
      </c>
      <c r="C184" t="str">
        <f>B158</f>
        <v>CH</v>
      </c>
      <c r="D184" t="str">
        <f>B165</f>
        <v>person-kilometer</v>
      </c>
      <c r="F184" t="s">
        <v>84</v>
      </c>
      <c r="G184" t="s">
        <v>85</v>
      </c>
      <c r="H184" t="str">
        <f>B163</f>
        <v>transport, Tram, electric</v>
      </c>
    </row>
    <row r="185" spans="1:12" x14ac:dyDescent="0.2">
      <c r="A185" t="str">
        <f>RIGHT(A184,LEN(A184)-11)</f>
        <v>Tram, electric, 2020</v>
      </c>
      <c r="B185">
        <f>1/B167/B168</f>
        <v>9.3984962406015038E-9</v>
      </c>
      <c r="C185" t="str">
        <f>B158</f>
        <v>CH</v>
      </c>
      <c r="D185" t="s">
        <v>76</v>
      </c>
      <c r="F185" t="s">
        <v>89</v>
      </c>
      <c r="H185" t="str">
        <f>RIGHT(H184,LEN(H184)-11)</f>
        <v>Tram, electric</v>
      </c>
    </row>
    <row r="186" spans="1:12" x14ac:dyDescent="0.2">
      <c r="A186" t="str">
        <f>INDEX('ei names mapping'!$B$4:$R$33,MATCH(B159,'ei names mapping'!$A$4:$A$33,0),MATCH(G186,'ei names mapping'!$B$3:$R$3,0))</f>
        <v>market for electricity, medium voltage</v>
      </c>
      <c r="B186" s="4">
        <f>INDEX('vehicles specifications'!$B$3:$CW$166,MATCH(B162,'vehicles specifications'!$A$3:$A$166,0),MATCH(G186,'vehicles specifications'!$B$2:$CW$2,0))*INDEX('ei names mapping'!$B$137:$BL$300,MATCH(B162,'ei names mapping'!$A$137:$A$300,0),MATCH(G186,'ei names mapping'!$B$136:$BL$136,0))</f>
        <v>9.7222222222222224E-2</v>
      </c>
      <c r="C186" t="str">
        <f>INDEX('ei names mapping'!$B$38:$BL$67,MATCH(B159,'ei names mapping'!$A$4:$A$33,0),MATCH(G186,'ei names mapping'!$B$3:$BL$3,0))</f>
        <v>CH</v>
      </c>
      <c r="D186" t="str">
        <f>INDEX('ei names mapping'!$B$104:$BL$133,MATCH(B159,'ei names mapping'!$A$4:$A$33,0),MATCH(G186,'ei names mapping'!$B$3:$BL$3,0))</f>
        <v>kilowatt hour</v>
      </c>
      <c r="F186" t="s">
        <v>89</v>
      </c>
      <c r="G186" t="s">
        <v>28</v>
      </c>
      <c r="H186" t="str">
        <f>INDEX('ei names mapping'!$B$71:$BL$100,MATCH(B159,'ei names mapping'!$A$4:$A$33,0),MATCH(G186,'ei names mapping'!$B$3:$BL$3,0))</f>
        <v>electricity, medium voltage</v>
      </c>
    </row>
    <row r="187" spans="1:12" x14ac:dyDescent="0.2">
      <c r="A187" t="s">
        <v>516</v>
      </c>
      <c r="B187" s="7">
        <f>(16+7.5)/B167/B168</f>
        <v>2.2086466165413533E-7</v>
      </c>
      <c r="C187" t="s">
        <v>95</v>
      </c>
      <c r="D187" t="s">
        <v>77</v>
      </c>
      <c r="F187" t="s">
        <v>89</v>
      </c>
      <c r="G187" t="s">
        <v>518</v>
      </c>
      <c r="H187" t="s">
        <v>517</v>
      </c>
    </row>
    <row r="188" spans="1:12" x14ac:dyDescent="0.2">
      <c r="A188" t="str">
        <f>INDEX('ei names mapping'!$B$4:$R$33,MATCH(B159,'ei names mapping'!$A$4:$A$33,0),MATCH(G188,'ei names mapping'!$B$3:$R$3,0))</f>
        <v>maintenance, tram</v>
      </c>
      <c r="B188" s="7">
        <f>INDEX('vehicles specifications'!$B$3:$CW$166,MATCH(B162,'vehicles specifications'!$A$3:$A$166,0),MATCH(G188,'vehicles specifications'!$B$2:$CW$2,0))*INDEX('ei names mapping'!$B$137:$BL$300,MATCH(B162,'ei names mapping'!$A$137:$A$300,0),MATCH(G188,'ei names mapping'!$B$136:$BL$136,0))</f>
        <v>1.2531328320802004E-8</v>
      </c>
      <c r="C188" t="str">
        <f>INDEX('ei names mapping'!$B$38:$BL$67,MATCH(B159,'ei names mapping'!$A$4:$A$33,0),MATCH(G188,'ei names mapping'!$B$3:$BL$3,0))</f>
        <v>CH</v>
      </c>
      <c r="D188" t="str">
        <f>INDEX('ei names mapping'!$B$104:$BL$133,MATCH(B159,'ei names mapping'!$A$4:$A$33,0),MATCH(G188,'ei names mapping'!$B$3:$BL$3,0))</f>
        <v>unit</v>
      </c>
      <c r="F188" t="s">
        <v>89</v>
      </c>
      <c r="G188" t="s">
        <v>118</v>
      </c>
      <c r="H188" t="str">
        <f>INDEX('ei names mapping'!$B$71:$BL$100,MATCH(B159,'ei names mapping'!$A$4:$A$33,0),MATCH(G188,'ei names mapping'!$B$3:$BL$3,0))</f>
        <v>maintenance, tram</v>
      </c>
    </row>
    <row r="189" spans="1:12" x14ac:dyDescent="0.2">
      <c r="A189" t="s">
        <v>519</v>
      </c>
      <c r="B189" s="7">
        <f>16/B167/B168</f>
        <v>1.5037593984962406E-7</v>
      </c>
      <c r="D189" t="s">
        <v>77</v>
      </c>
      <c r="E189" t="s">
        <v>165</v>
      </c>
      <c r="F189" t="s">
        <v>167</v>
      </c>
      <c r="G189" t="s">
        <v>520</v>
      </c>
      <c r="L189" s="6"/>
    </row>
    <row r="190" spans="1:12" x14ac:dyDescent="0.2">
      <c r="A190" t="s">
        <v>439</v>
      </c>
      <c r="B190" s="7">
        <f>0.00000016/B168</f>
        <v>4.2105263157894742E-9</v>
      </c>
      <c r="D190" t="s">
        <v>77</v>
      </c>
      <c r="E190" t="s">
        <v>165</v>
      </c>
      <c r="F190" t="s">
        <v>167</v>
      </c>
      <c r="G190" t="s">
        <v>525</v>
      </c>
    </row>
    <row r="191" spans="1:12" x14ac:dyDescent="0.2">
      <c r="A191" t="s">
        <v>521</v>
      </c>
      <c r="B191" s="7">
        <f>0.00000032/B168</f>
        <v>8.4210526315789483E-9</v>
      </c>
      <c r="D191" t="s">
        <v>77</v>
      </c>
      <c r="E191" t="s">
        <v>165</v>
      </c>
      <c r="F191" t="s">
        <v>167</v>
      </c>
      <c r="G191" t="s">
        <v>525</v>
      </c>
    </row>
    <row r="192" spans="1:12" x14ac:dyDescent="0.2">
      <c r="A192" t="s">
        <v>522</v>
      </c>
      <c r="B192" s="7">
        <f>0.00000033/B168</f>
        <v>8.6842105263157895E-9</v>
      </c>
      <c r="D192" t="s">
        <v>77</v>
      </c>
      <c r="E192" t="s">
        <v>165</v>
      </c>
      <c r="F192" t="s">
        <v>167</v>
      </c>
      <c r="G192" t="s">
        <v>525</v>
      </c>
    </row>
    <row r="193" spans="1:7" x14ac:dyDescent="0.2">
      <c r="A193" t="s">
        <v>439</v>
      </c>
      <c r="B193" s="7">
        <f>0.000009/B168</f>
        <v>2.368421052631579E-7</v>
      </c>
      <c r="D193" t="s">
        <v>77</v>
      </c>
      <c r="E193" t="s">
        <v>165</v>
      </c>
      <c r="F193" t="s">
        <v>167</v>
      </c>
      <c r="G193" t="s">
        <v>526</v>
      </c>
    </row>
    <row r="194" spans="1:7" x14ac:dyDescent="0.2">
      <c r="A194" t="s">
        <v>521</v>
      </c>
      <c r="B194" s="7">
        <f>0.000018/B168</f>
        <v>4.736842105263158E-7</v>
      </c>
      <c r="D194" t="s">
        <v>77</v>
      </c>
      <c r="E194" t="s">
        <v>165</v>
      </c>
      <c r="F194" t="s">
        <v>167</v>
      </c>
      <c r="G194" t="s">
        <v>526</v>
      </c>
    </row>
    <row r="195" spans="1:7" x14ac:dyDescent="0.2">
      <c r="A195" t="s">
        <v>439</v>
      </c>
      <c r="B195" s="7">
        <f>0.000004/B168</f>
        <v>1.0526315789473683E-7</v>
      </c>
      <c r="D195" t="s">
        <v>77</v>
      </c>
      <c r="E195" t="s">
        <v>165</v>
      </c>
      <c r="F195" t="s">
        <v>167</v>
      </c>
      <c r="G195" t="s">
        <v>527</v>
      </c>
    </row>
    <row r="196" spans="1:7" x14ac:dyDescent="0.2">
      <c r="A196" t="s">
        <v>521</v>
      </c>
      <c r="B196" s="7">
        <f>0.000008/B168</f>
        <v>2.1052631578947366E-7</v>
      </c>
      <c r="D196" t="s">
        <v>77</v>
      </c>
      <c r="E196" t="s">
        <v>165</v>
      </c>
      <c r="F196" t="s">
        <v>167</v>
      </c>
      <c r="G196" t="s">
        <v>527</v>
      </c>
    </row>
    <row r="197" spans="1:7" x14ac:dyDescent="0.2">
      <c r="A197" t="s">
        <v>523</v>
      </c>
      <c r="B197" s="7">
        <f>0.00000008/B168</f>
        <v>2.1052631578947371E-9</v>
      </c>
      <c r="D197" t="s">
        <v>77</v>
      </c>
      <c r="E197" t="s">
        <v>165</v>
      </c>
      <c r="F197" t="s">
        <v>167</v>
      </c>
      <c r="G197" t="s">
        <v>527</v>
      </c>
    </row>
    <row r="198" spans="1:7" x14ac:dyDescent="0.2">
      <c r="A198" t="s">
        <v>524</v>
      </c>
      <c r="B198" s="7">
        <f>0.00000016/B168</f>
        <v>4.2105263157894742E-9</v>
      </c>
      <c r="D198" t="s">
        <v>77</v>
      </c>
      <c r="E198" t="s">
        <v>165</v>
      </c>
      <c r="F198" t="s">
        <v>167</v>
      </c>
      <c r="G198" t="s">
        <v>527</v>
      </c>
    </row>
    <row r="200" spans="1:7" ht="16" x14ac:dyDescent="0.2">
      <c r="A200" s="10" t="s">
        <v>71</v>
      </c>
      <c r="B200" s="8" t="str">
        <f>"transport, "&amp;B202&amp;", "&amp;B204</f>
        <v>transport, Tram, electric, 2030</v>
      </c>
    </row>
    <row r="201" spans="1:7" x14ac:dyDescent="0.2">
      <c r="A201" t="s">
        <v>72</v>
      </c>
      <c r="B201" t="s">
        <v>37</v>
      </c>
    </row>
    <row r="202" spans="1:7" x14ac:dyDescent="0.2">
      <c r="A202" t="s">
        <v>86</v>
      </c>
      <c r="B202" t="s">
        <v>491</v>
      </c>
    </row>
    <row r="203" spans="1:7" x14ac:dyDescent="0.2">
      <c r="A203" t="s">
        <v>87</v>
      </c>
    </row>
    <row r="204" spans="1:7" x14ac:dyDescent="0.2">
      <c r="A204" t="s">
        <v>88</v>
      </c>
      <c r="B204">
        <v>2030</v>
      </c>
    </row>
    <row r="205" spans="1:7" x14ac:dyDescent="0.2">
      <c r="A205" t="s">
        <v>126</v>
      </c>
      <c r="B205" t="str">
        <f>B202&amp;" - "&amp;B204&amp;" - "&amp;B201</f>
        <v>Tram, electric - 2030 - CH</v>
      </c>
    </row>
    <row r="206" spans="1:7" x14ac:dyDescent="0.2">
      <c r="A206" t="s">
        <v>73</v>
      </c>
      <c r="B206" t="str">
        <f>"transport, "&amp;B202</f>
        <v>transport, Tram, electric</v>
      </c>
    </row>
    <row r="207" spans="1:7" x14ac:dyDescent="0.2">
      <c r="A207" t="s">
        <v>74</v>
      </c>
      <c r="B207" t="s">
        <v>75</v>
      </c>
    </row>
    <row r="208" spans="1:7" x14ac:dyDescent="0.2">
      <c r="A208" t="s">
        <v>76</v>
      </c>
      <c r="B208" t="s">
        <v>169</v>
      </c>
    </row>
    <row r="209" spans="1:2" x14ac:dyDescent="0.2">
      <c r="A209" t="s">
        <v>78</v>
      </c>
      <c r="B209" t="s">
        <v>1143</v>
      </c>
    </row>
    <row r="210" spans="1:2" x14ac:dyDescent="0.2">
      <c r="A210" t="s">
        <v>127</v>
      </c>
      <c r="B210">
        <f>INDEX('vehicles specifications'!$B$3:$CW$166,MATCH(B205,'vehicles specifications'!$A$3:$A$166,0),MATCH("Lifetime [km]",'vehicles specifications'!$B$2:$CW$2,0))</f>
        <v>2800000</v>
      </c>
    </row>
    <row r="211" spans="1:2" x14ac:dyDescent="0.2">
      <c r="A211" t="s">
        <v>128</v>
      </c>
      <c r="B211">
        <f>INDEX('vehicles specifications'!$B$3:$CW$166,MATCH(B205,'vehicles specifications'!$A$3:$A$166,0),MATCH("Passengers [unit]",'vehicles specifications'!$B$2:$CW$2,0))</f>
        <v>38</v>
      </c>
    </row>
    <row r="212" spans="1:2" x14ac:dyDescent="0.2">
      <c r="A212" t="s">
        <v>129</v>
      </c>
      <c r="B212">
        <f>INDEX('vehicles specifications'!$B$3:$CW$166,MATCH(B205,'vehicles specifications'!$A$3:$A$166,0),MATCH("Servicing [unit]",'vehicles specifications'!$B$2:$CW$2,0))</f>
        <v>1.3333333333333333</v>
      </c>
    </row>
    <row r="213" spans="1:2" x14ac:dyDescent="0.2">
      <c r="A213" t="s">
        <v>130</v>
      </c>
      <c r="B213">
        <f>INDEX('vehicles specifications'!$B$3:$CW$166,MATCH(B205,'vehicles specifications'!$A$3:$A$166,0),MATCH("Energy battery replacement [unit]",'vehicles specifications'!$B$2:$CW$2,0))</f>
        <v>0</v>
      </c>
    </row>
    <row r="214" spans="1:2" x14ac:dyDescent="0.2">
      <c r="A214" t="s">
        <v>131</v>
      </c>
      <c r="B214">
        <f>INDEX('vehicles specifications'!$B$3:$CW$166,MATCH(B205,'vehicles specifications'!$A$3:$A$166,0),MATCH("Annual kilometers [km]",'vehicles specifications'!$B$2:$CW$2,0))</f>
        <v>70000</v>
      </c>
    </row>
    <row r="215" spans="1:2" x14ac:dyDescent="0.2">
      <c r="A215" t="s">
        <v>132</v>
      </c>
      <c r="B215">
        <f>INDEX('vehicles specifications'!$B$3:$CW$166,MATCH(B205,'vehicles specifications'!$A$3:$A$166,0),MATCH("Curb mass [kg]",'vehicles specifications'!$B$2:$CW$2,0))</f>
        <v>52380</v>
      </c>
    </row>
    <row r="216" spans="1:2" x14ac:dyDescent="0.2">
      <c r="A216" t="s">
        <v>133</v>
      </c>
      <c r="B216">
        <f>INDEX('vehicles specifications'!$B$3:$CW$166,MATCH(B205,'vehicles specifications'!$A$3:$A$166,0),MATCH("Power [kW]",'vehicles specifications'!$B$2:$CW$2,0))</f>
        <v>660</v>
      </c>
    </row>
    <row r="217" spans="1:2" x14ac:dyDescent="0.2">
      <c r="A217" t="s">
        <v>134</v>
      </c>
      <c r="B217">
        <v>0</v>
      </c>
    </row>
    <row r="218" spans="1:2" x14ac:dyDescent="0.2">
      <c r="A218" t="s">
        <v>135</v>
      </c>
      <c r="B218">
        <f>INDEX('vehicles specifications'!$B$3:$CW$166,MATCH(B205,'vehicles specifications'!$A$3:$A$166,0),MATCH("Electric energy available [kWh]",'vehicles specifications'!$B$2:$CW$2,0))</f>
        <v>0</v>
      </c>
    </row>
    <row r="219" spans="1:2" x14ac:dyDescent="0.2">
      <c r="A219" t="s">
        <v>138</v>
      </c>
      <c r="B219">
        <f>INDEX('vehicles specifications'!$B$3:$CW$166,MATCH(B205,'vehicles specifications'!$A$3:$A$166,0),MATCH("Oxydation energy stored [kWh]",'vehicles specifications'!$B$2:$CW$2,0))</f>
        <v>0</v>
      </c>
    </row>
    <row r="220" spans="1:2" x14ac:dyDescent="0.2">
      <c r="A220" t="s">
        <v>139</v>
      </c>
      <c r="B220">
        <f>INDEX('vehicles specifications'!$B$3:$CW$166,MATCH(B205,'vehicles specifications'!$A$3:$A$166,0),MATCH("Fuel mass [kg]",'vehicles specifications'!$B$2:$CW$2,0))</f>
        <v>0</v>
      </c>
    </row>
    <row r="221" spans="1:2" x14ac:dyDescent="0.2">
      <c r="A221" t="s">
        <v>136</v>
      </c>
      <c r="B221">
        <f>INDEX('vehicles specifications'!$B$3:$CW$166,MATCH(B205,'vehicles specifications'!$A$3:$A$166,0),MATCH("Range [km]",'vehicles specifications'!$B$2:$CW$2,0))</f>
        <v>0</v>
      </c>
    </row>
    <row r="222" spans="1:2" x14ac:dyDescent="0.2">
      <c r="A222" t="s">
        <v>137</v>
      </c>
      <c r="B222" t="str">
        <f>INDEX('vehicles specifications'!$B$3:$CW$166,MATCH(B205,'vehicles specifications'!$A$3:$A$166,0),MATCH("Emission standard",'vehicles specifications'!$B$2:$CW$2,0))</f>
        <v>None</v>
      </c>
    </row>
    <row r="223" spans="1:2" x14ac:dyDescent="0.2">
      <c r="A223" t="s">
        <v>1174</v>
      </c>
      <c r="B223" s="6">
        <f>INDEX('vehicles specifications'!$B$3:$CW$166,MATCH(B205,'vehicles specifications'!$A$3:$A$166,0),MATCH("Lightweighting rate [%]",'vehicles specifications'!$B$2:$CW$2,0))</f>
        <v>0.03</v>
      </c>
    </row>
    <row r="224" spans="1:2" x14ac:dyDescent="0.2">
      <c r="A224" t="s">
        <v>83</v>
      </c>
      <c r="B224" t="str">
        <f>"Power: "&amp;B216&amp;" kW. Lifetime: "&amp;B210&amp;" km. Annual kilometers: "&amp;B214&amp;" km. Number of passengers: "&amp;B211&amp;". Curb mass: "&amp;ROUND(B215,1)&amp;" kg. Lightweighting of glider: "&amp;ROUND(B223*100,0)&amp;"%. Emission standard: "&amp;B222&amp;". Service visits throughout lifetime: every year for "&amp;B210/B214&amp;" years. Range: "&amp;ROUND(B221,0)&amp;" km. Battery capacity: "&amp;ROUND(B218,1)&amp;" kWh. Battery mass: "&amp;ROUND(B217,1)&amp; " kg. Battery replacement throughout lifetime: "&amp;ROUND(B213,1)&amp;". Fuel tank capacity: "&amp;ROUND(B219,1)&amp;" kWh. Fuel mass: "&amp;ROUND(B220,1)&amp;" kg. Documentation: "&amp;Readmefirst!$B$2&amp;", "&amp;Readmefirst!$B$3&amp;". "&amp;B209</f>
        <v>Power: 660 kW. Lifetime: 2800000 km. Annual kilometers: 70000 km. Number of passengers: 38. Curb mass: 52380 kg. Lightweighting of glider: 3%.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225" spans="1:8" ht="16" x14ac:dyDescent="0.2">
      <c r="A225" s="10" t="s">
        <v>79</v>
      </c>
    </row>
    <row r="226" spans="1:8" x14ac:dyDescent="0.2">
      <c r="A226" t="s">
        <v>80</v>
      </c>
      <c r="B226" t="s">
        <v>81</v>
      </c>
      <c r="C226" t="s">
        <v>72</v>
      </c>
      <c r="D226" t="s">
        <v>76</v>
      </c>
      <c r="E226" t="s">
        <v>82</v>
      </c>
      <c r="F226" t="s">
        <v>74</v>
      </c>
      <c r="G226" t="s">
        <v>83</v>
      </c>
      <c r="H226" t="s">
        <v>73</v>
      </c>
    </row>
    <row r="227" spans="1:8" x14ac:dyDescent="0.2">
      <c r="A227" t="str">
        <f>B200</f>
        <v>transport, Tram, electric, 2030</v>
      </c>
      <c r="B227">
        <v>1</v>
      </c>
      <c r="C227" t="str">
        <f>B201</f>
        <v>CH</v>
      </c>
      <c r="D227" t="str">
        <f>B208</f>
        <v>person-kilometer</v>
      </c>
      <c r="F227" t="s">
        <v>84</v>
      </c>
      <c r="G227" t="s">
        <v>85</v>
      </c>
      <c r="H227" t="str">
        <f>B206</f>
        <v>transport, Tram, electric</v>
      </c>
    </row>
    <row r="228" spans="1:8" x14ac:dyDescent="0.2">
      <c r="A228" t="str">
        <f>RIGHT(A227,LEN(A227)-11)</f>
        <v>Tram, electric, 2030</v>
      </c>
      <c r="B228">
        <f>1/B210/B211</f>
        <v>9.3984962406015038E-9</v>
      </c>
      <c r="C228" t="str">
        <f>B201</f>
        <v>CH</v>
      </c>
      <c r="D228" t="s">
        <v>76</v>
      </c>
      <c r="F228" t="s">
        <v>89</v>
      </c>
      <c r="H228" t="str">
        <f>RIGHT(H227,LEN(H227)-11)</f>
        <v>Tram, electric</v>
      </c>
    </row>
    <row r="229" spans="1:8" x14ac:dyDescent="0.2">
      <c r="A229" t="str">
        <f>INDEX('ei names mapping'!$B$4:$R$33,MATCH(B202,'ei names mapping'!$A$4:$A$33,0),MATCH(G229,'ei names mapping'!$B$3:$R$3,0))</f>
        <v>market for electricity, medium voltage</v>
      </c>
      <c r="B229" s="4">
        <f>INDEX('vehicles specifications'!$B$3:$CW$166,MATCH(B205,'vehicles specifications'!$A$3:$A$166,0),MATCH(G229,'vehicles specifications'!$B$2:$CW$2,0))*INDEX('ei names mapping'!$B$137:$BL$300,MATCH(B205,'ei names mapping'!$A$137:$A$300,0),MATCH(G229,'ei names mapping'!$B$136:$BL$136,0))</f>
        <v>9.7222222222222224E-2</v>
      </c>
      <c r="C229" t="str">
        <f>INDEX('ei names mapping'!$B$38:$BL$67,MATCH(B202,'ei names mapping'!$A$4:$A$33,0),MATCH(G229,'ei names mapping'!$B$3:$BL$3,0))</f>
        <v>CH</v>
      </c>
      <c r="D229" t="str">
        <f>INDEX('ei names mapping'!$B$104:$BL$133,MATCH(B202,'ei names mapping'!$A$4:$A$33,0),MATCH(G229,'ei names mapping'!$B$3:$BL$3,0))</f>
        <v>kilowatt hour</v>
      </c>
      <c r="F229" t="s">
        <v>89</v>
      </c>
      <c r="G229" t="s">
        <v>28</v>
      </c>
      <c r="H229" t="str">
        <f>INDEX('ei names mapping'!$B$71:$BL$100,MATCH(B202,'ei names mapping'!$A$4:$A$33,0),MATCH(G229,'ei names mapping'!$B$3:$BL$3,0))</f>
        <v>electricity, medium voltage</v>
      </c>
    </row>
    <row r="230" spans="1:8" x14ac:dyDescent="0.2">
      <c r="A230" t="s">
        <v>516</v>
      </c>
      <c r="B230" s="7">
        <f>(16+7.5)/B210/B211</f>
        <v>2.2086466165413533E-7</v>
      </c>
      <c r="C230" t="s">
        <v>95</v>
      </c>
      <c r="D230" t="s">
        <v>77</v>
      </c>
      <c r="F230" t="s">
        <v>89</v>
      </c>
      <c r="G230" t="s">
        <v>518</v>
      </c>
      <c r="H230" t="s">
        <v>517</v>
      </c>
    </row>
    <row r="231" spans="1:8" x14ac:dyDescent="0.2">
      <c r="A231" t="str">
        <f>INDEX('ei names mapping'!$B$4:$R$33,MATCH(B202,'ei names mapping'!$A$4:$A$33,0),MATCH(G231,'ei names mapping'!$B$3:$R$3,0))</f>
        <v>maintenance, tram</v>
      </c>
      <c r="B231" s="7">
        <f>INDEX('vehicles specifications'!$B$3:$CW$166,MATCH(B205,'vehicles specifications'!$A$3:$A$166,0),MATCH(G231,'vehicles specifications'!$B$2:$CW$2,0))*INDEX('ei names mapping'!$B$137:$BL$300,MATCH(B205,'ei names mapping'!$A$137:$A$300,0),MATCH(G231,'ei names mapping'!$B$136:$BL$136,0))</f>
        <v>1.2531328320802004E-8</v>
      </c>
      <c r="C231" t="str">
        <f>INDEX('ei names mapping'!$B$38:$BL$67,MATCH(B202,'ei names mapping'!$A$4:$A$33,0),MATCH(G231,'ei names mapping'!$B$3:$BL$3,0))</f>
        <v>CH</v>
      </c>
      <c r="D231" t="str">
        <f>INDEX('ei names mapping'!$B$104:$BL$133,MATCH(B202,'ei names mapping'!$A$4:$A$33,0),MATCH(G231,'ei names mapping'!$B$3:$BL$3,0))</f>
        <v>unit</v>
      </c>
      <c r="F231" t="s">
        <v>89</v>
      </c>
      <c r="G231" t="s">
        <v>118</v>
      </c>
      <c r="H231" t="str">
        <f>INDEX('ei names mapping'!$B$71:$BL$100,MATCH(B202,'ei names mapping'!$A$4:$A$33,0),MATCH(G231,'ei names mapping'!$B$3:$BL$3,0))</f>
        <v>maintenance, tram</v>
      </c>
    </row>
    <row r="232" spans="1:8" x14ac:dyDescent="0.2">
      <c r="A232" t="s">
        <v>519</v>
      </c>
      <c r="B232" s="7">
        <f>16/B210/B211</f>
        <v>1.5037593984962406E-7</v>
      </c>
      <c r="D232" t="s">
        <v>77</v>
      </c>
      <c r="E232" t="s">
        <v>165</v>
      </c>
      <c r="F232" t="s">
        <v>167</v>
      </c>
      <c r="G232" t="s">
        <v>520</v>
      </c>
    </row>
    <row r="233" spans="1:8" x14ac:dyDescent="0.2">
      <c r="A233" t="s">
        <v>439</v>
      </c>
      <c r="B233" s="7">
        <f>0.00000016/B211</f>
        <v>4.2105263157894742E-9</v>
      </c>
      <c r="D233" t="s">
        <v>77</v>
      </c>
      <c r="E233" t="s">
        <v>165</v>
      </c>
      <c r="F233" t="s">
        <v>167</v>
      </c>
      <c r="G233" t="s">
        <v>525</v>
      </c>
    </row>
    <row r="234" spans="1:8" x14ac:dyDescent="0.2">
      <c r="A234" t="s">
        <v>521</v>
      </c>
      <c r="B234" s="7">
        <f>0.00000032/B211</f>
        <v>8.4210526315789483E-9</v>
      </c>
      <c r="D234" t="s">
        <v>77</v>
      </c>
      <c r="E234" t="s">
        <v>165</v>
      </c>
      <c r="F234" t="s">
        <v>167</v>
      </c>
      <c r="G234" t="s">
        <v>525</v>
      </c>
    </row>
    <row r="235" spans="1:8" x14ac:dyDescent="0.2">
      <c r="A235" t="s">
        <v>522</v>
      </c>
      <c r="B235" s="7">
        <f>0.00000033/B211</f>
        <v>8.6842105263157895E-9</v>
      </c>
      <c r="D235" t="s">
        <v>77</v>
      </c>
      <c r="E235" t="s">
        <v>165</v>
      </c>
      <c r="F235" t="s">
        <v>167</v>
      </c>
      <c r="G235" t="s">
        <v>525</v>
      </c>
    </row>
    <row r="236" spans="1:8" x14ac:dyDescent="0.2">
      <c r="A236" t="s">
        <v>439</v>
      </c>
      <c r="B236" s="7">
        <f>0.000009/B211</f>
        <v>2.368421052631579E-7</v>
      </c>
      <c r="D236" t="s">
        <v>77</v>
      </c>
      <c r="E236" t="s">
        <v>165</v>
      </c>
      <c r="F236" t="s">
        <v>167</v>
      </c>
      <c r="G236" t="s">
        <v>526</v>
      </c>
    </row>
    <row r="237" spans="1:8" x14ac:dyDescent="0.2">
      <c r="A237" t="s">
        <v>521</v>
      </c>
      <c r="B237" s="7">
        <f>0.000018/B211</f>
        <v>4.736842105263158E-7</v>
      </c>
      <c r="D237" t="s">
        <v>77</v>
      </c>
      <c r="E237" t="s">
        <v>165</v>
      </c>
      <c r="F237" t="s">
        <v>167</v>
      </c>
      <c r="G237" t="s">
        <v>526</v>
      </c>
    </row>
    <row r="238" spans="1:8" x14ac:dyDescent="0.2">
      <c r="A238" t="s">
        <v>439</v>
      </c>
      <c r="B238" s="7">
        <f>0.000004/B211</f>
        <v>1.0526315789473683E-7</v>
      </c>
      <c r="D238" t="s">
        <v>77</v>
      </c>
      <c r="E238" t="s">
        <v>165</v>
      </c>
      <c r="F238" t="s">
        <v>167</v>
      </c>
      <c r="G238" t="s">
        <v>527</v>
      </c>
    </row>
    <row r="239" spans="1:8" x14ac:dyDescent="0.2">
      <c r="A239" t="s">
        <v>521</v>
      </c>
      <c r="B239" s="7">
        <f>0.000008/B211</f>
        <v>2.1052631578947366E-7</v>
      </c>
      <c r="D239" t="s">
        <v>77</v>
      </c>
      <c r="E239" t="s">
        <v>165</v>
      </c>
      <c r="F239" t="s">
        <v>167</v>
      </c>
      <c r="G239" t="s">
        <v>527</v>
      </c>
    </row>
    <row r="240" spans="1:8" x14ac:dyDescent="0.2">
      <c r="A240" t="s">
        <v>523</v>
      </c>
      <c r="B240" s="7">
        <f>0.00000008/B211</f>
        <v>2.1052631578947371E-9</v>
      </c>
      <c r="D240" t="s">
        <v>77</v>
      </c>
      <c r="E240" t="s">
        <v>165</v>
      </c>
      <c r="F240" t="s">
        <v>167</v>
      </c>
      <c r="G240" t="s">
        <v>527</v>
      </c>
    </row>
    <row r="241" spans="1:7" x14ac:dyDescent="0.2">
      <c r="A241" t="s">
        <v>524</v>
      </c>
      <c r="B241" s="7">
        <f>0.00000016/B211</f>
        <v>4.2105263157894742E-9</v>
      </c>
      <c r="D241" t="s">
        <v>77</v>
      </c>
      <c r="E241" t="s">
        <v>165</v>
      </c>
      <c r="F241" t="s">
        <v>167</v>
      </c>
      <c r="G241" t="s">
        <v>527</v>
      </c>
    </row>
    <row r="243" spans="1:7" ht="16" x14ac:dyDescent="0.2">
      <c r="A243" s="10" t="s">
        <v>71</v>
      </c>
      <c r="B243" s="8" t="str">
        <f>"transport, "&amp;B245&amp;", "&amp;B247</f>
        <v>transport, Tram, electric, 2040</v>
      </c>
    </row>
    <row r="244" spans="1:7" x14ac:dyDescent="0.2">
      <c r="A244" t="s">
        <v>72</v>
      </c>
      <c r="B244" t="s">
        <v>37</v>
      </c>
    </row>
    <row r="245" spans="1:7" x14ac:dyDescent="0.2">
      <c r="A245" t="s">
        <v>86</v>
      </c>
      <c r="B245" t="s">
        <v>491</v>
      </c>
    </row>
    <row r="246" spans="1:7" x14ac:dyDescent="0.2">
      <c r="A246" t="s">
        <v>87</v>
      </c>
    </row>
    <row r="247" spans="1:7" x14ac:dyDescent="0.2">
      <c r="A247" t="s">
        <v>88</v>
      </c>
      <c r="B247">
        <v>2040</v>
      </c>
    </row>
    <row r="248" spans="1:7" x14ac:dyDescent="0.2">
      <c r="A248" t="s">
        <v>126</v>
      </c>
      <c r="B248" t="str">
        <f>B245&amp;" - "&amp;B247&amp;" - "&amp;B244</f>
        <v>Tram, electric - 2040 - CH</v>
      </c>
    </row>
    <row r="249" spans="1:7" x14ac:dyDescent="0.2">
      <c r="A249" t="s">
        <v>73</v>
      </c>
      <c r="B249" t="str">
        <f>"transport, "&amp;B245</f>
        <v>transport, Tram, electric</v>
      </c>
    </row>
    <row r="250" spans="1:7" x14ac:dyDescent="0.2">
      <c r="A250" t="s">
        <v>74</v>
      </c>
      <c r="B250" t="s">
        <v>75</v>
      </c>
    </row>
    <row r="251" spans="1:7" x14ac:dyDescent="0.2">
      <c r="A251" t="s">
        <v>76</v>
      </c>
      <c r="B251" t="s">
        <v>169</v>
      </c>
    </row>
    <row r="252" spans="1:7" x14ac:dyDescent="0.2">
      <c r="A252" t="s">
        <v>78</v>
      </c>
      <c r="B252" t="s">
        <v>1143</v>
      </c>
    </row>
    <row r="253" spans="1:7" x14ac:dyDescent="0.2">
      <c r="A253" t="s">
        <v>127</v>
      </c>
      <c r="B253">
        <f>INDEX('vehicles specifications'!$B$3:$CW$166,MATCH(B248,'vehicles specifications'!$A$3:$A$166,0),MATCH("Lifetime [km]",'vehicles specifications'!$B$2:$CW$2,0))</f>
        <v>2800000</v>
      </c>
    </row>
    <row r="254" spans="1:7" x14ac:dyDescent="0.2">
      <c r="A254" t="s">
        <v>128</v>
      </c>
      <c r="B254">
        <f>INDEX('vehicles specifications'!$B$3:$CW$166,MATCH(B248,'vehicles specifications'!$A$3:$A$166,0),MATCH("Passengers [unit]",'vehicles specifications'!$B$2:$CW$2,0))</f>
        <v>38</v>
      </c>
    </row>
    <row r="255" spans="1:7" x14ac:dyDescent="0.2">
      <c r="A255" t="s">
        <v>129</v>
      </c>
      <c r="B255">
        <f>INDEX('vehicles specifications'!$B$3:$CW$166,MATCH(B248,'vehicles specifications'!$A$3:$A$166,0),MATCH("Servicing [unit]",'vehicles specifications'!$B$2:$CW$2,0))</f>
        <v>1.3333333333333333</v>
      </c>
    </row>
    <row r="256" spans="1:7" x14ac:dyDescent="0.2">
      <c r="A256" t="s">
        <v>130</v>
      </c>
      <c r="B256">
        <f>INDEX('vehicles specifications'!$B$3:$CW$166,MATCH(B248,'vehicles specifications'!$A$3:$A$166,0),MATCH("Energy battery replacement [unit]",'vehicles specifications'!$B$2:$CW$2,0))</f>
        <v>0</v>
      </c>
    </row>
    <row r="257" spans="1:8" x14ac:dyDescent="0.2">
      <c r="A257" t="s">
        <v>131</v>
      </c>
      <c r="B257">
        <f>INDEX('vehicles specifications'!$B$3:$CW$166,MATCH(B248,'vehicles specifications'!$A$3:$A$166,0),MATCH("Annual kilometers [km]",'vehicles specifications'!$B$2:$CW$2,0))</f>
        <v>70000</v>
      </c>
    </row>
    <row r="258" spans="1:8" x14ac:dyDescent="0.2">
      <c r="A258" t="s">
        <v>132</v>
      </c>
      <c r="B258">
        <f>INDEX('vehicles specifications'!$B$3:$CW$166,MATCH(B248,'vehicles specifications'!$A$3:$A$166,0),MATCH("Curb mass [kg]",'vehicles specifications'!$B$2:$CW$2,0))</f>
        <v>51202</v>
      </c>
    </row>
    <row r="259" spans="1:8" x14ac:dyDescent="0.2">
      <c r="A259" t="s">
        <v>133</v>
      </c>
      <c r="B259">
        <f>INDEX('vehicles specifications'!$B$3:$CW$166,MATCH(B248,'vehicles specifications'!$A$3:$A$166,0),MATCH("Power [kW]",'vehicles specifications'!$B$2:$CW$2,0))</f>
        <v>660</v>
      </c>
    </row>
    <row r="260" spans="1:8" x14ac:dyDescent="0.2">
      <c r="A260" t="s">
        <v>134</v>
      </c>
      <c r="B260">
        <v>0</v>
      </c>
    </row>
    <row r="261" spans="1:8" x14ac:dyDescent="0.2">
      <c r="A261" t="s">
        <v>135</v>
      </c>
      <c r="B261">
        <f>INDEX('vehicles specifications'!$B$3:$CW$166,MATCH(B248,'vehicles specifications'!$A$3:$A$166,0),MATCH("Electric energy available [kWh]",'vehicles specifications'!$B$2:$CW$2,0))</f>
        <v>0</v>
      </c>
    </row>
    <row r="262" spans="1:8" x14ac:dyDescent="0.2">
      <c r="A262" t="s">
        <v>138</v>
      </c>
      <c r="B262">
        <f>INDEX('vehicles specifications'!$B$3:$CW$166,MATCH(B248,'vehicles specifications'!$A$3:$A$166,0),MATCH("Oxydation energy stored [kWh]",'vehicles specifications'!$B$2:$CW$2,0))</f>
        <v>0</v>
      </c>
    </row>
    <row r="263" spans="1:8" x14ac:dyDescent="0.2">
      <c r="A263" t="s">
        <v>139</v>
      </c>
      <c r="B263">
        <f>INDEX('vehicles specifications'!$B$3:$CW$166,MATCH(B248,'vehicles specifications'!$A$3:$A$166,0),MATCH("Fuel mass [kg]",'vehicles specifications'!$B$2:$CW$2,0))</f>
        <v>0</v>
      </c>
    </row>
    <row r="264" spans="1:8" x14ac:dyDescent="0.2">
      <c r="A264" t="s">
        <v>136</v>
      </c>
      <c r="B264">
        <f>INDEX('vehicles specifications'!$B$3:$CW$166,MATCH(B248,'vehicles specifications'!$A$3:$A$166,0),MATCH("Range [km]",'vehicles specifications'!$B$2:$CW$2,0))</f>
        <v>0</v>
      </c>
    </row>
    <row r="265" spans="1:8" x14ac:dyDescent="0.2">
      <c r="A265" t="s">
        <v>137</v>
      </c>
      <c r="B265" t="str">
        <f>INDEX('vehicles specifications'!$B$3:$CW$166,MATCH(B248,'vehicles specifications'!$A$3:$A$166,0),MATCH("Emission standard",'vehicles specifications'!$B$2:$CW$2,0))</f>
        <v>None</v>
      </c>
    </row>
    <row r="266" spans="1:8" x14ac:dyDescent="0.2">
      <c r="A266" t="s">
        <v>1174</v>
      </c>
      <c r="B266" s="6">
        <f>INDEX('vehicles specifications'!$B$3:$CW$166,MATCH(B248,'vehicles specifications'!$A$3:$A$166,0),MATCH("Lightweighting rate [%]",'vehicles specifications'!$B$2:$CW$2,0))</f>
        <v>0.05</v>
      </c>
    </row>
    <row r="267" spans="1:8" x14ac:dyDescent="0.2">
      <c r="A267" t="s">
        <v>83</v>
      </c>
      <c r="B267" t="str">
        <f>"Power: "&amp;B259&amp;" kW. Lifetime: "&amp;B253&amp;" km. Annual kilometers: "&amp;B257&amp;" km. Number of passengers: "&amp;B254&amp;". Curb mass: "&amp;ROUND(B258,1)&amp;" kg. Lightweighting of glider: "&amp;ROUND(B266*100,0)&amp;"%. Emission standard: "&amp;B265&amp;". Service visits throughout lifetime: every year for "&amp;B253/B257&amp;" years. Range: "&amp;ROUND(B264,0)&amp;" km. Battery capacity: "&amp;ROUND(B261,1)&amp;" kWh. Battery mass: "&amp;ROUND(B260,1)&amp; " kg. Battery replacement throughout lifetime: "&amp;ROUND(B256,1)&amp;". Fuel tank capacity: "&amp;ROUND(B262,1)&amp;" kWh. Fuel mass: "&amp;ROUND(B263,1)&amp;" kg. Documentation: "&amp;Readmefirst!$B$2&amp;", "&amp;Readmefirst!$B$3&amp;". "&amp;B252</f>
        <v>Power: 660 kW. Lifetime: 2800000 km. Annual kilometers: 70000 km. Number of passengers: 38. Curb mass: 51202 kg. Lightweighting of glider: 5%.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268" spans="1:8" ht="16" x14ac:dyDescent="0.2">
      <c r="A268" s="10" t="s">
        <v>79</v>
      </c>
    </row>
    <row r="269" spans="1:8" x14ac:dyDescent="0.2">
      <c r="A269" t="s">
        <v>80</v>
      </c>
      <c r="B269" t="s">
        <v>81</v>
      </c>
      <c r="C269" t="s">
        <v>72</v>
      </c>
      <c r="D269" t="s">
        <v>76</v>
      </c>
      <c r="E269" t="s">
        <v>82</v>
      </c>
      <c r="F269" t="s">
        <v>74</v>
      </c>
      <c r="G269" t="s">
        <v>83</v>
      </c>
      <c r="H269" t="s">
        <v>73</v>
      </c>
    </row>
    <row r="270" spans="1:8" x14ac:dyDescent="0.2">
      <c r="A270" t="str">
        <f>B243</f>
        <v>transport, Tram, electric, 2040</v>
      </c>
      <c r="B270">
        <v>1</v>
      </c>
      <c r="C270" t="str">
        <f>B244</f>
        <v>CH</v>
      </c>
      <c r="D270" t="str">
        <f>B251</f>
        <v>person-kilometer</v>
      </c>
      <c r="F270" t="s">
        <v>84</v>
      </c>
      <c r="G270" t="s">
        <v>85</v>
      </c>
      <c r="H270" t="str">
        <f>B249</f>
        <v>transport, Tram, electric</v>
      </c>
    </row>
    <row r="271" spans="1:8" x14ac:dyDescent="0.2">
      <c r="A271" t="str">
        <f>RIGHT(A270,LEN(A270)-11)</f>
        <v>Tram, electric, 2040</v>
      </c>
      <c r="B271" s="14">
        <f>1/B253/B254</f>
        <v>9.3984962406015038E-9</v>
      </c>
      <c r="C271" t="str">
        <f>B244</f>
        <v>CH</v>
      </c>
      <c r="D271" t="s">
        <v>76</v>
      </c>
      <c r="F271" t="s">
        <v>89</v>
      </c>
      <c r="H271" t="str">
        <f>RIGHT(H270,LEN(H270)-11)</f>
        <v>Tram, electric</v>
      </c>
    </row>
    <row r="272" spans="1:8" x14ac:dyDescent="0.2">
      <c r="A272" t="str">
        <f>INDEX('ei names mapping'!$B$4:$R$33,MATCH(B245,'ei names mapping'!$A$4:$A$33,0),MATCH(G272,'ei names mapping'!$B$3:$R$3,0))</f>
        <v>market for electricity, medium voltage</v>
      </c>
      <c r="B272" s="4">
        <f>INDEX('vehicles specifications'!$B$3:$CW$166,MATCH(B248,'vehicles specifications'!$A$3:$A$166,0),MATCH(G272,'vehicles specifications'!$B$2:$CW$2,0))*INDEX('ei names mapping'!$B$137:$BL$300,MATCH(B248,'ei names mapping'!$A$137:$A$300,0),MATCH(G272,'ei names mapping'!$B$136:$BL$136,0))</f>
        <v>9.7222222222222224E-2</v>
      </c>
      <c r="C272" t="str">
        <f>INDEX('ei names mapping'!$B$38:$BL$67,MATCH(B245,'ei names mapping'!$A$4:$A$33,0),MATCH(G272,'ei names mapping'!$B$3:$BL$3,0))</f>
        <v>CH</v>
      </c>
      <c r="D272" t="str">
        <f>INDEX('ei names mapping'!$B$104:$BL$133,MATCH(B245,'ei names mapping'!$A$4:$A$33,0),MATCH(G272,'ei names mapping'!$B$3:$BL$3,0))</f>
        <v>kilowatt hour</v>
      </c>
      <c r="F272" t="s">
        <v>89</v>
      </c>
      <c r="G272" t="s">
        <v>28</v>
      </c>
      <c r="H272" t="str">
        <f>INDEX('ei names mapping'!$B$71:$BL$100,MATCH(B245,'ei names mapping'!$A$4:$A$33,0),MATCH(G272,'ei names mapping'!$B$3:$BL$3,0))</f>
        <v>electricity, medium voltage</v>
      </c>
    </row>
    <row r="273" spans="1:8" x14ac:dyDescent="0.2">
      <c r="A273" t="s">
        <v>516</v>
      </c>
      <c r="B273" s="7">
        <f>(16+7.5)/B253/B254</f>
        <v>2.2086466165413533E-7</v>
      </c>
      <c r="C273" t="s">
        <v>95</v>
      </c>
      <c r="D273" t="s">
        <v>77</v>
      </c>
      <c r="F273" t="s">
        <v>89</v>
      </c>
      <c r="G273" t="s">
        <v>518</v>
      </c>
      <c r="H273" t="s">
        <v>517</v>
      </c>
    </row>
    <row r="274" spans="1:8" x14ac:dyDescent="0.2">
      <c r="A274" t="str">
        <f>INDEX('ei names mapping'!$B$4:$R$33,MATCH(B245,'ei names mapping'!$A$4:$A$33,0),MATCH(G274,'ei names mapping'!$B$3:$R$3,0))</f>
        <v>maintenance, tram</v>
      </c>
      <c r="B274" s="7">
        <f>INDEX('vehicles specifications'!$B$3:$CW$166,MATCH(B248,'vehicles specifications'!$A$3:$A$166,0),MATCH(G274,'vehicles specifications'!$B$2:$CW$2,0))*INDEX('ei names mapping'!$B$137:$BL$300,MATCH(B248,'ei names mapping'!$A$137:$A$300,0),MATCH(G274,'ei names mapping'!$B$136:$BL$136,0))</f>
        <v>1.2531328320802004E-8</v>
      </c>
      <c r="C274" t="str">
        <f>INDEX('ei names mapping'!$B$38:$BL$67,MATCH(B245,'ei names mapping'!$A$4:$A$33,0),MATCH(G274,'ei names mapping'!$B$3:$BL$3,0))</f>
        <v>CH</v>
      </c>
      <c r="D274" t="str">
        <f>INDEX('ei names mapping'!$B$104:$BL$133,MATCH(B245,'ei names mapping'!$A$4:$A$33,0),MATCH(G274,'ei names mapping'!$B$3:$BL$3,0))</f>
        <v>unit</v>
      </c>
      <c r="F274" t="s">
        <v>89</v>
      </c>
      <c r="G274" t="s">
        <v>118</v>
      </c>
      <c r="H274" t="str">
        <f>INDEX('ei names mapping'!$B$71:$BL$100,MATCH(B245,'ei names mapping'!$A$4:$A$33,0),MATCH(G274,'ei names mapping'!$B$3:$BL$3,0))</f>
        <v>maintenance, tram</v>
      </c>
    </row>
    <row r="275" spans="1:8" x14ac:dyDescent="0.2">
      <c r="A275" t="s">
        <v>519</v>
      </c>
      <c r="B275" s="7">
        <f>16/B253/B254</f>
        <v>1.5037593984962406E-7</v>
      </c>
      <c r="D275" t="s">
        <v>77</v>
      </c>
      <c r="E275" t="s">
        <v>165</v>
      </c>
      <c r="F275" t="s">
        <v>167</v>
      </c>
      <c r="G275" t="s">
        <v>520</v>
      </c>
    </row>
    <row r="276" spans="1:8" x14ac:dyDescent="0.2">
      <c r="A276" t="s">
        <v>439</v>
      </c>
      <c r="B276" s="7">
        <f>0.00000016/B254</f>
        <v>4.2105263157894742E-9</v>
      </c>
      <c r="D276" t="s">
        <v>77</v>
      </c>
      <c r="E276" t="s">
        <v>165</v>
      </c>
      <c r="F276" t="s">
        <v>167</v>
      </c>
      <c r="G276" t="s">
        <v>525</v>
      </c>
    </row>
    <row r="277" spans="1:8" x14ac:dyDescent="0.2">
      <c r="A277" t="s">
        <v>521</v>
      </c>
      <c r="B277" s="7">
        <f>0.00000032/B254</f>
        <v>8.4210526315789483E-9</v>
      </c>
      <c r="D277" t="s">
        <v>77</v>
      </c>
      <c r="E277" t="s">
        <v>165</v>
      </c>
      <c r="F277" t="s">
        <v>167</v>
      </c>
      <c r="G277" t="s">
        <v>525</v>
      </c>
    </row>
    <row r="278" spans="1:8" x14ac:dyDescent="0.2">
      <c r="A278" t="s">
        <v>522</v>
      </c>
      <c r="B278" s="7">
        <f>0.00000033/B254</f>
        <v>8.6842105263157895E-9</v>
      </c>
      <c r="D278" t="s">
        <v>77</v>
      </c>
      <c r="E278" t="s">
        <v>165</v>
      </c>
      <c r="F278" t="s">
        <v>167</v>
      </c>
      <c r="G278" t="s">
        <v>525</v>
      </c>
    </row>
    <row r="279" spans="1:8" x14ac:dyDescent="0.2">
      <c r="A279" t="s">
        <v>439</v>
      </c>
      <c r="B279" s="7">
        <f>0.000009/B254</f>
        <v>2.368421052631579E-7</v>
      </c>
      <c r="D279" t="s">
        <v>77</v>
      </c>
      <c r="E279" t="s">
        <v>165</v>
      </c>
      <c r="F279" t="s">
        <v>167</v>
      </c>
      <c r="G279" t="s">
        <v>526</v>
      </c>
    </row>
    <row r="280" spans="1:8" x14ac:dyDescent="0.2">
      <c r="A280" t="s">
        <v>521</v>
      </c>
      <c r="B280" s="7">
        <f>0.000018/B254</f>
        <v>4.736842105263158E-7</v>
      </c>
      <c r="D280" t="s">
        <v>77</v>
      </c>
      <c r="E280" t="s">
        <v>165</v>
      </c>
      <c r="F280" t="s">
        <v>167</v>
      </c>
      <c r="G280" t="s">
        <v>526</v>
      </c>
    </row>
    <row r="281" spans="1:8" x14ac:dyDescent="0.2">
      <c r="A281" t="s">
        <v>439</v>
      </c>
      <c r="B281" s="7">
        <f>0.000004/B254</f>
        <v>1.0526315789473683E-7</v>
      </c>
      <c r="D281" t="s">
        <v>77</v>
      </c>
      <c r="E281" t="s">
        <v>165</v>
      </c>
      <c r="F281" t="s">
        <v>167</v>
      </c>
      <c r="G281" t="s">
        <v>527</v>
      </c>
    </row>
    <row r="282" spans="1:8" x14ac:dyDescent="0.2">
      <c r="A282" t="s">
        <v>521</v>
      </c>
      <c r="B282" s="7">
        <f>0.000008/B254</f>
        <v>2.1052631578947366E-7</v>
      </c>
      <c r="D282" t="s">
        <v>77</v>
      </c>
      <c r="E282" t="s">
        <v>165</v>
      </c>
      <c r="F282" t="s">
        <v>167</v>
      </c>
      <c r="G282" t="s">
        <v>527</v>
      </c>
    </row>
    <row r="283" spans="1:8" x14ac:dyDescent="0.2">
      <c r="A283" t="s">
        <v>523</v>
      </c>
      <c r="B283" s="7">
        <f>0.00000008/B254</f>
        <v>2.1052631578947371E-9</v>
      </c>
      <c r="D283" t="s">
        <v>77</v>
      </c>
      <c r="E283" t="s">
        <v>165</v>
      </c>
      <c r="F283" t="s">
        <v>167</v>
      </c>
      <c r="G283" t="s">
        <v>527</v>
      </c>
    </row>
    <row r="284" spans="1:8" x14ac:dyDescent="0.2">
      <c r="A284" t="s">
        <v>524</v>
      </c>
      <c r="B284" s="7">
        <f>0.00000016/B254</f>
        <v>4.2105263157894742E-9</v>
      </c>
      <c r="D284" t="s">
        <v>77</v>
      </c>
      <c r="E284" t="s">
        <v>165</v>
      </c>
      <c r="F284" t="s">
        <v>167</v>
      </c>
      <c r="G284" t="s">
        <v>527</v>
      </c>
    </row>
    <row r="286" spans="1:8" ht="16" x14ac:dyDescent="0.2">
      <c r="A286" s="10" t="s">
        <v>71</v>
      </c>
      <c r="B286" s="8" t="str">
        <f>"transport, "&amp;B288&amp;", "&amp;B290</f>
        <v>transport, Tram, electric, 2050</v>
      </c>
    </row>
    <row r="287" spans="1:8" x14ac:dyDescent="0.2">
      <c r="A287" t="s">
        <v>72</v>
      </c>
      <c r="B287" t="s">
        <v>37</v>
      </c>
    </row>
    <row r="288" spans="1:8" x14ac:dyDescent="0.2">
      <c r="A288" t="s">
        <v>86</v>
      </c>
      <c r="B288" t="s">
        <v>491</v>
      </c>
    </row>
    <row r="289" spans="1:2" x14ac:dyDescent="0.2">
      <c r="A289" t="s">
        <v>87</v>
      </c>
    </row>
    <row r="290" spans="1:2" x14ac:dyDescent="0.2">
      <c r="A290" t="s">
        <v>88</v>
      </c>
      <c r="B290">
        <v>2050</v>
      </c>
    </row>
    <row r="291" spans="1:2" x14ac:dyDescent="0.2">
      <c r="A291" t="s">
        <v>126</v>
      </c>
      <c r="B291" t="str">
        <f>B288&amp;" - "&amp;B290&amp;" - "&amp;B287</f>
        <v>Tram, electric - 2050 - CH</v>
      </c>
    </row>
    <row r="292" spans="1:2" x14ac:dyDescent="0.2">
      <c r="A292" t="s">
        <v>73</v>
      </c>
      <c r="B292" t="str">
        <f>"transport, "&amp;B288</f>
        <v>transport, Tram, electric</v>
      </c>
    </row>
    <row r="293" spans="1:2" x14ac:dyDescent="0.2">
      <c r="A293" t="s">
        <v>74</v>
      </c>
      <c r="B293" t="s">
        <v>75</v>
      </c>
    </row>
    <row r="294" spans="1:2" x14ac:dyDescent="0.2">
      <c r="A294" t="s">
        <v>76</v>
      </c>
      <c r="B294" t="s">
        <v>169</v>
      </c>
    </row>
    <row r="295" spans="1:2" x14ac:dyDescent="0.2">
      <c r="A295" t="s">
        <v>78</v>
      </c>
      <c r="B295" t="s">
        <v>1143</v>
      </c>
    </row>
    <row r="296" spans="1:2" x14ac:dyDescent="0.2">
      <c r="A296" t="s">
        <v>127</v>
      </c>
      <c r="B296">
        <f>INDEX('vehicles specifications'!$B$3:$CW$166,MATCH(B291,'vehicles specifications'!$A$3:$A$166,0),MATCH("Lifetime [km]",'vehicles specifications'!$B$2:$CW$2,0))</f>
        <v>2800000</v>
      </c>
    </row>
    <row r="297" spans="1:2" x14ac:dyDescent="0.2">
      <c r="A297" t="s">
        <v>128</v>
      </c>
      <c r="B297">
        <f>INDEX('vehicles specifications'!$B$3:$CW$166,MATCH(B291,'vehicles specifications'!$A$3:$A$166,0),MATCH("Passengers [unit]",'vehicles specifications'!$B$2:$CW$2,0))</f>
        <v>38</v>
      </c>
    </row>
    <row r="298" spans="1:2" x14ac:dyDescent="0.2">
      <c r="A298" t="s">
        <v>129</v>
      </c>
      <c r="B298" s="6">
        <f>INDEX('vehicles specifications'!$B$3:$CW$166,MATCH(B291,'vehicles specifications'!$A$3:$A$166,0),MATCH("Servicing [unit]",'vehicles specifications'!$B$2:$CW$2,0))</f>
        <v>1.3333333333333333</v>
      </c>
    </row>
    <row r="299" spans="1:2" x14ac:dyDescent="0.2">
      <c r="A299" t="s">
        <v>130</v>
      </c>
      <c r="B299">
        <f>INDEX('vehicles specifications'!$B$3:$CW$166,MATCH(B291,'vehicles specifications'!$A$3:$A$166,0),MATCH("Energy battery replacement [unit]",'vehicles specifications'!$B$2:$CW$2,0))</f>
        <v>0</v>
      </c>
    </row>
    <row r="300" spans="1:2" x14ac:dyDescent="0.2">
      <c r="A300" t="s">
        <v>131</v>
      </c>
      <c r="B300">
        <f>INDEX('vehicles specifications'!$B$3:$CW$166,MATCH(B291,'vehicles specifications'!$A$3:$A$166,0),MATCH("Annual kilometers [km]",'vehicles specifications'!$B$2:$CW$2,0))</f>
        <v>70000</v>
      </c>
    </row>
    <row r="301" spans="1:2" x14ac:dyDescent="0.2">
      <c r="A301" t="s">
        <v>132</v>
      </c>
      <c r="B301">
        <f>INDEX('vehicles specifications'!$B$3:$CW$166,MATCH(B291,'vehicles specifications'!$A$3:$A$166,0),MATCH("Curb mass [kg]",'vehicles specifications'!$B$2:$CW$2,0))</f>
        <v>50033</v>
      </c>
    </row>
    <row r="302" spans="1:2" x14ac:dyDescent="0.2">
      <c r="A302" t="s">
        <v>133</v>
      </c>
      <c r="B302">
        <f>INDEX('vehicles specifications'!$B$3:$CW$166,MATCH(B291,'vehicles specifications'!$A$3:$A$166,0),MATCH("Power [kW]",'vehicles specifications'!$B$2:$CW$2,0))</f>
        <v>660</v>
      </c>
    </row>
    <row r="303" spans="1:2" x14ac:dyDescent="0.2">
      <c r="A303" t="s">
        <v>134</v>
      </c>
      <c r="B303">
        <v>0</v>
      </c>
    </row>
    <row r="304" spans="1:2" x14ac:dyDescent="0.2">
      <c r="A304" t="s">
        <v>135</v>
      </c>
      <c r="B304">
        <f>INDEX('vehicles specifications'!$B$3:$CW$166,MATCH(B291,'vehicles specifications'!$A$3:$A$166,0),MATCH("Electric energy available [kWh]",'vehicles specifications'!$B$2:$CW$2,0))</f>
        <v>0</v>
      </c>
    </row>
    <row r="305" spans="1:8" x14ac:dyDescent="0.2">
      <c r="A305" t="s">
        <v>138</v>
      </c>
      <c r="B305">
        <f>INDEX('vehicles specifications'!$B$3:$CW$166,MATCH(B291,'vehicles specifications'!$A$3:$A$166,0),MATCH("Oxydation energy stored [kWh]",'vehicles specifications'!$B$2:$CW$2,0))</f>
        <v>0</v>
      </c>
    </row>
    <row r="306" spans="1:8" x14ac:dyDescent="0.2">
      <c r="A306" t="s">
        <v>139</v>
      </c>
      <c r="B306">
        <f>INDEX('vehicles specifications'!$B$3:$CW$166,MATCH(B291,'vehicles specifications'!$A$3:$A$166,0),MATCH("Fuel mass [kg]",'vehicles specifications'!$B$2:$CW$2,0))</f>
        <v>0</v>
      </c>
    </row>
    <row r="307" spans="1:8" x14ac:dyDescent="0.2">
      <c r="A307" t="s">
        <v>136</v>
      </c>
      <c r="B307">
        <f>INDEX('vehicles specifications'!$B$3:$CW$166,MATCH(B291,'vehicles specifications'!$A$3:$A$166,0),MATCH("Range [km]",'vehicles specifications'!$B$2:$CW$2,0))</f>
        <v>0</v>
      </c>
    </row>
    <row r="308" spans="1:8" x14ac:dyDescent="0.2">
      <c r="A308" t="s">
        <v>137</v>
      </c>
      <c r="B308" t="str">
        <f>INDEX('vehicles specifications'!$B$3:$CW$166,MATCH(B291,'vehicles specifications'!$A$3:$A$166,0),MATCH("Emission standard",'vehicles specifications'!$B$2:$CW$2,0))</f>
        <v>None</v>
      </c>
    </row>
    <row r="309" spans="1:8" x14ac:dyDescent="0.2">
      <c r="A309" t="s">
        <v>1174</v>
      </c>
      <c r="B309" s="6">
        <f>INDEX('vehicles specifications'!$B$3:$CW$166,MATCH(B291,'vehicles specifications'!$A$3:$A$166,0),MATCH("Lightweighting rate [%]",'vehicles specifications'!$B$2:$CW$2,0))</f>
        <v>7.0000000000000007E-2</v>
      </c>
    </row>
    <row r="310" spans="1:8" x14ac:dyDescent="0.2">
      <c r="A310" t="s">
        <v>83</v>
      </c>
      <c r="B310" t="str">
        <f>"Power: "&amp;B302&amp;" kW. Lifetime: "&amp;B296&amp;" km. Annual kilometers: "&amp;B300&amp;" km. Number of passengers: "&amp;B297&amp;". Curb mass: "&amp;ROUND(B301,1)&amp;" kg. Lightweighting of glider: "&amp;ROUND(B309*100,0)&amp;"%. Emission standard: "&amp;B308&amp;". Service visits throughout lifetime: every year for "&amp;B296/B300&amp;" years. Range: "&amp;ROUND(B307,0)&amp;" km. Battery capacity: "&amp;ROUND(B304,1)&amp;" kWh. Battery mass: "&amp;ROUND(B303,1)&amp; " kg. Battery replacement throughout lifetime: "&amp;ROUND(B299,1)&amp;". Fuel tank capacity: "&amp;ROUND(B305,1)&amp;" kWh. Fuel mass: "&amp;ROUND(B306,1)&amp;" kg. Documentation: "&amp;Readmefirst!$B$2&amp;", "&amp;Readmefirst!$B$3&amp;". "&amp;B295</f>
        <v>Power: 660 kW. Lifetime: 2800000 km. Annual kilometers: 70000 km. Number of passengers: 38. Curb mass: 50033 kg. Lightweighting of glider: 7%.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v>
      </c>
    </row>
    <row r="311" spans="1:8" ht="16" x14ac:dyDescent="0.2">
      <c r="A311" s="10" t="s">
        <v>79</v>
      </c>
    </row>
    <row r="312" spans="1:8" x14ac:dyDescent="0.2">
      <c r="A312" t="s">
        <v>80</v>
      </c>
      <c r="B312" t="s">
        <v>81</v>
      </c>
      <c r="C312" t="s">
        <v>72</v>
      </c>
      <c r="D312" t="s">
        <v>76</v>
      </c>
      <c r="E312" t="s">
        <v>82</v>
      </c>
      <c r="F312" t="s">
        <v>74</v>
      </c>
      <c r="G312" t="s">
        <v>83</v>
      </c>
      <c r="H312" t="s">
        <v>73</v>
      </c>
    </row>
    <row r="313" spans="1:8" x14ac:dyDescent="0.2">
      <c r="A313" t="str">
        <f>B286</f>
        <v>transport, Tram, electric, 2050</v>
      </c>
      <c r="B313">
        <v>1</v>
      </c>
      <c r="C313" t="str">
        <f>B287</f>
        <v>CH</v>
      </c>
      <c r="D313" t="str">
        <f>B294</f>
        <v>person-kilometer</v>
      </c>
      <c r="F313" t="s">
        <v>84</v>
      </c>
      <c r="G313" t="s">
        <v>85</v>
      </c>
      <c r="H313" t="str">
        <f>B292</f>
        <v>transport, Tram, electric</v>
      </c>
    </row>
    <row r="314" spans="1:8" x14ac:dyDescent="0.2">
      <c r="A314" t="str">
        <f>RIGHT(A313,LEN(A313)-11)</f>
        <v>Tram, electric, 2050</v>
      </c>
      <c r="B314">
        <f>1/B296/B297</f>
        <v>9.3984962406015038E-9</v>
      </c>
      <c r="C314" t="str">
        <f>B287</f>
        <v>CH</v>
      </c>
      <c r="D314" t="s">
        <v>76</v>
      </c>
      <c r="F314" t="s">
        <v>89</v>
      </c>
      <c r="H314" t="str">
        <f>RIGHT(H313,LEN(H313)-11)</f>
        <v>Tram, electric</v>
      </c>
    </row>
    <row r="315" spans="1:8" x14ac:dyDescent="0.2">
      <c r="A315" t="str">
        <f>INDEX('ei names mapping'!$B$4:$R$33,MATCH(B288,'ei names mapping'!$A$4:$A$33,0),MATCH(G315,'ei names mapping'!$B$3:$R$3,0))</f>
        <v>market for electricity, medium voltage</v>
      </c>
      <c r="B315" s="4">
        <f>INDEX('vehicles specifications'!$B$3:$CW$166,MATCH(B291,'vehicles specifications'!$A$3:$A$166,0),MATCH(G315,'vehicles specifications'!$B$2:$CW$2,0))*INDEX('ei names mapping'!$B$137:$BL$300,MATCH(B291,'ei names mapping'!$A$137:$A$300,0),MATCH(G315,'ei names mapping'!$B$136:$BL$136,0))</f>
        <v>9.7222222222222224E-2</v>
      </c>
      <c r="C315" t="str">
        <f>INDEX('ei names mapping'!$B$38:$BL$67,MATCH(B288,'ei names mapping'!$A$4:$A$33,0),MATCH(G315,'ei names mapping'!$B$3:$BL$3,0))</f>
        <v>CH</v>
      </c>
      <c r="D315" t="str">
        <f>INDEX('ei names mapping'!$B$104:$BL$133,MATCH(B288,'ei names mapping'!$A$4:$A$33,0),MATCH(G315,'ei names mapping'!$B$3:$BL$3,0))</f>
        <v>kilowatt hour</v>
      </c>
      <c r="F315" t="s">
        <v>89</v>
      </c>
      <c r="G315" t="s">
        <v>28</v>
      </c>
      <c r="H315" t="str">
        <f>INDEX('ei names mapping'!$B$71:$BL$100,MATCH(B288,'ei names mapping'!$A$4:$A$33,0),MATCH(G315,'ei names mapping'!$B$3:$BL$3,0))</f>
        <v>electricity, medium voltage</v>
      </c>
    </row>
    <row r="316" spans="1:8" x14ac:dyDescent="0.2">
      <c r="A316" t="s">
        <v>516</v>
      </c>
      <c r="B316" s="7">
        <f>(16+7.5)/B296/B297</f>
        <v>2.2086466165413533E-7</v>
      </c>
      <c r="C316" t="s">
        <v>95</v>
      </c>
      <c r="D316" t="s">
        <v>77</v>
      </c>
      <c r="F316" t="s">
        <v>89</v>
      </c>
      <c r="G316" t="s">
        <v>518</v>
      </c>
      <c r="H316" t="s">
        <v>517</v>
      </c>
    </row>
    <row r="317" spans="1:8" x14ac:dyDescent="0.2">
      <c r="A317" t="str">
        <f>INDEX('ei names mapping'!$B$4:$R$33,MATCH(B288,'ei names mapping'!$A$4:$A$33,0),MATCH(G317,'ei names mapping'!$B$3:$R$3,0))</f>
        <v>maintenance, tram</v>
      </c>
      <c r="B317" s="7">
        <f>INDEX('vehicles specifications'!$B$3:$CW$166,MATCH(B291,'vehicles specifications'!$A$3:$A$166,0),MATCH(G317,'vehicles specifications'!$B$2:$CW$2,0))*INDEX('ei names mapping'!$B$137:$BL$300,MATCH(B291,'ei names mapping'!$A$137:$A$300,0),MATCH(G317,'ei names mapping'!$B$136:$BL$136,0))</f>
        <v>1.2531328320802004E-8</v>
      </c>
      <c r="C317" t="str">
        <f>INDEX('ei names mapping'!$B$38:$BL$67,MATCH(B288,'ei names mapping'!$A$4:$A$33,0),MATCH(G317,'ei names mapping'!$B$3:$BL$3,0))</f>
        <v>CH</v>
      </c>
      <c r="D317" t="str">
        <f>INDEX('ei names mapping'!$B$104:$BL$133,MATCH(B288,'ei names mapping'!$A$4:$A$33,0),MATCH(G317,'ei names mapping'!$B$3:$BL$3,0))</f>
        <v>unit</v>
      </c>
      <c r="F317" t="s">
        <v>89</v>
      </c>
      <c r="G317" t="s">
        <v>118</v>
      </c>
      <c r="H317" t="str">
        <f>INDEX('ei names mapping'!$B$71:$BL$100,MATCH(B288,'ei names mapping'!$A$4:$A$33,0),MATCH(G317,'ei names mapping'!$B$3:$BL$3,0))</f>
        <v>maintenance, tram</v>
      </c>
    </row>
    <row r="318" spans="1:8" x14ac:dyDescent="0.2">
      <c r="A318" t="s">
        <v>519</v>
      </c>
      <c r="B318" s="7">
        <f>16/B296/B297</f>
        <v>1.5037593984962406E-7</v>
      </c>
      <c r="D318" t="s">
        <v>77</v>
      </c>
      <c r="E318" t="s">
        <v>165</v>
      </c>
      <c r="F318" t="s">
        <v>167</v>
      </c>
      <c r="G318" t="s">
        <v>520</v>
      </c>
    </row>
    <row r="319" spans="1:8" x14ac:dyDescent="0.2">
      <c r="A319" t="s">
        <v>439</v>
      </c>
      <c r="B319" s="7">
        <f>0.00000016/B297</f>
        <v>4.2105263157894742E-9</v>
      </c>
      <c r="D319" t="s">
        <v>77</v>
      </c>
      <c r="E319" t="s">
        <v>165</v>
      </c>
      <c r="F319" t="s">
        <v>167</v>
      </c>
      <c r="G319" t="s">
        <v>525</v>
      </c>
    </row>
    <row r="320" spans="1:8" x14ac:dyDescent="0.2">
      <c r="A320" t="s">
        <v>521</v>
      </c>
      <c r="B320" s="7">
        <f>0.00000032/B297</f>
        <v>8.4210526315789483E-9</v>
      </c>
      <c r="D320" t="s">
        <v>77</v>
      </c>
      <c r="E320" t="s">
        <v>165</v>
      </c>
      <c r="F320" t="s">
        <v>167</v>
      </c>
      <c r="G320" t="s">
        <v>525</v>
      </c>
    </row>
    <row r="321" spans="1:7" x14ac:dyDescent="0.2">
      <c r="A321" t="s">
        <v>522</v>
      </c>
      <c r="B321" s="7">
        <f>0.00000033/B297</f>
        <v>8.6842105263157895E-9</v>
      </c>
      <c r="D321" t="s">
        <v>77</v>
      </c>
      <c r="E321" t="s">
        <v>165</v>
      </c>
      <c r="F321" t="s">
        <v>167</v>
      </c>
      <c r="G321" t="s">
        <v>525</v>
      </c>
    </row>
    <row r="322" spans="1:7" x14ac:dyDescent="0.2">
      <c r="A322" t="s">
        <v>439</v>
      </c>
      <c r="B322" s="7">
        <f>0.000009/B297</f>
        <v>2.368421052631579E-7</v>
      </c>
      <c r="D322" t="s">
        <v>77</v>
      </c>
      <c r="E322" t="s">
        <v>165</v>
      </c>
      <c r="F322" t="s">
        <v>167</v>
      </c>
      <c r="G322" t="s">
        <v>526</v>
      </c>
    </row>
    <row r="323" spans="1:7" x14ac:dyDescent="0.2">
      <c r="A323" t="s">
        <v>521</v>
      </c>
      <c r="B323" s="7">
        <f>0.000018/B297</f>
        <v>4.736842105263158E-7</v>
      </c>
      <c r="D323" t="s">
        <v>77</v>
      </c>
      <c r="E323" t="s">
        <v>165</v>
      </c>
      <c r="F323" t="s">
        <v>167</v>
      </c>
      <c r="G323" t="s">
        <v>526</v>
      </c>
    </row>
    <row r="324" spans="1:7" x14ac:dyDescent="0.2">
      <c r="A324" t="s">
        <v>439</v>
      </c>
      <c r="B324" s="7">
        <f>0.000004/B297</f>
        <v>1.0526315789473683E-7</v>
      </c>
      <c r="D324" t="s">
        <v>77</v>
      </c>
      <c r="E324" t="s">
        <v>165</v>
      </c>
      <c r="F324" t="s">
        <v>167</v>
      </c>
      <c r="G324" t="s">
        <v>527</v>
      </c>
    </row>
    <row r="325" spans="1:7" x14ac:dyDescent="0.2">
      <c r="A325" t="s">
        <v>521</v>
      </c>
      <c r="B325" s="7">
        <f>0.000008/B297</f>
        <v>2.1052631578947366E-7</v>
      </c>
      <c r="D325" t="s">
        <v>77</v>
      </c>
      <c r="E325" t="s">
        <v>165</v>
      </c>
      <c r="F325" t="s">
        <v>167</v>
      </c>
      <c r="G325" t="s">
        <v>527</v>
      </c>
    </row>
    <row r="326" spans="1:7" x14ac:dyDescent="0.2">
      <c r="A326" t="s">
        <v>523</v>
      </c>
      <c r="B326" s="7">
        <f>0.00000008/B297</f>
        <v>2.1052631578947371E-9</v>
      </c>
      <c r="D326" t="s">
        <v>77</v>
      </c>
      <c r="E326" t="s">
        <v>165</v>
      </c>
      <c r="F326" t="s">
        <v>167</v>
      </c>
      <c r="G326" t="s">
        <v>527</v>
      </c>
    </row>
    <row r="327" spans="1:7" x14ac:dyDescent="0.2">
      <c r="A327" t="s">
        <v>524</v>
      </c>
      <c r="B327" s="7">
        <f>0.00000016/B297</f>
        <v>4.2105263157894742E-9</v>
      </c>
      <c r="D327" t="s">
        <v>77</v>
      </c>
      <c r="E327" t="s">
        <v>165</v>
      </c>
      <c r="F327" t="s">
        <v>167</v>
      </c>
      <c r="G327" t="s">
        <v>527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N1182"/>
  <sheetViews>
    <sheetView tabSelected="1" topLeftCell="A1159" workbookViewId="0">
      <selection activeCell="A1188" sqref="A118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591</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1143</v>
      </c>
    </row>
    <row r="7" spans="1:8" x14ac:dyDescent="0.2">
      <c r="A7" t="s">
        <v>83</v>
      </c>
      <c r="B7" t="s">
        <v>592</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176</v>
      </c>
      <c r="B11" s="5">
        <f>0.5/3</f>
        <v>0.16666666666666666</v>
      </c>
      <c r="C11" t="s">
        <v>95</v>
      </c>
      <c r="D11" t="s">
        <v>77</v>
      </c>
      <c r="F11" t="s">
        <v>89</v>
      </c>
      <c r="H11" t="s">
        <v>177</v>
      </c>
    </row>
    <row r="12" spans="1:8" x14ac:dyDescent="0.2">
      <c r="A12" s="13" t="s">
        <v>441</v>
      </c>
      <c r="B12" s="5">
        <f>15900*(B11/1000)</f>
        <v>2.65</v>
      </c>
      <c r="C12" t="s">
        <v>95</v>
      </c>
      <c r="D12" t="s">
        <v>233</v>
      </c>
      <c r="F12" t="s">
        <v>89</v>
      </c>
      <c r="H12" t="s">
        <v>441</v>
      </c>
    </row>
    <row r="13" spans="1:8" x14ac:dyDescent="0.2">
      <c r="A13" s="13" t="s">
        <v>840</v>
      </c>
      <c r="B13" s="5">
        <f>1000*(B11/1000)</f>
        <v>0.16666666666666666</v>
      </c>
      <c r="C13" t="s">
        <v>92</v>
      </c>
      <c r="D13" t="s">
        <v>233</v>
      </c>
      <c r="F13" t="s">
        <v>89</v>
      </c>
      <c r="H13" t="s">
        <v>841</v>
      </c>
    </row>
    <row r="14" spans="1:8" x14ac:dyDescent="0.2">
      <c r="A14" t="s">
        <v>178</v>
      </c>
      <c r="B14" s="5">
        <f>-1*B11</f>
        <v>-0.16666666666666666</v>
      </c>
      <c r="C14" t="s">
        <v>95</v>
      </c>
      <c r="D14" t="s">
        <v>77</v>
      </c>
      <c r="F14" t="s">
        <v>89</v>
      </c>
      <c r="H14" t="s">
        <v>179</v>
      </c>
    </row>
    <row r="15" spans="1:8" x14ac:dyDescent="0.2">
      <c r="B15" s="11"/>
    </row>
    <row r="16" spans="1:8" ht="16" x14ac:dyDescent="0.2">
      <c r="A16" s="10" t="s">
        <v>71</v>
      </c>
      <c r="B16" s="8" t="s">
        <v>188</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1143</v>
      </c>
    </row>
    <row r="22" spans="1:8" x14ac:dyDescent="0.2">
      <c r="A22" t="s">
        <v>83</v>
      </c>
      <c r="B22" t="s">
        <v>440</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176</v>
      </c>
      <c r="B26" s="5">
        <v>0.5</v>
      </c>
      <c r="C26" t="s">
        <v>95</v>
      </c>
      <c r="D26" t="s">
        <v>77</v>
      </c>
      <c r="F26" t="s">
        <v>89</v>
      </c>
      <c r="H26" t="s">
        <v>177</v>
      </c>
    </row>
    <row r="27" spans="1:8" x14ac:dyDescent="0.2">
      <c r="A27" s="13" t="s">
        <v>441</v>
      </c>
      <c r="B27" s="5">
        <f>15900*(B26/1000)</f>
        <v>7.95</v>
      </c>
      <c r="C27" t="s">
        <v>95</v>
      </c>
      <c r="D27" t="s">
        <v>233</v>
      </c>
      <c r="F27" t="s">
        <v>89</v>
      </c>
      <c r="H27" t="s">
        <v>441</v>
      </c>
    </row>
    <row r="28" spans="1:8" x14ac:dyDescent="0.2">
      <c r="A28" s="13" t="s">
        <v>840</v>
      </c>
      <c r="B28" s="5">
        <f>1000*(B26/1000)</f>
        <v>0.5</v>
      </c>
      <c r="C28" t="s">
        <v>92</v>
      </c>
      <c r="D28" t="s">
        <v>233</v>
      </c>
      <c r="F28" t="s">
        <v>89</v>
      </c>
      <c r="H28" t="s">
        <v>841</v>
      </c>
    </row>
    <row r="29" spans="1:8" x14ac:dyDescent="0.2">
      <c r="A29" t="s">
        <v>178</v>
      </c>
      <c r="B29" s="5">
        <f>-1*B26</f>
        <v>-0.5</v>
      </c>
      <c r="C29" t="s">
        <v>95</v>
      </c>
      <c r="D29" t="s">
        <v>77</v>
      </c>
      <c r="F29" t="s">
        <v>89</v>
      </c>
      <c r="H29" t="s">
        <v>179</v>
      </c>
    </row>
    <row r="30" spans="1:8" x14ac:dyDescent="0.2">
      <c r="B30" s="11"/>
    </row>
    <row r="31" spans="1:8" ht="16" x14ac:dyDescent="0.2">
      <c r="A31" s="10" t="s">
        <v>71</v>
      </c>
      <c r="B31" s="8" t="s">
        <v>189</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1143</v>
      </c>
    </row>
    <row r="37" spans="1:8" x14ac:dyDescent="0.2">
      <c r="A37" t="s">
        <v>83</v>
      </c>
      <c r="B37" t="s">
        <v>175</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176</v>
      </c>
      <c r="B41" s="5">
        <v>3</v>
      </c>
      <c r="C41" t="s">
        <v>95</v>
      </c>
      <c r="D41" t="s">
        <v>77</v>
      </c>
      <c r="F41" t="s">
        <v>89</v>
      </c>
      <c r="H41" t="s">
        <v>177</v>
      </c>
    </row>
    <row r="42" spans="1:8" x14ac:dyDescent="0.2">
      <c r="A42" s="13" t="s">
        <v>441</v>
      </c>
      <c r="B42" s="5">
        <f>15900*(B41/1000)</f>
        <v>47.7</v>
      </c>
      <c r="C42" t="s">
        <v>95</v>
      </c>
      <c r="D42" t="s">
        <v>233</v>
      </c>
      <c r="F42" t="s">
        <v>89</v>
      </c>
      <c r="H42" t="s">
        <v>441</v>
      </c>
    </row>
    <row r="43" spans="1:8" x14ac:dyDescent="0.2">
      <c r="A43" s="13" t="s">
        <v>840</v>
      </c>
      <c r="B43" s="5">
        <f>1000*(B41/1000)</f>
        <v>3</v>
      </c>
      <c r="C43" t="s">
        <v>92</v>
      </c>
      <c r="D43" t="s">
        <v>233</v>
      </c>
      <c r="F43" t="s">
        <v>89</v>
      </c>
      <c r="H43" t="s">
        <v>841</v>
      </c>
    </row>
    <row r="44" spans="1:8" x14ac:dyDescent="0.2">
      <c r="A44" t="s">
        <v>178</v>
      </c>
      <c r="B44" s="5">
        <f>-1*B41</f>
        <v>-3</v>
      </c>
      <c r="C44" t="s">
        <v>95</v>
      </c>
      <c r="D44" t="s">
        <v>77</v>
      </c>
      <c r="F44" t="s">
        <v>89</v>
      </c>
      <c r="H44" t="s">
        <v>179</v>
      </c>
    </row>
    <row r="46" spans="1:8" ht="16" x14ac:dyDescent="0.2">
      <c r="A46" s="10" t="s">
        <v>71</v>
      </c>
      <c r="B46" s="10" t="s">
        <v>1174</v>
      </c>
    </row>
    <row r="47" spans="1:8" x14ac:dyDescent="0.2">
      <c r="A47" t="s">
        <v>83</v>
      </c>
      <c r="B47" t="s">
        <v>1173</v>
      </c>
    </row>
    <row r="48" spans="1:8" x14ac:dyDescent="0.2">
      <c r="A48" t="s">
        <v>72</v>
      </c>
      <c r="B48" t="s">
        <v>95</v>
      </c>
    </row>
    <row r="49" spans="1:7" x14ac:dyDescent="0.2">
      <c r="A49" t="s">
        <v>180</v>
      </c>
      <c r="B49">
        <v>1</v>
      </c>
    </row>
    <row r="50" spans="1:7" x14ac:dyDescent="0.2">
      <c r="A50" t="s">
        <v>73</v>
      </c>
      <c r="B50" t="s">
        <v>1174</v>
      </c>
    </row>
    <row r="51" spans="1:7" x14ac:dyDescent="0.2">
      <c r="A51" t="s">
        <v>76</v>
      </c>
      <c r="B51" t="s">
        <v>77</v>
      </c>
    </row>
    <row r="52" spans="1:7" ht="16" x14ac:dyDescent="0.2">
      <c r="A52" s="10" t="s">
        <v>79</v>
      </c>
    </row>
    <row r="53" spans="1:7" x14ac:dyDescent="0.2">
      <c r="A53" t="s">
        <v>80</v>
      </c>
      <c r="B53" t="s">
        <v>81</v>
      </c>
      <c r="C53" t="s">
        <v>182</v>
      </c>
      <c r="D53" t="s">
        <v>72</v>
      </c>
      <c r="E53" t="s">
        <v>76</v>
      </c>
      <c r="F53" t="s">
        <v>74</v>
      </c>
      <c r="G53" t="s">
        <v>73</v>
      </c>
    </row>
    <row r="54" spans="1:7" x14ac:dyDescent="0.2">
      <c r="A54" t="s">
        <v>1174</v>
      </c>
      <c r="B54">
        <v>1</v>
      </c>
      <c r="C54" t="s">
        <v>181</v>
      </c>
      <c r="D54" t="s">
        <v>95</v>
      </c>
      <c r="E54" t="s">
        <v>77</v>
      </c>
      <c r="F54" t="s">
        <v>84</v>
      </c>
      <c r="G54" t="s">
        <v>1174</v>
      </c>
    </row>
    <row r="55" spans="1:7" x14ac:dyDescent="0.2">
      <c r="A55" t="s">
        <v>185</v>
      </c>
      <c r="B55">
        <v>1.77</v>
      </c>
      <c r="C55" t="s">
        <v>186</v>
      </c>
      <c r="D55" t="s">
        <v>95</v>
      </c>
      <c r="E55" t="s">
        <v>77</v>
      </c>
      <c r="F55" t="s">
        <v>89</v>
      </c>
      <c r="G55" t="s">
        <v>187</v>
      </c>
    </row>
    <row r="56" spans="1:7" x14ac:dyDescent="0.2">
      <c r="A56" t="s">
        <v>183</v>
      </c>
      <c r="B56">
        <v>0.8</v>
      </c>
      <c r="C56" t="s">
        <v>186</v>
      </c>
      <c r="D56" t="s">
        <v>95</v>
      </c>
      <c r="E56" t="s">
        <v>77</v>
      </c>
      <c r="F56" t="s">
        <v>89</v>
      </c>
      <c r="G56" t="s">
        <v>184</v>
      </c>
    </row>
    <row r="57" spans="1:7" x14ac:dyDescent="0.2">
      <c r="A57" t="s">
        <v>286</v>
      </c>
      <c r="B57">
        <v>0.8</v>
      </c>
      <c r="C57" t="s">
        <v>186</v>
      </c>
      <c r="D57" t="s">
        <v>92</v>
      </c>
      <c r="E57" t="s">
        <v>77</v>
      </c>
      <c r="F57" t="s">
        <v>89</v>
      </c>
      <c r="G57" t="s">
        <v>286</v>
      </c>
    </row>
    <row r="58" spans="1:7" x14ac:dyDescent="0.2">
      <c r="A58" t="s">
        <v>185</v>
      </c>
      <c r="B58">
        <v>-3.57</v>
      </c>
      <c r="C58" t="s">
        <v>186</v>
      </c>
      <c r="D58" t="s">
        <v>95</v>
      </c>
      <c r="E58" t="s">
        <v>77</v>
      </c>
      <c r="F58" t="s">
        <v>89</v>
      </c>
      <c r="G58" t="s">
        <v>187</v>
      </c>
    </row>
    <row r="60" spans="1:7" ht="16" x14ac:dyDescent="0.2">
      <c r="A60" s="10" t="s">
        <v>71</v>
      </c>
      <c r="B60" s="10" t="s">
        <v>1171</v>
      </c>
    </row>
    <row r="61" spans="1:7" x14ac:dyDescent="0.2">
      <c r="A61" t="s">
        <v>83</v>
      </c>
      <c r="B61" t="s">
        <v>1172</v>
      </c>
    </row>
    <row r="62" spans="1:7" x14ac:dyDescent="0.2">
      <c r="A62" t="s">
        <v>72</v>
      </c>
      <c r="B62" t="s">
        <v>95</v>
      </c>
    </row>
    <row r="63" spans="1:7" x14ac:dyDescent="0.2">
      <c r="A63" t="s">
        <v>180</v>
      </c>
      <c r="B63">
        <v>1</v>
      </c>
    </row>
    <row r="64" spans="1:7" x14ac:dyDescent="0.2">
      <c r="A64" t="s">
        <v>73</v>
      </c>
      <c r="B64" t="s">
        <v>193</v>
      </c>
    </row>
    <row r="65" spans="1:8" x14ac:dyDescent="0.2">
      <c r="A65" t="s">
        <v>76</v>
      </c>
      <c r="B65" t="s">
        <v>77</v>
      </c>
    </row>
    <row r="66" spans="1:8" x14ac:dyDescent="0.2">
      <c r="A66" t="s">
        <v>195</v>
      </c>
      <c r="B66" t="s">
        <v>181</v>
      </c>
    </row>
    <row r="67" spans="1:8" ht="16" x14ac:dyDescent="0.2">
      <c r="A67" s="10" t="s">
        <v>79</v>
      </c>
    </row>
    <row r="68" spans="1:8" x14ac:dyDescent="0.2">
      <c r="A68" t="s">
        <v>80</v>
      </c>
      <c r="B68" t="s">
        <v>81</v>
      </c>
      <c r="C68" t="s">
        <v>182</v>
      </c>
      <c r="D68" t="s">
        <v>72</v>
      </c>
      <c r="E68" t="s">
        <v>76</v>
      </c>
      <c r="F68" t="s">
        <v>82</v>
      </c>
      <c r="G68" t="s">
        <v>74</v>
      </c>
      <c r="H68" t="s">
        <v>73</v>
      </c>
    </row>
    <row r="69" spans="1:8" x14ac:dyDescent="0.2">
      <c r="A69" t="s">
        <v>196</v>
      </c>
      <c r="B69">
        <v>5.5</v>
      </c>
      <c r="C69" t="s">
        <v>181</v>
      </c>
      <c r="E69" t="s">
        <v>197</v>
      </c>
      <c r="F69" t="s">
        <v>165</v>
      </c>
      <c r="G69" t="s">
        <v>167</v>
      </c>
    </row>
    <row r="70" spans="1:8" x14ac:dyDescent="0.2">
      <c r="A70" t="s">
        <v>1171</v>
      </c>
      <c r="B70">
        <v>1</v>
      </c>
      <c r="C70" t="s">
        <v>181</v>
      </c>
      <c r="D70" t="s">
        <v>95</v>
      </c>
      <c r="E70" t="s">
        <v>77</v>
      </c>
      <c r="G70" t="s">
        <v>84</v>
      </c>
    </row>
    <row r="71" spans="1:8" x14ac:dyDescent="0.2">
      <c r="A71" t="s">
        <v>1164</v>
      </c>
      <c r="B71">
        <v>0.95</v>
      </c>
      <c r="C71" t="s">
        <v>181</v>
      </c>
      <c r="D71" t="s">
        <v>95</v>
      </c>
      <c r="E71" t="s">
        <v>77</v>
      </c>
      <c r="G71" t="s">
        <v>89</v>
      </c>
      <c r="H71" t="s">
        <v>1164</v>
      </c>
    </row>
    <row r="72" spans="1:8" x14ac:dyDescent="0.2">
      <c r="A72" t="s">
        <v>199</v>
      </c>
      <c r="B72">
        <v>4.6000000000000001E-10</v>
      </c>
      <c r="C72" t="s">
        <v>186</v>
      </c>
      <c r="D72" t="s">
        <v>95</v>
      </c>
      <c r="E72" t="s">
        <v>76</v>
      </c>
      <c r="G72" t="s">
        <v>89</v>
      </c>
      <c r="H72" t="s">
        <v>200</v>
      </c>
    </row>
    <row r="73" spans="1:8" x14ac:dyDescent="0.2">
      <c r="A73" t="s">
        <v>201</v>
      </c>
      <c r="B73">
        <v>0.55000000000000004</v>
      </c>
      <c r="C73" t="s">
        <v>186</v>
      </c>
      <c r="D73" t="s">
        <v>95</v>
      </c>
      <c r="E73" t="s">
        <v>197</v>
      </c>
      <c r="G73" t="s">
        <v>89</v>
      </c>
      <c r="H73" t="s">
        <v>202</v>
      </c>
    </row>
    <row r="74" spans="1:8" x14ac:dyDescent="0.2">
      <c r="A74" t="s">
        <v>203</v>
      </c>
      <c r="B74">
        <v>0.25</v>
      </c>
      <c r="C74" t="s">
        <v>186</v>
      </c>
      <c r="D74" t="s">
        <v>95</v>
      </c>
      <c r="E74" t="s">
        <v>77</v>
      </c>
      <c r="G74" t="s">
        <v>89</v>
      </c>
      <c r="H74" t="s">
        <v>204</v>
      </c>
    </row>
    <row r="76" spans="1:8" ht="16" x14ac:dyDescent="0.2">
      <c r="A76" s="10" t="s">
        <v>71</v>
      </c>
      <c r="B76" s="10" t="s">
        <v>205</v>
      </c>
    </row>
    <row r="77" spans="1:8" x14ac:dyDescent="0.2">
      <c r="A77" t="s">
        <v>194</v>
      </c>
      <c r="B77" t="s">
        <v>206</v>
      </c>
    </row>
    <row r="78" spans="1:8" x14ac:dyDescent="0.2">
      <c r="A78" t="s">
        <v>83</v>
      </c>
      <c r="B78" t="s">
        <v>85</v>
      </c>
    </row>
    <row r="79" spans="1:8" x14ac:dyDescent="0.2">
      <c r="A79" t="s">
        <v>72</v>
      </c>
      <c r="B79" t="s">
        <v>95</v>
      </c>
    </row>
    <row r="80" spans="1:8" x14ac:dyDescent="0.2">
      <c r="A80" t="s">
        <v>180</v>
      </c>
      <c r="B80">
        <v>1</v>
      </c>
    </row>
    <row r="81" spans="1:7" x14ac:dyDescent="0.2">
      <c r="A81" t="s">
        <v>73</v>
      </c>
      <c r="B81" t="s">
        <v>205</v>
      </c>
    </row>
    <row r="82" spans="1:7" x14ac:dyDescent="0.2">
      <c r="A82" t="s">
        <v>76</v>
      </c>
      <c r="B82" t="s">
        <v>77</v>
      </c>
    </row>
    <row r="83" spans="1:7" x14ac:dyDescent="0.2">
      <c r="A83" t="s">
        <v>195</v>
      </c>
      <c r="B83" t="s">
        <v>181</v>
      </c>
    </row>
    <row r="84" spans="1:7" ht="16" x14ac:dyDescent="0.2">
      <c r="A84" s="10" t="s">
        <v>79</v>
      </c>
    </row>
    <row r="85" spans="1:7" x14ac:dyDescent="0.2">
      <c r="A85" t="s">
        <v>80</v>
      </c>
      <c r="B85" t="s">
        <v>81</v>
      </c>
      <c r="C85" t="s">
        <v>182</v>
      </c>
      <c r="D85" t="s">
        <v>72</v>
      </c>
      <c r="E85" t="s">
        <v>76</v>
      </c>
      <c r="F85" t="s">
        <v>74</v>
      </c>
      <c r="G85" t="s">
        <v>73</v>
      </c>
    </row>
    <row r="86" spans="1:7" x14ac:dyDescent="0.2">
      <c r="A86" t="s">
        <v>205</v>
      </c>
      <c r="B86">
        <v>1</v>
      </c>
      <c r="C86" t="s">
        <v>181</v>
      </c>
      <c r="D86" t="s">
        <v>95</v>
      </c>
      <c r="E86" t="s">
        <v>77</v>
      </c>
      <c r="F86" t="s">
        <v>84</v>
      </c>
    </row>
    <row r="87" spans="1:7" x14ac:dyDescent="0.2">
      <c r="A87" t="s">
        <v>207</v>
      </c>
      <c r="B87">
        <v>1</v>
      </c>
      <c r="C87" t="s">
        <v>186</v>
      </c>
      <c r="D87" t="s">
        <v>95</v>
      </c>
      <c r="E87" t="s">
        <v>77</v>
      </c>
      <c r="F87" t="s">
        <v>89</v>
      </c>
      <c r="G87" t="s">
        <v>208</v>
      </c>
    </row>
    <row r="88" spans="1:7" x14ac:dyDescent="0.2">
      <c r="A88" t="s">
        <v>209</v>
      </c>
      <c r="B88">
        <v>1.5E-10</v>
      </c>
      <c r="C88" t="s">
        <v>186</v>
      </c>
      <c r="D88" t="s">
        <v>95</v>
      </c>
      <c r="E88" t="s">
        <v>76</v>
      </c>
      <c r="F88" t="s">
        <v>89</v>
      </c>
      <c r="G88" t="s">
        <v>210</v>
      </c>
    </row>
    <row r="89" spans="1:7" x14ac:dyDescent="0.2">
      <c r="A89" t="s">
        <v>211</v>
      </c>
      <c r="B89">
        <v>1</v>
      </c>
      <c r="C89" t="s">
        <v>186</v>
      </c>
      <c r="D89" t="s">
        <v>95</v>
      </c>
      <c r="E89" t="s">
        <v>77</v>
      </c>
      <c r="F89" t="s">
        <v>89</v>
      </c>
      <c r="G89" t="s">
        <v>212</v>
      </c>
    </row>
    <row r="91" spans="1:7" ht="16" x14ac:dyDescent="0.2">
      <c r="A91" s="10" t="s">
        <v>71</v>
      </c>
      <c r="B91" s="10" t="s">
        <v>1168</v>
      </c>
    </row>
    <row r="92" spans="1:7" x14ac:dyDescent="0.2">
      <c r="A92" t="s">
        <v>83</v>
      </c>
      <c r="B92" t="s">
        <v>85</v>
      </c>
    </row>
    <row r="93" spans="1:7" x14ac:dyDescent="0.2">
      <c r="A93" t="s">
        <v>72</v>
      </c>
      <c r="B93" t="s">
        <v>95</v>
      </c>
    </row>
    <row r="94" spans="1:7" x14ac:dyDescent="0.2">
      <c r="A94" t="s">
        <v>180</v>
      </c>
      <c r="B94">
        <v>1</v>
      </c>
    </row>
    <row r="95" spans="1:7" x14ac:dyDescent="0.2">
      <c r="A95" t="s">
        <v>73</v>
      </c>
      <c r="B95" t="s">
        <v>213</v>
      </c>
    </row>
    <row r="96" spans="1:7" x14ac:dyDescent="0.2">
      <c r="A96" t="s">
        <v>76</v>
      </c>
      <c r="B96" t="s">
        <v>77</v>
      </c>
    </row>
    <row r="97" spans="1:7" x14ac:dyDescent="0.2">
      <c r="A97" t="s">
        <v>195</v>
      </c>
      <c r="B97" t="s">
        <v>181</v>
      </c>
    </row>
    <row r="98" spans="1:7" ht="16" x14ac:dyDescent="0.2">
      <c r="A98" s="10" t="s">
        <v>79</v>
      </c>
    </row>
    <row r="99" spans="1:7" x14ac:dyDescent="0.2">
      <c r="A99" t="s">
        <v>80</v>
      </c>
      <c r="B99" t="s">
        <v>81</v>
      </c>
      <c r="C99" t="s">
        <v>182</v>
      </c>
      <c r="D99" t="s">
        <v>72</v>
      </c>
      <c r="E99" t="s">
        <v>76</v>
      </c>
      <c r="F99" t="s">
        <v>74</v>
      </c>
      <c r="G99" t="s">
        <v>73</v>
      </c>
    </row>
    <row r="100" spans="1:7" x14ac:dyDescent="0.2">
      <c r="A100" t="s">
        <v>1168</v>
      </c>
      <c r="B100">
        <v>1</v>
      </c>
      <c r="C100" t="s">
        <v>181</v>
      </c>
      <c r="D100" t="s">
        <v>95</v>
      </c>
      <c r="E100" t="s">
        <v>77</v>
      </c>
      <c r="F100" t="s">
        <v>84</v>
      </c>
      <c r="G100" t="s">
        <v>1168</v>
      </c>
    </row>
    <row r="101" spans="1:7" x14ac:dyDescent="0.2">
      <c r="A101" t="s">
        <v>1171</v>
      </c>
      <c r="B101">
        <v>0.94</v>
      </c>
      <c r="C101" t="s">
        <v>181</v>
      </c>
      <c r="D101" t="s">
        <v>95</v>
      </c>
      <c r="E101" t="s">
        <v>77</v>
      </c>
      <c r="F101" t="s">
        <v>89</v>
      </c>
      <c r="G101" t="s">
        <v>193</v>
      </c>
    </row>
    <row r="102" spans="1:7" x14ac:dyDescent="0.2">
      <c r="A102" t="s">
        <v>214</v>
      </c>
      <c r="B102">
        <v>0.41</v>
      </c>
      <c r="C102" t="s">
        <v>186</v>
      </c>
      <c r="D102" t="s">
        <v>95</v>
      </c>
      <c r="E102" t="s">
        <v>77</v>
      </c>
      <c r="F102" t="s">
        <v>89</v>
      </c>
      <c r="G102" t="s">
        <v>215</v>
      </c>
    </row>
    <row r="103" spans="1:7" x14ac:dyDescent="0.2">
      <c r="A103" t="s">
        <v>216</v>
      </c>
      <c r="B103">
        <v>0.02</v>
      </c>
      <c r="C103" t="s">
        <v>186</v>
      </c>
      <c r="D103" t="s">
        <v>95</v>
      </c>
      <c r="E103" t="s">
        <v>77</v>
      </c>
      <c r="F103" t="s">
        <v>89</v>
      </c>
      <c r="G103" t="s">
        <v>217</v>
      </c>
    </row>
    <row r="104" spans="1:7" x14ac:dyDescent="0.2">
      <c r="A104" t="s">
        <v>199</v>
      </c>
      <c r="B104">
        <v>4.0000000000000001E-10</v>
      </c>
      <c r="C104" t="s">
        <v>186</v>
      </c>
      <c r="D104" t="s">
        <v>95</v>
      </c>
      <c r="E104" t="s">
        <v>76</v>
      </c>
      <c r="F104" t="s">
        <v>89</v>
      </c>
      <c r="G104" t="s">
        <v>200</v>
      </c>
    </row>
    <row r="105" spans="1:7" x14ac:dyDescent="0.2">
      <c r="A105" t="s">
        <v>218</v>
      </c>
      <c r="B105">
        <v>0.04</v>
      </c>
      <c r="C105" t="s">
        <v>186</v>
      </c>
      <c r="D105" t="s">
        <v>95</v>
      </c>
      <c r="E105" t="s">
        <v>77</v>
      </c>
      <c r="F105" t="s">
        <v>89</v>
      </c>
      <c r="G105" t="s">
        <v>219</v>
      </c>
    </row>
    <row r="107" spans="1:7" ht="16" x14ac:dyDescent="0.2">
      <c r="A107" s="10" t="s">
        <v>71</v>
      </c>
      <c r="B107" s="10" t="s">
        <v>220</v>
      </c>
    </row>
    <row r="108" spans="1:7" x14ac:dyDescent="0.2">
      <c r="A108" t="s">
        <v>194</v>
      </c>
      <c r="B108" t="s">
        <v>221</v>
      </c>
    </row>
    <row r="109" spans="1:7" x14ac:dyDescent="0.2">
      <c r="A109" t="s">
        <v>83</v>
      </c>
      <c r="B109" t="s">
        <v>85</v>
      </c>
    </row>
    <row r="110" spans="1:7" x14ac:dyDescent="0.2">
      <c r="A110" t="s">
        <v>72</v>
      </c>
      <c r="B110" t="s">
        <v>95</v>
      </c>
    </row>
    <row r="111" spans="1:7" x14ac:dyDescent="0.2">
      <c r="A111" t="s">
        <v>180</v>
      </c>
      <c r="B111">
        <v>1</v>
      </c>
    </row>
    <row r="112" spans="1:7" x14ac:dyDescent="0.2">
      <c r="A112" t="s">
        <v>73</v>
      </c>
      <c r="B112" t="s">
        <v>220</v>
      </c>
    </row>
    <row r="113" spans="1:7" x14ac:dyDescent="0.2">
      <c r="A113" t="s">
        <v>76</v>
      </c>
      <c r="B113" t="s">
        <v>77</v>
      </c>
    </row>
    <row r="114" spans="1:7" x14ac:dyDescent="0.2">
      <c r="A114" t="s">
        <v>195</v>
      </c>
      <c r="B114" t="s">
        <v>181</v>
      </c>
    </row>
    <row r="115" spans="1:7" ht="16" x14ac:dyDescent="0.2">
      <c r="A115" s="10" t="s">
        <v>79</v>
      </c>
    </row>
    <row r="116" spans="1:7" x14ac:dyDescent="0.2">
      <c r="A116" t="s">
        <v>80</v>
      </c>
      <c r="B116" t="s">
        <v>81</v>
      </c>
      <c r="C116" t="s">
        <v>182</v>
      </c>
      <c r="D116" t="s">
        <v>72</v>
      </c>
      <c r="E116" t="s">
        <v>76</v>
      </c>
      <c r="F116" t="s">
        <v>74</v>
      </c>
      <c r="G116" t="s">
        <v>73</v>
      </c>
    </row>
    <row r="117" spans="1:7" x14ac:dyDescent="0.2">
      <c r="A117" t="s">
        <v>220</v>
      </c>
      <c r="B117">
        <v>1</v>
      </c>
      <c r="C117" t="s">
        <v>181</v>
      </c>
      <c r="D117" t="s">
        <v>95</v>
      </c>
      <c r="E117" t="s">
        <v>77</v>
      </c>
      <c r="F117" t="s">
        <v>84</v>
      </c>
      <c r="G117" t="s">
        <v>220</v>
      </c>
    </row>
    <row r="118" spans="1:7" x14ac:dyDescent="0.2">
      <c r="A118" t="s">
        <v>222</v>
      </c>
      <c r="B118">
        <v>0.56999999999999995</v>
      </c>
      <c r="C118" t="s">
        <v>181</v>
      </c>
      <c r="D118" t="s">
        <v>95</v>
      </c>
      <c r="E118" t="s">
        <v>77</v>
      </c>
      <c r="F118" t="s">
        <v>89</v>
      </c>
      <c r="G118" t="s">
        <v>222</v>
      </c>
    </row>
    <row r="119" spans="1:7" x14ac:dyDescent="0.2">
      <c r="A119" t="s">
        <v>223</v>
      </c>
      <c r="B119">
        <v>0.43</v>
      </c>
      <c r="C119" t="s">
        <v>181</v>
      </c>
      <c r="D119" t="s">
        <v>95</v>
      </c>
      <c r="E119" t="s">
        <v>77</v>
      </c>
      <c r="F119" t="s">
        <v>89</v>
      </c>
      <c r="G119" t="s">
        <v>223</v>
      </c>
    </row>
    <row r="121" spans="1:7" ht="16" x14ac:dyDescent="0.2">
      <c r="A121" s="10" t="s">
        <v>71</v>
      </c>
      <c r="B121" s="10" t="s">
        <v>97</v>
      </c>
    </row>
    <row r="122" spans="1:7" x14ac:dyDescent="0.2">
      <c r="A122" t="s">
        <v>194</v>
      </c>
      <c r="B122" t="s">
        <v>224</v>
      </c>
    </row>
    <row r="123" spans="1:7" x14ac:dyDescent="0.2">
      <c r="A123" t="s">
        <v>83</v>
      </c>
      <c r="B123" t="s">
        <v>225</v>
      </c>
    </row>
    <row r="124" spans="1:7" x14ac:dyDescent="0.2">
      <c r="A124" t="s">
        <v>72</v>
      </c>
      <c r="B124" t="s">
        <v>95</v>
      </c>
    </row>
    <row r="125" spans="1:7" x14ac:dyDescent="0.2">
      <c r="A125" t="s">
        <v>180</v>
      </c>
      <c r="B125">
        <v>1</v>
      </c>
    </row>
    <row r="126" spans="1:7" x14ac:dyDescent="0.2">
      <c r="A126" t="s">
        <v>73</v>
      </c>
      <c r="B126" t="s">
        <v>97</v>
      </c>
    </row>
    <row r="127" spans="1:7" x14ac:dyDescent="0.2">
      <c r="A127" t="s">
        <v>76</v>
      </c>
      <c r="B127" t="s">
        <v>77</v>
      </c>
    </row>
    <row r="128" spans="1:7" x14ac:dyDescent="0.2">
      <c r="A128" t="s">
        <v>195</v>
      </c>
      <c r="B128" t="s">
        <v>181</v>
      </c>
    </row>
    <row r="129" spans="1:8" ht="16" x14ac:dyDescent="0.2">
      <c r="A129" s="10" t="s">
        <v>79</v>
      </c>
    </row>
    <row r="130" spans="1:8" x14ac:dyDescent="0.2">
      <c r="A130" t="s">
        <v>80</v>
      </c>
      <c r="B130" t="s">
        <v>81</v>
      </c>
      <c r="C130" t="s">
        <v>182</v>
      </c>
      <c r="D130" t="s">
        <v>72</v>
      </c>
      <c r="E130" t="s">
        <v>76</v>
      </c>
      <c r="F130" t="s">
        <v>82</v>
      </c>
      <c r="G130" t="s">
        <v>74</v>
      </c>
      <c r="H130" t="s">
        <v>73</v>
      </c>
    </row>
    <row r="131" spans="1:8" x14ac:dyDescent="0.2">
      <c r="A131" t="s">
        <v>196</v>
      </c>
      <c r="B131">
        <v>1.4E-3</v>
      </c>
      <c r="C131" t="s">
        <v>181</v>
      </c>
      <c r="E131" t="s">
        <v>197</v>
      </c>
      <c r="F131" t="s">
        <v>165</v>
      </c>
      <c r="G131" t="s">
        <v>167</v>
      </c>
    </row>
    <row r="132" spans="1:8" x14ac:dyDescent="0.2">
      <c r="A132" t="s">
        <v>97</v>
      </c>
      <c r="B132">
        <v>1</v>
      </c>
      <c r="C132" t="s">
        <v>181</v>
      </c>
      <c r="D132" t="s">
        <v>95</v>
      </c>
      <c r="E132" t="s">
        <v>77</v>
      </c>
      <c r="G132" t="s">
        <v>84</v>
      </c>
    </row>
    <row r="133" spans="1:8" x14ac:dyDescent="0.2">
      <c r="A133" t="s">
        <v>226</v>
      </c>
      <c r="B133">
        <v>0.1</v>
      </c>
      <c r="C133" t="s">
        <v>181</v>
      </c>
      <c r="D133" t="s">
        <v>95</v>
      </c>
      <c r="E133" t="s">
        <v>77</v>
      </c>
      <c r="G133" t="s">
        <v>89</v>
      </c>
      <c r="H133" t="s">
        <v>226</v>
      </c>
    </row>
    <row r="134" spans="1:8" x14ac:dyDescent="0.2">
      <c r="A134" t="s">
        <v>227</v>
      </c>
      <c r="B134">
        <v>0.8</v>
      </c>
      <c r="C134" t="s">
        <v>181</v>
      </c>
      <c r="D134" t="s">
        <v>95</v>
      </c>
      <c r="E134" t="s">
        <v>77</v>
      </c>
      <c r="G134" t="s">
        <v>89</v>
      </c>
      <c r="H134" t="s">
        <v>227</v>
      </c>
    </row>
    <row r="135" spans="1:8" x14ac:dyDescent="0.2">
      <c r="A135" t="s">
        <v>228</v>
      </c>
      <c r="B135">
        <v>0.1</v>
      </c>
      <c r="C135" t="s">
        <v>181</v>
      </c>
      <c r="D135" t="s">
        <v>95</v>
      </c>
      <c r="E135" t="s">
        <v>77</v>
      </c>
      <c r="G135" t="s">
        <v>89</v>
      </c>
      <c r="H135" t="s">
        <v>228</v>
      </c>
    </row>
    <row r="136" spans="1:8" x14ac:dyDescent="0.2">
      <c r="A136" t="s">
        <v>229</v>
      </c>
      <c r="B136">
        <v>1.9000000000000001E-8</v>
      </c>
      <c r="C136" t="s">
        <v>186</v>
      </c>
      <c r="D136" t="s">
        <v>95</v>
      </c>
      <c r="E136" t="s">
        <v>76</v>
      </c>
      <c r="G136" t="s">
        <v>89</v>
      </c>
      <c r="H136" t="s">
        <v>230</v>
      </c>
    </row>
    <row r="137" spans="1:8" x14ac:dyDescent="0.2">
      <c r="A137" s="13" t="s">
        <v>840</v>
      </c>
      <c r="B137">
        <v>0.16</v>
      </c>
      <c r="C137" t="s">
        <v>186</v>
      </c>
      <c r="D137" t="s">
        <v>92</v>
      </c>
      <c r="E137" t="s">
        <v>233</v>
      </c>
      <c r="G137" t="s">
        <v>89</v>
      </c>
      <c r="H137" s="13" t="s">
        <v>841</v>
      </c>
    </row>
    <row r="138" spans="1:8" x14ac:dyDescent="0.2">
      <c r="A138" s="13" t="s">
        <v>441</v>
      </c>
      <c r="B138">
        <v>4.9000000000000004</v>
      </c>
      <c r="C138" t="s">
        <v>186</v>
      </c>
      <c r="D138" t="s">
        <v>95</v>
      </c>
      <c r="E138" t="s">
        <v>233</v>
      </c>
      <c r="G138" t="s">
        <v>89</v>
      </c>
      <c r="H138" s="13" t="s">
        <v>441</v>
      </c>
    </row>
    <row r="139" spans="1:8" x14ac:dyDescent="0.2">
      <c r="A139" t="s">
        <v>237</v>
      </c>
      <c r="B139">
        <v>4.0000000000000002E-4</v>
      </c>
      <c r="C139" t="s">
        <v>186</v>
      </c>
      <c r="D139" t="s">
        <v>95</v>
      </c>
      <c r="E139" t="s">
        <v>98</v>
      </c>
      <c r="G139" t="s">
        <v>89</v>
      </c>
      <c r="H139" t="s">
        <v>124</v>
      </c>
    </row>
    <row r="141" spans="1:8" ht="16" x14ac:dyDescent="0.2">
      <c r="A141" s="10" t="s">
        <v>71</v>
      </c>
      <c r="B141" s="10" t="s">
        <v>1169</v>
      </c>
    </row>
    <row r="142" spans="1:8" x14ac:dyDescent="0.2">
      <c r="A142" t="s">
        <v>83</v>
      </c>
      <c r="B142" t="s">
        <v>1170</v>
      </c>
    </row>
    <row r="143" spans="1:8" x14ac:dyDescent="0.2">
      <c r="A143" t="s">
        <v>72</v>
      </c>
      <c r="B143" t="s">
        <v>95</v>
      </c>
    </row>
    <row r="144" spans="1:8" x14ac:dyDescent="0.2">
      <c r="A144" t="s">
        <v>180</v>
      </c>
      <c r="B144">
        <v>1</v>
      </c>
    </row>
    <row r="145" spans="1:9" x14ac:dyDescent="0.2">
      <c r="A145" t="s">
        <v>73</v>
      </c>
      <c r="B145" t="s">
        <v>96</v>
      </c>
    </row>
    <row r="146" spans="1:9" x14ac:dyDescent="0.2">
      <c r="A146" t="s">
        <v>76</v>
      </c>
      <c r="B146" t="s">
        <v>77</v>
      </c>
    </row>
    <row r="147" spans="1:9" x14ac:dyDescent="0.2">
      <c r="A147" t="s">
        <v>195</v>
      </c>
      <c r="B147" t="s">
        <v>181</v>
      </c>
    </row>
    <row r="148" spans="1:9" ht="16" x14ac:dyDescent="0.2">
      <c r="A148" s="10" t="s">
        <v>79</v>
      </c>
    </row>
    <row r="149" spans="1:9" x14ac:dyDescent="0.2">
      <c r="A149" t="s">
        <v>80</v>
      </c>
      <c r="B149" t="s">
        <v>81</v>
      </c>
      <c r="C149" t="s">
        <v>182</v>
      </c>
      <c r="D149" t="s">
        <v>72</v>
      </c>
      <c r="E149" t="s">
        <v>76</v>
      </c>
      <c r="F149" t="s">
        <v>82</v>
      </c>
      <c r="G149" t="s">
        <v>74</v>
      </c>
      <c r="H149" t="s">
        <v>238</v>
      </c>
      <c r="I149" t="s">
        <v>73</v>
      </c>
    </row>
    <row r="150" spans="1:9" x14ac:dyDescent="0.2">
      <c r="A150" t="s">
        <v>196</v>
      </c>
      <c r="B150">
        <v>100</v>
      </c>
      <c r="C150" t="s">
        <v>181</v>
      </c>
      <c r="E150" t="s">
        <v>197</v>
      </c>
      <c r="F150" t="s">
        <v>165</v>
      </c>
      <c r="G150" t="s">
        <v>167</v>
      </c>
    </row>
    <row r="151" spans="1:9" x14ac:dyDescent="0.2">
      <c r="A151" t="s">
        <v>1169</v>
      </c>
      <c r="B151">
        <v>1</v>
      </c>
      <c r="C151" t="s">
        <v>181</v>
      </c>
      <c r="D151" t="s">
        <v>95</v>
      </c>
      <c r="E151" t="s">
        <v>77</v>
      </c>
      <c r="G151" t="s">
        <v>84</v>
      </c>
      <c r="I151" t="s">
        <v>96</v>
      </c>
    </row>
    <row r="152" spans="1:9" x14ac:dyDescent="0.2">
      <c r="A152" t="s">
        <v>220</v>
      </c>
      <c r="B152">
        <v>0.39</v>
      </c>
      <c r="C152" t="s">
        <v>181</v>
      </c>
      <c r="D152" t="s">
        <v>95</v>
      </c>
      <c r="E152" t="s">
        <v>77</v>
      </c>
      <c r="G152" t="s">
        <v>89</v>
      </c>
      <c r="I152" t="s">
        <v>220</v>
      </c>
    </row>
    <row r="153" spans="1:9" ht="16" x14ac:dyDescent="0.2">
      <c r="A153" s="21" t="s">
        <v>1167</v>
      </c>
      <c r="B153">
        <v>0.43</v>
      </c>
      <c r="C153" t="s">
        <v>181</v>
      </c>
      <c r="D153" t="s">
        <v>95</v>
      </c>
      <c r="E153" t="s">
        <v>77</v>
      </c>
      <c r="G153" t="s">
        <v>89</v>
      </c>
      <c r="I153" s="21" t="s">
        <v>1167</v>
      </c>
    </row>
    <row r="154" spans="1:9" x14ac:dyDescent="0.2">
      <c r="A154" t="s">
        <v>239</v>
      </c>
      <c r="B154">
        <v>6.7000000000000002E-3</v>
      </c>
      <c r="C154" t="s">
        <v>181</v>
      </c>
      <c r="D154" t="s">
        <v>95</v>
      </c>
      <c r="E154" t="s">
        <v>77</v>
      </c>
      <c r="G154" t="s">
        <v>89</v>
      </c>
      <c r="I154" t="s">
        <v>239</v>
      </c>
    </row>
    <row r="155" spans="1:9" x14ac:dyDescent="0.2">
      <c r="A155" t="s">
        <v>240</v>
      </c>
      <c r="B155">
        <v>0.16</v>
      </c>
      <c r="C155" t="s">
        <v>181</v>
      </c>
      <c r="D155" t="s">
        <v>95</v>
      </c>
      <c r="E155" t="s">
        <v>77</v>
      </c>
      <c r="G155" t="s">
        <v>89</v>
      </c>
      <c r="I155" t="s">
        <v>240</v>
      </c>
    </row>
    <row r="156" spans="1:9" x14ac:dyDescent="0.2">
      <c r="A156" t="s">
        <v>241</v>
      </c>
      <c r="B156">
        <v>2.1999999999999999E-2</v>
      </c>
      <c r="C156" t="s">
        <v>181</v>
      </c>
      <c r="D156" t="s">
        <v>95</v>
      </c>
      <c r="E156" t="s">
        <v>77</v>
      </c>
      <c r="G156" t="s">
        <v>89</v>
      </c>
      <c r="I156" t="s">
        <v>241</v>
      </c>
    </row>
    <row r="157" spans="1:9" x14ac:dyDescent="0.2">
      <c r="A157" t="s">
        <v>242</v>
      </c>
      <c r="B157">
        <v>14.4</v>
      </c>
      <c r="C157" t="s">
        <v>186</v>
      </c>
      <c r="D157" t="s">
        <v>232</v>
      </c>
      <c r="E157" t="s">
        <v>197</v>
      </c>
      <c r="G157" t="s">
        <v>89</v>
      </c>
      <c r="I157" t="s">
        <v>243</v>
      </c>
    </row>
    <row r="158" spans="1:9" x14ac:dyDescent="0.2">
      <c r="A158" t="s">
        <v>229</v>
      </c>
      <c r="B158">
        <v>1.9000000000000001E-8</v>
      </c>
      <c r="C158" t="s">
        <v>186</v>
      </c>
      <c r="D158" t="s">
        <v>95</v>
      </c>
      <c r="E158" t="s">
        <v>76</v>
      </c>
      <c r="G158" t="s">
        <v>89</v>
      </c>
      <c r="I158" t="s">
        <v>230</v>
      </c>
    </row>
    <row r="159" spans="1:9" x14ac:dyDescent="0.2">
      <c r="A159" t="s">
        <v>244</v>
      </c>
      <c r="B159">
        <v>380</v>
      </c>
      <c r="C159" t="s">
        <v>186</v>
      </c>
      <c r="D159" t="s">
        <v>232</v>
      </c>
      <c r="E159" t="s">
        <v>77</v>
      </c>
      <c r="G159" t="s">
        <v>89</v>
      </c>
      <c r="I159" t="s">
        <v>245</v>
      </c>
    </row>
    <row r="160" spans="1:9" x14ac:dyDescent="0.2">
      <c r="A160" t="s">
        <v>237</v>
      </c>
      <c r="B160">
        <v>4</v>
      </c>
      <c r="C160" t="s">
        <v>186</v>
      </c>
      <c r="D160" t="s">
        <v>95</v>
      </c>
      <c r="E160" t="s">
        <v>98</v>
      </c>
      <c r="G160" t="s">
        <v>89</v>
      </c>
      <c r="H160" t="s">
        <v>246</v>
      </c>
      <c r="I160" t="s">
        <v>124</v>
      </c>
    </row>
    <row r="161" spans="1:9" x14ac:dyDescent="0.2">
      <c r="A161" s="13" t="s">
        <v>840</v>
      </c>
      <c r="B161">
        <v>0.16</v>
      </c>
      <c r="C161" t="s">
        <v>186</v>
      </c>
      <c r="D161" t="s">
        <v>92</v>
      </c>
      <c r="E161" t="s">
        <v>233</v>
      </c>
      <c r="G161" t="s">
        <v>89</v>
      </c>
      <c r="I161" s="13" t="s">
        <v>841</v>
      </c>
    </row>
    <row r="162" spans="1:9" x14ac:dyDescent="0.2">
      <c r="A162" s="13" t="s">
        <v>441</v>
      </c>
      <c r="B162">
        <v>4.9000000000000004</v>
      </c>
      <c r="C162" t="s">
        <v>186</v>
      </c>
      <c r="D162" t="s">
        <v>95</v>
      </c>
      <c r="E162" t="s">
        <v>233</v>
      </c>
      <c r="G162" t="s">
        <v>89</v>
      </c>
      <c r="I162" s="13" t="s">
        <v>441</v>
      </c>
    </row>
    <row r="164" spans="1:9" ht="16" x14ac:dyDescent="0.2">
      <c r="A164" s="10" t="s">
        <v>71</v>
      </c>
      <c r="B164" s="10" t="s">
        <v>226</v>
      </c>
    </row>
    <row r="165" spans="1:9" x14ac:dyDescent="0.2">
      <c r="A165" t="s">
        <v>194</v>
      </c>
      <c r="B165" t="s">
        <v>247</v>
      </c>
    </row>
    <row r="166" spans="1:9" x14ac:dyDescent="0.2">
      <c r="A166" t="s">
        <v>83</v>
      </c>
      <c r="B166" t="s">
        <v>248</v>
      </c>
    </row>
    <row r="167" spans="1:9" x14ac:dyDescent="0.2">
      <c r="A167" t="s">
        <v>72</v>
      </c>
      <c r="B167" t="s">
        <v>95</v>
      </c>
    </row>
    <row r="168" spans="1:9" x14ac:dyDescent="0.2">
      <c r="A168" t="s">
        <v>180</v>
      </c>
      <c r="B168">
        <v>1</v>
      </c>
    </row>
    <row r="169" spans="1:9" x14ac:dyDescent="0.2">
      <c r="A169" t="s">
        <v>73</v>
      </c>
      <c r="B169" t="s">
        <v>226</v>
      </c>
    </row>
    <row r="170" spans="1:9" x14ac:dyDescent="0.2">
      <c r="A170" t="s">
        <v>76</v>
      </c>
      <c r="B170" t="s">
        <v>77</v>
      </c>
    </row>
    <row r="171" spans="1:9" x14ac:dyDescent="0.2">
      <c r="A171" t="s">
        <v>195</v>
      </c>
      <c r="B171" t="s">
        <v>181</v>
      </c>
    </row>
    <row r="172" spans="1:9" ht="16" x14ac:dyDescent="0.2">
      <c r="A172" s="10" t="s">
        <v>79</v>
      </c>
    </row>
    <row r="173" spans="1:9" x14ac:dyDescent="0.2">
      <c r="A173" t="s">
        <v>80</v>
      </c>
      <c r="B173" t="s">
        <v>81</v>
      </c>
      <c r="C173" t="s">
        <v>182</v>
      </c>
      <c r="D173" t="s">
        <v>72</v>
      </c>
      <c r="E173" t="s">
        <v>76</v>
      </c>
      <c r="F173" t="s">
        <v>74</v>
      </c>
      <c r="G173" t="s">
        <v>238</v>
      </c>
      <c r="H173" t="s">
        <v>73</v>
      </c>
    </row>
    <row r="174" spans="1:9" x14ac:dyDescent="0.2">
      <c r="A174" t="s">
        <v>226</v>
      </c>
      <c r="B174">
        <v>1</v>
      </c>
      <c r="C174" t="s">
        <v>181</v>
      </c>
      <c r="D174" t="s">
        <v>95</v>
      </c>
      <c r="E174" t="s">
        <v>77</v>
      </c>
      <c r="F174" t="s">
        <v>84</v>
      </c>
    </row>
    <row r="175" spans="1:9" x14ac:dyDescent="0.2">
      <c r="A175" t="s">
        <v>249</v>
      </c>
      <c r="B175">
        <v>0.3</v>
      </c>
      <c r="C175" t="s">
        <v>181</v>
      </c>
      <c r="D175" t="s">
        <v>95</v>
      </c>
      <c r="E175" t="s">
        <v>77</v>
      </c>
      <c r="F175" t="s">
        <v>89</v>
      </c>
      <c r="H175" t="s">
        <v>249</v>
      </c>
    </row>
    <row r="176" spans="1:9" x14ac:dyDescent="0.2">
      <c r="A176" t="s">
        <v>250</v>
      </c>
      <c r="B176">
        <v>0.48</v>
      </c>
      <c r="C176" t="s">
        <v>181</v>
      </c>
      <c r="D176" t="s">
        <v>95</v>
      </c>
      <c r="E176" t="s">
        <v>77</v>
      </c>
      <c r="F176" t="s">
        <v>89</v>
      </c>
      <c r="H176" t="s">
        <v>250</v>
      </c>
    </row>
    <row r="177" spans="1:8" x14ac:dyDescent="0.2">
      <c r="A177" t="s">
        <v>251</v>
      </c>
      <c r="B177">
        <v>3.0000000000000001E-3</v>
      </c>
      <c r="C177" t="s">
        <v>181</v>
      </c>
      <c r="D177" t="s">
        <v>95</v>
      </c>
      <c r="E177" t="s">
        <v>77</v>
      </c>
      <c r="F177" t="s">
        <v>89</v>
      </c>
      <c r="H177" t="s">
        <v>251</v>
      </c>
    </row>
    <row r="178" spans="1:8" x14ac:dyDescent="0.2">
      <c r="A178" t="s">
        <v>252</v>
      </c>
      <c r="B178">
        <v>0.13</v>
      </c>
      <c r="C178" t="s">
        <v>181</v>
      </c>
      <c r="D178" t="s">
        <v>95</v>
      </c>
      <c r="E178" t="s">
        <v>77</v>
      </c>
      <c r="F178" t="s">
        <v>89</v>
      </c>
      <c r="H178" t="s">
        <v>252</v>
      </c>
    </row>
    <row r="179" spans="1:8" x14ac:dyDescent="0.2">
      <c r="A179" t="s">
        <v>253</v>
      </c>
      <c r="B179">
        <v>8.8999999999999996E-2</v>
      </c>
      <c r="C179" t="s">
        <v>186</v>
      </c>
      <c r="D179" t="s">
        <v>95</v>
      </c>
      <c r="E179" t="s">
        <v>77</v>
      </c>
      <c r="F179" t="s">
        <v>89</v>
      </c>
      <c r="G179" t="s">
        <v>254</v>
      </c>
      <c r="H179" t="s">
        <v>255</v>
      </c>
    </row>
    <row r="180" spans="1:8" x14ac:dyDescent="0.2">
      <c r="A180" t="s">
        <v>256</v>
      </c>
      <c r="B180">
        <v>0.2</v>
      </c>
      <c r="C180" t="s">
        <v>186</v>
      </c>
      <c r="D180" t="s">
        <v>257</v>
      </c>
      <c r="E180" t="s">
        <v>233</v>
      </c>
      <c r="F180" t="s">
        <v>89</v>
      </c>
      <c r="H180" t="s">
        <v>258</v>
      </c>
    </row>
    <row r="181" spans="1:8" x14ac:dyDescent="0.2">
      <c r="A181" t="s">
        <v>259</v>
      </c>
      <c r="B181">
        <v>0.1</v>
      </c>
      <c r="C181" t="s">
        <v>186</v>
      </c>
      <c r="D181" t="s">
        <v>232</v>
      </c>
      <c r="E181" t="s">
        <v>233</v>
      </c>
      <c r="F181" t="s">
        <v>89</v>
      </c>
      <c r="H181" t="s">
        <v>260</v>
      </c>
    </row>
    <row r="183" spans="1:8" ht="16" x14ac:dyDescent="0.2">
      <c r="A183" s="10" t="s">
        <v>71</v>
      </c>
      <c r="B183" s="10" t="s">
        <v>227</v>
      </c>
    </row>
    <row r="184" spans="1:8" x14ac:dyDescent="0.2">
      <c r="A184" t="s">
        <v>194</v>
      </c>
      <c r="B184" t="s">
        <v>261</v>
      </c>
    </row>
    <row r="185" spans="1:8" x14ac:dyDescent="0.2">
      <c r="A185" t="s">
        <v>83</v>
      </c>
      <c r="B185" t="s">
        <v>85</v>
      </c>
    </row>
    <row r="186" spans="1:8" x14ac:dyDescent="0.2">
      <c r="A186" t="s">
        <v>72</v>
      </c>
      <c r="B186" t="s">
        <v>95</v>
      </c>
    </row>
    <row r="187" spans="1:8" x14ac:dyDescent="0.2">
      <c r="A187" t="s">
        <v>180</v>
      </c>
      <c r="B187">
        <v>1</v>
      </c>
    </row>
    <row r="188" spans="1:8" x14ac:dyDescent="0.2">
      <c r="A188" t="s">
        <v>73</v>
      </c>
      <c r="B188" t="s">
        <v>227</v>
      </c>
    </row>
    <row r="189" spans="1:8" x14ac:dyDescent="0.2">
      <c r="A189" t="s">
        <v>76</v>
      </c>
      <c r="B189" t="s">
        <v>77</v>
      </c>
    </row>
    <row r="190" spans="1:8" x14ac:dyDescent="0.2">
      <c r="A190" t="s">
        <v>195</v>
      </c>
      <c r="B190" t="s">
        <v>181</v>
      </c>
    </row>
    <row r="191" spans="1:8" ht="16" x14ac:dyDescent="0.2">
      <c r="A191" s="10" t="s">
        <v>79</v>
      </c>
    </row>
    <row r="192" spans="1:8" x14ac:dyDescent="0.2">
      <c r="A192" t="s">
        <v>80</v>
      </c>
      <c r="B192" t="s">
        <v>81</v>
      </c>
      <c r="C192" t="s">
        <v>182</v>
      </c>
      <c r="D192" t="s">
        <v>72</v>
      </c>
      <c r="E192" t="s">
        <v>76</v>
      </c>
      <c r="F192" t="s">
        <v>74</v>
      </c>
      <c r="G192" t="s">
        <v>73</v>
      </c>
    </row>
    <row r="193" spans="1:7" x14ac:dyDescent="0.2">
      <c r="A193" t="s">
        <v>227</v>
      </c>
      <c r="B193">
        <v>1</v>
      </c>
      <c r="C193" t="s">
        <v>181</v>
      </c>
      <c r="D193" t="s">
        <v>95</v>
      </c>
      <c r="E193" t="s">
        <v>77</v>
      </c>
      <c r="F193" t="s">
        <v>84</v>
      </c>
    </row>
    <row r="194" spans="1:7" x14ac:dyDescent="0.2">
      <c r="A194" t="s">
        <v>262</v>
      </c>
      <c r="B194">
        <v>0.11</v>
      </c>
      <c r="C194" t="s">
        <v>181</v>
      </c>
      <c r="D194" t="s">
        <v>95</v>
      </c>
      <c r="E194" t="s">
        <v>77</v>
      </c>
      <c r="F194" t="s">
        <v>89</v>
      </c>
      <c r="G194" t="s">
        <v>262</v>
      </c>
    </row>
    <row r="195" spans="1:7" x14ac:dyDescent="0.2">
      <c r="A195" t="s">
        <v>263</v>
      </c>
      <c r="B195">
        <v>0.3</v>
      </c>
      <c r="C195" t="s">
        <v>181</v>
      </c>
      <c r="D195" t="s">
        <v>95</v>
      </c>
      <c r="E195" t="s">
        <v>77</v>
      </c>
      <c r="F195" t="s">
        <v>89</v>
      </c>
      <c r="G195" t="s">
        <v>263</v>
      </c>
    </row>
    <row r="196" spans="1:7" x14ac:dyDescent="0.2">
      <c r="A196" t="s">
        <v>264</v>
      </c>
      <c r="B196">
        <v>0.59</v>
      </c>
      <c r="C196" t="s">
        <v>181</v>
      </c>
      <c r="D196" t="s">
        <v>95</v>
      </c>
      <c r="E196" t="s">
        <v>77</v>
      </c>
      <c r="F196" t="s">
        <v>89</v>
      </c>
      <c r="G196" t="s">
        <v>264</v>
      </c>
    </row>
    <row r="197" spans="1:7" x14ac:dyDescent="0.2">
      <c r="A197" t="s">
        <v>231</v>
      </c>
      <c r="B197">
        <v>0.15</v>
      </c>
      <c r="C197" t="s">
        <v>186</v>
      </c>
      <c r="D197" t="s">
        <v>232</v>
      </c>
      <c r="E197" t="s">
        <v>233</v>
      </c>
      <c r="F197" t="s">
        <v>89</v>
      </c>
      <c r="G197" t="s">
        <v>234</v>
      </c>
    </row>
    <row r="198" spans="1:7" x14ac:dyDescent="0.2">
      <c r="A198" t="s">
        <v>235</v>
      </c>
      <c r="B198">
        <v>4.8</v>
      </c>
      <c r="C198" t="s">
        <v>186</v>
      </c>
      <c r="D198" t="s">
        <v>95</v>
      </c>
      <c r="E198" t="s">
        <v>233</v>
      </c>
      <c r="F198" t="s">
        <v>89</v>
      </c>
      <c r="G198" t="s">
        <v>236</v>
      </c>
    </row>
    <row r="200" spans="1:7" ht="16" x14ac:dyDescent="0.2">
      <c r="A200" s="10" t="s">
        <v>71</v>
      </c>
      <c r="B200" s="10" t="s">
        <v>262</v>
      </c>
    </row>
    <row r="201" spans="1:7" x14ac:dyDescent="0.2">
      <c r="A201" t="s">
        <v>194</v>
      </c>
      <c r="B201" t="s">
        <v>265</v>
      </c>
    </row>
    <row r="202" spans="1:7" x14ac:dyDescent="0.2">
      <c r="A202" t="s">
        <v>83</v>
      </c>
      <c r="B202" t="s">
        <v>85</v>
      </c>
    </row>
    <row r="203" spans="1:7" x14ac:dyDescent="0.2">
      <c r="A203" t="s">
        <v>72</v>
      </c>
      <c r="B203" t="s">
        <v>95</v>
      </c>
    </row>
    <row r="204" spans="1:7" x14ac:dyDescent="0.2">
      <c r="A204" t="s">
        <v>180</v>
      </c>
      <c r="B204">
        <v>1</v>
      </c>
    </row>
    <row r="205" spans="1:7" x14ac:dyDescent="0.2">
      <c r="A205" t="s">
        <v>73</v>
      </c>
      <c r="B205" t="s">
        <v>262</v>
      </c>
    </row>
    <row r="206" spans="1:7" x14ac:dyDescent="0.2">
      <c r="A206" t="s">
        <v>76</v>
      </c>
      <c r="B206" t="s">
        <v>77</v>
      </c>
    </row>
    <row r="207" spans="1:7" x14ac:dyDescent="0.2">
      <c r="A207" t="s">
        <v>195</v>
      </c>
      <c r="B207" t="s">
        <v>181</v>
      </c>
    </row>
    <row r="208" spans="1:7" ht="16" x14ac:dyDescent="0.2">
      <c r="A208" s="10" t="s">
        <v>79</v>
      </c>
    </row>
    <row r="209" spans="1:7" x14ac:dyDescent="0.2">
      <c r="A209" t="s">
        <v>80</v>
      </c>
      <c r="B209" t="s">
        <v>81</v>
      </c>
      <c r="C209" t="s">
        <v>182</v>
      </c>
      <c r="D209" t="s">
        <v>72</v>
      </c>
      <c r="E209" t="s">
        <v>76</v>
      </c>
      <c r="F209" t="s">
        <v>74</v>
      </c>
      <c r="G209" t="s">
        <v>73</v>
      </c>
    </row>
    <row r="210" spans="1:7" x14ac:dyDescent="0.2">
      <c r="A210" t="s">
        <v>262</v>
      </c>
      <c r="B210">
        <v>1</v>
      </c>
      <c r="C210" t="s">
        <v>181</v>
      </c>
      <c r="D210" t="s">
        <v>95</v>
      </c>
      <c r="E210" t="s">
        <v>77</v>
      </c>
      <c r="F210" t="s">
        <v>84</v>
      </c>
    </row>
    <row r="211" spans="1:7" x14ac:dyDescent="0.2">
      <c r="A211" t="s">
        <v>266</v>
      </c>
      <c r="B211">
        <v>0.46</v>
      </c>
      <c r="C211" t="s">
        <v>181</v>
      </c>
      <c r="D211" t="s">
        <v>95</v>
      </c>
      <c r="E211" t="s">
        <v>77</v>
      </c>
      <c r="F211" t="s">
        <v>89</v>
      </c>
      <c r="G211" t="s">
        <v>266</v>
      </c>
    </row>
    <row r="212" spans="1:7" x14ac:dyDescent="0.2">
      <c r="A212" t="s">
        <v>267</v>
      </c>
      <c r="B212">
        <v>0.35</v>
      </c>
      <c r="C212" t="s">
        <v>181</v>
      </c>
      <c r="D212" t="s">
        <v>95</v>
      </c>
      <c r="E212" t="s">
        <v>77</v>
      </c>
      <c r="F212" t="s">
        <v>89</v>
      </c>
      <c r="G212" t="s">
        <v>267</v>
      </c>
    </row>
    <row r="213" spans="1:7" x14ac:dyDescent="0.2">
      <c r="A213" t="s">
        <v>268</v>
      </c>
      <c r="B213">
        <v>8.6999999999999994E-2</v>
      </c>
      <c r="C213" t="s">
        <v>181</v>
      </c>
      <c r="D213" t="s">
        <v>95</v>
      </c>
      <c r="E213" t="s">
        <v>77</v>
      </c>
      <c r="F213" t="s">
        <v>89</v>
      </c>
      <c r="G213" t="s">
        <v>268</v>
      </c>
    </row>
    <row r="214" spans="1:7" x14ac:dyDescent="0.2">
      <c r="A214" t="s">
        <v>269</v>
      </c>
      <c r="B214">
        <v>0.1</v>
      </c>
      <c r="C214" t="s">
        <v>186</v>
      </c>
      <c r="D214" t="s">
        <v>95</v>
      </c>
      <c r="E214" t="s">
        <v>77</v>
      </c>
      <c r="F214" t="s">
        <v>89</v>
      </c>
      <c r="G214" t="s">
        <v>270</v>
      </c>
    </row>
    <row r="216" spans="1:7" ht="16" x14ac:dyDescent="0.2">
      <c r="A216" s="10" t="s">
        <v>71</v>
      </c>
      <c r="B216" s="10" t="s">
        <v>263</v>
      </c>
    </row>
    <row r="217" spans="1:7" x14ac:dyDescent="0.2">
      <c r="A217" t="s">
        <v>194</v>
      </c>
      <c r="B217" t="s">
        <v>271</v>
      </c>
    </row>
    <row r="218" spans="1:7" x14ac:dyDescent="0.2">
      <c r="A218" t="s">
        <v>83</v>
      </c>
      <c r="B218" t="s">
        <v>85</v>
      </c>
    </row>
    <row r="219" spans="1:7" x14ac:dyDescent="0.2">
      <c r="A219" t="s">
        <v>72</v>
      </c>
      <c r="B219" t="s">
        <v>95</v>
      </c>
    </row>
    <row r="220" spans="1:7" x14ac:dyDescent="0.2">
      <c r="A220" t="s">
        <v>180</v>
      </c>
      <c r="B220">
        <v>1</v>
      </c>
    </row>
    <row r="221" spans="1:7" x14ac:dyDescent="0.2">
      <c r="A221" t="s">
        <v>73</v>
      </c>
      <c r="B221" t="s">
        <v>263</v>
      </c>
    </row>
    <row r="222" spans="1:7" x14ac:dyDescent="0.2">
      <c r="A222" t="s">
        <v>76</v>
      </c>
      <c r="B222" t="s">
        <v>77</v>
      </c>
    </row>
    <row r="223" spans="1:7" x14ac:dyDescent="0.2">
      <c r="A223" t="s">
        <v>195</v>
      </c>
      <c r="B223" t="s">
        <v>181</v>
      </c>
    </row>
    <row r="224" spans="1:7" ht="16" x14ac:dyDescent="0.2">
      <c r="A224" s="10" t="s">
        <v>79</v>
      </c>
    </row>
    <row r="225" spans="1:7" x14ac:dyDescent="0.2">
      <c r="A225" t="s">
        <v>80</v>
      </c>
      <c r="B225" t="s">
        <v>81</v>
      </c>
      <c r="C225" t="s">
        <v>182</v>
      </c>
      <c r="D225" t="s">
        <v>72</v>
      </c>
      <c r="E225" t="s">
        <v>76</v>
      </c>
      <c r="F225" t="s">
        <v>74</v>
      </c>
      <c r="G225" t="s">
        <v>73</v>
      </c>
    </row>
    <row r="226" spans="1:7" x14ac:dyDescent="0.2">
      <c r="A226" t="s">
        <v>263</v>
      </c>
      <c r="B226">
        <v>1</v>
      </c>
      <c r="C226" t="s">
        <v>181</v>
      </c>
      <c r="D226" t="s">
        <v>95</v>
      </c>
      <c r="E226" t="s">
        <v>77</v>
      </c>
      <c r="F226" t="s">
        <v>84</v>
      </c>
    </row>
    <row r="227" spans="1:7" x14ac:dyDescent="0.2">
      <c r="A227" t="s">
        <v>272</v>
      </c>
      <c r="B227">
        <v>0.21</v>
      </c>
      <c r="C227" t="s">
        <v>181</v>
      </c>
      <c r="D227" t="s">
        <v>95</v>
      </c>
      <c r="E227" t="s">
        <v>77</v>
      </c>
      <c r="F227" t="s">
        <v>89</v>
      </c>
      <c r="G227" t="s">
        <v>272</v>
      </c>
    </row>
    <row r="228" spans="1:7" x14ac:dyDescent="0.2">
      <c r="A228" t="s">
        <v>273</v>
      </c>
      <c r="B228">
        <v>4.0999999999999999E-4</v>
      </c>
      <c r="C228" t="s">
        <v>181</v>
      </c>
      <c r="D228" t="s">
        <v>95</v>
      </c>
      <c r="E228" t="s">
        <v>77</v>
      </c>
      <c r="F228" t="s">
        <v>89</v>
      </c>
      <c r="G228" t="s">
        <v>273</v>
      </c>
    </row>
    <row r="229" spans="1:7" x14ac:dyDescent="0.2">
      <c r="A229" t="s">
        <v>274</v>
      </c>
      <c r="B229">
        <v>0.79</v>
      </c>
      <c r="C229" t="s">
        <v>181</v>
      </c>
      <c r="D229" t="s">
        <v>95</v>
      </c>
      <c r="E229" t="s">
        <v>77</v>
      </c>
      <c r="F229" t="s">
        <v>89</v>
      </c>
      <c r="G229" t="s">
        <v>274</v>
      </c>
    </row>
    <row r="230" spans="1:7" x14ac:dyDescent="0.2">
      <c r="A230" t="s">
        <v>256</v>
      </c>
      <c r="B230">
        <v>0.2</v>
      </c>
      <c r="C230" t="s">
        <v>186</v>
      </c>
      <c r="D230" t="s">
        <v>257</v>
      </c>
      <c r="E230" t="s">
        <v>233</v>
      </c>
      <c r="F230" t="s">
        <v>89</v>
      </c>
      <c r="G230" t="s">
        <v>258</v>
      </c>
    </row>
    <row r="231" spans="1:7" x14ac:dyDescent="0.2">
      <c r="A231" t="s">
        <v>259</v>
      </c>
      <c r="B231">
        <v>0.1</v>
      </c>
      <c r="C231" t="s">
        <v>186</v>
      </c>
      <c r="D231" t="s">
        <v>232</v>
      </c>
      <c r="E231" t="s">
        <v>233</v>
      </c>
      <c r="F231" t="s">
        <v>89</v>
      </c>
      <c r="G231" t="s">
        <v>260</v>
      </c>
    </row>
    <row r="233" spans="1:7" ht="16" x14ac:dyDescent="0.2">
      <c r="A233" s="10" t="s">
        <v>71</v>
      </c>
      <c r="B233" s="10" t="s">
        <v>275</v>
      </c>
    </row>
    <row r="234" spans="1:7" x14ac:dyDescent="0.2">
      <c r="A234" t="s">
        <v>194</v>
      </c>
      <c r="B234" t="s">
        <v>276</v>
      </c>
    </row>
    <row r="235" spans="1:7" x14ac:dyDescent="0.2">
      <c r="A235" t="s">
        <v>83</v>
      </c>
      <c r="B235" t="s">
        <v>85</v>
      </c>
    </row>
    <row r="236" spans="1:7" x14ac:dyDescent="0.2">
      <c r="A236" t="s">
        <v>72</v>
      </c>
      <c r="B236" t="s">
        <v>95</v>
      </c>
    </row>
    <row r="237" spans="1:7" x14ac:dyDescent="0.2">
      <c r="A237" t="s">
        <v>180</v>
      </c>
      <c r="B237">
        <v>1</v>
      </c>
    </row>
    <row r="238" spans="1:7" x14ac:dyDescent="0.2">
      <c r="A238" t="s">
        <v>73</v>
      </c>
      <c r="B238" t="s">
        <v>275</v>
      </c>
    </row>
    <row r="239" spans="1:7" x14ac:dyDescent="0.2">
      <c r="A239" t="s">
        <v>76</v>
      </c>
      <c r="B239" t="s">
        <v>77</v>
      </c>
    </row>
    <row r="240" spans="1:7" x14ac:dyDescent="0.2">
      <c r="A240" t="s">
        <v>195</v>
      </c>
      <c r="B240" t="s">
        <v>181</v>
      </c>
    </row>
    <row r="241" spans="1:7" ht="16" x14ac:dyDescent="0.2">
      <c r="A241" s="10" t="s">
        <v>79</v>
      </c>
    </row>
    <row r="242" spans="1:7" x14ac:dyDescent="0.2">
      <c r="A242" t="s">
        <v>80</v>
      </c>
      <c r="B242" t="s">
        <v>81</v>
      </c>
      <c r="C242" t="s">
        <v>182</v>
      </c>
      <c r="D242" t="s">
        <v>72</v>
      </c>
      <c r="E242" t="s">
        <v>76</v>
      </c>
      <c r="F242" t="s">
        <v>74</v>
      </c>
      <c r="G242" t="s">
        <v>73</v>
      </c>
    </row>
    <row r="243" spans="1:7" x14ac:dyDescent="0.2">
      <c r="A243" t="s">
        <v>275</v>
      </c>
      <c r="B243">
        <v>1</v>
      </c>
      <c r="C243" t="s">
        <v>181</v>
      </c>
      <c r="D243" t="s">
        <v>95</v>
      </c>
      <c r="E243" t="s">
        <v>77</v>
      </c>
      <c r="F243" t="s">
        <v>84</v>
      </c>
    </row>
    <row r="244" spans="1:7" x14ac:dyDescent="0.2">
      <c r="A244" t="s">
        <v>207</v>
      </c>
      <c r="B244">
        <v>1</v>
      </c>
      <c r="C244" t="s">
        <v>186</v>
      </c>
      <c r="D244" t="s">
        <v>95</v>
      </c>
      <c r="E244" t="s">
        <v>77</v>
      </c>
      <c r="F244" t="s">
        <v>89</v>
      </c>
      <c r="G244" t="s">
        <v>208</v>
      </c>
    </row>
    <row r="245" spans="1:7" x14ac:dyDescent="0.2">
      <c r="A245" t="s">
        <v>277</v>
      </c>
      <c r="B245">
        <v>0.17</v>
      </c>
      <c r="C245" t="s">
        <v>186</v>
      </c>
      <c r="D245" t="s">
        <v>95</v>
      </c>
      <c r="E245" t="s">
        <v>77</v>
      </c>
      <c r="F245" t="s">
        <v>89</v>
      </c>
      <c r="G245" t="s">
        <v>278</v>
      </c>
    </row>
    <row r="246" spans="1:7" x14ac:dyDescent="0.2">
      <c r="A246" t="s">
        <v>279</v>
      </c>
      <c r="B246">
        <v>0.49</v>
      </c>
      <c r="C246" t="s">
        <v>186</v>
      </c>
      <c r="D246" t="s">
        <v>95</v>
      </c>
      <c r="E246" t="s">
        <v>77</v>
      </c>
      <c r="F246" t="s">
        <v>89</v>
      </c>
      <c r="G246" t="s">
        <v>280</v>
      </c>
    </row>
    <row r="247" spans="1:7" x14ac:dyDescent="0.2">
      <c r="A247" t="s">
        <v>279</v>
      </c>
      <c r="B247">
        <v>8.5999999999999993E-2</v>
      </c>
      <c r="C247" t="s">
        <v>186</v>
      </c>
      <c r="D247" t="s">
        <v>95</v>
      </c>
      <c r="E247" t="s">
        <v>77</v>
      </c>
      <c r="F247" t="s">
        <v>89</v>
      </c>
      <c r="G247" t="s">
        <v>280</v>
      </c>
    </row>
    <row r="248" spans="1:7" x14ac:dyDescent="0.2">
      <c r="A248" t="s">
        <v>281</v>
      </c>
      <c r="B248">
        <v>0.17</v>
      </c>
      <c r="C248" t="s">
        <v>186</v>
      </c>
      <c r="D248" t="s">
        <v>95</v>
      </c>
      <c r="E248" t="s">
        <v>77</v>
      </c>
      <c r="F248" t="s">
        <v>89</v>
      </c>
      <c r="G248" t="s">
        <v>282</v>
      </c>
    </row>
    <row r="249" spans="1:7" x14ac:dyDescent="0.2">
      <c r="A249" t="s">
        <v>283</v>
      </c>
      <c r="B249">
        <v>3.7999999999999998E-10</v>
      </c>
      <c r="C249" t="s">
        <v>186</v>
      </c>
      <c r="D249" t="s">
        <v>95</v>
      </c>
      <c r="E249" t="s">
        <v>76</v>
      </c>
      <c r="F249" t="s">
        <v>89</v>
      </c>
      <c r="G249" t="s">
        <v>284</v>
      </c>
    </row>
    <row r="250" spans="1:7" x14ac:dyDescent="0.2">
      <c r="A250" t="s">
        <v>285</v>
      </c>
      <c r="B250">
        <v>0.25</v>
      </c>
      <c r="C250" t="s">
        <v>186</v>
      </c>
      <c r="D250" t="s">
        <v>95</v>
      </c>
      <c r="E250" t="s">
        <v>77</v>
      </c>
      <c r="F250" t="s">
        <v>89</v>
      </c>
      <c r="G250" t="s">
        <v>286</v>
      </c>
    </row>
    <row r="251" spans="1:7" x14ac:dyDescent="0.2">
      <c r="A251" t="s">
        <v>287</v>
      </c>
      <c r="B251">
        <v>0.56999999999999995</v>
      </c>
      <c r="C251" t="s">
        <v>186</v>
      </c>
      <c r="D251" t="s">
        <v>95</v>
      </c>
      <c r="E251" t="s">
        <v>77</v>
      </c>
      <c r="F251" t="s">
        <v>89</v>
      </c>
      <c r="G251" t="s">
        <v>288</v>
      </c>
    </row>
    <row r="252" spans="1:7" x14ac:dyDescent="0.2">
      <c r="A252" t="s">
        <v>289</v>
      </c>
      <c r="B252">
        <v>1.2999999999999999E-10</v>
      </c>
      <c r="C252" t="s">
        <v>186</v>
      </c>
      <c r="D252" t="s">
        <v>95</v>
      </c>
      <c r="E252" t="s">
        <v>76</v>
      </c>
      <c r="F252" t="s">
        <v>89</v>
      </c>
      <c r="G252" t="s">
        <v>290</v>
      </c>
    </row>
    <row r="254" spans="1:7" ht="16" x14ac:dyDescent="0.2">
      <c r="A254" s="10" t="s">
        <v>71</v>
      </c>
      <c r="B254" s="10" t="s">
        <v>1167</v>
      </c>
    </row>
    <row r="255" spans="1:7" x14ac:dyDescent="0.2">
      <c r="A255" t="s">
        <v>83</v>
      </c>
      <c r="B255" t="s">
        <v>85</v>
      </c>
    </row>
    <row r="256" spans="1:7" x14ac:dyDescent="0.2">
      <c r="A256" t="s">
        <v>72</v>
      </c>
      <c r="B256" t="s">
        <v>95</v>
      </c>
    </row>
    <row r="257" spans="1:7" x14ac:dyDescent="0.2">
      <c r="A257" t="s">
        <v>180</v>
      </c>
      <c r="B257">
        <v>1</v>
      </c>
    </row>
    <row r="258" spans="1:7" ht="16" x14ac:dyDescent="0.2">
      <c r="A258" t="s">
        <v>73</v>
      </c>
      <c r="B258" s="21" t="s">
        <v>1167</v>
      </c>
    </row>
    <row r="259" spans="1:7" x14ac:dyDescent="0.2">
      <c r="A259" t="s">
        <v>76</v>
      </c>
      <c r="B259" t="s">
        <v>77</v>
      </c>
    </row>
    <row r="260" spans="1:7" x14ac:dyDescent="0.2">
      <c r="A260" t="s">
        <v>195</v>
      </c>
      <c r="B260" t="s">
        <v>181</v>
      </c>
    </row>
    <row r="261" spans="1:7" ht="16" x14ac:dyDescent="0.2">
      <c r="A261" s="10" t="s">
        <v>79</v>
      </c>
    </row>
    <row r="262" spans="1:7" x14ac:dyDescent="0.2">
      <c r="A262" t="s">
        <v>80</v>
      </c>
      <c r="B262" t="s">
        <v>81</v>
      </c>
      <c r="C262" t="s">
        <v>182</v>
      </c>
      <c r="D262" t="s">
        <v>72</v>
      </c>
      <c r="E262" t="s">
        <v>76</v>
      </c>
      <c r="F262" t="s">
        <v>74</v>
      </c>
      <c r="G262" t="s">
        <v>73</v>
      </c>
    </row>
    <row r="263" spans="1:7" ht="16" x14ac:dyDescent="0.2">
      <c r="A263" s="21" t="s">
        <v>1167</v>
      </c>
      <c r="B263">
        <v>1</v>
      </c>
      <c r="C263" t="s">
        <v>181</v>
      </c>
      <c r="D263" t="s">
        <v>95</v>
      </c>
      <c r="E263" t="s">
        <v>77</v>
      </c>
      <c r="F263" t="s">
        <v>84</v>
      </c>
      <c r="G263" s="21" t="s">
        <v>1167</v>
      </c>
    </row>
    <row r="264" spans="1:7" x14ac:dyDescent="0.2">
      <c r="A264" t="s">
        <v>205</v>
      </c>
      <c r="B264">
        <v>0.11</v>
      </c>
      <c r="C264" t="s">
        <v>181</v>
      </c>
      <c r="D264" t="s">
        <v>95</v>
      </c>
      <c r="E264" t="s">
        <v>77</v>
      </c>
      <c r="F264" t="s">
        <v>89</v>
      </c>
      <c r="G264" t="s">
        <v>205</v>
      </c>
    </row>
    <row r="265" spans="1:7" x14ac:dyDescent="0.2">
      <c r="A265" t="s">
        <v>1168</v>
      </c>
      <c r="B265">
        <v>0.89</v>
      </c>
      <c r="C265" t="s">
        <v>181</v>
      </c>
      <c r="D265" t="s">
        <v>95</v>
      </c>
      <c r="E265" t="s">
        <v>77</v>
      </c>
      <c r="F265" t="s">
        <v>89</v>
      </c>
      <c r="G265" t="s">
        <v>213</v>
      </c>
    </row>
    <row r="267" spans="1:7" ht="16" x14ac:dyDescent="0.2">
      <c r="A267" s="10" t="s">
        <v>71</v>
      </c>
      <c r="B267" s="10" t="s">
        <v>250</v>
      </c>
    </row>
    <row r="268" spans="1:7" x14ac:dyDescent="0.2">
      <c r="A268" t="s">
        <v>194</v>
      </c>
      <c r="B268" t="s">
        <v>292</v>
      </c>
    </row>
    <row r="269" spans="1:7" x14ac:dyDescent="0.2">
      <c r="A269" t="s">
        <v>83</v>
      </c>
      <c r="B269" t="s">
        <v>293</v>
      </c>
    </row>
    <row r="270" spans="1:7" x14ac:dyDescent="0.2">
      <c r="A270" t="s">
        <v>72</v>
      </c>
      <c r="B270" t="s">
        <v>95</v>
      </c>
    </row>
    <row r="271" spans="1:7" x14ac:dyDescent="0.2">
      <c r="A271" t="s">
        <v>180</v>
      </c>
      <c r="B271">
        <v>1</v>
      </c>
    </row>
    <row r="272" spans="1:7" x14ac:dyDescent="0.2">
      <c r="A272" t="s">
        <v>73</v>
      </c>
      <c r="B272" t="s">
        <v>250</v>
      </c>
    </row>
    <row r="273" spans="1:8" x14ac:dyDescent="0.2">
      <c r="A273" t="s">
        <v>76</v>
      </c>
      <c r="B273" t="s">
        <v>77</v>
      </c>
    </row>
    <row r="274" spans="1:8" x14ac:dyDescent="0.2">
      <c r="A274" t="s">
        <v>195</v>
      </c>
      <c r="B274" t="s">
        <v>181</v>
      </c>
    </row>
    <row r="275" spans="1:8" ht="16" x14ac:dyDescent="0.2">
      <c r="A275" s="10" t="s">
        <v>79</v>
      </c>
    </row>
    <row r="276" spans="1:8" x14ac:dyDescent="0.2">
      <c r="A276" t="s">
        <v>80</v>
      </c>
      <c r="B276" t="s">
        <v>81</v>
      </c>
      <c r="C276" t="s">
        <v>182</v>
      </c>
      <c r="D276" t="s">
        <v>72</v>
      </c>
      <c r="E276" t="s">
        <v>76</v>
      </c>
      <c r="F276" t="s">
        <v>74</v>
      </c>
      <c r="G276" t="s">
        <v>238</v>
      </c>
      <c r="H276" t="s">
        <v>73</v>
      </c>
    </row>
    <row r="277" spans="1:8" x14ac:dyDescent="0.2">
      <c r="A277" t="s">
        <v>250</v>
      </c>
      <c r="B277">
        <v>1</v>
      </c>
      <c r="C277" t="s">
        <v>181</v>
      </c>
      <c r="D277" t="s">
        <v>95</v>
      </c>
      <c r="E277" t="s">
        <v>77</v>
      </c>
      <c r="F277" t="s">
        <v>84</v>
      </c>
    </row>
    <row r="278" spans="1:8" x14ac:dyDescent="0.2">
      <c r="A278" t="s">
        <v>277</v>
      </c>
      <c r="B278">
        <v>2.0000000000000001E-4</v>
      </c>
      <c r="C278" t="s">
        <v>186</v>
      </c>
      <c r="D278" t="s">
        <v>95</v>
      </c>
      <c r="E278" t="s">
        <v>77</v>
      </c>
      <c r="F278" t="s">
        <v>89</v>
      </c>
      <c r="H278" t="s">
        <v>278</v>
      </c>
    </row>
    <row r="279" spans="1:8" x14ac:dyDescent="0.2">
      <c r="A279" t="s">
        <v>294</v>
      </c>
      <c r="B279">
        <v>5.7000000000000002E-3</v>
      </c>
      <c r="C279" t="s">
        <v>186</v>
      </c>
      <c r="D279" t="s">
        <v>37</v>
      </c>
      <c r="E279" t="s">
        <v>77</v>
      </c>
      <c r="F279" t="s">
        <v>89</v>
      </c>
      <c r="H279" t="s">
        <v>295</v>
      </c>
    </row>
    <row r="280" spans="1:8" x14ac:dyDescent="0.2">
      <c r="A280" t="s">
        <v>296</v>
      </c>
      <c r="B280">
        <v>5.7000000000000002E-3</v>
      </c>
      <c r="C280" t="s">
        <v>186</v>
      </c>
      <c r="D280" t="s">
        <v>95</v>
      </c>
      <c r="E280" t="s">
        <v>77</v>
      </c>
      <c r="F280" t="s">
        <v>89</v>
      </c>
      <c r="H280" t="s">
        <v>297</v>
      </c>
    </row>
    <row r="281" spans="1:8" x14ac:dyDescent="0.2">
      <c r="A281" t="s">
        <v>298</v>
      </c>
      <c r="B281">
        <v>2.1000000000000001E-2</v>
      </c>
      <c r="C281" t="s">
        <v>186</v>
      </c>
      <c r="D281" t="s">
        <v>95</v>
      </c>
      <c r="E281" t="s">
        <v>77</v>
      </c>
      <c r="F281" t="s">
        <v>89</v>
      </c>
      <c r="H281" t="s">
        <v>299</v>
      </c>
    </row>
    <row r="282" spans="1:8" x14ac:dyDescent="0.2">
      <c r="A282" t="s">
        <v>300</v>
      </c>
      <c r="B282">
        <v>2E-8</v>
      </c>
      <c r="C282" t="s">
        <v>186</v>
      </c>
      <c r="D282" t="s">
        <v>95</v>
      </c>
      <c r="E282" t="s">
        <v>76</v>
      </c>
      <c r="F282" t="s">
        <v>89</v>
      </c>
      <c r="H282" t="s">
        <v>301</v>
      </c>
    </row>
    <row r="283" spans="1:8" x14ac:dyDescent="0.2">
      <c r="A283" t="s">
        <v>281</v>
      </c>
      <c r="B283">
        <v>8.8000000000000005E-3</v>
      </c>
      <c r="C283" t="s">
        <v>186</v>
      </c>
      <c r="D283" t="s">
        <v>95</v>
      </c>
      <c r="E283" t="s">
        <v>77</v>
      </c>
      <c r="F283" t="s">
        <v>89</v>
      </c>
      <c r="H283" t="s">
        <v>282</v>
      </c>
    </row>
    <row r="284" spans="1:8" x14ac:dyDescent="0.2">
      <c r="A284" t="s">
        <v>302</v>
      </c>
      <c r="B284">
        <v>1.7E-5</v>
      </c>
      <c r="C284" t="s">
        <v>186</v>
      </c>
      <c r="D284" t="s">
        <v>95</v>
      </c>
      <c r="E284" t="s">
        <v>77</v>
      </c>
      <c r="F284" t="s">
        <v>89</v>
      </c>
      <c r="H284" t="s">
        <v>303</v>
      </c>
    </row>
    <row r="285" spans="1:8" x14ac:dyDescent="0.2">
      <c r="A285" t="s">
        <v>304</v>
      </c>
      <c r="B285">
        <v>0.85</v>
      </c>
      <c r="C285" t="s">
        <v>186</v>
      </c>
      <c r="D285" t="s">
        <v>95</v>
      </c>
      <c r="E285" t="s">
        <v>77</v>
      </c>
      <c r="F285" t="s">
        <v>89</v>
      </c>
      <c r="H285" t="s">
        <v>305</v>
      </c>
    </row>
    <row r="286" spans="1:8" x14ac:dyDescent="0.2">
      <c r="A286" t="s">
        <v>306</v>
      </c>
      <c r="B286">
        <v>1.9E-3</v>
      </c>
      <c r="C286" t="s">
        <v>186</v>
      </c>
      <c r="D286" t="s">
        <v>232</v>
      </c>
      <c r="E286" t="s">
        <v>77</v>
      </c>
      <c r="F286" t="s">
        <v>89</v>
      </c>
      <c r="H286" t="s">
        <v>307</v>
      </c>
    </row>
    <row r="287" spans="1:8" x14ac:dyDescent="0.2">
      <c r="A287" t="s">
        <v>308</v>
      </c>
      <c r="B287">
        <v>6.7999999999999996E-3</v>
      </c>
      <c r="C287" t="s">
        <v>186</v>
      </c>
      <c r="D287" t="s">
        <v>95</v>
      </c>
      <c r="E287" t="s">
        <v>77</v>
      </c>
      <c r="F287" t="s">
        <v>89</v>
      </c>
      <c r="H287" t="s">
        <v>309</v>
      </c>
    </row>
    <row r="288" spans="1:8" x14ac:dyDescent="0.2">
      <c r="A288" t="s">
        <v>253</v>
      </c>
      <c r="B288">
        <v>0.11</v>
      </c>
      <c r="C288" t="s">
        <v>186</v>
      </c>
      <c r="D288" t="s">
        <v>95</v>
      </c>
      <c r="E288" t="s">
        <v>77</v>
      </c>
      <c r="F288" t="s">
        <v>89</v>
      </c>
      <c r="G288" t="s">
        <v>254</v>
      </c>
      <c r="H288" t="s">
        <v>255</v>
      </c>
    </row>
    <row r="289" spans="1:8" x14ac:dyDescent="0.2">
      <c r="A289" t="s">
        <v>310</v>
      </c>
      <c r="B289">
        <v>0.85</v>
      </c>
      <c r="C289" t="s">
        <v>186</v>
      </c>
      <c r="D289" t="s">
        <v>95</v>
      </c>
      <c r="E289" t="s">
        <v>77</v>
      </c>
      <c r="F289" t="s">
        <v>89</v>
      </c>
      <c r="H289" t="s">
        <v>311</v>
      </c>
    </row>
    <row r="291" spans="1:8" ht="16" x14ac:dyDescent="0.2">
      <c r="A291" s="10" t="s">
        <v>71</v>
      </c>
      <c r="B291" s="10" t="s">
        <v>251</v>
      </c>
    </row>
    <row r="292" spans="1:8" x14ac:dyDescent="0.2">
      <c r="A292" t="s">
        <v>194</v>
      </c>
      <c r="B292" t="s">
        <v>312</v>
      </c>
    </row>
    <row r="293" spans="1:8" x14ac:dyDescent="0.2">
      <c r="A293" t="s">
        <v>83</v>
      </c>
      <c r="B293" t="s">
        <v>293</v>
      </c>
    </row>
    <row r="294" spans="1:8" x14ac:dyDescent="0.2">
      <c r="A294" t="s">
        <v>72</v>
      </c>
      <c r="B294" t="s">
        <v>95</v>
      </c>
    </row>
    <row r="295" spans="1:8" x14ac:dyDescent="0.2">
      <c r="A295" t="s">
        <v>180</v>
      </c>
      <c r="B295">
        <v>1</v>
      </c>
    </row>
    <row r="296" spans="1:8" x14ac:dyDescent="0.2">
      <c r="A296" t="s">
        <v>73</v>
      </c>
      <c r="B296" t="s">
        <v>251</v>
      </c>
    </row>
    <row r="297" spans="1:8" x14ac:dyDescent="0.2">
      <c r="A297" t="s">
        <v>76</v>
      </c>
      <c r="B297" t="s">
        <v>77</v>
      </c>
    </row>
    <row r="298" spans="1:8" x14ac:dyDescent="0.2">
      <c r="A298" t="s">
        <v>195</v>
      </c>
      <c r="B298" t="s">
        <v>181</v>
      </c>
    </row>
    <row r="299" spans="1:8" ht="16" x14ac:dyDescent="0.2">
      <c r="A299" s="10" t="s">
        <v>79</v>
      </c>
    </row>
    <row r="300" spans="1:8" x14ac:dyDescent="0.2">
      <c r="A300" t="s">
        <v>80</v>
      </c>
      <c r="B300" t="s">
        <v>81</v>
      </c>
      <c r="C300" t="s">
        <v>182</v>
      </c>
      <c r="D300" t="s">
        <v>72</v>
      </c>
      <c r="E300" t="s">
        <v>76</v>
      </c>
      <c r="F300" t="s">
        <v>74</v>
      </c>
      <c r="G300" t="s">
        <v>73</v>
      </c>
    </row>
    <row r="301" spans="1:8" x14ac:dyDescent="0.2">
      <c r="A301" t="s">
        <v>251</v>
      </c>
      <c r="B301">
        <v>1</v>
      </c>
      <c r="C301" t="s">
        <v>181</v>
      </c>
      <c r="D301" t="s">
        <v>95</v>
      </c>
      <c r="E301" t="s">
        <v>77</v>
      </c>
      <c r="F301" t="s">
        <v>84</v>
      </c>
    </row>
    <row r="302" spans="1:8" x14ac:dyDescent="0.2">
      <c r="A302" t="s">
        <v>283</v>
      </c>
      <c r="B302">
        <v>4.6000000000000001E-10</v>
      </c>
      <c r="C302" t="s">
        <v>186</v>
      </c>
      <c r="D302" t="s">
        <v>95</v>
      </c>
      <c r="E302" t="s">
        <v>76</v>
      </c>
      <c r="F302" t="s">
        <v>89</v>
      </c>
      <c r="G302" t="s">
        <v>284</v>
      </c>
    </row>
    <row r="303" spans="1:8" x14ac:dyDescent="0.2">
      <c r="A303" t="s">
        <v>304</v>
      </c>
      <c r="B303">
        <v>1</v>
      </c>
      <c r="C303" t="s">
        <v>186</v>
      </c>
      <c r="D303" t="s">
        <v>95</v>
      </c>
      <c r="E303" t="s">
        <v>77</v>
      </c>
      <c r="F303" t="s">
        <v>89</v>
      </c>
      <c r="G303" t="s">
        <v>305</v>
      </c>
    </row>
    <row r="304" spans="1:8" x14ac:dyDescent="0.2">
      <c r="A304" t="s">
        <v>310</v>
      </c>
      <c r="B304">
        <v>1</v>
      </c>
      <c r="C304" t="s">
        <v>186</v>
      </c>
      <c r="D304" t="s">
        <v>95</v>
      </c>
      <c r="E304" t="s">
        <v>77</v>
      </c>
      <c r="F304" t="s">
        <v>89</v>
      </c>
      <c r="G304" t="s">
        <v>311</v>
      </c>
    </row>
    <row r="306" spans="1:7" ht="16" x14ac:dyDescent="0.2">
      <c r="A306" s="10" t="s">
        <v>71</v>
      </c>
      <c r="B306" s="10" t="s">
        <v>222</v>
      </c>
    </row>
    <row r="307" spans="1:7" x14ac:dyDescent="0.2">
      <c r="A307" t="s">
        <v>194</v>
      </c>
      <c r="B307" t="s">
        <v>313</v>
      </c>
    </row>
    <row r="308" spans="1:7" x14ac:dyDescent="0.2">
      <c r="A308" t="s">
        <v>83</v>
      </c>
      <c r="B308" t="s">
        <v>85</v>
      </c>
    </row>
    <row r="309" spans="1:7" x14ac:dyDescent="0.2">
      <c r="A309" t="s">
        <v>72</v>
      </c>
      <c r="B309" t="s">
        <v>95</v>
      </c>
    </row>
    <row r="310" spans="1:7" x14ac:dyDescent="0.2">
      <c r="A310" t="s">
        <v>180</v>
      </c>
      <c r="B310">
        <v>1</v>
      </c>
    </row>
    <row r="311" spans="1:7" x14ac:dyDescent="0.2">
      <c r="A311" t="s">
        <v>73</v>
      </c>
      <c r="B311" t="s">
        <v>222</v>
      </c>
    </row>
    <row r="312" spans="1:7" x14ac:dyDescent="0.2">
      <c r="A312" t="s">
        <v>76</v>
      </c>
      <c r="B312" t="s">
        <v>77</v>
      </c>
    </row>
    <row r="313" spans="1:7" x14ac:dyDescent="0.2">
      <c r="A313" t="s">
        <v>195</v>
      </c>
      <c r="B313" t="s">
        <v>181</v>
      </c>
    </row>
    <row r="314" spans="1:7" ht="16" x14ac:dyDescent="0.2">
      <c r="A314" s="10" t="s">
        <v>79</v>
      </c>
    </row>
    <row r="315" spans="1:7" x14ac:dyDescent="0.2">
      <c r="A315" t="s">
        <v>80</v>
      </c>
      <c r="B315" t="s">
        <v>81</v>
      </c>
      <c r="C315" t="s">
        <v>182</v>
      </c>
      <c r="D315" t="s">
        <v>72</v>
      </c>
      <c r="E315" t="s">
        <v>76</v>
      </c>
      <c r="F315" t="s">
        <v>74</v>
      </c>
      <c r="G315" t="s">
        <v>73</v>
      </c>
    </row>
    <row r="316" spans="1:7" x14ac:dyDescent="0.2">
      <c r="A316" t="s">
        <v>222</v>
      </c>
      <c r="B316">
        <v>1</v>
      </c>
      <c r="C316" t="s">
        <v>181</v>
      </c>
      <c r="D316" t="s">
        <v>95</v>
      </c>
      <c r="E316" t="s">
        <v>77</v>
      </c>
      <c r="F316" t="s">
        <v>84</v>
      </c>
    </row>
    <row r="317" spans="1:7" x14ac:dyDescent="0.2">
      <c r="A317" t="s">
        <v>279</v>
      </c>
      <c r="B317">
        <v>1</v>
      </c>
      <c r="C317" t="s">
        <v>186</v>
      </c>
      <c r="D317" t="s">
        <v>95</v>
      </c>
      <c r="E317" t="s">
        <v>77</v>
      </c>
      <c r="F317" t="s">
        <v>89</v>
      </c>
      <c r="G317" t="s">
        <v>280</v>
      </c>
    </row>
    <row r="318" spans="1:7" x14ac:dyDescent="0.2">
      <c r="A318" t="s">
        <v>283</v>
      </c>
      <c r="B318">
        <v>4.6000000000000001E-10</v>
      </c>
      <c r="C318" t="s">
        <v>186</v>
      </c>
      <c r="D318" t="s">
        <v>95</v>
      </c>
      <c r="E318" t="s">
        <v>76</v>
      </c>
      <c r="F318" t="s">
        <v>89</v>
      </c>
      <c r="G318" t="s">
        <v>284</v>
      </c>
    </row>
    <row r="319" spans="1:7" x14ac:dyDescent="0.2">
      <c r="A319" t="s">
        <v>314</v>
      </c>
      <c r="B319">
        <v>1</v>
      </c>
      <c r="C319" t="s">
        <v>186</v>
      </c>
      <c r="D319" t="s">
        <v>95</v>
      </c>
      <c r="E319" t="s">
        <v>77</v>
      </c>
      <c r="F319" t="s">
        <v>89</v>
      </c>
      <c r="G319" t="s">
        <v>315</v>
      </c>
    </row>
    <row r="321" spans="1:7" ht="16" x14ac:dyDescent="0.2">
      <c r="A321" s="10" t="s">
        <v>71</v>
      </c>
      <c r="B321" s="10" t="s">
        <v>223</v>
      </c>
    </row>
    <row r="322" spans="1:7" x14ac:dyDescent="0.2">
      <c r="A322" t="s">
        <v>194</v>
      </c>
      <c r="B322" t="s">
        <v>316</v>
      </c>
    </row>
    <row r="323" spans="1:7" x14ac:dyDescent="0.2">
      <c r="A323" t="s">
        <v>83</v>
      </c>
      <c r="B323" t="s">
        <v>85</v>
      </c>
    </row>
    <row r="324" spans="1:7" x14ac:dyDescent="0.2">
      <c r="A324" t="s">
        <v>72</v>
      </c>
      <c r="B324" t="s">
        <v>95</v>
      </c>
    </row>
    <row r="325" spans="1:7" x14ac:dyDescent="0.2">
      <c r="A325" t="s">
        <v>180</v>
      </c>
      <c r="B325">
        <v>1</v>
      </c>
    </row>
    <row r="326" spans="1:7" x14ac:dyDescent="0.2">
      <c r="A326" t="s">
        <v>73</v>
      </c>
      <c r="B326" t="s">
        <v>223</v>
      </c>
    </row>
    <row r="327" spans="1:7" x14ac:dyDescent="0.2">
      <c r="A327" t="s">
        <v>76</v>
      </c>
      <c r="B327" t="s">
        <v>77</v>
      </c>
    </row>
    <row r="328" spans="1:7" x14ac:dyDescent="0.2">
      <c r="A328" t="s">
        <v>195</v>
      </c>
      <c r="B328" t="s">
        <v>181</v>
      </c>
    </row>
    <row r="329" spans="1:7" ht="16" x14ac:dyDescent="0.2">
      <c r="A329" s="10" t="s">
        <v>79</v>
      </c>
    </row>
    <row r="330" spans="1:7" x14ac:dyDescent="0.2">
      <c r="A330" t="s">
        <v>80</v>
      </c>
      <c r="B330" t="s">
        <v>81</v>
      </c>
      <c r="C330" t="s">
        <v>182</v>
      </c>
      <c r="D330" t="s">
        <v>72</v>
      </c>
      <c r="E330" t="s">
        <v>76</v>
      </c>
      <c r="F330" t="s">
        <v>74</v>
      </c>
      <c r="G330" t="s">
        <v>73</v>
      </c>
    </row>
    <row r="331" spans="1:7" x14ac:dyDescent="0.2">
      <c r="A331" t="s">
        <v>223</v>
      </c>
      <c r="B331">
        <v>1</v>
      </c>
      <c r="C331" t="s">
        <v>181</v>
      </c>
      <c r="D331" t="s">
        <v>95</v>
      </c>
      <c r="E331" t="s">
        <v>77</v>
      </c>
      <c r="F331" t="s">
        <v>84</v>
      </c>
    </row>
    <row r="332" spans="1:7" x14ac:dyDescent="0.2">
      <c r="A332" t="s">
        <v>214</v>
      </c>
      <c r="B332">
        <v>0.94</v>
      </c>
      <c r="C332" t="s">
        <v>186</v>
      </c>
      <c r="D332" t="s">
        <v>95</v>
      </c>
      <c r="E332" t="s">
        <v>77</v>
      </c>
      <c r="F332" t="s">
        <v>89</v>
      </c>
      <c r="G332" t="s">
        <v>215</v>
      </c>
    </row>
    <row r="333" spans="1:7" x14ac:dyDescent="0.2">
      <c r="A333" t="s">
        <v>317</v>
      </c>
      <c r="B333">
        <v>0.02</v>
      </c>
      <c r="C333" t="s">
        <v>186</v>
      </c>
      <c r="D333" t="s">
        <v>232</v>
      </c>
      <c r="E333" t="s">
        <v>77</v>
      </c>
      <c r="F333" t="s">
        <v>89</v>
      </c>
      <c r="G333" t="s">
        <v>318</v>
      </c>
    </row>
    <row r="334" spans="1:7" x14ac:dyDescent="0.2">
      <c r="A334" t="s">
        <v>319</v>
      </c>
      <c r="B334">
        <v>0.96</v>
      </c>
      <c r="C334" t="s">
        <v>186</v>
      </c>
      <c r="D334" t="s">
        <v>95</v>
      </c>
      <c r="E334" t="s">
        <v>77</v>
      </c>
      <c r="F334" t="s">
        <v>89</v>
      </c>
      <c r="G334" t="s">
        <v>320</v>
      </c>
    </row>
    <row r="335" spans="1:7" x14ac:dyDescent="0.2">
      <c r="A335" t="s">
        <v>321</v>
      </c>
      <c r="B335">
        <v>0.02</v>
      </c>
      <c r="C335" t="s">
        <v>186</v>
      </c>
      <c r="D335" t="s">
        <v>95</v>
      </c>
      <c r="E335" t="s">
        <v>77</v>
      </c>
      <c r="F335" t="s">
        <v>89</v>
      </c>
      <c r="G335" t="s">
        <v>322</v>
      </c>
    </row>
    <row r="336" spans="1:7" x14ac:dyDescent="0.2">
      <c r="A336" t="s">
        <v>199</v>
      </c>
      <c r="B336">
        <v>4.0000000000000001E-10</v>
      </c>
      <c r="C336" t="s">
        <v>186</v>
      </c>
      <c r="D336" t="s">
        <v>95</v>
      </c>
      <c r="E336" t="s">
        <v>76</v>
      </c>
      <c r="F336" t="s">
        <v>89</v>
      </c>
      <c r="G336" t="s">
        <v>200</v>
      </c>
    </row>
    <row r="338" spans="1:9" ht="16" x14ac:dyDescent="0.2">
      <c r="A338" s="10" t="s">
        <v>71</v>
      </c>
      <c r="B338" s="10" t="s">
        <v>1164</v>
      </c>
    </row>
    <row r="339" spans="1:9" x14ac:dyDescent="0.2">
      <c r="A339" t="s">
        <v>83</v>
      </c>
      <c r="B339" s="41" t="s">
        <v>1165</v>
      </c>
    </row>
    <row r="340" spans="1:9" x14ac:dyDescent="0.2">
      <c r="A340" t="s">
        <v>72</v>
      </c>
      <c r="B340" t="s">
        <v>95</v>
      </c>
    </row>
    <row r="341" spans="1:9" x14ac:dyDescent="0.2">
      <c r="A341" t="s">
        <v>180</v>
      </c>
      <c r="B341">
        <v>1</v>
      </c>
    </row>
    <row r="342" spans="1:9" x14ac:dyDescent="0.2">
      <c r="A342" t="s">
        <v>73</v>
      </c>
      <c r="B342" t="s">
        <v>198</v>
      </c>
    </row>
    <row r="343" spans="1:9" x14ac:dyDescent="0.2">
      <c r="A343" t="s">
        <v>76</v>
      </c>
      <c r="B343" t="s">
        <v>77</v>
      </c>
    </row>
    <row r="344" spans="1:9" x14ac:dyDescent="0.2">
      <c r="A344" t="s">
        <v>195</v>
      </c>
      <c r="B344" t="s">
        <v>181</v>
      </c>
    </row>
    <row r="345" spans="1:9" ht="16" x14ac:dyDescent="0.2">
      <c r="A345" s="10" t="s">
        <v>79</v>
      </c>
    </row>
    <row r="346" spans="1:9" x14ac:dyDescent="0.2">
      <c r="A346" t="s">
        <v>80</v>
      </c>
      <c r="B346" t="s">
        <v>81</v>
      </c>
      <c r="C346" t="s">
        <v>182</v>
      </c>
      <c r="D346" t="s">
        <v>72</v>
      </c>
      <c r="E346" t="s">
        <v>76</v>
      </c>
      <c r="F346" t="s">
        <v>82</v>
      </c>
      <c r="G346" t="s">
        <v>74</v>
      </c>
      <c r="H346" t="s">
        <v>238</v>
      </c>
      <c r="I346" t="s">
        <v>73</v>
      </c>
    </row>
    <row r="347" spans="1:9" x14ac:dyDescent="0.2">
      <c r="A347" t="s">
        <v>1164</v>
      </c>
      <c r="B347">
        <v>1</v>
      </c>
      <c r="C347" t="s">
        <v>181</v>
      </c>
      <c r="D347" t="s">
        <v>95</v>
      </c>
      <c r="E347" t="s">
        <v>77</v>
      </c>
      <c r="G347" t="s">
        <v>84</v>
      </c>
      <c r="I347" t="s">
        <v>198</v>
      </c>
    </row>
    <row r="348" spans="1:9" x14ac:dyDescent="0.2">
      <c r="A348" t="s">
        <v>323</v>
      </c>
      <c r="B348">
        <v>1.6</v>
      </c>
      <c r="C348" t="s">
        <v>181</v>
      </c>
      <c r="E348" t="s">
        <v>77</v>
      </c>
      <c r="F348" t="s">
        <v>324</v>
      </c>
      <c r="G348" t="s">
        <v>167</v>
      </c>
      <c r="H348" t="s">
        <v>1166</v>
      </c>
    </row>
    <row r="349" spans="1:9" x14ac:dyDescent="0.2">
      <c r="A349" s="37" t="s">
        <v>1176</v>
      </c>
      <c r="B349">
        <v>0.34</v>
      </c>
      <c r="C349" t="s">
        <v>181</v>
      </c>
      <c r="D349" t="s">
        <v>825</v>
      </c>
      <c r="E349" t="s">
        <v>77</v>
      </c>
      <c r="G349" t="s">
        <v>89</v>
      </c>
      <c r="I349" t="s">
        <v>1175</v>
      </c>
    </row>
    <row r="350" spans="1:9" x14ac:dyDescent="0.2">
      <c r="A350" t="s">
        <v>199</v>
      </c>
      <c r="B350">
        <v>4.0000000000000001E-10</v>
      </c>
      <c r="C350" t="s">
        <v>186</v>
      </c>
      <c r="D350" t="s">
        <v>95</v>
      </c>
      <c r="E350" t="s">
        <v>76</v>
      </c>
      <c r="G350" t="s">
        <v>89</v>
      </c>
      <c r="I350" t="s">
        <v>200</v>
      </c>
    </row>
    <row r="351" spans="1:9" x14ac:dyDescent="0.2">
      <c r="A351" t="s">
        <v>325</v>
      </c>
      <c r="B351">
        <v>0.34</v>
      </c>
      <c r="C351" t="s">
        <v>186</v>
      </c>
      <c r="D351" t="s">
        <v>95</v>
      </c>
      <c r="E351" t="s">
        <v>77</v>
      </c>
      <c r="G351" t="s">
        <v>89</v>
      </c>
      <c r="H351" t="s">
        <v>326</v>
      </c>
      <c r="I351" t="s">
        <v>327</v>
      </c>
    </row>
    <row r="352" spans="1:9" x14ac:dyDescent="0.2">
      <c r="A352" t="s">
        <v>328</v>
      </c>
      <c r="B352">
        <v>1.026</v>
      </c>
      <c r="C352" t="s">
        <v>186</v>
      </c>
      <c r="D352" t="s">
        <v>95</v>
      </c>
      <c r="E352" t="s">
        <v>77</v>
      </c>
      <c r="G352" t="s">
        <v>89</v>
      </c>
      <c r="H352" t="s">
        <v>329</v>
      </c>
      <c r="I352" t="s">
        <v>330</v>
      </c>
    </row>
    <row r="353" spans="1:9" x14ac:dyDescent="0.2">
      <c r="A353" t="s">
        <v>331</v>
      </c>
      <c r="B353">
        <v>0.88</v>
      </c>
      <c r="C353" t="s">
        <v>186</v>
      </c>
      <c r="D353" t="s">
        <v>95</v>
      </c>
      <c r="E353" t="s">
        <v>77</v>
      </c>
      <c r="G353" t="s">
        <v>89</v>
      </c>
      <c r="I353" t="s">
        <v>332</v>
      </c>
    </row>
    <row r="355" spans="1:9" ht="16" x14ac:dyDescent="0.2">
      <c r="A355" s="10" t="s">
        <v>71</v>
      </c>
      <c r="B355" s="10" t="s">
        <v>333</v>
      </c>
    </row>
    <row r="356" spans="1:9" x14ac:dyDescent="0.2">
      <c r="A356" t="s">
        <v>194</v>
      </c>
      <c r="B356" t="s">
        <v>334</v>
      </c>
    </row>
    <row r="357" spans="1:9" x14ac:dyDescent="0.2">
      <c r="A357" t="s">
        <v>72</v>
      </c>
      <c r="B357" t="s">
        <v>92</v>
      </c>
    </row>
    <row r="358" spans="1:9" x14ac:dyDescent="0.2">
      <c r="A358" t="s">
        <v>180</v>
      </c>
      <c r="B358">
        <v>1</v>
      </c>
    </row>
    <row r="359" spans="1:9" x14ac:dyDescent="0.2">
      <c r="A359" t="s">
        <v>73</v>
      </c>
      <c r="B359" t="s">
        <v>335</v>
      </c>
    </row>
    <row r="360" spans="1:9" x14ac:dyDescent="0.2">
      <c r="A360" t="s">
        <v>74</v>
      </c>
      <c r="B360" t="s">
        <v>75</v>
      </c>
    </row>
    <row r="361" spans="1:9" x14ac:dyDescent="0.2">
      <c r="A361" t="s">
        <v>76</v>
      </c>
      <c r="B361" t="s">
        <v>77</v>
      </c>
    </row>
    <row r="362" spans="1:9" x14ac:dyDescent="0.2">
      <c r="A362" t="s">
        <v>195</v>
      </c>
      <c r="B362" t="s">
        <v>336</v>
      </c>
    </row>
    <row r="363" spans="1:9" ht="16" x14ac:dyDescent="0.2">
      <c r="A363" s="10" t="s">
        <v>79</v>
      </c>
    </row>
    <row r="364" spans="1:9" x14ac:dyDescent="0.2">
      <c r="A364" t="s">
        <v>80</v>
      </c>
      <c r="B364" t="s">
        <v>81</v>
      </c>
      <c r="C364" t="s">
        <v>182</v>
      </c>
      <c r="D364" t="s">
        <v>72</v>
      </c>
      <c r="E364" t="s">
        <v>76</v>
      </c>
      <c r="F364" t="s">
        <v>82</v>
      </c>
      <c r="G364" t="s">
        <v>74</v>
      </c>
      <c r="H364" t="s">
        <v>73</v>
      </c>
    </row>
    <row r="365" spans="1:9" x14ac:dyDescent="0.2">
      <c r="A365" t="s">
        <v>196</v>
      </c>
      <c r="B365">
        <v>15.73</v>
      </c>
      <c r="C365" t="s">
        <v>337</v>
      </c>
      <c r="E365" t="s">
        <v>197</v>
      </c>
      <c r="F365" t="s">
        <v>165</v>
      </c>
      <c r="G365" t="s">
        <v>167</v>
      </c>
    </row>
    <row r="366" spans="1:9" x14ac:dyDescent="0.2">
      <c r="A366" t="s">
        <v>338</v>
      </c>
      <c r="B366">
        <v>1.44E-2</v>
      </c>
      <c r="C366" t="s">
        <v>337</v>
      </c>
      <c r="E366" t="s">
        <v>77</v>
      </c>
      <c r="F366" t="s">
        <v>165</v>
      </c>
      <c r="G366" t="s">
        <v>167</v>
      </c>
    </row>
    <row r="367" spans="1:9" x14ac:dyDescent="0.2">
      <c r="A367" t="s">
        <v>339</v>
      </c>
      <c r="B367">
        <v>0.25</v>
      </c>
      <c r="C367" t="s">
        <v>337</v>
      </c>
      <c r="E367" t="s">
        <v>340</v>
      </c>
      <c r="F367" t="s">
        <v>341</v>
      </c>
      <c r="G367" t="s">
        <v>167</v>
      </c>
    </row>
    <row r="368" spans="1:9" x14ac:dyDescent="0.2">
      <c r="A368" t="s">
        <v>333</v>
      </c>
      <c r="B368">
        <v>1</v>
      </c>
      <c r="C368" t="s">
        <v>342</v>
      </c>
      <c r="D368" t="s">
        <v>92</v>
      </c>
      <c r="E368" t="s">
        <v>77</v>
      </c>
      <c r="G368" t="s">
        <v>84</v>
      </c>
      <c r="H368" t="s">
        <v>333</v>
      </c>
    </row>
    <row r="369" spans="1:8" x14ac:dyDescent="0.2">
      <c r="A369" t="s">
        <v>343</v>
      </c>
      <c r="B369">
        <v>0.752</v>
      </c>
      <c r="C369" t="s">
        <v>344</v>
      </c>
      <c r="D369" t="s">
        <v>92</v>
      </c>
      <c r="E369" t="s">
        <v>77</v>
      </c>
      <c r="G369" t="s">
        <v>89</v>
      </c>
      <c r="H369" t="s">
        <v>345</v>
      </c>
    </row>
    <row r="370" spans="1:8" x14ac:dyDescent="0.2">
      <c r="A370" t="s">
        <v>346</v>
      </c>
      <c r="B370">
        <v>0.01</v>
      </c>
      <c r="C370" t="s">
        <v>344</v>
      </c>
      <c r="D370" t="s">
        <v>95</v>
      </c>
      <c r="E370" t="s">
        <v>77</v>
      </c>
      <c r="G370" t="s">
        <v>89</v>
      </c>
      <c r="H370" t="s">
        <v>347</v>
      </c>
    </row>
    <row r="371" spans="1:8" x14ac:dyDescent="0.2">
      <c r="A371" t="s">
        <v>348</v>
      </c>
      <c r="B371">
        <v>2.7300000000000001E-2</v>
      </c>
      <c r="C371" t="s">
        <v>344</v>
      </c>
      <c r="D371" t="s">
        <v>95</v>
      </c>
      <c r="E371" t="s">
        <v>77</v>
      </c>
      <c r="G371" t="s">
        <v>89</v>
      </c>
      <c r="H371" t="s">
        <v>349</v>
      </c>
    </row>
    <row r="372" spans="1:8" x14ac:dyDescent="0.2">
      <c r="A372" t="s">
        <v>350</v>
      </c>
      <c r="B372">
        <v>5.0400000000000002E-3</v>
      </c>
      <c r="C372" t="s">
        <v>344</v>
      </c>
      <c r="D372" t="s">
        <v>95</v>
      </c>
      <c r="E372" t="s">
        <v>77</v>
      </c>
      <c r="G372" t="s">
        <v>89</v>
      </c>
      <c r="H372" t="s">
        <v>351</v>
      </c>
    </row>
    <row r="373" spans="1:8" x14ac:dyDescent="0.2">
      <c r="A373" t="s">
        <v>352</v>
      </c>
      <c r="B373">
        <v>0.251</v>
      </c>
      <c r="C373" t="s">
        <v>344</v>
      </c>
      <c r="D373" t="s">
        <v>95</v>
      </c>
      <c r="E373" t="s">
        <v>77</v>
      </c>
      <c r="G373" t="s">
        <v>89</v>
      </c>
      <c r="H373" t="s">
        <v>353</v>
      </c>
    </row>
    <row r="374" spans="1:8" x14ac:dyDescent="0.2">
      <c r="A374" t="s">
        <v>354</v>
      </c>
      <c r="B374">
        <v>1.8</v>
      </c>
      <c r="C374" t="s">
        <v>344</v>
      </c>
      <c r="D374" t="s">
        <v>232</v>
      </c>
      <c r="E374" t="s">
        <v>77</v>
      </c>
      <c r="G374" t="s">
        <v>89</v>
      </c>
      <c r="H374" t="s">
        <v>355</v>
      </c>
    </row>
    <row r="375" spans="1:8" x14ac:dyDescent="0.2">
      <c r="A375" t="s">
        <v>237</v>
      </c>
      <c r="B375">
        <v>0.55000000000000004</v>
      </c>
      <c r="C375" t="s">
        <v>344</v>
      </c>
      <c r="D375" t="s">
        <v>92</v>
      </c>
      <c r="E375" t="s">
        <v>98</v>
      </c>
      <c r="G375" t="s">
        <v>89</v>
      </c>
      <c r="H375" t="s">
        <v>124</v>
      </c>
    </row>
    <row r="376" spans="1:8" x14ac:dyDescent="0.2">
      <c r="A376" t="s">
        <v>356</v>
      </c>
      <c r="B376">
        <v>13.75</v>
      </c>
      <c r="C376" t="s">
        <v>344</v>
      </c>
      <c r="D376" t="s">
        <v>92</v>
      </c>
      <c r="E376" t="s">
        <v>197</v>
      </c>
      <c r="G376" t="s">
        <v>89</v>
      </c>
      <c r="H376" t="s">
        <v>357</v>
      </c>
    </row>
    <row r="377" spans="1:8" x14ac:dyDescent="0.2">
      <c r="A377" t="s">
        <v>358</v>
      </c>
      <c r="B377">
        <v>-1.8</v>
      </c>
      <c r="C377" t="s">
        <v>344</v>
      </c>
      <c r="D377" t="s">
        <v>232</v>
      </c>
      <c r="E377" t="s">
        <v>340</v>
      </c>
      <c r="G377" t="s">
        <v>89</v>
      </c>
      <c r="H377" t="s">
        <v>359</v>
      </c>
    </row>
    <row r="379" spans="1:8" ht="16" x14ac:dyDescent="0.2">
      <c r="A379" s="10" t="s">
        <v>71</v>
      </c>
      <c r="B379" s="10" t="s">
        <v>239</v>
      </c>
    </row>
    <row r="380" spans="1:8" x14ac:dyDescent="0.2">
      <c r="A380" t="s">
        <v>194</v>
      </c>
      <c r="B380" t="s">
        <v>360</v>
      </c>
    </row>
    <row r="381" spans="1:8" x14ac:dyDescent="0.2">
      <c r="A381" t="s">
        <v>83</v>
      </c>
      <c r="B381" t="s">
        <v>85</v>
      </c>
    </row>
    <row r="382" spans="1:8" x14ac:dyDescent="0.2">
      <c r="A382" t="s">
        <v>72</v>
      </c>
      <c r="B382" t="s">
        <v>95</v>
      </c>
    </row>
    <row r="383" spans="1:8" x14ac:dyDescent="0.2">
      <c r="A383" t="s">
        <v>180</v>
      </c>
      <c r="B383">
        <v>1</v>
      </c>
    </row>
    <row r="384" spans="1:8" x14ac:dyDescent="0.2">
      <c r="A384" t="s">
        <v>73</v>
      </c>
      <c r="B384" t="s">
        <v>239</v>
      </c>
    </row>
    <row r="385" spans="1:7" x14ac:dyDescent="0.2">
      <c r="A385" t="s">
        <v>76</v>
      </c>
      <c r="B385" t="s">
        <v>77</v>
      </c>
    </row>
    <row r="386" spans="1:7" x14ac:dyDescent="0.2">
      <c r="A386" t="s">
        <v>195</v>
      </c>
      <c r="B386" t="s">
        <v>181</v>
      </c>
    </row>
    <row r="387" spans="1:7" ht="16" x14ac:dyDescent="0.2">
      <c r="A387" s="10" t="s">
        <v>79</v>
      </c>
    </row>
    <row r="388" spans="1:7" x14ac:dyDescent="0.2">
      <c r="A388" t="s">
        <v>80</v>
      </c>
      <c r="B388" t="s">
        <v>81</v>
      </c>
      <c r="C388" t="s">
        <v>182</v>
      </c>
      <c r="D388" t="s">
        <v>72</v>
      </c>
      <c r="E388" t="s">
        <v>76</v>
      </c>
      <c r="F388" t="s">
        <v>74</v>
      </c>
      <c r="G388" t="s">
        <v>73</v>
      </c>
    </row>
    <row r="389" spans="1:7" x14ac:dyDescent="0.2">
      <c r="A389" t="s">
        <v>239</v>
      </c>
      <c r="B389">
        <v>1</v>
      </c>
      <c r="C389" t="s">
        <v>181</v>
      </c>
      <c r="D389" t="s">
        <v>95</v>
      </c>
      <c r="E389" t="s">
        <v>77</v>
      </c>
      <c r="F389" t="s">
        <v>84</v>
      </c>
    </row>
    <row r="390" spans="1:7" x14ac:dyDescent="0.2">
      <c r="A390" t="s">
        <v>361</v>
      </c>
      <c r="B390">
        <v>0.4</v>
      </c>
      <c r="C390" t="s">
        <v>181</v>
      </c>
      <c r="D390" t="s">
        <v>95</v>
      </c>
      <c r="E390" t="s">
        <v>77</v>
      </c>
      <c r="F390" t="s">
        <v>89</v>
      </c>
      <c r="G390" t="s">
        <v>361</v>
      </c>
    </row>
    <row r="391" spans="1:7" x14ac:dyDescent="0.2">
      <c r="A391" t="s">
        <v>362</v>
      </c>
      <c r="B391">
        <v>0.22</v>
      </c>
      <c r="C391" t="s">
        <v>181</v>
      </c>
      <c r="D391" t="s">
        <v>95</v>
      </c>
      <c r="E391" t="s">
        <v>77</v>
      </c>
      <c r="F391" t="s">
        <v>89</v>
      </c>
      <c r="G391" t="s">
        <v>362</v>
      </c>
    </row>
    <row r="392" spans="1:7" x14ac:dyDescent="0.2">
      <c r="A392" t="s">
        <v>363</v>
      </c>
      <c r="B392">
        <v>0.38</v>
      </c>
      <c r="C392" t="s">
        <v>181</v>
      </c>
      <c r="D392" t="s">
        <v>95</v>
      </c>
      <c r="E392" t="s">
        <v>77</v>
      </c>
      <c r="F392" t="s">
        <v>89</v>
      </c>
      <c r="G392" t="s">
        <v>363</v>
      </c>
    </row>
    <row r="394" spans="1:7" ht="16" x14ac:dyDescent="0.2">
      <c r="A394" s="10" t="s">
        <v>71</v>
      </c>
      <c r="B394" s="10" t="s">
        <v>361</v>
      </c>
    </row>
    <row r="395" spans="1:7" x14ac:dyDescent="0.2">
      <c r="A395" t="s">
        <v>194</v>
      </c>
      <c r="B395" t="s">
        <v>364</v>
      </c>
    </row>
    <row r="396" spans="1:7" x14ac:dyDescent="0.2">
      <c r="A396" t="s">
        <v>83</v>
      </c>
      <c r="B396" t="s">
        <v>85</v>
      </c>
    </row>
    <row r="397" spans="1:7" x14ac:dyDescent="0.2">
      <c r="A397" t="s">
        <v>72</v>
      </c>
      <c r="B397" t="s">
        <v>95</v>
      </c>
    </row>
    <row r="398" spans="1:7" x14ac:dyDescent="0.2">
      <c r="A398" t="s">
        <v>180</v>
      </c>
      <c r="B398">
        <v>1</v>
      </c>
    </row>
    <row r="399" spans="1:7" x14ac:dyDescent="0.2">
      <c r="A399" t="s">
        <v>73</v>
      </c>
      <c r="B399" t="s">
        <v>361</v>
      </c>
    </row>
    <row r="400" spans="1:7" x14ac:dyDescent="0.2">
      <c r="A400" t="s">
        <v>76</v>
      </c>
      <c r="B400" t="s">
        <v>77</v>
      </c>
    </row>
    <row r="401" spans="1:8" x14ac:dyDescent="0.2">
      <c r="A401" t="s">
        <v>195</v>
      </c>
      <c r="B401" t="s">
        <v>181</v>
      </c>
    </row>
    <row r="402" spans="1:8" ht="16" x14ac:dyDescent="0.2">
      <c r="A402" s="10" t="s">
        <v>79</v>
      </c>
    </row>
    <row r="403" spans="1:8" x14ac:dyDescent="0.2">
      <c r="A403" t="s">
        <v>80</v>
      </c>
      <c r="B403" t="s">
        <v>81</v>
      </c>
      <c r="C403" t="s">
        <v>182</v>
      </c>
      <c r="D403" t="s">
        <v>72</v>
      </c>
      <c r="E403" t="s">
        <v>76</v>
      </c>
      <c r="F403" t="s">
        <v>74</v>
      </c>
      <c r="G403" t="s">
        <v>238</v>
      </c>
      <c r="H403" t="s">
        <v>73</v>
      </c>
    </row>
    <row r="404" spans="1:8" x14ac:dyDescent="0.2">
      <c r="A404" t="s">
        <v>361</v>
      </c>
      <c r="B404">
        <v>1</v>
      </c>
      <c r="C404" t="s">
        <v>181</v>
      </c>
      <c r="D404" t="s">
        <v>95</v>
      </c>
      <c r="E404" t="s">
        <v>77</v>
      </c>
      <c r="F404" t="s">
        <v>84</v>
      </c>
    </row>
    <row r="405" spans="1:8" x14ac:dyDescent="0.2">
      <c r="A405" t="s">
        <v>207</v>
      </c>
      <c r="B405">
        <v>1</v>
      </c>
      <c r="C405" t="s">
        <v>186</v>
      </c>
      <c r="D405" t="s">
        <v>95</v>
      </c>
      <c r="E405" t="s">
        <v>77</v>
      </c>
      <c r="F405" t="s">
        <v>89</v>
      </c>
      <c r="H405" t="s">
        <v>208</v>
      </c>
    </row>
    <row r="406" spans="1:8" x14ac:dyDescent="0.2">
      <c r="A406" t="s">
        <v>209</v>
      </c>
      <c r="B406">
        <v>7.7000000000000006E-11</v>
      </c>
      <c r="C406" t="s">
        <v>186</v>
      </c>
      <c r="D406" t="s">
        <v>95</v>
      </c>
      <c r="E406" t="s">
        <v>76</v>
      </c>
      <c r="F406" t="s">
        <v>89</v>
      </c>
      <c r="H406" t="s">
        <v>210</v>
      </c>
    </row>
    <row r="407" spans="1:8" x14ac:dyDescent="0.2">
      <c r="A407" t="s">
        <v>281</v>
      </c>
      <c r="B407">
        <v>0.47</v>
      </c>
      <c r="C407" t="s">
        <v>186</v>
      </c>
      <c r="D407" t="s">
        <v>95</v>
      </c>
      <c r="E407" t="s">
        <v>77</v>
      </c>
      <c r="F407" t="s">
        <v>89</v>
      </c>
      <c r="H407" t="s">
        <v>282</v>
      </c>
    </row>
    <row r="408" spans="1:8" x14ac:dyDescent="0.2">
      <c r="A408" t="s">
        <v>306</v>
      </c>
      <c r="B408">
        <v>0.08</v>
      </c>
      <c r="C408" t="s">
        <v>186</v>
      </c>
      <c r="D408" t="s">
        <v>232</v>
      </c>
      <c r="E408" t="s">
        <v>77</v>
      </c>
      <c r="F408" t="s">
        <v>89</v>
      </c>
      <c r="H408" t="s">
        <v>307</v>
      </c>
    </row>
    <row r="409" spans="1:8" x14ac:dyDescent="0.2">
      <c r="A409" t="s">
        <v>365</v>
      </c>
      <c r="B409">
        <v>2.5000000000000001E-2</v>
      </c>
      <c r="C409" t="s">
        <v>186</v>
      </c>
      <c r="D409" t="s">
        <v>95</v>
      </c>
      <c r="E409" t="s">
        <v>77</v>
      </c>
      <c r="F409" t="s">
        <v>89</v>
      </c>
      <c r="H409" t="s">
        <v>366</v>
      </c>
    </row>
    <row r="410" spans="1:8" x14ac:dyDescent="0.2">
      <c r="A410" t="s">
        <v>289</v>
      </c>
      <c r="B410">
        <v>3.4999999999999998E-10</v>
      </c>
      <c r="C410" t="s">
        <v>186</v>
      </c>
      <c r="D410" t="s">
        <v>95</v>
      </c>
      <c r="E410" t="s">
        <v>76</v>
      </c>
      <c r="F410" t="s">
        <v>89</v>
      </c>
      <c r="H410" t="s">
        <v>290</v>
      </c>
    </row>
    <row r="411" spans="1:8" x14ac:dyDescent="0.2">
      <c r="A411" t="s">
        <v>308</v>
      </c>
      <c r="B411">
        <v>7.8E-2</v>
      </c>
      <c r="C411" t="s">
        <v>186</v>
      </c>
      <c r="D411" t="s">
        <v>95</v>
      </c>
      <c r="E411" t="s">
        <v>77</v>
      </c>
      <c r="F411" t="s">
        <v>89</v>
      </c>
      <c r="G411" t="s">
        <v>367</v>
      </c>
      <c r="H411" t="s">
        <v>309</v>
      </c>
    </row>
    <row r="412" spans="1:8" x14ac:dyDescent="0.2">
      <c r="A412" t="s">
        <v>368</v>
      </c>
      <c r="B412">
        <v>0.32</v>
      </c>
      <c r="C412" t="s">
        <v>186</v>
      </c>
      <c r="D412" t="s">
        <v>95</v>
      </c>
      <c r="E412" t="s">
        <v>77</v>
      </c>
      <c r="F412" t="s">
        <v>89</v>
      </c>
      <c r="H412" t="s">
        <v>369</v>
      </c>
    </row>
    <row r="413" spans="1:8" x14ac:dyDescent="0.2">
      <c r="A413" t="s">
        <v>211</v>
      </c>
      <c r="B413">
        <v>0.5</v>
      </c>
      <c r="C413" t="s">
        <v>186</v>
      </c>
      <c r="D413" t="s">
        <v>95</v>
      </c>
      <c r="E413" t="s">
        <v>77</v>
      </c>
      <c r="F413" t="s">
        <v>89</v>
      </c>
      <c r="H413" t="s">
        <v>212</v>
      </c>
    </row>
    <row r="415" spans="1:8" ht="16" x14ac:dyDescent="0.2">
      <c r="A415" s="10" t="s">
        <v>71</v>
      </c>
      <c r="B415" s="10" t="s">
        <v>362</v>
      </c>
    </row>
    <row r="416" spans="1:8" x14ac:dyDescent="0.2">
      <c r="A416" t="s">
        <v>194</v>
      </c>
      <c r="B416" t="s">
        <v>370</v>
      </c>
    </row>
    <row r="417" spans="1:7" x14ac:dyDescent="0.2">
      <c r="A417" t="s">
        <v>83</v>
      </c>
      <c r="B417" t="s">
        <v>85</v>
      </c>
    </row>
    <row r="418" spans="1:7" x14ac:dyDescent="0.2">
      <c r="A418" t="s">
        <v>72</v>
      </c>
      <c r="B418" t="s">
        <v>95</v>
      </c>
    </row>
    <row r="419" spans="1:7" x14ac:dyDescent="0.2">
      <c r="A419" t="s">
        <v>180</v>
      </c>
      <c r="B419">
        <v>1</v>
      </c>
    </row>
    <row r="420" spans="1:7" x14ac:dyDescent="0.2">
      <c r="A420" t="s">
        <v>73</v>
      </c>
      <c r="B420" t="s">
        <v>362</v>
      </c>
    </row>
    <row r="421" spans="1:7" x14ac:dyDescent="0.2">
      <c r="A421" t="s">
        <v>76</v>
      </c>
      <c r="B421" t="s">
        <v>77</v>
      </c>
    </row>
    <row r="422" spans="1:7" x14ac:dyDescent="0.2">
      <c r="A422" t="s">
        <v>195</v>
      </c>
      <c r="B422" t="s">
        <v>181</v>
      </c>
    </row>
    <row r="423" spans="1:7" ht="16" x14ac:dyDescent="0.2">
      <c r="A423" s="10" t="s">
        <v>79</v>
      </c>
    </row>
    <row r="424" spans="1:7" x14ac:dyDescent="0.2">
      <c r="A424" t="s">
        <v>80</v>
      </c>
      <c r="B424" t="s">
        <v>81</v>
      </c>
      <c r="C424" t="s">
        <v>182</v>
      </c>
      <c r="D424" t="s">
        <v>72</v>
      </c>
      <c r="E424" t="s">
        <v>76</v>
      </c>
      <c r="F424" t="s">
        <v>74</v>
      </c>
      <c r="G424" t="s">
        <v>73</v>
      </c>
    </row>
    <row r="425" spans="1:7" x14ac:dyDescent="0.2">
      <c r="A425" t="s">
        <v>362</v>
      </c>
      <c r="B425">
        <v>1</v>
      </c>
      <c r="C425" t="s">
        <v>181</v>
      </c>
      <c r="D425" t="s">
        <v>95</v>
      </c>
      <c r="E425" t="s">
        <v>77</v>
      </c>
      <c r="F425" t="s">
        <v>84</v>
      </c>
    </row>
    <row r="426" spans="1:7" x14ac:dyDescent="0.2">
      <c r="A426" t="s">
        <v>207</v>
      </c>
      <c r="B426">
        <v>1</v>
      </c>
      <c r="C426" t="s">
        <v>186</v>
      </c>
      <c r="D426" t="s">
        <v>95</v>
      </c>
      <c r="E426" t="s">
        <v>77</v>
      </c>
      <c r="F426" t="s">
        <v>89</v>
      </c>
      <c r="G426" t="s">
        <v>208</v>
      </c>
    </row>
    <row r="427" spans="1:7" x14ac:dyDescent="0.2">
      <c r="A427" t="s">
        <v>209</v>
      </c>
      <c r="B427">
        <v>1.5E-10</v>
      </c>
      <c r="C427" t="s">
        <v>186</v>
      </c>
      <c r="D427" t="s">
        <v>95</v>
      </c>
      <c r="E427" t="s">
        <v>76</v>
      </c>
      <c r="F427" t="s">
        <v>89</v>
      </c>
      <c r="G427" t="s">
        <v>210</v>
      </c>
    </row>
    <row r="428" spans="1:7" x14ac:dyDescent="0.2">
      <c r="A428" t="s">
        <v>211</v>
      </c>
      <c r="B428">
        <v>1</v>
      </c>
      <c r="C428" t="s">
        <v>186</v>
      </c>
      <c r="D428" t="s">
        <v>95</v>
      </c>
      <c r="E428" t="s">
        <v>77</v>
      </c>
      <c r="F428" t="s">
        <v>89</v>
      </c>
      <c r="G428" t="s">
        <v>212</v>
      </c>
    </row>
    <row r="430" spans="1:7" ht="16" x14ac:dyDescent="0.2">
      <c r="A430" s="10" t="s">
        <v>71</v>
      </c>
      <c r="B430" s="10" t="s">
        <v>363</v>
      </c>
    </row>
    <row r="431" spans="1:7" x14ac:dyDescent="0.2">
      <c r="A431" t="s">
        <v>194</v>
      </c>
      <c r="B431" t="s">
        <v>371</v>
      </c>
    </row>
    <row r="432" spans="1:7" x14ac:dyDescent="0.2">
      <c r="A432" t="s">
        <v>83</v>
      </c>
      <c r="B432" t="s">
        <v>85</v>
      </c>
    </row>
    <row r="433" spans="1:7" x14ac:dyDescent="0.2">
      <c r="A433" t="s">
        <v>72</v>
      </c>
      <c r="B433" t="s">
        <v>95</v>
      </c>
    </row>
    <row r="434" spans="1:7" x14ac:dyDescent="0.2">
      <c r="A434" t="s">
        <v>180</v>
      </c>
      <c r="B434">
        <v>1</v>
      </c>
    </row>
    <row r="435" spans="1:7" x14ac:dyDescent="0.2">
      <c r="A435" t="s">
        <v>73</v>
      </c>
      <c r="B435" t="s">
        <v>363</v>
      </c>
    </row>
    <row r="436" spans="1:7" x14ac:dyDescent="0.2">
      <c r="A436" t="s">
        <v>76</v>
      </c>
      <c r="B436" t="s">
        <v>77</v>
      </c>
    </row>
    <row r="437" spans="1:7" x14ac:dyDescent="0.2">
      <c r="A437" t="s">
        <v>195</v>
      </c>
      <c r="B437" t="s">
        <v>181</v>
      </c>
    </row>
    <row r="438" spans="1:7" ht="16" x14ac:dyDescent="0.2">
      <c r="A438" s="10" t="s">
        <v>79</v>
      </c>
    </row>
    <row r="439" spans="1:7" x14ac:dyDescent="0.2">
      <c r="A439" t="s">
        <v>80</v>
      </c>
      <c r="B439" t="s">
        <v>81</v>
      </c>
      <c r="C439" t="s">
        <v>182</v>
      </c>
      <c r="D439" t="s">
        <v>72</v>
      </c>
      <c r="E439" t="s">
        <v>76</v>
      </c>
      <c r="F439" t="s">
        <v>74</v>
      </c>
      <c r="G439" t="s">
        <v>73</v>
      </c>
    </row>
    <row r="440" spans="1:7" x14ac:dyDescent="0.2">
      <c r="A440" t="s">
        <v>363</v>
      </c>
      <c r="B440">
        <v>1</v>
      </c>
      <c r="C440" t="s">
        <v>181</v>
      </c>
      <c r="D440" t="s">
        <v>95</v>
      </c>
      <c r="E440" t="s">
        <v>77</v>
      </c>
      <c r="F440" t="s">
        <v>84</v>
      </c>
    </row>
    <row r="441" spans="1:7" x14ac:dyDescent="0.2">
      <c r="A441" t="s">
        <v>279</v>
      </c>
      <c r="B441">
        <v>1</v>
      </c>
      <c r="C441" t="s">
        <v>186</v>
      </c>
      <c r="D441" t="s">
        <v>95</v>
      </c>
      <c r="E441" t="s">
        <v>77</v>
      </c>
      <c r="F441" t="s">
        <v>89</v>
      </c>
      <c r="G441" t="s">
        <v>280</v>
      </c>
    </row>
    <row r="442" spans="1:7" x14ac:dyDescent="0.2">
      <c r="A442" t="s">
        <v>283</v>
      </c>
      <c r="B442">
        <v>4.6000000000000001E-10</v>
      </c>
      <c r="C442" t="s">
        <v>186</v>
      </c>
      <c r="D442" t="s">
        <v>95</v>
      </c>
      <c r="E442" t="s">
        <v>76</v>
      </c>
      <c r="F442" t="s">
        <v>89</v>
      </c>
      <c r="G442" t="s">
        <v>284</v>
      </c>
    </row>
    <row r="443" spans="1:7" x14ac:dyDescent="0.2">
      <c r="A443" t="s">
        <v>314</v>
      </c>
      <c r="B443">
        <v>1</v>
      </c>
      <c r="C443" t="s">
        <v>186</v>
      </c>
      <c r="D443" t="s">
        <v>95</v>
      </c>
      <c r="E443" t="s">
        <v>77</v>
      </c>
      <c r="F443" t="s">
        <v>89</v>
      </c>
      <c r="G443" t="s">
        <v>315</v>
      </c>
    </row>
    <row r="445" spans="1:7" ht="16" x14ac:dyDescent="0.2">
      <c r="A445" s="10" t="s">
        <v>71</v>
      </c>
      <c r="B445" s="10" t="s">
        <v>228</v>
      </c>
    </row>
    <row r="446" spans="1:7" x14ac:dyDescent="0.2">
      <c r="A446" t="s">
        <v>194</v>
      </c>
      <c r="B446" t="s">
        <v>372</v>
      </c>
    </row>
    <row r="447" spans="1:7" x14ac:dyDescent="0.2">
      <c r="A447" t="s">
        <v>83</v>
      </c>
      <c r="B447" t="s">
        <v>85</v>
      </c>
    </row>
    <row r="448" spans="1:7" x14ac:dyDescent="0.2">
      <c r="A448" t="s">
        <v>72</v>
      </c>
      <c r="B448" t="s">
        <v>95</v>
      </c>
    </row>
    <row r="449" spans="1:7" x14ac:dyDescent="0.2">
      <c r="A449" t="s">
        <v>180</v>
      </c>
      <c r="B449">
        <v>1</v>
      </c>
    </row>
    <row r="450" spans="1:7" x14ac:dyDescent="0.2">
      <c r="A450" t="s">
        <v>73</v>
      </c>
      <c r="B450" t="s">
        <v>228</v>
      </c>
    </row>
    <row r="451" spans="1:7" x14ac:dyDescent="0.2">
      <c r="A451" t="s">
        <v>76</v>
      </c>
      <c r="B451" t="s">
        <v>77</v>
      </c>
    </row>
    <row r="452" spans="1:7" x14ac:dyDescent="0.2">
      <c r="A452" t="s">
        <v>195</v>
      </c>
      <c r="B452" t="s">
        <v>181</v>
      </c>
    </row>
    <row r="453" spans="1:7" ht="16" x14ac:dyDescent="0.2">
      <c r="A453" s="10" t="s">
        <v>79</v>
      </c>
    </row>
    <row r="454" spans="1:7" x14ac:dyDescent="0.2">
      <c r="A454" t="s">
        <v>80</v>
      </c>
      <c r="B454" t="s">
        <v>81</v>
      </c>
      <c r="C454" t="s">
        <v>182</v>
      </c>
      <c r="D454" t="s">
        <v>72</v>
      </c>
      <c r="E454" t="s">
        <v>76</v>
      </c>
      <c r="F454" t="s">
        <v>74</v>
      </c>
      <c r="G454" t="s">
        <v>73</v>
      </c>
    </row>
    <row r="455" spans="1:7" x14ac:dyDescent="0.2">
      <c r="A455" t="s">
        <v>228</v>
      </c>
      <c r="B455">
        <v>1</v>
      </c>
      <c r="C455" t="s">
        <v>181</v>
      </c>
      <c r="D455" t="s">
        <v>95</v>
      </c>
      <c r="E455" t="s">
        <v>77</v>
      </c>
      <c r="F455" t="s">
        <v>84</v>
      </c>
    </row>
    <row r="456" spans="1:7" x14ac:dyDescent="0.2">
      <c r="A456" t="s">
        <v>373</v>
      </c>
      <c r="B456">
        <v>2.3E-2</v>
      </c>
      <c r="C456" t="s">
        <v>181</v>
      </c>
      <c r="D456" t="s">
        <v>95</v>
      </c>
      <c r="E456" t="s">
        <v>77</v>
      </c>
      <c r="F456" t="s">
        <v>89</v>
      </c>
      <c r="G456" t="s">
        <v>373</v>
      </c>
    </row>
    <row r="457" spans="1:7" x14ac:dyDescent="0.2">
      <c r="A457" t="s">
        <v>374</v>
      </c>
      <c r="B457">
        <v>3.7999999999999999E-2</v>
      </c>
      <c r="C457" t="s">
        <v>181</v>
      </c>
      <c r="D457" t="s">
        <v>95</v>
      </c>
      <c r="E457" t="s">
        <v>77</v>
      </c>
      <c r="F457" t="s">
        <v>89</v>
      </c>
      <c r="G457" t="s">
        <v>374</v>
      </c>
    </row>
    <row r="458" spans="1:7" x14ac:dyDescent="0.2">
      <c r="A458" t="s">
        <v>375</v>
      </c>
      <c r="B458">
        <v>9.6000000000000002E-4</v>
      </c>
      <c r="C458" t="s">
        <v>181</v>
      </c>
      <c r="D458" t="s">
        <v>95</v>
      </c>
      <c r="E458" t="s">
        <v>77</v>
      </c>
      <c r="F458" t="s">
        <v>89</v>
      </c>
      <c r="G458" t="s">
        <v>375</v>
      </c>
    </row>
    <row r="459" spans="1:7" x14ac:dyDescent="0.2">
      <c r="A459" t="s">
        <v>376</v>
      </c>
      <c r="B459">
        <v>0.87</v>
      </c>
      <c r="C459" t="s">
        <v>181</v>
      </c>
      <c r="D459" t="s">
        <v>95</v>
      </c>
      <c r="E459" t="s">
        <v>77</v>
      </c>
      <c r="F459" t="s">
        <v>89</v>
      </c>
      <c r="G459" t="s">
        <v>376</v>
      </c>
    </row>
    <row r="460" spans="1:7" x14ac:dyDescent="0.2">
      <c r="A460" t="s">
        <v>377</v>
      </c>
      <c r="B460">
        <v>0.02</v>
      </c>
      <c r="C460" t="s">
        <v>181</v>
      </c>
      <c r="D460" t="s">
        <v>95</v>
      </c>
      <c r="E460" t="s">
        <v>77</v>
      </c>
      <c r="F460" t="s">
        <v>89</v>
      </c>
      <c r="G460" t="s">
        <v>377</v>
      </c>
    </row>
    <row r="461" spans="1:7" x14ac:dyDescent="0.2">
      <c r="A461" t="s">
        <v>378</v>
      </c>
      <c r="B461">
        <v>4.8000000000000001E-2</v>
      </c>
      <c r="C461" t="s">
        <v>186</v>
      </c>
      <c r="D461" t="s">
        <v>95</v>
      </c>
      <c r="E461" t="s">
        <v>77</v>
      </c>
      <c r="F461" t="s">
        <v>89</v>
      </c>
      <c r="G461" t="s">
        <v>379</v>
      </c>
    </row>
    <row r="462" spans="1:7" x14ac:dyDescent="0.2">
      <c r="A462" t="s">
        <v>256</v>
      </c>
      <c r="B462">
        <v>0.22</v>
      </c>
      <c r="C462" t="s">
        <v>186</v>
      </c>
      <c r="D462" t="s">
        <v>257</v>
      </c>
      <c r="E462" t="s">
        <v>233</v>
      </c>
      <c r="F462" t="s">
        <v>89</v>
      </c>
      <c r="G462" t="s">
        <v>258</v>
      </c>
    </row>
    <row r="463" spans="1:7" x14ac:dyDescent="0.2">
      <c r="A463" t="s">
        <v>259</v>
      </c>
      <c r="B463">
        <v>0.1</v>
      </c>
      <c r="C463" t="s">
        <v>186</v>
      </c>
      <c r="D463" t="s">
        <v>232</v>
      </c>
      <c r="E463" t="s">
        <v>233</v>
      </c>
      <c r="F463" t="s">
        <v>89</v>
      </c>
      <c r="G463" t="s">
        <v>260</v>
      </c>
    </row>
    <row r="465" spans="1:7" ht="16" x14ac:dyDescent="0.2">
      <c r="A465" s="10" t="s">
        <v>71</v>
      </c>
      <c r="B465" s="10" t="s">
        <v>376</v>
      </c>
    </row>
    <row r="466" spans="1:7" x14ac:dyDescent="0.2">
      <c r="A466" t="s">
        <v>194</v>
      </c>
      <c r="B466" t="s">
        <v>380</v>
      </c>
    </row>
    <row r="467" spans="1:7" x14ac:dyDescent="0.2">
      <c r="A467" t="s">
        <v>83</v>
      </c>
      <c r="B467" t="s">
        <v>85</v>
      </c>
    </row>
    <row r="468" spans="1:7" x14ac:dyDescent="0.2">
      <c r="A468" t="s">
        <v>72</v>
      </c>
      <c r="B468" t="s">
        <v>95</v>
      </c>
    </row>
    <row r="469" spans="1:7" x14ac:dyDescent="0.2">
      <c r="A469" t="s">
        <v>180</v>
      </c>
      <c r="B469">
        <v>1</v>
      </c>
    </row>
    <row r="470" spans="1:7" x14ac:dyDescent="0.2">
      <c r="A470" t="s">
        <v>73</v>
      </c>
      <c r="B470" t="s">
        <v>376</v>
      </c>
    </row>
    <row r="471" spans="1:7" x14ac:dyDescent="0.2">
      <c r="A471" t="s">
        <v>76</v>
      </c>
      <c r="B471" t="s">
        <v>77</v>
      </c>
    </row>
    <row r="472" spans="1:7" x14ac:dyDescent="0.2">
      <c r="A472" t="s">
        <v>195</v>
      </c>
      <c r="B472" t="s">
        <v>181</v>
      </c>
    </row>
    <row r="473" spans="1:7" ht="16" x14ac:dyDescent="0.2">
      <c r="A473" s="10" t="s">
        <v>79</v>
      </c>
    </row>
    <row r="474" spans="1:7" x14ac:dyDescent="0.2">
      <c r="A474" t="s">
        <v>80</v>
      </c>
      <c r="B474" t="s">
        <v>81</v>
      </c>
      <c r="C474" t="s">
        <v>182</v>
      </c>
      <c r="D474" t="s">
        <v>72</v>
      </c>
      <c r="E474" t="s">
        <v>76</v>
      </c>
      <c r="F474" t="s">
        <v>74</v>
      </c>
      <c r="G474" t="s">
        <v>73</v>
      </c>
    </row>
    <row r="475" spans="1:7" x14ac:dyDescent="0.2">
      <c r="A475" t="s">
        <v>376</v>
      </c>
      <c r="B475">
        <v>1</v>
      </c>
      <c r="C475" t="s">
        <v>181</v>
      </c>
      <c r="D475" t="s">
        <v>95</v>
      </c>
      <c r="E475" t="s">
        <v>77</v>
      </c>
      <c r="F475" t="s">
        <v>84</v>
      </c>
    </row>
    <row r="476" spans="1:7" x14ac:dyDescent="0.2">
      <c r="A476" t="s">
        <v>207</v>
      </c>
      <c r="B476">
        <v>1</v>
      </c>
      <c r="C476" t="s">
        <v>186</v>
      </c>
      <c r="D476" t="s">
        <v>95</v>
      </c>
      <c r="E476" t="s">
        <v>77</v>
      </c>
      <c r="F476" t="s">
        <v>89</v>
      </c>
      <c r="G476" t="s">
        <v>208</v>
      </c>
    </row>
    <row r="477" spans="1:7" x14ac:dyDescent="0.2">
      <c r="A477" t="s">
        <v>209</v>
      </c>
      <c r="B477">
        <v>1.5E-10</v>
      </c>
      <c r="C477" t="s">
        <v>186</v>
      </c>
      <c r="D477" t="s">
        <v>95</v>
      </c>
      <c r="E477" t="s">
        <v>76</v>
      </c>
      <c r="F477" t="s">
        <v>89</v>
      </c>
      <c r="G477" t="s">
        <v>210</v>
      </c>
    </row>
    <row r="478" spans="1:7" x14ac:dyDescent="0.2">
      <c r="A478" t="s">
        <v>211</v>
      </c>
      <c r="B478">
        <v>1</v>
      </c>
      <c r="C478" t="s">
        <v>186</v>
      </c>
      <c r="D478" t="s">
        <v>95</v>
      </c>
      <c r="E478" t="s">
        <v>77</v>
      </c>
      <c r="F478" t="s">
        <v>89</v>
      </c>
      <c r="G478" t="s">
        <v>212</v>
      </c>
    </row>
    <row r="479" spans="1:7" x14ac:dyDescent="0.2">
      <c r="A479" t="s">
        <v>256</v>
      </c>
      <c r="B479">
        <v>0.2</v>
      </c>
      <c r="C479" t="s">
        <v>186</v>
      </c>
      <c r="D479" t="s">
        <v>257</v>
      </c>
      <c r="E479" t="s">
        <v>233</v>
      </c>
      <c r="F479" t="s">
        <v>89</v>
      </c>
      <c r="G479" t="s">
        <v>258</v>
      </c>
    </row>
    <row r="480" spans="1:7" x14ac:dyDescent="0.2">
      <c r="A480" t="s">
        <v>259</v>
      </c>
      <c r="B480">
        <v>0.1</v>
      </c>
      <c r="C480" t="s">
        <v>186</v>
      </c>
      <c r="D480" t="s">
        <v>232</v>
      </c>
      <c r="E480" t="s">
        <v>233</v>
      </c>
      <c r="F480" t="s">
        <v>89</v>
      </c>
      <c r="G480" t="s">
        <v>260</v>
      </c>
    </row>
    <row r="482" spans="1:8" ht="16" x14ac:dyDescent="0.2">
      <c r="A482" s="10" t="s">
        <v>71</v>
      </c>
      <c r="B482" s="10" t="s">
        <v>375</v>
      </c>
    </row>
    <row r="483" spans="1:8" x14ac:dyDescent="0.2">
      <c r="A483" t="s">
        <v>194</v>
      </c>
      <c r="B483" t="s">
        <v>381</v>
      </c>
    </row>
    <row r="484" spans="1:8" x14ac:dyDescent="0.2">
      <c r="A484" t="s">
        <v>83</v>
      </c>
      <c r="B484" t="s">
        <v>85</v>
      </c>
    </row>
    <row r="485" spans="1:8" x14ac:dyDescent="0.2">
      <c r="A485" t="s">
        <v>72</v>
      </c>
      <c r="B485" t="s">
        <v>95</v>
      </c>
    </row>
    <row r="486" spans="1:8" x14ac:dyDescent="0.2">
      <c r="A486" t="s">
        <v>180</v>
      </c>
      <c r="B486">
        <v>1</v>
      </c>
    </row>
    <row r="487" spans="1:8" x14ac:dyDescent="0.2">
      <c r="A487" t="s">
        <v>73</v>
      </c>
      <c r="B487" t="s">
        <v>375</v>
      </c>
    </row>
    <row r="488" spans="1:8" x14ac:dyDescent="0.2">
      <c r="A488" t="s">
        <v>76</v>
      </c>
      <c r="B488" t="s">
        <v>77</v>
      </c>
    </row>
    <row r="489" spans="1:8" x14ac:dyDescent="0.2">
      <c r="A489" t="s">
        <v>195</v>
      </c>
      <c r="B489" t="s">
        <v>181</v>
      </c>
    </row>
    <row r="490" spans="1:8" ht="16" x14ac:dyDescent="0.2">
      <c r="A490" s="10" t="s">
        <v>79</v>
      </c>
    </row>
    <row r="491" spans="1:8" x14ac:dyDescent="0.2">
      <c r="A491" t="s">
        <v>80</v>
      </c>
      <c r="B491" t="s">
        <v>81</v>
      </c>
      <c r="C491" t="s">
        <v>182</v>
      </c>
      <c r="D491" t="s">
        <v>72</v>
      </c>
      <c r="E491" t="s">
        <v>76</v>
      </c>
      <c r="F491" t="s">
        <v>74</v>
      </c>
      <c r="G491" t="s">
        <v>238</v>
      </c>
      <c r="H491" t="s">
        <v>73</v>
      </c>
    </row>
    <row r="492" spans="1:8" x14ac:dyDescent="0.2">
      <c r="A492" t="s">
        <v>375</v>
      </c>
      <c r="B492">
        <v>1</v>
      </c>
      <c r="C492" t="s">
        <v>181</v>
      </c>
      <c r="D492" t="s">
        <v>95</v>
      </c>
      <c r="E492" t="s">
        <v>77</v>
      </c>
      <c r="F492" t="s">
        <v>84</v>
      </c>
    </row>
    <row r="493" spans="1:8" x14ac:dyDescent="0.2">
      <c r="A493" t="s">
        <v>281</v>
      </c>
      <c r="B493">
        <v>1</v>
      </c>
      <c r="C493" t="s">
        <v>186</v>
      </c>
      <c r="D493" t="s">
        <v>95</v>
      </c>
      <c r="E493" t="s">
        <v>77</v>
      </c>
      <c r="F493" t="s">
        <v>89</v>
      </c>
      <c r="H493" t="s">
        <v>282</v>
      </c>
    </row>
    <row r="494" spans="1:8" x14ac:dyDescent="0.2">
      <c r="A494" t="s">
        <v>289</v>
      </c>
      <c r="B494">
        <v>7.4000000000000003E-10</v>
      </c>
      <c r="C494" t="s">
        <v>186</v>
      </c>
      <c r="D494" t="s">
        <v>95</v>
      </c>
      <c r="E494" t="s">
        <v>76</v>
      </c>
      <c r="F494" t="s">
        <v>89</v>
      </c>
      <c r="H494" t="s">
        <v>290</v>
      </c>
    </row>
    <row r="495" spans="1:8" x14ac:dyDescent="0.2">
      <c r="A495" t="s">
        <v>382</v>
      </c>
      <c r="B495">
        <v>0.75</v>
      </c>
      <c r="C495" t="s">
        <v>186</v>
      </c>
      <c r="D495" t="s">
        <v>95</v>
      </c>
      <c r="E495" t="s">
        <v>77</v>
      </c>
      <c r="F495" t="s">
        <v>89</v>
      </c>
      <c r="G495" t="s">
        <v>383</v>
      </c>
      <c r="H495" t="s">
        <v>384</v>
      </c>
    </row>
    <row r="496" spans="1:8" x14ac:dyDescent="0.2">
      <c r="A496" t="s">
        <v>269</v>
      </c>
      <c r="B496">
        <v>0.25</v>
      </c>
      <c r="C496" t="s">
        <v>186</v>
      </c>
      <c r="D496" t="s">
        <v>95</v>
      </c>
      <c r="E496" t="s">
        <v>77</v>
      </c>
      <c r="F496" t="s">
        <v>89</v>
      </c>
      <c r="H496" t="s">
        <v>270</v>
      </c>
    </row>
    <row r="498" spans="1:7" ht="16" x14ac:dyDescent="0.2">
      <c r="A498" s="10" t="s">
        <v>71</v>
      </c>
      <c r="B498" s="10" t="s">
        <v>374</v>
      </c>
    </row>
    <row r="499" spans="1:7" x14ac:dyDescent="0.2">
      <c r="A499" t="s">
        <v>194</v>
      </c>
      <c r="B499" t="s">
        <v>385</v>
      </c>
    </row>
    <row r="500" spans="1:7" x14ac:dyDescent="0.2">
      <c r="A500" t="s">
        <v>83</v>
      </c>
      <c r="B500" t="s">
        <v>85</v>
      </c>
    </row>
    <row r="501" spans="1:7" x14ac:dyDescent="0.2">
      <c r="A501" t="s">
        <v>72</v>
      </c>
      <c r="B501" t="s">
        <v>95</v>
      </c>
    </row>
    <row r="502" spans="1:7" x14ac:dyDescent="0.2">
      <c r="A502" t="s">
        <v>180</v>
      </c>
      <c r="B502">
        <v>1</v>
      </c>
    </row>
    <row r="503" spans="1:7" x14ac:dyDescent="0.2">
      <c r="A503" t="s">
        <v>73</v>
      </c>
      <c r="B503" t="s">
        <v>374</v>
      </c>
    </row>
    <row r="504" spans="1:7" x14ac:dyDescent="0.2">
      <c r="A504" t="s">
        <v>76</v>
      </c>
      <c r="B504" t="s">
        <v>77</v>
      </c>
    </row>
    <row r="505" spans="1:7" x14ac:dyDescent="0.2">
      <c r="A505" t="s">
        <v>195</v>
      </c>
      <c r="B505" t="s">
        <v>181</v>
      </c>
    </row>
    <row r="506" spans="1:7" ht="16" x14ac:dyDescent="0.2">
      <c r="A506" s="10" t="s">
        <v>79</v>
      </c>
    </row>
    <row r="507" spans="1:7" x14ac:dyDescent="0.2">
      <c r="A507" t="s">
        <v>80</v>
      </c>
      <c r="B507" t="s">
        <v>81</v>
      </c>
      <c r="C507" t="s">
        <v>182</v>
      </c>
      <c r="D507" t="s">
        <v>72</v>
      </c>
      <c r="E507" t="s">
        <v>76</v>
      </c>
      <c r="F507" t="s">
        <v>74</v>
      </c>
      <c r="G507" t="s">
        <v>73</v>
      </c>
    </row>
    <row r="508" spans="1:7" x14ac:dyDescent="0.2">
      <c r="A508" t="s">
        <v>374</v>
      </c>
      <c r="B508">
        <v>1</v>
      </c>
      <c r="C508" t="s">
        <v>181</v>
      </c>
      <c r="D508" t="s">
        <v>95</v>
      </c>
      <c r="E508" t="s">
        <v>77</v>
      </c>
      <c r="F508" t="s">
        <v>84</v>
      </c>
    </row>
    <row r="509" spans="1:7" x14ac:dyDescent="0.2">
      <c r="A509" t="s">
        <v>207</v>
      </c>
      <c r="B509">
        <v>1</v>
      </c>
      <c r="C509" t="s">
        <v>186</v>
      </c>
      <c r="D509" t="s">
        <v>95</v>
      </c>
      <c r="E509" t="s">
        <v>77</v>
      </c>
      <c r="F509" t="s">
        <v>89</v>
      </c>
      <c r="G509" t="s">
        <v>208</v>
      </c>
    </row>
    <row r="510" spans="1:7" x14ac:dyDescent="0.2">
      <c r="A510" t="s">
        <v>209</v>
      </c>
      <c r="B510">
        <v>1.5E-10</v>
      </c>
      <c r="C510" t="s">
        <v>186</v>
      </c>
      <c r="D510" t="s">
        <v>95</v>
      </c>
      <c r="E510" t="s">
        <v>76</v>
      </c>
      <c r="F510" t="s">
        <v>89</v>
      </c>
      <c r="G510" t="s">
        <v>210</v>
      </c>
    </row>
    <row r="511" spans="1:7" x14ac:dyDescent="0.2">
      <c r="A511" t="s">
        <v>285</v>
      </c>
      <c r="B511">
        <v>1</v>
      </c>
      <c r="C511" t="s">
        <v>186</v>
      </c>
      <c r="D511" t="s">
        <v>95</v>
      </c>
      <c r="E511" t="s">
        <v>77</v>
      </c>
      <c r="F511" t="s">
        <v>89</v>
      </c>
      <c r="G511" t="s">
        <v>286</v>
      </c>
    </row>
    <row r="513" spans="1:7" ht="16" x14ac:dyDescent="0.2">
      <c r="A513" s="10" t="s">
        <v>71</v>
      </c>
      <c r="B513" s="10" t="s">
        <v>373</v>
      </c>
    </row>
    <row r="514" spans="1:7" x14ac:dyDescent="0.2">
      <c r="A514" t="s">
        <v>194</v>
      </c>
      <c r="B514" t="s">
        <v>386</v>
      </c>
    </row>
    <row r="515" spans="1:7" x14ac:dyDescent="0.2">
      <c r="A515" t="s">
        <v>83</v>
      </c>
      <c r="B515" t="s">
        <v>85</v>
      </c>
    </row>
    <row r="516" spans="1:7" x14ac:dyDescent="0.2">
      <c r="A516" t="s">
        <v>72</v>
      </c>
      <c r="B516" t="s">
        <v>95</v>
      </c>
    </row>
    <row r="517" spans="1:7" x14ac:dyDescent="0.2">
      <c r="A517" t="s">
        <v>180</v>
      </c>
      <c r="B517">
        <v>1</v>
      </c>
    </row>
    <row r="518" spans="1:7" x14ac:dyDescent="0.2">
      <c r="A518" t="s">
        <v>73</v>
      </c>
      <c r="B518" t="s">
        <v>373</v>
      </c>
    </row>
    <row r="519" spans="1:7" x14ac:dyDescent="0.2">
      <c r="A519" t="s">
        <v>76</v>
      </c>
      <c r="B519" t="s">
        <v>77</v>
      </c>
    </row>
    <row r="520" spans="1:7" x14ac:dyDescent="0.2">
      <c r="A520" t="s">
        <v>195</v>
      </c>
      <c r="B520" t="s">
        <v>181</v>
      </c>
    </row>
    <row r="521" spans="1:7" ht="16" x14ac:dyDescent="0.2">
      <c r="A521" s="10" t="s">
        <v>79</v>
      </c>
    </row>
    <row r="522" spans="1:7" x14ac:dyDescent="0.2">
      <c r="A522" t="s">
        <v>80</v>
      </c>
      <c r="B522" t="s">
        <v>81</v>
      </c>
      <c r="C522" t="s">
        <v>182</v>
      </c>
      <c r="D522" t="s">
        <v>72</v>
      </c>
      <c r="E522" t="s">
        <v>76</v>
      </c>
      <c r="F522" t="s">
        <v>74</v>
      </c>
      <c r="G522" t="s">
        <v>73</v>
      </c>
    </row>
    <row r="523" spans="1:7" x14ac:dyDescent="0.2">
      <c r="A523" t="s">
        <v>373</v>
      </c>
      <c r="B523">
        <v>1</v>
      </c>
      <c r="C523" t="s">
        <v>181</v>
      </c>
      <c r="D523" t="s">
        <v>95</v>
      </c>
      <c r="E523" t="s">
        <v>77</v>
      </c>
      <c r="F523" t="s">
        <v>84</v>
      </c>
    </row>
    <row r="524" spans="1:7" x14ac:dyDescent="0.2">
      <c r="A524" t="s">
        <v>283</v>
      </c>
      <c r="B524">
        <v>4.6000000000000001E-10</v>
      </c>
      <c r="C524" t="s">
        <v>186</v>
      </c>
      <c r="D524" t="s">
        <v>95</v>
      </c>
      <c r="E524" t="s">
        <v>76</v>
      </c>
      <c r="F524" t="s">
        <v>89</v>
      </c>
      <c r="G524" t="s">
        <v>284</v>
      </c>
    </row>
    <row r="525" spans="1:7" x14ac:dyDescent="0.2">
      <c r="A525" t="s">
        <v>304</v>
      </c>
      <c r="B525">
        <v>1</v>
      </c>
      <c r="C525" t="s">
        <v>186</v>
      </c>
      <c r="D525" t="s">
        <v>95</v>
      </c>
      <c r="E525" t="s">
        <v>77</v>
      </c>
      <c r="F525" t="s">
        <v>89</v>
      </c>
      <c r="G525" t="s">
        <v>305</v>
      </c>
    </row>
    <row r="526" spans="1:7" x14ac:dyDescent="0.2">
      <c r="A526" t="s">
        <v>310</v>
      </c>
      <c r="B526">
        <v>1</v>
      </c>
      <c r="C526" t="s">
        <v>186</v>
      </c>
      <c r="D526" t="s">
        <v>95</v>
      </c>
      <c r="E526" t="s">
        <v>77</v>
      </c>
      <c r="F526" t="s">
        <v>89</v>
      </c>
      <c r="G526" t="s">
        <v>311</v>
      </c>
    </row>
    <row r="528" spans="1:7" ht="16" x14ac:dyDescent="0.2">
      <c r="A528" s="10" t="s">
        <v>71</v>
      </c>
      <c r="B528" s="10" t="s">
        <v>240</v>
      </c>
    </row>
    <row r="529" spans="1:7" x14ac:dyDescent="0.2">
      <c r="A529" t="s">
        <v>194</v>
      </c>
      <c r="B529" t="s">
        <v>387</v>
      </c>
    </row>
    <row r="530" spans="1:7" x14ac:dyDescent="0.2">
      <c r="A530" t="s">
        <v>83</v>
      </c>
      <c r="B530" t="s">
        <v>85</v>
      </c>
    </row>
    <row r="531" spans="1:7" x14ac:dyDescent="0.2">
      <c r="A531" t="s">
        <v>72</v>
      </c>
      <c r="B531" t="s">
        <v>95</v>
      </c>
    </row>
    <row r="532" spans="1:7" x14ac:dyDescent="0.2">
      <c r="A532" t="s">
        <v>180</v>
      </c>
      <c r="B532">
        <v>1</v>
      </c>
    </row>
    <row r="533" spans="1:7" x14ac:dyDescent="0.2">
      <c r="A533" t="s">
        <v>73</v>
      </c>
      <c r="B533" t="s">
        <v>240</v>
      </c>
    </row>
    <row r="534" spans="1:7" x14ac:dyDescent="0.2">
      <c r="A534" t="s">
        <v>76</v>
      </c>
      <c r="B534" t="s">
        <v>77</v>
      </c>
    </row>
    <row r="535" spans="1:7" x14ac:dyDescent="0.2">
      <c r="A535" t="s">
        <v>195</v>
      </c>
      <c r="B535" t="s">
        <v>181</v>
      </c>
    </row>
    <row r="536" spans="1:7" ht="16" x14ac:dyDescent="0.2">
      <c r="A536" s="10" t="s">
        <v>79</v>
      </c>
    </row>
    <row r="537" spans="1:7" x14ac:dyDescent="0.2">
      <c r="A537" t="s">
        <v>80</v>
      </c>
      <c r="B537" t="s">
        <v>81</v>
      </c>
      <c r="C537" t="s">
        <v>182</v>
      </c>
      <c r="D537" t="s">
        <v>72</v>
      </c>
      <c r="E537" t="s">
        <v>76</v>
      </c>
      <c r="F537" t="s">
        <v>74</v>
      </c>
      <c r="G537" t="s">
        <v>73</v>
      </c>
    </row>
    <row r="538" spans="1:7" x14ac:dyDescent="0.2">
      <c r="A538" t="s">
        <v>240</v>
      </c>
      <c r="B538">
        <v>1</v>
      </c>
      <c r="C538" t="s">
        <v>181</v>
      </c>
      <c r="D538" t="s">
        <v>95</v>
      </c>
      <c r="E538" t="s">
        <v>77</v>
      </c>
      <c r="F538" t="s">
        <v>84</v>
      </c>
    </row>
    <row r="539" spans="1:7" x14ac:dyDescent="0.2">
      <c r="A539" t="s">
        <v>199</v>
      </c>
      <c r="B539">
        <v>4.0000000000000001E-10</v>
      </c>
      <c r="C539" t="s">
        <v>186</v>
      </c>
      <c r="D539" t="s">
        <v>95</v>
      </c>
      <c r="E539" t="s">
        <v>76</v>
      </c>
      <c r="F539" t="s">
        <v>89</v>
      </c>
      <c r="G539" t="s">
        <v>200</v>
      </c>
    </row>
    <row r="540" spans="1:7" x14ac:dyDescent="0.2">
      <c r="A540" t="s">
        <v>388</v>
      </c>
      <c r="B540">
        <v>0.88</v>
      </c>
      <c r="C540" t="s">
        <v>186</v>
      </c>
      <c r="D540" t="s">
        <v>95</v>
      </c>
      <c r="E540" t="s">
        <v>77</v>
      </c>
      <c r="F540" t="s">
        <v>89</v>
      </c>
      <c r="G540" t="s">
        <v>389</v>
      </c>
    </row>
    <row r="541" spans="1:7" x14ac:dyDescent="0.2">
      <c r="A541" t="s">
        <v>390</v>
      </c>
      <c r="B541">
        <v>0.12</v>
      </c>
      <c r="C541" t="s">
        <v>186</v>
      </c>
      <c r="D541" t="s">
        <v>95</v>
      </c>
      <c r="E541" t="s">
        <v>77</v>
      </c>
      <c r="F541" t="s">
        <v>89</v>
      </c>
      <c r="G541" t="s">
        <v>391</v>
      </c>
    </row>
    <row r="543" spans="1:7" ht="16" x14ac:dyDescent="0.2">
      <c r="A543" s="10" t="s">
        <v>71</v>
      </c>
      <c r="B543" s="10" t="s">
        <v>264</v>
      </c>
    </row>
    <row r="544" spans="1:7" x14ac:dyDescent="0.2">
      <c r="A544" t="s">
        <v>194</v>
      </c>
      <c r="B544" t="s">
        <v>392</v>
      </c>
    </row>
    <row r="545" spans="1:7" x14ac:dyDescent="0.2">
      <c r="A545" t="s">
        <v>83</v>
      </c>
      <c r="B545" t="s">
        <v>85</v>
      </c>
    </row>
    <row r="546" spans="1:7" x14ac:dyDescent="0.2">
      <c r="A546" t="s">
        <v>72</v>
      </c>
      <c r="B546" t="s">
        <v>95</v>
      </c>
    </row>
    <row r="547" spans="1:7" x14ac:dyDescent="0.2">
      <c r="A547" t="s">
        <v>180</v>
      </c>
      <c r="B547">
        <v>1</v>
      </c>
    </row>
    <row r="548" spans="1:7" x14ac:dyDescent="0.2">
      <c r="A548" t="s">
        <v>73</v>
      </c>
      <c r="B548" t="s">
        <v>264</v>
      </c>
    </row>
    <row r="549" spans="1:7" x14ac:dyDescent="0.2">
      <c r="A549" t="s">
        <v>76</v>
      </c>
      <c r="B549" t="s">
        <v>77</v>
      </c>
    </row>
    <row r="550" spans="1:7" x14ac:dyDescent="0.2">
      <c r="A550" t="s">
        <v>195</v>
      </c>
      <c r="B550" t="s">
        <v>181</v>
      </c>
    </row>
    <row r="551" spans="1:7" ht="16" x14ac:dyDescent="0.2">
      <c r="A551" s="10" t="s">
        <v>79</v>
      </c>
    </row>
    <row r="552" spans="1:7" x14ac:dyDescent="0.2">
      <c r="A552" t="s">
        <v>80</v>
      </c>
      <c r="B552" t="s">
        <v>81</v>
      </c>
      <c r="C552" t="s">
        <v>182</v>
      </c>
      <c r="D552" t="s">
        <v>72</v>
      </c>
      <c r="E552" t="s">
        <v>76</v>
      </c>
      <c r="F552" t="s">
        <v>74</v>
      </c>
      <c r="G552" t="s">
        <v>73</v>
      </c>
    </row>
    <row r="553" spans="1:7" x14ac:dyDescent="0.2">
      <c r="A553" t="s">
        <v>264</v>
      </c>
      <c r="B553">
        <v>1</v>
      </c>
      <c r="C553" t="s">
        <v>181</v>
      </c>
      <c r="D553" t="s">
        <v>95</v>
      </c>
      <c r="E553" t="s">
        <v>77</v>
      </c>
      <c r="F553" t="s">
        <v>84</v>
      </c>
    </row>
    <row r="554" spans="1:7" x14ac:dyDescent="0.2">
      <c r="A554" t="s">
        <v>275</v>
      </c>
      <c r="B554">
        <v>3.4000000000000002E-2</v>
      </c>
      <c r="C554" t="s">
        <v>181</v>
      </c>
      <c r="D554" t="s">
        <v>95</v>
      </c>
      <c r="E554" t="s">
        <v>77</v>
      </c>
      <c r="F554" t="s">
        <v>89</v>
      </c>
      <c r="G554" t="s">
        <v>275</v>
      </c>
    </row>
    <row r="555" spans="1:7" x14ac:dyDescent="0.2">
      <c r="A555" t="s">
        <v>393</v>
      </c>
      <c r="B555">
        <v>1.6000000000000001E-3</v>
      </c>
      <c r="C555" t="s">
        <v>181</v>
      </c>
      <c r="D555" t="s">
        <v>95</v>
      </c>
      <c r="E555" t="s">
        <v>77</v>
      </c>
      <c r="F555" t="s">
        <v>89</v>
      </c>
      <c r="G555" t="s">
        <v>393</v>
      </c>
    </row>
    <row r="556" spans="1:7" x14ac:dyDescent="0.2">
      <c r="A556" t="s">
        <v>394</v>
      </c>
      <c r="B556">
        <v>4.8999999999999998E-3</v>
      </c>
      <c r="C556" t="s">
        <v>181</v>
      </c>
      <c r="D556" t="s">
        <v>95</v>
      </c>
      <c r="E556" t="s">
        <v>77</v>
      </c>
      <c r="F556" t="s">
        <v>89</v>
      </c>
      <c r="G556" t="s">
        <v>394</v>
      </c>
    </row>
    <row r="557" spans="1:7" x14ac:dyDescent="0.2">
      <c r="A557" t="s">
        <v>395</v>
      </c>
      <c r="B557">
        <v>0.4</v>
      </c>
      <c r="C557" t="s">
        <v>181</v>
      </c>
      <c r="D557" t="s">
        <v>95</v>
      </c>
      <c r="E557" t="s">
        <v>77</v>
      </c>
      <c r="F557" t="s">
        <v>89</v>
      </c>
      <c r="G557" t="s">
        <v>395</v>
      </c>
    </row>
    <row r="558" spans="1:7" x14ac:dyDescent="0.2">
      <c r="A558" t="s">
        <v>396</v>
      </c>
      <c r="B558">
        <v>4.8000000000000001E-2</v>
      </c>
      <c r="C558" t="s">
        <v>181</v>
      </c>
      <c r="D558" t="s">
        <v>95</v>
      </c>
      <c r="E558" t="s">
        <v>77</v>
      </c>
      <c r="F558" t="s">
        <v>89</v>
      </c>
      <c r="G558" t="s">
        <v>396</v>
      </c>
    </row>
    <row r="559" spans="1:7" x14ac:dyDescent="0.2">
      <c r="A559" t="s">
        <v>397</v>
      </c>
      <c r="B559">
        <v>2.8000000000000001E-2</v>
      </c>
      <c r="C559" t="s">
        <v>181</v>
      </c>
      <c r="D559" t="s">
        <v>95</v>
      </c>
      <c r="E559" t="s">
        <v>77</v>
      </c>
      <c r="F559" t="s">
        <v>89</v>
      </c>
      <c r="G559" t="s">
        <v>397</v>
      </c>
    </row>
    <row r="560" spans="1:7" x14ac:dyDescent="0.2">
      <c r="A560" t="s">
        <v>398</v>
      </c>
      <c r="B560">
        <v>0.48</v>
      </c>
      <c r="C560" t="s">
        <v>181</v>
      </c>
      <c r="D560" t="s">
        <v>95</v>
      </c>
      <c r="E560" t="s">
        <v>77</v>
      </c>
      <c r="F560" t="s">
        <v>89</v>
      </c>
      <c r="G560" t="s">
        <v>398</v>
      </c>
    </row>
    <row r="561" spans="1:7" x14ac:dyDescent="0.2">
      <c r="A561" t="s">
        <v>229</v>
      </c>
      <c r="B561">
        <v>1.9000000000000001E-8</v>
      </c>
      <c r="C561" t="s">
        <v>186</v>
      </c>
      <c r="D561" t="s">
        <v>95</v>
      </c>
      <c r="E561" t="s">
        <v>76</v>
      </c>
      <c r="F561" t="s">
        <v>89</v>
      </c>
      <c r="G561" t="s">
        <v>230</v>
      </c>
    </row>
    <row r="562" spans="1:7" x14ac:dyDescent="0.2">
      <c r="A562" t="s">
        <v>256</v>
      </c>
      <c r="B562">
        <v>0.2</v>
      </c>
      <c r="C562" t="s">
        <v>186</v>
      </c>
      <c r="D562" t="s">
        <v>257</v>
      </c>
      <c r="E562" t="s">
        <v>233</v>
      </c>
      <c r="F562" t="s">
        <v>89</v>
      </c>
      <c r="G562" t="s">
        <v>258</v>
      </c>
    </row>
    <row r="563" spans="1:7" x14ac:dyDescent="0.2">
      <c r="A563" t="s">
        <v>259</v>
      </c>
      <c r="B563">
        <v>0.1</v>
      </c>
      <c r="C563" t="s">
        <v>186</v>
      </c>
      <c r="D563" t="s">
        <v>232</v>
      </c>
      <c r="E563" t="s">
        <v>233</v>
      </c>
      <c r="F563" t="s">
        <v>89</v>
      </c>
      <c r="G563" t="s">
        <v>260</v>
      </c>
    </row>
    <row r="565" spans="1:7" ht="16" x14ac:dyDescent="0.2">
      <c r="A565" s="10" t="s">
        <v>71</v>
      </c>
      <c r="B565" s="10" t="s">
        <v>393</v>
      </c>
    </row>
    <row r="566" spans="1:7" x14ac:dyDescent="0.2">
      <c r="A566" t="s">
        <v>194</v>
      </c>
      <c r="B566" t="s">
        <v>399</v>
      </c>
    </row>
    <row r="567" spans="1:7" x14ac:dyDescent="0.2">
      <c r="A567" t="s">
        <v>83</v>
      </c>
      <c r="B567" t="s">
        <v>85</v>
      </c>
    </row>
    <row r="568" spans="1:7" x14ac:dyDescent="0.2">
      <c r="A568" t="s">
        <v>72</v>
      </c>
      <c r="B568" t="s">
        <v>95</v>
      </c>
    </row>
    <row r="569" spans="1:7" x14ac:dyDescent="0.2">
      <c r="A569" t="s">
        <v>180</v>
      </c>
      <c r="B569">
        <v>1</v>
      </c>
    </row>
    <row r="570" spans="1:7" x14ac:dyDescent="0.2">
      <c r="A570" t="s">
        <v>73</v>
      </c>
      <c r="B570" t="s">
        <v>393</v>
      </c>
    </row>
    <row r="571" spans="1:7" x14ac:dyDescent="0.2">
      <c r="A571" t="s">
        <v>76</v>
      </c>
      <c r="B571" t="s">
        <v>77</v>
      </c>
    </row>
    <row r="572" spans="1:7" x14ac:dyDescent="0.2">
      <c r="A572" t="s">
        <v>195</v>
      </c>
      <c r="B572" t="s">
        <v>181</v>
      </c>
    </row>
    <row r="573" spans="1:7" ht="16" x14ac:dyDescent="0.2">
      <c r="A573" s="10" t="s">
        <v>79</v>
      </c>
    </row>
    <row r="574" spans="1:7" x14ac:dyDescent="0.2">
      <c r="A574" t="s">
        <v>80</v>
      </c>
      <c r="B574" t="s">
        <v>81</v>
      </c>
      <c r="C574" t="s">
        <v>182</v>
      </c>
      <c r="D574" t="s">
        <v>72</v>
      </c>
      <c r="E574" t="s">
        <v>76</v>
      </c>
      <c r="F574" t="s">
        <v>74</v>
      </c>
      <c r="G574" t="s">
        <v>73</v>
      </c>
    </row>
    <row r="575" spans="1:7" x14ac:dyDescent="0.2">
      <c r="A575" t="s">
        <v>393</v>
      </c>
      <c r="B575">
        <v>1</v>
      </c>
      <c r="C575" t="s">
        <v>181</v>
      </c>
      <c r="D575" t="s">
        <v>95</v>
      </c>
      <c r="E575" t="s">
        <v>77</v>
      </c>
      <c r="F575" t="s">
        <v>84</v>
      </c>
    </row>
    <row r="576" spans="1:7" x14ac:dyDescent="0.2">
      <c r="A576" t="s">
        <v>207</v>
      </c>
      <c r="B576">
        <v>1</v>
      </c>
      <c r="C576" t="s">
        <v>186</v>
      </c>
      <c r="D576" t="s">
        <v>95</v>
      </c>
      <c r="E576" t="s">
        <v>77</v>
      </c>
      <c r="F576" t="s">
        <v>89</v>
      </c>
      <c r="G576" t="s">
        <v>208</v>
      </c>
    </row>
    <row r="577" spans="1:7" x14ac:dyDescent="0.2">
      <c r="A577" t="s">
        <v>277</v>
      </c>
      <c r="B577">
        <v>9.0999999999999998E-2</v>
      </c>
      <c r="C577" t="s">
        <v>186</v>
      </c>
      <c r="D577" t="s">
        <v>95</v>
      </c>
      <c r="E577" t="s">
        <v>77</v>
      </c>
      <c r="F577" t="s">
        <v>89</v>
      </c>
      <c r="G577" t="s">
        <v>278</v>
      </c>
    </row>
    <row r="578" spans="1:7" x14ac:dyDescent="0.2">
      <c r="A578" t="s">
        <v>209</v>
      </c>
      <c r="B578">
        <v>1.4000000000000001E-10</v>
      </c>
      <c r="C578" t="s">
        <v>186</v>
      </c>
      <c r="D578" t="s">
        <v>95</v>
      </c>
      <c r="E578" t="s">
        <v>76</v>
      </c>
      <c r="F578" t="s">
        <v>89</v>
      </c>
      <c r="G578" t="s">
        <v>210</v>
      </c>
    </row>
    <row r="579" spans="1:7" x14ac:dyDescent="0.2">
      <c r="A579" t="s">
        <v>281</v>
      </c>
      <c r="B579">
        <v>9.0999999999999998E-2</v>
      </c>
      <c r="C579" t="s">
        <v>186</v>
      </c>
      <c r="D579" t="s">
        <v>95</v>
      </c>
      <c r="E579" t="s">
        <v>77</v>
      </c>
      <c r="F579" t="s">
        <v>89</v>
      </c>
      <c r="G579" t="s">
        <v>282</v>
      </c>
    </row>
    <row r="580" spans="1:7" x14ac:dyDescent="0.2">
      <c r="A580" t="s">
        <v>285</v>
      </c>
      <c r="B580">
        <v>0.91</v>
      </c>
      <c r="C580" t="s">
        <v>186</v>
      </c>
      <c r="D580" t="s">
        <v>95</v>
      </c>
      <c r="E580" t="s">
        <v>77</v>
      </c>
      <c r="F580" t="s">
        <v>89</v>
      </c>
      <c r="G580" t="s">
        <v>286</v>
      </c>
    </row>
    <row r="581" spans="1:7" x14ac:dyDescent="0.2">
      <c r="A581" t="s">
        <v>289</v>
      </c>
      <c r="B581">
        <v>6.7000000000000001E-11</v>
      </c>
      <c r="C581" t="s">
        <v>186</v>
      </c>
      <c r="D581" t="s">
        <v>95</v>
      </c>
      <c r="E581" t="s">
        <v>76</v>
      </c>
      <c r="F581" t="s">
        <v>89</v>
      </c>
      <c r="G581" t="s">
        <v>290</v>
      </c>
    </row>
    <row r="583" spans="1:7" ht="16" x14ac:dyDescent="0.2">
      <c r="A583" s="10" t="s">
        <v>71</v>
      </c>
      <c r="B583" s="10" t="s">
        <v>394</v>
      </c>
    </row>
    <row r="584" spans="1:7" x14ac:dyDescent="0.2">
      <c r="A584" t="s">
        <v>194</v>
      </c>
      <c r="B584" t="s">
        <v>400</v>
      </c>
    </row>
    <row r="585" spans="1:7" x14ac:dyDescent="0.2">
      <c r="A585" t="s">
        <v>83</v>
      </c>
      <c r="B585" t="s">
        <v>85</v>
      </c>
    </row>
    <row r="586" spans="1:7" x14ac:dyDescent="0.2">
      <c r="A586" t="s">
        <v>72</v>
      </c>
      <c r="B586" t="s">
        <v>95</v>
      </c>
    </row>
    <row r="587" spans="1:7" x14ac:dyDescent="0.2">
      <c r="A587" t="s">
        <v>180</v>
      </c>
      <c r="B587">
        <v>1</v>
      </c>
    </row>
    <row r="588" spans="1:7" x14ac:dyDescent="0.2">
      <c r="A588" t="s">
        <v>73</v>
      </c>
      <c r="B588" t="s">
        <v>394</v>
      </c>
    </row>
    <row r="589" spans="1:7" x14ac:dyDescent="0.2">
      <c r="A589" t="s">
        <v>76</v>
      </c>
      <c r="B589" t="s">
        <v>77</v>
      </c>
    </row>
    <row r="590" spans="1:7" x14ac:dyDescent="0.2">
      <c r="A590" t="s">
        <v>195</v>
      </c>
      <c r="B590" t="s">
        <v>181</v>
      </c>
    </row>
    <row r="591" spans="1:7" ht="16" x14ac:dyDescent="0.2">
      <c r="A591" s="10" t="s">
        <v>79</v>
      </c>
    </row>
    <row r="592" spans="1:7" x14ac:dyDescent="0.2">
      <c r="A592" t="s">
        <v>80</v>
      </c>
      <c r="B592" t="s">
        <v>81</v>
      </c>
      <c r="C592" t="s">
        <v>182</v>
      </c>
      <c r="D592" t="s">
        <v>72</v>
      </c>
      <c r="E592" t="s">
        <v>76</v>
      </c>
      <c r="F592" t="s">
        <v>74</v>
      </c>
      <c r="G592" t="s">
        <v>73</v>
      </c>
    </row>
    <row r="593" spans="1:7" x14ac:dyDescent="0.2">
      <c r="A593" t="s">
        <v>394</v>
      </c>
      <c r="B593">
        <v>1</v>
      </c>
      <c r="C593" t="s">
        <v>181</v>
      </c>
      <c r="D593" t="s">
        <v>95</v>
      </c>
      <c r="E593" t="s">
        <v>77</v>
      </c>
      <c r="F593" t="s">
        <v>84</v>
      </c>
    </row>
    <row r="594" spans="1:7" x14ac:dyDescent="0.2">
      <c r="A594" t="s">
        <v>277</v>
      </c>
      <c r="B594">
        <v>3.1E-2</v>
      </c>
      <c r="C594" t="s">
        <v>186</v>
      </c>
      <c r="D594" t="s">
        <v>95</v>
      </c>
      <c r="E594" t="s">
        <v>77</v>
      </c>
      <c r="F594" t="s">
        <v>89</v>
      </c>
      <c r="G594" t="s">
        <v>278</v>
      </c>
    </row>
    <row r="595" spans="1:7" x14ac:dyDescent="0.2">
      <c r="A595" t="s">
        <v>279</v>
      </c>
      <c r="B595">
        <v>0.82</v>
      </c>
      <c r="C595" t="s">
        <v>186</v>
      </c>
      <c r="D595" t="s">
        <v>95</v>
      </c>
      <c r="E595" t="s">
        <v>77</v>
      </c>
      <c r="F595" t="s">
        <v>89</v>
      </c>
      <c r="G595" t="s">
        <v>280</v>
      </c>
    </row>
    <row r="596" spans="1:7" x14ac:dyDescent="0.2">
      <c r="A596" t="s">
        <v>279</v>
      </c>
      <c r="B596">
        <v>0.15</v>
      </c>
      <c r="C596" t="s">
        <v>186</v>
      </c>
      <c r="D596" t="s">
        <v>95</v>
      </c>
      <c r="E596" t="s">
        <v>77</v>
      </c>
      <c r="F596" t="s">
        <v>89</v>
      </c>
      <c r="G596" t="s">
        <v>280</v>
      </c>
    </row>
    <row r="597" spans="1:7" x14ac:dyDescent="0.2">
      <c r="A597" t="s">
        <v>281</v>
      </c>
      <c r="B597">
        <v>3.1E-2</v>
      </c>
      <c r="C597" t="s">
        <v>186</v>
      </c>
      <c r="D597" t="s">
        <v>95</v>
      </c>
      <c r="E597" t="s">
        <v>77</v>
      </c>
      <c r="F597" t="s">
        <v>89</v>
      </c>
      <c r="G597" t="s">
        <v>282</v>
      </c>
    </row>
    <row r="598" spans="1:7" x14ac:dyDescent="0.2">
      <c r="A598" t="s">
        <v>283</v>
      </c>
      <c r="B598">
        <v>4.3999999999999998E-10</v>
      </c>
      <c r="C598" t="s">
        <v>186</v>
      </c>
      <c r="D598" t="s">
        <v>95</v>
      </c>
      <c r="E598" t="s">
        <v>76</v>
      </c>
      <c r="F598" t="s">
        <v>89</v>
      </c>
      <c r="G598" t="s">
        <v>284</v>
      </c>
    </row>
    <row r="599" spans="1:7" x14ac:dyDescent="0.2">
      <c r="A599" t="s">
        <v>287</v>
      </c>
      <c r="B599">
        <v>0.97</v>
      </c>
      <c r="C599" t="s">
        <v>186</v>
      </c>
      <c r="D599" t="s">
        <v>95</v>
      </c>
      <c r="E599" t="s">
        <v>77</v>
      </c>
      <c r="F599" t="s">
        <v>89</v>
      </c>
      <c r="G599" t="s">
        <v>288</v>
      </c>
    </row>
    <row r="600" spans="1:7" x14ac:dyDescent="0.2">
      <c r="A600" t="s">
        <v>289</v>
      </c>
      <c r="B600">
        <v>2.3000000000000001E-11</v>
      </c>
      <c r="C600" t="s">
        <v>186</v>
      </c>
      <c r="D600" t="s">
        <v>95</v>
      </c>
      <c r="E600" t="s">
        <v>76</v>
      </c>
      <c r="F600" t="s">
        <v>89</v>
      </c>
      <c r="G600" t="s">
        <v>290</v>
      </c>
    </row>
    <row r="602" spans="1:7" ht="16" x14ac:dyDescent="0.2">
      <c r="A602" s="10" t="s">
        <v>71</v>
      </c>
      <c r="B602" s="10" t="s">
        <v>266</v>
      </c>
    </row>
    <row r="603" spans="1:7" x14ac:dyDescent="0.2">
      <c r="A603" t="s">
        <v>194</v>
      </c>
      <c r="B603" t="s">
        <v>401</v>
      </c>
    </row>
    <row r="604" spans="1:7" x14ac:dyDescent="0.2">
      <c r="A604" t="s">
        <v>83</v>
      </c>
      <c r="B604" t="s">
        <v>85</v>
      </c>
    </row>
    <row r="605" spans="1:7" x14ac:dyDescent="0.2">
      <c r="A605" t="s">
        <v>72</v>
      </c>
      <c r="B605" t="s">
        <v>95</v>
      </c>
    </row>
    <row r="606" spans="1:7" x14ac:dyDescent="0.2">
      <c r="A606" t="s">
        <v>180</v>
      </c>
      <c r="B606">
        <v>1</v>
      </c>
    </row>
    <row r="607" spans="1:7" x14ac:dyDescent="0.2">
      <c r="A607" t="s">
        <v>73</v>
      </c>
      <c r="B607" t="s">
        <v>266</v>
      </c>
    </row>
    <row r="608" spans="1:7" x14ac:dyDescent="0.2">
      <c r="A608" t="s">
        <v>76</v>
      </c>
      <c r="B608" t="s">
        <v>77</v>
      </c>
    </row>
    <row r="609" spans="1:7" x14ac:dyDescent="0.2">
      <c r="A609" t="s">
        <v>195</v>
      </c>
      <c r="B609" t="s">
        <v>181</v>
      </c>
    </row>
    <row r="610" spans="1:7" ht="16" x14ac:dyDescent="0.2">
      <c r="A610" s="10" t="s">
        <v>79</v>
      </c>
    </row>
    <row r="611" spans="1:7" x14ac:dyDescent="0.2">
      <c r="A611" t="s">
        <v>80</v>
      </c>
      <c r="B611" t="s">
        <v>81</v>
      </c>
      <c r="C611" t="s">
        <v>182</v>
      </c>
      <c r="D611" t="s">
        <v>72</v>
      </c>
      <c r="E611" t="s">
        <v>76</v>
      </c>
      <c r="F611" t="s">
        <v>74</v>
      </c>
      <c r="G611" t="s">
        <v>73</v>
      </c>
    </row>
    <row r="612" spans="1:7" x14ac:dyDescent="0.2">
      <c r="A612" t="s">
        <v>266</v>
      </c>
      <c r="B612">
        <v>1</v>
      </c>
      <c r="C612" t="s">
        <v>181</v>
      </c>
      <c r="D612" t="s">
        <v>95</v>
      </c>
      <c r="E612" t="s">
        <v>77</v>
      </c>
      <c r="F612" t="s">
        <v>84</v>
      </c>
    </row>
    <row r="613" spans="1:7" x14ac:dyDescent="0.2">
      <c r="A613" t="s">
        <v>283</v>
      </c>
      <c r="B613">
        <v>4.6000000000000001E-10</v>
      </c>
      <c r="C613" t="s">
        <v>186</v>
      </c>
      <c r="D613" t="s">
        <v>95</v>
      </c>
      <c r="E613" t="s">
        <v>76</v>
      </c>
      <c r="F613" t="s">
        <v>89</v>
      </c>
      <c r="G613" t="s">
        <v>284</v>
      </c>
    </row>
    <row r="614" spans="1:7" x14ac:dyDescent="0.2">
      <c r="A614" t="s">
        <v>304</v>
      </c>
      <c r="B614">
        <v>1</v>
      </c>
      <c r="C614" t="s">
        <v>186</v>
      </c>
      <c r="D614" t="s">
        <v>95</v>
      </c>
      <c r="E614" t="s">
        <v>77</v>
      </c>
      <c r="F614" t="s">
        <v>89</v>
      </c>
      <c r="G614" t="s">
        <v>305</v>
      </c>
    </row>
    <row r="615" spans="1:7" x14ac:dyDescent="0.2">
      <c r="A615" t="s">
        <v>310</v>
      </c>
      <c r="B615">
        <v>1</v>
      </c>
      <c r="C615" t="s">
        <v>186</v>
      </c>
      <c r="D615" t="s">
        <v>95</v>
      </c>
      <c r="E615" t="s">
        <v>77</v>
      </c>
      <c r="F615" t="s">
        <v>89</v>
      </c>
      <c r="G615" t="s">
        <v>311</v>
      </c>
    </row>
    <row r="617" spans="1:7" ht="16" x14ac:dyDescent="0.2">
      <c r="A617" s="10" t="s">
        <v>71</v>
      </c>
      <c r="B617" s="10" t="s">
        <v>395</v>
      </c>
    </row>
    <row r="618" spans="1:7" x14ac:dyDescent="0.2">
      <c r="A618" t="s">
        <v>194</v>
      </c>
      <c r="B618" t="s">
        <v>402</v>
      </c>
    </row>
    <row r="619" spans="1:7" x14ac:dyDescent="0.2">
      <c r="A619" t="s">
        <v>83</v>
      </c>
      <c r="B619" t="s">
        <v>85</v>
      </c>
    </row>
    <row r="620" spans="1:7" x14ac:dyDescent="0.2">
      <c r="A620" t="s">
        <v>72</v>
      </c>
      <c r="B620" t="s">
        <v>95</v>
      </c>
    </row>
    <row r="621" spans="1:7" x14ac:dyDescent="0.2">
      <c r="A621" t="s">
        <v>180</v>
      </c>
      <c r="B621">
        <v>1</v>
      </c>
    </row>
    <row r="622" spans="1:7" x14ac:dyDescent="0.2">
      <c r="A622" t="s">
        <v>73</v>
      </c>
      <c r="B622" t="s">
        <v>395</v>
      </c>
    </row>
    <row r="623" spans="1:7" x14ac:dyDescent="0.2">
      <c r="A623" t="s">
        <v>76</v>
      </c>
      <c r="B623" t="s">
        <v>77</v>
      </c>
    </row>
    <row r="624" spans="1:7" x14ac:dyDescent="0.2">
      <c r="A624" t="s">
        <v>195</v>
      </c>
      <c r="B624" t="s">
        <v>181</v>
      </c>
    </row>
    <row r="625" spans="1:7" ht="16" x14ac:dyDescent="0.2">
      <c r="A625" s="10" t="s">
        <v>79</v>
      </c>
    </row>
    <row r="626" spans="1:7" x14ac:dyDescent="0.2">
      <c r="A626" t="s">
        <v>80</v>
      </c>
      <c r="B626" t="s">
        <v>81</v>
      </c>
      <c r="C626" t="s">
        <v>182</v>
      </c>
      <c r="D626" t="s">
        <v>72</v>
      </c>
      <c r="E626" t="s">
        <v>76</v>
      </c>
      <c r="F626" t="s">
        <v>74</v>
      </c>
      <c r="G626" t="s">
        <v>73</v>
      </c>
    </row>
    <row r="627" spans="1:7" x14ac:dyDescent="0.2">
      <c r="A627" t="s">
        <v>395</v>
      </c>
      <c r="B627">
        <v>1</v>
      </c>
      <c r="C627" t="s">
        <v>181</v>
      </c>
      <c r="D627" t="s">
        <v>95</v>
      </c>
      <c r="E627" t="s">
        <v>77</v>
      </c>
      <c r="F627" t="s">
        <v>84</v>
      </c>
    </row>
    <row r="628" spans="1:7" x14ac:dyDescent="0.2">
      <c r="A628" t="s">
        <v>207</v>
      </c>
      <c r="B628">
        <v>1</v>
      </c>
      <c r="C628" t="s">
        <v>186</v>
      </c>
      <c r="D628" t="s">
        <v>95</v>
      </c>
      <c r="E628" t="s">
        <v>77</v>
      </c>
      <c r="F628" t="s">
        <v>89</v>
      </c>
      <c r="G628" t="s">
        <v>208</v>
      </c>
    </row>
    <row r="629" spans="1:7" x14ac:dyDescent="0.2">
      <c r="A629" t="s">
        <v>209</v>
      </c>
      <c r="B629">
        <v>1E-10</v>
      </c>
      <c r="C629" t="s">
        <v>186</v>
      </c>
      <c r="D629" t="s">
        <v>95</v>
      </c>
      <c r="E629" t="s">
        <v>76</v>
      </c>
      <c r="F629" t="s">
        <v>89</v>
      </c>
      <c r="G629" t="s">
        <v>210</v>
      </c>
    </row>
    <row r="630" spans="1:7" x14ac:dyDescent="0.2">
      <c r="A630" t="s">
        <v>403</v>
      </c>
      <c r="B630">
        <v>0.03</v>
      </c>
      <c r="C630" t="s">
        <v>186</v>
      </c>
      <c r="D630" t="s">
        <v>95</v>
      </c>
      <c r="E630" t="s">
        <v>404</v>
      </c>
      <c r="F630" t="s">
        <v>89</v>
      </c>
      <c r="G630" t="s">
        <v>405</v>
      </c>
    </row>
    <row r="631" spans="1:7" x14ac:dyDescent="0.2">
      <c r="A631" t="s">
        <v>281</v>
      </c>
      <c r="B631">
        <v>0.35</v>
      </c>
      <c r="C631" t="s">
        <v>186</v>
      </c>
      <c r="D631" t="s">
        <v>95</v>
      </c>
      <c r="E631" t="s">
        <v>77</v>
      </c>
      <c r="F631" t="s">
        <v>89</v>
      </c>
      <c r="G631" t="s">
        <v>282</v>
      </c>
    </row>
    <row r="632" spans="1:7" x14ac:dyDescent="0.2">
      <c r="A632" t="s">
        <v>406</v>
      </c>
      <c r="B632">
        <v>0.35</v>
      </c>
      <c r="C632" t="s">
        <v>186</v>
      </c>
      <c r="D632" t="s">
        <v>232</v>
      </c>
      <c r="E632" t="s">
        <v>77</v>
      </c>
      <c r="F632" t="s">
        <v>89</v>
      </c>
      <c r="G632" t="s">
        <v>407</v>
      </c>
    </row>
    <row r="633" spans="1:7" x14ac:dyDescent="0.2">
      <c r="A633" t="s">
        <v>289</v>
      </c>
      <c r="B633">
        <v>2.5999999999999998E-10</v>
      </c>
      <c r="C633" t="s">
        <v>186</v>
      </c>
      <c r="D633" t="s">
        <v>95</v>
      </c>
      <c r="E633" t="s">
        <v>76</v>
      </c>
      <c r="F633" t="s">
        <v>89</v>
      </c>
      <c r="G633" t="s">
        <v>290</v>
      </c>
    </row>
    <row r="634" spans="1:7" x14ac:dyDescent="0.2">
      <c r="A634" t="s">
        <v>211</v>
      </c>
      <c r="B634">
        <v>0.65</v>
      </c>
      <c r="C634" t="s">
        <v>186</v>
      </c>
      <c r="D634" t="s">
        <v>95</v>
      </c>
      <c r="E634" t="s">
        <v>77</v>
      </c>
      <c r="F634" t="s">
        <v>89</v>
      </c>
      <c r="G634" t="s">
        <v>212</v>
      </c>
    </row>
    <row r="636" spans="1:7" ht="16" x14ac:dyDescent="0.2">
      <c r="A636" s="10" t="s">
        <v>71</v>
      </c>
      <c r="B636" s="10" t="s">
        <v>252</v>
      </c>
    </row>
    <row r="637" spans="1:7" x14ac:dyDescent="0.2">
      <c r="A637" t="s">
        <v>194</v>
      </c>
      <c r="B637" t="s">
        <v>408</v>
      </c>
    </row>
    <row r="638" spans="1:7" x14ac:dyDescent="0.2">
      <c r="A638" t="s">
        <v>83</v>
      </c>
      <c r="B638" t="s">
        <v>85</v>
      </c>
    </row>
    <row r="639" spans="1:7" x14ac:dyDescent="0.2">
      <c r="A639" t="s">
        <v>72</v>
      </c>
      <c r="B639" t="s">
        <v>95</v>
      </c>
    </row>
    <row r="640" spans="1:7" x14ac:dyDescent="0.2">
      <c r="A640" t="s">
        <v>180</v>
      </c>
      <c r="B640">
        <v>1</v>
      </c>
    </row>
    <row r="641" spans="1:7" x14ac:dyDescent="0.2">
      <c r="A641" t="s">
        <v>73</v>
      </c>
      <c r="B641" t="s">
        <v>252</v>
      </c>
    </row>
    <row r="642" spans="1:7" x14ac:dyDescent="0.2">
      <c r="A642" t="s">
        <v>76</v>
      </c>
      <c r="B642" t="s">
        <v>77</v>
      </c>
    </row>
    <row r="643" spans="1:7" x14ac:dyDescent="0.2">
      <c r="A643" t="s">
        <v>195</v>
      </c>
      <c r="B643" t="s">
        <v>181</v>
      </c>
    </row>
    <row r="644" spans="1:7" ht="16" x14ac:dyDescent="0.2">
      <c r="A644" s="10" t="s">
        <v>79</v>
      </c>
    </row>
    <row r="645" spans="1:7" x14ac:dyDescent="0.2">
      <c r="A645" t="s">
        <v>80</v>
      </c>
      <c r="B645" t="s">
        <v>81</v>
      </c>
      <c r="C645" t="s">
        <v>182</v>
      </c>
      <c r="D645" t="s">
        <v>72</v>
      </c>
      <c r="E645" t="s">
        <v>76</v>
      </c>
      <c r="F645" t="s">
        <v>74</v>
      </c>
      <c r="G645" t="s">
        <v>73</v>
      </c>
    </row>
    <row r="646" spans="1:7" x14ac:dyDescent="0.2">
      <c r="A646" t="s">
        <v>252</v>
      </c>
      <c r="B646">
        <v>1</v>
      </c>
      <c r="C646" t="s">
        <v>181</v>
      </c>
      <c r="D646" t="s">
        <v>95</v>
      </c>
      <c r="E646" t="s">
        <v>77</v>
      </c>
      <c r="F646" t="s">
        <v>84</v>
      </c>
    </row>
    <row r="647" spans="1:7" x14ac:dyDescent="0.2">
      <c r="A647" t="s">
        <v>300</v>
      </c>
      <c r="B647">
        <v>2E-8</v>
      </c>
      <c r="C647" t="s">
        <v>186</v>
      </c>
      <c r="D647" t="s">
        <v>95</v>
      </c>
      <c r="E647" t="s">
        <v>76</v>
      </c>
      <c r="F647" t="s">
        <v>89</v>
      </c>
      <c r="G647" t="s">
        <v>301</v>
      </c>
    </row>
    <row r="648" spans="1:7" x14ac:dyDescent="0.2">
      <c r="A648" t="s">
        <v>409</v>
      </c>
      <c r="B648">
        <v>0.97</v>
      </c>
      <c r="C648" t="s">
        <v>186</v>
      </c>
      <c r="D648" t="s">
        <v>95</v>
      </c>
      <c r="E648" t="s">
        <v>77</v>
      </c>
      <c r="F648" t="s">
        <v>89</v>
      </c>
      <c r="G648" t="s">
        <v>410</v>
      </c>
    </row>
    <row r="649" spans="1:7" x14ac:dyDescent="0.2">
      <c r="A649" t="s">
        <v>281</v>
      </c>
      <c r="B649">
        <v>2.9000000000000001E-2</v>
      </c>
      <c r="C649" t="s">
        <v>186</v>
      </c>
      <c r="D649" t="s">
        <v>95</v>
      </c>
      <c r="E649" t="s">
        <v>77</v>
      </c>
      <c r="F649" t="s">
        <v>89</v>
      </c>
      <c r="G649" t="s">
        <v>282</v>
      </c>
    </row>
    <row r="650" spans="1:7" x14ac:dyDescent="0.2">
      <c r="A650" t="s">
        <v>306</v>
      </c>
      <c r="B650">
        <v>2.9000000000000001E-2</v>
      </c>
      <c r="C650" t="s">
        <v>186</v>
      </c>
      <c r="D650" t="s">
        <v>232</v>
      </c>
      <c r="E650" t="s">
        <v>77</v>
      </c>
      <c r="F650" t="s">
        <v>89</v>
      </c>
      <c r="G650" t="s">
        <v>307</v>
      </c>
    </row>
    <row r="652" spans="1:7" ht="16" x14ac:dyDescent="0.2">
      <c r="A652" s="10" t="s">
        <v>71</v>
      </c>
      <c r="B652" s="10" t="s">
        <v>267</v>
      </c>
    </row>
    <row r="653" spans="1:7" x14ac:dyDescent="0.2">
      <c r="A653" t="s">
        <v>194</v>
      </c>
      <c r="B653" t="s">
        <v>411</v>
      </c>
    </row>
    <row r="654" spans="1:7" x14ac:dyDescent="0.2">
      <c r="A654" t="s">
        <v>83</v>
      </c>
      <c r="B654" t="s">
        <v>85</v>
      </c>
    </row>
    <row r="655" spans="1:7" x14ac:dyDescent="0.2">
      <c r="A655" t="s">
        <v>72</v>
      </c>
      <c r="B655" t="s">
        <v>95</v>
      </c>
    </row>
    <row r="656" spans="1:7" x14ac:dyDescent="0.2">
      <c r="A656" t="s">
        <v>180</v>
      </c>
      <c r="B656">
        <v>1</v>
      </c>
    </row>
    <row r="657" spans="1:7" x14ac:dyDescent="0.2">
      <c r="A657" t="s">
        <v>73</v>
      </c>
      <c r="B657" t="s">
        <v>267</v>
      </c>
    </row>
    <row r="658" spans="1:7" x14ac:dyDescent="0.2">
      <c r="A658" t="s">
        <v>76</v>
      </c>
      <c r="B658" t="s">
        <v>77</v>
      </c>
    </row>
    <row r="659" spans="1:7" x14ac:dyDescent="0.2">
      <c r="A659" t="s">
        <v>195</v>
      </c>
      <c r="B659" t="s">
        <v>181</v>
      </c>
    </row>
    <row r="660" spans="1:7" ht="16" x14ac:dyDescent="0.2">
      <c r="A660" s="10" t="s">
        <v>79</v>
      </c>
    </row>
    <row r="661" spans="1:7" x14ac:dyDescent="0.2">
      <c r="A661" t="s">
        <v>80</v>
      </c>
      <c r="B661" t="s">
        <v>81</v>
      </c>
      <c r="C661" t="s">
        <v>182</v>
      </c>
      <c r="D661" t="s">
        <v>72</v>
      </c>
      <c r="E661" t="s">
        <v>76</v>
      </c>
      <c r="F661" t="s">
        <v>74</v>
      </c>
      <c r="G661" t="s">
        <v>73</v>
      </c>
    </row>
    <row r="662" spans="1:7" x14ac:dyDescent="0.2">
      <c r="A662" t="s">
        <v>267</v>
      </c>
      <c r="B662">
        <v>1</v>
      </c>
      <c r="C662" t="s">
        <v>181</v>
      </c>
      <c r="D662" t="s">
        <v>95</v>
      </c>
      <c r="E662" t="s">
        <v>77</v>
      </c>
      <c r="F662" t="s">
        <v>84</v>
      </c>
    </row>
    <row r="663" spans="1:7" x14ac:dyDescent="0.2">
      <c r="A663" t="s">
        <v>283</v>
      </c>
      <c r="B663">
        <v>4.6000000000000001E-10</v>
      </c>
      <c r="C663" t="s">
        <v>186</v>
      </c>
      <c r="D663" t="s">
        <v>95</v>
      </c>
      <c r="E663" t="s">
        <v>76</v>
      </c>
      <c r="F663" t="s">
        <v>89</v>
      </c>
      <c r="G663" t="s">
        <v>284</v>
      </c>
    </row>
    <row r="664" spans="1:7" x14ac:dyDescent="0.2">
      <c r="A664" t="s">
        <v>304</v>
      </c>
      <c r="B664">
        <v>1</v>
      </c>
      <c r="C664" t="s">
        <v>186</v>
      </c>
      <c r="D664" t="s">
        <v>95</v>
      </c>
      <c r="E664" t="s">
        <v>77</v>
      </c>
      <c r="F664" t="s">
        <v>89</v>
      </c>
      <c r="G664" t="s">
        <v>305</v>
      </c>
    </row>
    <row r="665" spans="1:7" x14ac:dyDescent="0.2">
      <c r="A665" t="s">
        <v>310</v>
      </c>
      <c r="B665">
        <v>1</v>
      </c>
      <c r="C665" t="s">
        <v>186</v>
      </c>
      <c r="D665" t="s">
        <v>95</v>
      </c>
      <c r="E665" t="s">
        <v>77</v>
      </c>
      <c r="F665" t="s">
        <v>89</v>
      </c>
      <c r="G665" t="s">
        <v>311</v>
      </c>
    </row>
    <row r="667" spans="1:7" ht="16" x14ac:dyDescent="0.2">
      <c r="A667" s="10" t="s">
        <v>71</v>
      </c>
      <c r="B667" s="10" t="s">
        <v>396</v>
      </c>
    </row>
    <row r="668" spans="1:7" x14ac:dyDescent="0.2">
      <c r="A668" t="s">
        <v>194</v>
      </c>
      <c r="B668" t="s">
        <v>412</v>
      </c>
    </row>
    <row r="669" spans="1:7" x14ac:dyDescent="0.2">
      <c r="A669" t="s">
        <v>83</v>
      </c>
      <c r="B669" t="s">
        <v>85</v>
      </c>
    </row>
    <row r="670" spans="1:7" x14ac:dyDescent="0.2">
      <c r="A670" t="s">
        <v>72</v>
      </c>
      <c r="B670" t="s">
        <v>95</v>
      </c>
    </row>
    <row r="671" spans="1:7" x14ac:dyDescent="0.2">
      <c r="A671" t="s">
        <v>180</v>
      </c>
      <c r="B671">
        <v>1</v>
      </c>
    </row>
    <row r="672" spans="1:7" x14ac:dyDescent="0.2">
      <c r="A672" t="s">
        <v>73</v>
      </c>
      <c r="B672" t="s">
        <v>396</v>
      </c>
    </row>
    <row r="673" spans="1:7" x14ac:dyDescent="0.2">
      <c r="A673" t="s">
        <v>76</v>
      </c>
      <c r="B673" t="s">
        <v>77</v>
      </c>
    </row>
    <row r="674" spans="1:7" x14ac:dyDescent="0.2">
      <c r="A674" t="s">
        <v>195</v>
      </c>
      <c r="B674" t="s">
        <v>181</v>
      </c>
    </row>
    <row r="675" spans="1:7" ht="16" x14ac:dyDescent="0.2">
      <c r="A675" s="10" t="s">
        <v>79</v>
      </c>
    </row>
    <row r="676" spans="1:7" x14ac:dyDescent="0.2">
      <c r="A676" t="s">
        <v>80</v>
      </c>
      <c r="B676" t="s">
        <v>81</v>
      </c>
      <c r="C676" t="s">
        <v>182</v>
      </c>
      <c r="D676" t="s">
        <v>72</v>
      </c>
      <c r="E676" t="s">
        <v>76</v>
      </c>
      <c r="F676" t="s">
        <v>74</v>
      </c>
      <c r="G676" t="s">
        <v>73</v>
      </c>
    </row>
    <row r="677" spans="1:7" x14ac:dyDescent="0.2">
      <c r="A677" t="s">
        <v>396</v>
      </c>
      <c r="B677">
        <v>1</v>
      </c>
      <c r="C677" t="s">
        <v>181</v>
      </c>
      <c r="D677" t="s">
        <v>95</v>
      </c>
      <c r="E677" t="s">
        <v>77</v>
      </c>
      <c r="F677" t="s">
        <v>84</v>
      </c>
    </row>
    <row r="678" spans="1:7" x14ac:dyDescent="0.2">
      <c r="A678" t="s">
        <v>281</v>
      </c>
      <c r="B678">
        <v>4.2000000000000003E-2</v>
      </c>
      <c r="C678" t="s">
        <v>186</v>
      </c>
      <c r="D678" t="s">
        <v>95</v>
      </c>
      <c r="E678" t="s">
        <v>77</v>
      </c>
      <c r="F678" t="s">
        <v>89</v>
      </c>
      <c r="G678" t="s">
        <v>282</v>
      </c>
    </row>
    <row r="679" spans="1:7" x14ac:dyDescent="0.2">
      <c r="A679" t="s">
        <v>283</v>
      </c>
      <c r="B679">
        <v>4.3999999999999998E-10</v>
      </c>
      <c r="C679" t="s">
        <v>186</v>
      </c>
      <c r="D679" t="s">
        <v>95</v>
      </c>
      <c r="E679" t="s">
        <v>76</v>
      </c>
      <c r="F679" t="s">
        <v>89</v>
      </c>
      <c r="G679" t="s">
        <v>284</v>
      </c>
    </row>
    <row r="680" spans="1:7" x14ac:dyDescent="0.2">
      <c r="A680" t="s">
        <v>304</v>
      </c>
      <c r="B680">
        <v>0.96</v>
      </c>
      <c r="C680" t="s">
        <v>186</v>
      </c>
      <c r="D680" t="s">
        <v>95</v>
      </c>
      <c r="E680" t="s">
        <v>77</v>
      </c>
      <c r="F680" t="s">
        <v>89</v>
      </c>
      <c r="G680" t="s">
        <v>305</v>
      </c>
    </row>
    <row r="681" spans="1:7" x14ac:dyDescent="0.2">
      <c r="A681" t="s">
        <v>306</v>
      </c>
      <c r="B681">
        <v>4.2000000000000003E-2</v>
      </c>
      <c r="C681" t="s">
        <v>186</v>
      </c>
      <c r="D681" t="s">
        <v>232</v>
      </c>
      <c r="E681" t="s">
        <v>77</v>
      </c>
      <c r="F681" t="s">
        <v>89</v>
      </c>
      <c r="G681" t="s">
        <v>307</v>
      </c>
    </row>
    <row r="682" spans="1:7" x14ac:dyDescent="0.2">
      <c r="A682" t="s">
        <v>289</v>
      </c>
      <c r="B682">
        <v>3.1000000000000003E-11</v>
      </c>
      <c r="C682" t="s">
        <v>186</v>
      </c>
      <c r="D682" t="s">
        <v>95</v>
      </c>
      <c r="E682" t="s">
        <v>76</v>
      </c>
      <c r="F682" t="s">
        <v>89</v>
      </c>
      <c r="G682" t="s">
        <v>290</v>
      </c>
    </row>
    <row r="683" spans="1:7" x14ac:dyDescent="0.2">
      <c r="A683" t="s">
        <v>310</v>
      </c>
      <c r="B683">
        <v>0.96</v>
      </c>
      <c r="C683" t="s">
        <v>186</v>
      </c>
      <c r="D683" t="s">
        <v>95</v>
      </c>
      <c r="E683" t="s">
        <v>77</v>
      </c>
      <c r="F683" t="s">
        <v>89</v>
      </c>
      <c r="G683" t="s">
        <v>311</v>
      </c>
    </row>
    <row r="685" spans="1:7" ht="16" x14ac:dyDescent="0.2">
      <c r="A685" s="10" t="s">
        <v>71</v>
      </c>
      <c r="B685" s="10" t="s">
        <v>397</v>
      </c>
    </row>
    <row r="686" spans="1:7" x14ac:dyDescent="0.2">
      <c r="A686" t="s">
        <v>194</v>
      </c>
      <c r="B686" t="s">
        <v>413</v>
      </c>
    </row>
    <row r="687" spans="1:7" x14ac:dyDescent="0.2">
      <c r="A687" t="s">
        <v>83</v>
      </c>
      <c r="B687" t="s">
        <v>85</v>
      </c>
    </row>
    <row r="688" spans="1:7" x14ac:dyDescent="0.2">
      <c r="A688" t="s">
        <v>72</v>
      </c>
      <c r="B688" t="s">
        <v>95</v>
      </c>
    </row>
    <row r="689" spans="1:7" x14ac:dyDescent="0.2">
      <c r="A689" t="s">
        <v>180</v>
      </c>
      <c r="B689">
        <v>1</v>
      </c>
    </row>
    <row r="690" spans="1:7" x14ac:dyDescent="0.2">
      <c r="A690" t="s">
        <v>73</v>
      </c>
      <c r="B690" t="s">
        <v>397</v>
      </c>
    </row>
    <row r="691" spans="1:7" x14ac:dyDescent="0.2">
      <c r="A691" t="s">
        <v>76</v>
      </c>
      <c r="B691" t="s">
        <v>77</v>
      </c>
    </row>
    <row r="692" spans="1:7" x14ac:dyDescent="0.2">
      <c r="A692" t="s">
        <v>195</v>
      </c>
      <c r="B692" t="s">
        <v>181</v>
      </c>
    </row>
    <row r="693" spans="1:7" ht="16" x14ac:dyDescent="0.2">
      <c r="A693" s="10" t="s">
        <v>79</v>
      </c>
    </row>
    <row r="694" spans="1:7" x14ac:dyDescent="0.2">
      <c r="A694" t="s">
        <v>80</v>
      </c>
      <c r="B694" t="s">
        <v>81</v>
      </c>
      <c r="C694" t="s">
        <v>182</v>
      </c>
      <c r="D694" t="s">
        <v>72</v>
      </c>
      <c r="E694" t="s">
        <v>76</v>
      </c>
      <c r="F694" t="s">
        <v>74</v>
      </c>
      <c r="G694" t="s">
        <v>73</v>
      </c>
    </row>
    <row r="695" spans="1:7" x14ac:dyDescent="0.2">
      <c r="A695" t="s">
        <v>397</v>
      </c>
      <c r="B695">
        <v>1</v>
      </c>
      <c r="C695" t="s">
        <v>181</v>
      </c>
      <c r="D695" t="s">
        <v>95</v>
      </c>
      <c r="E695" t="s">
        <v>77</v>
      </c>
      <c r="F695" t="s">
        <v>84</v>
      </c>
    </row>
    <row r="696" spans="1:7" x14ac:dyDescent="0.2">
      <c r="A696" t="s">
        <v>277</v>
      </c>
      <c r="B696">
        <v>1</v>
      </c>
      <c r="C696" t="s">
        <v>186</v>
      </c>
      <c r="D696" t="s">
        <v>95</v>
      </c>
      <c r="E696" t="s">
        <v>77</v>
      </c>
      <c r="F696" t="s">
        <v>89</v>
      </c>
      <c r="G696" t="s">
        <v>278</v>
      </c>
    </row>
    <row r="697" spans="1:7" x14ac:dyDescent="0.2">
      <c r="A697" t="s">
        <v>281</v>
      </c>
      <c r="B697">
        <v>1</v>
      </c>
      <c r="C697" t="s">
        <v>186</v>
      </c>
      <c r="D697" t="s">
        <v>95</v>
      </c>
      <c r="E697" t="s">
        <v>77</v>
      </c>
      <c r="F697" t="s">
        <v>89</v>
      </c>
      <c r="G697" t="s">
        <v>282</v>
      </c>
    </row>
    <row r="698" spans="1:7" x14ac:dyDescent="0.2">
      <c r="A698" t="s">
        <v>289</v>
      </c>
      <c r="B698">
        <v>7.4000000000000003E-10</v>
      </c>
      <c r="C698" t="s">
        <v>186</v>
      </c>
      <c r="D698" t="s">
        <v>95</v>
      </c>
      <c r="E698" t="s">
        <v>76</v>
      </c>
      <c r="F698" t="s">
        <v>89</v>
      </c>
      <c r="G698" t="s">
        <v>290</v>
      </c>
    </row>
    <row r="700" spans="1:7" ht="16" x14ac:dyDescent="0.2">
      <c r="A700" s="10" t="s">
        <v>71</v>
      </c>
      <c r="B700" s="10" t="s">
        <v>249</v>
      </c>
    </row>
    <row r="701" spans="1:7" x14ac:dyDescent="0.2">
      <c r="A701" t="s">
        <v>194</v>
      </c>
      <c r="B701" t="s">
        <v>414</v>
      </c>
    </row>
    <row r="702" spans="1:7" x14ac:dyDescent="0.2">
      <c r="A702" t="s">
        <v>83</v>
      </c>
      <c r="B702" t="s">
        <v>85</v>
      </c>
    </row>
    <row r="703" spans="1:7" x14ac:dyDescent="0.2">
      <c r="A703" t="s">
        <v>72</v>
      </c>
      <c r="B703" t="s">
        <v>95</v>
      </c>
    </row>
    <row r="704" spans="1:7" x14ac:dyDescent="0.2">
      <c r="A704" t="s">
        <v>180</v>
      </c>
      <c r="B704">
        <v>1</v>
      </c>
    </row>
    <row r="705" spans="1:7" x14ac:dyDescent="0.2">
      <c r="A705" t="s">
        <v>73</v>
      </c>
      <c r="B705" t="s">
        <v>249</v>
      </c>
    </row>
    <row r="706" spans="1:7" x14ac:dyDescent="0.2">
      <c r="A706" t="s">
        <v>76</v>
      </c>
      <c r="B706" t="s">
        <v>77</v>
      </c>
    </row>
    <row r="707" spans="1:7" x14ac:dyDescent="0.2">
      <c r="A707" t="s">
        <v>195</v>
      </c>
      <c r="B707" t="s">
        <v>181</v>
      </c>
    </row>
    <row r="708" spans="1:7" ht="16" x14ac:dyDescent="0.2">
      <c r="A708" s="10" t="s">
        <v>79</v>
      </c>
    </row>
    <row r="709" spans="1:7" x14ac:dyDescent="0.2">
      <c r="A709" t="s">
        <v>80</v>
      </c>
      <c r="B709" t="s">
        <v>81</v>
      </c>
      <c r="C709" t="s">
        <v>182</v>
      </c>
      <c r="D709" t="s">
        <v>72</v>
      </c>
      <c r="E709" t="s">
        <v>76</v>
      </c>
      <c r="F709" t="s">
        <v>74</v>
      </c>
      <c r="G709" t="s">
        <v>73</v>
      </c>
    </row>
    <row r="710" spans="1:7" x14ac:dyDescent="0.2">
      <c r="A710" t="s">
        <v>249</v>
      </c>
      <c r="B710">
        <v>1</v>
      </c>
      <c r="C710" t="s">
        <v>181</v>
      </c>
      <c r="D710" t="s">
        <v>95</v>
      </c>
      <c r="E710" t="s">
        <v>77</v>
      </c>
      <c r="F710" t="s">
        <v>84</v>
      </c>
    </row>
    <row r="711" spans="1:7" x14ac:dyDescent="0.2">
      <c r="A711" t="s">
        <v>207</v>
      </c>
      <c r="B711">
        <v>1</v>
      </c>
      <c r="C711" t="s">
        <v>186</v>
      </c>
      <c r="D711" t="s">
        <v>95</v>
      </c>
      <c r="E711" t="s">
        <v>77</v>
      </c>
      <c r="F711" t="s">
        <v>89</v>
      </c>
      <c r="G711" t="s">
        <v>208</v>
      </c>
    </row>
    <row r="712" spans="1:7" x14ac:dyDescent="0.2">
      <c r="A712" t="s">
        <v>415</v>
      </c>
      <c r="B712">
        <v>0.45</v>
      </c>
      <c r="C712" t="s">
        <v>186</v>
      </c>
      <c r="D712" t="s">
        <v>95</v>
      </c>
      <c r="E712" t="s">
        <v>77</v>
      </c>
      <c r="F712" t="s">
        <v>89</v>
      </c>
      <c r="G712" t="s">
        <v>416</v>
      </c>
    </row>
    <row r="713" spans="1:7" x14ac:dyDescent="0.2">
      <c r="A713" t="s">
        <v>279</v>
      </c>
      <c r="B713">
        <v>0.23</v>
      </c>
      <c r="C713" t="s">
        <v>186</v>
      </c>
      <c r="D713" t="s">
        <v>95</v>
      </c>
      <c r="E713" t="s">
        <v>77</v>
      </c>
      <c r="F713" t="s">
        <v>89</v>
      </c>
      <c r="G713" t="s">
        <v>280</v>
      </c>
    </row>
    <row r="714" spans="1:7" x14ac:dyDescent="0.2">
      <c r="A714" t="s">
        <v>279</v>
      </c>
      <c r="B714">
        <v>4.1000000000000002E-2</v>
      </c>
      <c r="C714" t="s">
        <v>186</v>
      </c>
      <c r="D714" t="s">
        <v>95</v>
      </c>
      <c r="E714" t="s">
        <v>77</v>
      </c>
      <c r="F714" t="s">
        <v>89</v>
      </c>
      <c r="G714" t="s">
        <v>280</v>
      </c>
    </row>
    <row r="715" spans="1:7" x14ac:dyDescent="0.2">
      <c r="A715" t="s">
        <v>300</v>
      </c>
      <c r="B715">
        <v>2E-8</v>
      </c>
      <c r="C715" t="s">
        <v>186</v>
      </c>
      <c r="D715" t="s">
        <v>95</v>
      </c>
      <c r="E715" t="s">
        <v>76</v>
      </c>
      <c r="F715" t="s">
        <v>89</v>
      </c>
      <c r="G715" t="s">
        <v>301</v>
      </c>
    </row>
    <row r="716" spans="1:7" x14ac:dyDescent="0.2">
      <c r="A716" t="s">
        <v>281</v>
      </c>
      <c r="B716">
        <v>0.14000000000000001</v>
      </c>
      <c r="C716" t="s">
        <v>186</v>
      </c>
      <c r="D716" t="s">
        <v>95</v>
      </c>
      <c r="E716" t="s">
        <v>77</v>
      </c>
      <c r="F716" t="s">
        <v>89</v>
      </c>
      <c r="G716" t="s">
        <v>282</v>
      </c>
    </row>
    <row r="717" spans="1:7" x14ac:dyDescent="0.2">
      <c r="A717" t="s">
        <v>285</v>
      </c>
      <c r="B717">
        <v>0.12</v>
      </c>
      <c r="C717" t="s">
        <v>186</v>
      </c>
      <c r="D717" t="s">
        <v>95</v>
      </c>
      <c r="E717" t="s">
        <v>77</v>
      </c>
      <c r="F717" t="s">
        <v>89</v>
      </c>
      <c r="G717" t="s">
        <v>286</v>
      </c>
    </row>
    <row r="718" spans="1:7" x14ac:dyDescent="0.2">
      <c r="A718" t="s">
        <v>287</v>
      </c>
      <c r="B718">
        <v>0.27</v>
      </c>
      <c r="C718" t="s">
        <v>186</v>
      </c>
      <c r="D718" t="s">
        <v>95</v>
      </c>
      <c r="E718" t="s">
        <v>77</v>
      </c>
      <c r="F718" t="s">
        <v>89</v>
      </c>
      <c r="G718" t="s">
        <v>288</v>
      </c>
    </row>
    <row r="719" spans="1:7" x14ac:dyDescent="0.2">
      <c r="A719" t="s">
        <v>417</v>
      </c>
      <c r="B719">
        <v>1.6E-2</v>
      </c>
      <c r="C719" t="s">
        <v>186</v>
      </c>
      <c r="D719" t="s">
        <v>95</v>
      </c>
      <c r="E719" t="s">
        <v>77</v>
      </c>
      <c r="F719" t="s">
        <v>89</v>
      </c>
      <c r="G719" t="s">
        <v>418</v>
      </c>
    </row>
    <row r="720" spans="1:7" x14ac:dyDescent="0.2">
      <c r="A720" t="s">
        <v>304</v>
      </c>
      <c r="B720">
        <v>1.4E-3</v>
      </c>
      <c r="C720" t="s">
        <v>186</v>
      </c>
      <c r="D720" t="s">
        <v>95</v>
      </c>
      <c r="E720" t="s">
        <v>77</v>
      </c>
      <c r="F720" t="s">
        <v>89</v>
      </c>
      <c r="G720" t="s">
        <v>305</v>
      </c>
    </row>
    <row r="721" spans="1:7" x14ac:dyDescent="0.2">
      <c r="A721" t="s">
        <v>306</v>
      </c>
      <c r="B721">
        <v>4.3999999999999997E-2</v>
      </c>
      <c r="C721" t="s">
        <v>186</v>
      </c>
      <c r="D721" t="s">
        <v>232</v>
      </c>
      <c r="E721" t="s">
        <v>77</v>
      </c>
      <c r="F721" t="s">
        <v>89</v>
      </c>
      <c r="G721" t="s">
        <v>307</v>
      </c>
    </row>
    <row r="722" spans="1:7" x14ac:dyDescent="0.2">
      <c r="A722" t="s">
        <v>308</v>
      </c>
      <c r="B722">
        <v>5.7000000000000002E-2</v>
      </c>
      <c r="C722" t="s">
        <v>186</v>
      </c>
      <c r="D722" t="s">
        <v>95</v>
      </c>
      <c r="E722" t="s">
        <v>77</v>
      </c>
      <c r="F722" t="s">
        <v>89</v>
      </c>
      <c r="G722" t="s">
        <v>309</v>
      </c>
    </row>
    <row r="723" spans="1:7" x14ac:dyDescent="0.2">
      <c r="A723" t="s">
        <v>419</v>
      </c>
      <c r="B723">
        <v>3.2000000000000001E-2</v>
      </c>
      <c r="C723" t="s">
        <v>186</v>
      </c>
      <c r="D723" t="s">
        <v>95</v>
      </c>
      <c r="E723" t="s">
        <v>77</v>
      </c>
      <c r="F723" t="s">
        <v>89</v>
      </c>
      <c r="G723" t="s">
        <v>420</v>
      </c>
    </row>
    <row r="724" spans="1:7" x14ac:dyDescent="0.2">
      <c r="A724" t="s">
        <v>310</v>
      </c>
      <c r="B724">
        <v>1.4E-3</v>
      </c>
      <c r="C724" t="s">
        <v>186</v>
      </c>
      <c r="D724" t="s">
        <v>95</v>
      </c>
      <c r="E724" t="s">
        <v>77</v>
      </c>
      <c r="F724" t="s">
        <v>89</v>
      </c>
      <c r="G724" t="s">
        <v>311</v>
      </c>
    </row>
    <row r="725" spans="1:7" x14ac:dyDescent="0.2">
      <c r="A725" t="s">
        <v>269</v>
      </c>
      <c r="B725">
        <v>3.5999999999999999E-3</v>
      </c>
      <c r="C725" t="s">
        <v>186</v>
      </c>
      <c r="D725" t="s">
        <v>95</v>
      </c>
      <c r="E725" t="s">
        <v>77</v>
      </c>
      <c r="F725" t="s">
        <v>89</v>
      </c>
      <c r="G725" t="s">
        <v>270</v>
      </c>
    </row>
    <row r="726" spans="1:7" x14ac:dyDescent="0.2">
      <c r="A726" t="s">
        <v>421</v>
      </c>
      <c r="B726">
        <v>1.6E-2</v>
      </c>
      <c r="C726" t="s">
        <v>186</v>
      </c>
      <c r="D726" t="s">
        <v>95</v>
      </c>
      <c r="E726" t="s">
        <v>77</v>
      </c>
      <c r="F726" t="s">
        <v>89</v>
      </c>
      <c r="G726" t="s">
        <v>422</v>
      </c>
    </row>
    <row r="729" spans="1:7" ht="16" x14ac:dyDescent="0.2">
      <c r="A729" s="10" t="s">
        <v>71</v>
      </c>
      <c r="B729" s="10" t="s">
        <v>398</v>
      </c>
    </row>
    <row r="730" spans="1:7" x14ac:dyDescent="0.2">
      <c r="A730" t="s">
        <v>194</v>
      </c>
      <c r="B730" t="s">
        <v>423</v>
      </c>
    </row>
    <row r="731" spans="1:7" x14ac:dyDescent="0.2">
      <c r="A731" t="s">
        <v>83</v>
      </c>
      <c r="B731" t="s">
        <v>85</v>
      </c>
    </row>
    <row r="732" spans="1:7" x14ac:dyDescent="0.2">
      <c r="A732" t="s">
        <v>72</v>
      </c>
      <c r="B732" t="s">
        <v>95</v>
      </c>
    </row>
    <row r="733" spans="1:7" x14ac:dyDescent="0.2">
      <c r="A733" t="s">
        <v>180</v>
      </c>
      <c r="B733">
        <v>1</v>
      </c>
    </row>
    <row r="734" spans="1:7" x14ac:dyDescent="0.2">
      <c r="A734" t="s">
        <v>73</v>
      </c>
      <c r="B734" t="s">
        <v>398</v>
      </c>
    </row>
    <row r="735" spans="1:7" x14ac:dyDescent="0.2">
      <c r="A735" t="s">
        <v>76</v>
      </c>
      <c r="B735" t="s">
        <v>77</v>
      </c>
    </row>
    <row r="736" spans="1:7" x14ac:dyDescent="0.2">
      <c r="A736" t="s">
        <v>195</v>
      </c>
      <c r="B736" t="s">
        <v>181</v>
      </c>
    </row>
    <row r="737" spans="1:7" ht="16" x14ac:dyDescent="0.2">
      <c r="A737" s="10" t="s">
        <v>79</v>
      </c>
    </row>
    <row r="738" spans="1:7" x14ac:dyDescent="0.2">
      <c r="A738" t="s">
        <v>80</v>
      </c>
      <c r="B738" t="s">
        <v>81</v>
      </c>
      <c r="C738" t="s">
        <v>182</v>
      </c>
      <c r="D738" t="s">
        <v>72</v>
      </c>
      <c r="E738" t="s">
        <v>76</v>
      </c>
      <c r="F738" t="s">
        <v>74</v>
      </c>
      <c r="G738" t="s">
        <v>73</v>
      </c>
    </row>
    <row r="739" spans="1:7" x14ac:dyDescent="0.2">
      <c r="A739" t="s">
        <v>398</v>
      </c>
      <c r="B739">
        <v>1</v>
      </c>
      <c r="C739" t="s">
        <v>181</v>
      </c>
      <c r="D739" t="s">
        <v>95</v>
      </c>
      <c r="E739" t="s">
        <v>77</v>
      </c>
      <c r="F739" t="s">
        <v>84</v>
      </c>
    </row>
    <row r="740" spans="1:7" x14ac:dyDescent="0.2">
      <c r="A740" t="s">
        <v>209</v>
      </c>
      <c r="B740">
        <v>1.0999999999999999E-10</v>
      </c>
      <c r="C740" t="s">
        <v>186</v>
      </c>
      <c r="D740" t="s">
        <v>95</v>
      </c>
      <c r="E740" t="s">
        <v>76</v>
      </c>
      <c r="F740" t="s">
        <v>89</v>
      </c>
      <c r="G740" t="s">
        <v>210</v>
      </c>
    </row>
    <row r="741" spans="1:7" x14ac:dyDescent="0.2">
      <c r="A741" t="s">
        <v>424</v>
      </c>
      <c r="B741">
        <v>0.7</v>
      </c>
      <c r="C741" t="s">
        <v>186</v>
      </c>
      <c r="D741" t="s">
        <v>92</v>
      </c>
      <c r="E741" t="s">
        <v>77</v>
      </c>
      <c r="F741" t="s">
        <v>89</v>
      </c>
      <c r="G741" t="s">
        <v>425</v>
      </c>
    </row>
    <row r="742" spans="1:7" x14ac:dyDescent="0.2">
      <c r="A742" t="s">
        <v>403</v>
      </c>
      <c r="B742">
        <v>0.03</v>
      </c>
      <c r="C742" t="s">
        <v>186</v>
      </c>
      <c r="D742" t="s">
        <v>95</v>
      </c>
      <c r="E742" t="s">
        <v>404</v>
      </c>
      <c r="F742" t="s">
        <v>89</v>
      </c>
      <c r="G742" t="s">
        <v>405</v>
      </c>
    </row>
    <row r="743" spans="1:7" x14ac:dyDescent="0.2">
      <c r="A743" t="s">
        <v>281</v>
      </c>
      <c r="B743">
        <v>0.3</v>
      </c>
      <c r="C743" t="s">
        <v>186</v>
      </c>
      <c r="D743" t="s">
        <v>95</v>
      </c>
      <c r="E743" t="s">
        <v>77</v>
      </c>
      <c r="F743" t="s">
        <v>89</v>
      </c>
      <c r="G743" t="s">
        <v>282</v>
      </c>
    </row>
    <row r="744" spans="1:7" x14ac:dyDescent="0.2">
      <c r="A744" t="s">
        <v>406</v>
      </c>
      <c r="B744">
        <v>0.3</v>
      </c>
      <c r="C744" t="s">
        <v>186</v>
      </c>
      <c r="D744" t="s">
        <v>232</v>
      </c>
      <c r="E744" t="s">
        <v>77</v>
      </c>
      <c r="F744" t="s">
        <v>89</v>
      </c>
      <c r="G744" t="s">
        <v>407</v>
      </c>
    </row>
    <row r="745" spans="1:7" x14ac:dyDescent="0.2">
      <c r="A745" t="s">
        <v>289</v>
      </c>
      <c r="B745">
        <v>2.1999999999999999E-10</v>
      </c>
      <c r="C745" t="s">
        <v>186</v>
      </c>
      <c r="D745" t="s">
        <v>95</v>
      </c>
      <c r="E745" t="s">
        <v>76</v>
      </c>
      <c r="F745" t="s">
        <v>89</v>
      </c>
      <c r="G745" t="s">
        <v>290</v>
      </c>
    </row>
    <row r="746" spans="1:7" x14ac:dyDescent="0.2">
      <c r="A746" t="s">
        <v>211</v>
      </c>
      <c r="B746">
        <v>0.7</v>
      </c>
      <c r="C746" t="s">
        <v>186</v>
      </c>
      <c r="D746" t="s">
        <v>95</v>
      </c>
      <c r="E746" t="s">
        <v>77</v>
      </c>
      <c r="F746" t="s">
        <v>89</v>
      </c>
      <c r="G746" t="s">
        <v>212</v>
      </c>
    </row>
    <row r="748" spans="1:7" ht="16" x14ac:dyDescent="0.2">
      <c r="A748" s="10" t="s">
        <v>71</v>
      </c>
      <c r="B748" s="10" t="s">
        <v>241</v>
      </c>
    </row>
    <row r="749" spans="1:7" x14ac:dyDescent="0.2">
      <c r="A749" t="s">
        <v>194</v>
      </c>
      <c r="B749" t="s">
        <v>426</v>
      </c>
    </row>
    <row r="750" spans="1:7" x14ac:dyDescent="0.2">
      <c r="A750" t="s">
        <v>83</v>
      </c>
      <c r="B750" t="s">
        <v>85</v>
      </c>
    </row>
    <row r="751" spans="1:7" x14ac:dyDescent="0.2">
      <c r="A751" t="s">
        <v>72</v>
      </c>
      <c r="B751" t="s">
        <v>95</v>
      </c>
    </row>
    <row r="752" spans="1:7" x14ac:dyDescent="0.2">
      <c r="A752" t="s">
        <v>180</v>
      </c>
      <c r="B752">
        <v>1</v>
      </c>
    </row>
    <row r="753" spans="1:7" x14ac:dyDescent="0.2">
      <c r="A753" t="s">
        <v>73</v>
      </c>
      <c r="B753" t="s">
        <v>241</v>
      </c>
    </row>
    <row r="754" spans="1:7" x14ac:dyDescent="0.2">
      <c r="A754" t="s">
        <v>76</v>
      </c>
      <c r="B754" t="s">
        <v>77</v>
      </c>
    </row>
    <row r="755" spans="1:7" x14ac:dyDescent="0.2">
      <c r="A755" t="s">
        <v>195</v>
      </c>
      <c r="B755" t="s">
        <v>181</v>
      </c>
    </row>
    <row r="756" spans="1:7" ht="16" x14ac:dyDescent="0.2">
      <c r="A756" s="10" t="s">
        <v>79</v>
      </c>
    </row>
    <row r="757" spans="1:7" x14ac:dyDescent="0.2">
      <c r="A757" t="s">
        <v>80</v>
      </c>
      <c r="B757" t="s">
        <v>81</v>
      </c>
      <c r="C757" t="s">
        <v>182</v>
      </c>
      <c r="D757" t="s">
        <v>72</v>
      </c>
      <c r="E757" t="s">
        <v>76</v>
      </c>
      <c r="F757" t="s">
        <v>74</v>
      </c>
      <c r="G757" t="s">
        <v>73</v>
      </c>
    </row>
    <row r="758" spans="1:7" x14ac:dyDescent="0.2">
      <c r="A758" t="s">
        <v>241</v>
      </c>
      <c r="B758">
        <v>1</v>
      </c>
      <c r="C758" t="s">
        <v>181</v>
      </c>
      <c r="D758" t="s">
        <v>95</v>
      </c>
      <c r="E758" t="s">
        <v>77</v>
      </c>
      <c r="F758" t="s">
        <v>84</v>
      </c>
    </row>
    <row r="759" spans="1:7" x14ac:dyDescent="0.2">
      <c r="A759" t="s">
        <v>281</v>
      </c>
      <c r="B759">
        <v>1</v>
      </c>
      <c r="C759" t="s">
        <v>186</v>
      </c>
      <c r="D759" t="s">
        <v>95</v>
      </c>
      <c r="E759" t="s">
        <v>77</v>
      </c>
      <c r="F759" t="s">
        <v>89</v>
      </c>
      <c r="G759" t="s">
        <v>282</v>
      </c>
    </row>
    <row r="760" spans="1:7" x14ac:dyDescent="0.2">
      <c r="A760" t="s">
        <v>289</v>
      </c>
      <c r="B760">
        <v>7.4000000000000003E-10</v>
      </c>
      <c r="C760" t="s">
        <v>186</v>
      </c>
      <c r="D760" t="s">
        <v>95</v>
      </c>
      <c r="E760" t="s">
        <v>76</v>
      </c>
      <c r="F760" t="s">
        <v>89</v>
      </c>
      <c r="G760" t="s">
        <v>290</v>
      </c>
    </row>
    <row r="761" spans="1:7" x14ac:dyDescent="0.2">
      <c r="A761" t="s">
        <v>368</v>
      </c>
      <c r="B761">
        <v>1</v>
      </c>
      <c r="C761" t="s">
        <v>186</v>
      </c>
      <c r="D761" t="s">
        <v>95</v>
      </c>
      <c r="E761" t="s">
        <v>77</v>
      </c>
      <c r="F761" t="s">
        <v>89</v>
      </c>
      <c r="G761" t="s">
        <v>369</v>
      </c>
    </row>
    <row r="763" spans="1:7" ht="16" x14ac:dyDescent="0.2">
      <c r="A763" s="10" t="s">
        <v>71</v>
      </c>
      <c r="B763" s="10" t="s">
        <v>268</v>
      </c>
    </row>
    <row r="764" spans="1:7" x14ac:dyDescent="0.2">
      <c r="A764" t="s">
        <v>194</v>
      </c>
      <c r="B764" t="s">
        <v>427</v>
      </c>
    </row>
    <row r="765" spans="1:7" x14ac:dyDescent="0.2">
      <c r="A765" t="s">
        <v>83</v>
      </c>
      <c r="B765" t="s">
        <v>85</v>
      </c>
    </row>
    <row r="766" spans="1:7" x14ac:dyDescent="0.2">
      <c r="A766" t="s">
        <v>72</v>
      </c>
      <c r="B766" t="s">
        <v>95</v>
      </c>
    </row>
    <row r="767" spans="1:7" x14ac:dyDescent="0.2">
      <c r="A767" t="s">
        <v>180</v>
      </c>
      <c r="B767">
        <v>1</v>
      </c>
    </row>
    <row r="768" spans="1:7" x14ac:dyDescent="0.2">
      <c r="A768" t="s">
        <v>73</v>
      </c>
      <c r="B768" t="s">
        <v>268</v>
      </c>
    </row>
    <row r="769" spans="1:7" x14ac:dyDescent="0.2">
      <c r="A769" t="s">
        <v>76</v>
      </c>
      <c r="B769" t="s">
        <v>77</v>
      </c>
    </row>
    <row r="770" spans="1:7" x14ac:dyDescent="0.2">
      <c r="A770" t="s">
        <v>195</v>
      </c>
      <c r="B770" t="s">
        <v>181</v>
      </c>
    </row>
    <row r="771" spans="1:7" ht="16" x14ac:dyDescent="0.2">
      <c r="A771" s="10" t="s">
        <v>79</v>
      </c>
    </row>
    <row r="772" spans="1:7" x14ac:dyDescent="0.2">
      <c r="A772" t="s">
        <v>80</v>
      </c>
      <c r="B772" t="s">
        <v>81</v>
      </c>
      <c r="C772" t="s">
        <v>182</v>
      </c>
      <c r="D772" t="s">
        <v>72</v>
      </c>
      <c r="E772" t="s">
        <v>76</v>
      </c>
      <c r="F772" t="s">
        <v>74</v>
      </c>
      <c r="G772" t="s">
        <v>73</v>
      </c>
    </row>
    <row r="773" spans="1:7" x14ac:dyDescent="0.2">
      <c r="A773" t="s">
        <v>268</v>
      </c>
      <c r="B773">
        <v>1</v>
      </c>
      <c r="C773" t="s">
        <v>181</v>
      </c>
      <c r="D773" t="s">
        <v>95</v>
      </c>
      <c r="E773" t="s">
        <v>77</v>
      </c>
      <c r="F773" t="s">
        <v>84</v>
      </c>
    </row>
    <row r="774" spans="1:7" x14ac:dyDescent="0.2">
      <c r="A774" t="s">
        <v>281</v>
      </c>
      <c r="B774">
        <v>0.51</v>
      </c>
      <c r="C774" t="s">
        <v>186</v>
      </c>
      <c r="D774" t="s">
        <v>95</v>
      </c>
      <c r="E774" t="s">
        <v>77</v>
      </c>
      <c r="F774" t="s">
        <v>89</v>
      </c>
      <c r="G774" t="s">
        <v>282</v>
      </c>
    </row>
    <row r="775" spans="1:7" x14ac:dyDescent="0.2">
      <c r="A775" t="s">
        <v>283</v>
      </c>
      <c r="B775">
        <v>2.1999999999999999E-10</v>
      </c>
      <c r="C775" t="s">
        <v>186</v>
      </c>
      <c r="D775" t="s">
        <v>95</v>
      </c>
      <c r="E775" t="s">
        <v>76</v>
      </c>
      <c r="F775" t="s">
        <v>89</v>
      </c>
      <c r="G775" t="s">
        <v>284</v>
      </c>
    </row>
    <row r="776" spans="1:7" x14ac:dyDescent="0.2">
      <c r="A776" t="s">
        <v>304</v>
      </c>
      <c r="B776">
        <v>0.49</v>
      </c>
      <c r="C776" t="s">
        <v>186</v>
      </c>
      <c r="D776" t="s">
        <v>95</v>
      </c>
      <c r="E776" t="s">
        <v>77</v>
      </c>
      <c r="F776" t="s">
        <v>89</v>
      </c>
      <c r="G776" t="s">
        <v>305</v>
      </c>
    </row>
    <row r="777" spans="1:7" x14ac:dyDescent="0.2">
      <c r="A777" t="s">
        <v>306</v>
      </c>
      <c r="B777">
        <v>0.13</v>
      </c>
      <c r="C777" t="s">
        <v>186</v>
      </c>
      <c r="D777" t="s">
        <v>232</v>
      </c>
      <c r="E777" t="s">
        <v>77</v>
      </c>
      <c r="F777" t="s">
        <v>89</v>
      </c>
      <c r="G777" t="s">
        <v>307</v>
      </c>
    </row>
    <row r="778" spans="1:7" x14ac:dyDescent="0.2">
      <c r="A778" t="s">
        <v>289</v>
      </c>
      <c r="B778">
        <v>3.7999999999999998E-10</v>
      </c>
      <c r="C778" t="s">
        <v>186</v>
      </c>
      <c r="D778" t="s">
        <v>95</v>
      </c>
      <c r="E778" t="s">
        <v>76</v>
      </c>
      <c r="F778" t="s">
        <v>89</v>
      </c>
      <c r="G778" t="s">
        <v>290</v>
      </c>
    </row>
    <row r="779" spans="1:7" x14ac:dyDescent="0.2">
      <c r="A779" t="s">
        <v>368</v>
      </c>
      <c r="B779">
        <v>0.38</v>
      </c>
      <c r="C779" t="s">
        <v>186</v>
      </c>
      <c r="D779" t="s">
        <v>95</v>
      </c>
      <c r="E779" t="s">
        <v>77</v>
      </c>
      <c r="F779" t="s">
        <v>89</v>
      </c>
      <c r="G779" t="s">
        <v>369</v>
      </c>
    </row>
    <row r="780" spans="1:7" x14ac:dyDescent="0.2">
      <c r="A780" t="s">
        <v>310</v>
      </c>
      <c r="B780">
        <v>0.49</v>
      </c>
      <c r="C780" t="s">
        <v>186</v>
      </c>
      <c r="D780" t="s">
        <v>95</v>
      </c>
      <c r="E780" t="s">
        <v>77</v>
      </c>
      <c r="F780" t="s">
        <v>89</v>
      </c>
      <c r="G780" t="s">
        <v>311</v>
      </c>
    </row>
    <row r="782" spans="1:7" ht="16" x14ac:dyDescent="0.2">
      <c r="A782" s="10" t="s">
        <v>71</v>
      </c>
      <c r="B782" s="10" t="s">
        <v>377</v>
      </c>
    </row>
    <row r="783" spans="1:7" x14ac:dyDescent="0.2">
      <c r="A783" t="s">
        <v>194</v>
      </c>
      <c r="B783" t="s">
        <v>428</v>
      </c>
    </row>
    <row r="784" spans="1:7" x14ac:dyDescent="0.2">
      <c r="A784" t="s">
        <v>83</v>
      </c>
      <c r="B784" t="s">
        <v>85</v>
      </c>
    </row>
    <row r="785" spans="1:7" x14ac:dyDescent="0.2">
      <c r="A785" t="s">
        <v>72</v>
      </c>
      <c r="B785" t="s">
        <v>95</v>
      </c>
    </row>
    <row r="786" spans="1:7" x14ac:dyDescent="0.2">
      <c r="A786" t="s">
        <v>180</v>
      </c>
      <c r="B786">
        <v>1</v>
      </c>
    </row>
    <row r="787" spans="1:7" x14ac:dyDescent="0.2">
      <c r="A787" t="s">
        <v>73</v>
      </c>
      <c r="B787" t="s">
        <v>377</v>
      </c>
    </row>
    <row r="788" spans="1:7" x14ac:dyDescent="0.2">
      <c r="A788" t="s">
        <v>76</v>
      </c>
      <c r="B788" t="s">
        <v>77</v>
      </c>
    </row>
    <row r="789" spans="1:7" x14ac:dyDescent="0.2">
      <c r="A789" t="s">
        <v>195</v>
      </c>
      <c r="B789" t="s">
        <v>181</v>
      </c>
    </row>
    <row r="790" spans="1:7" ht="16" x14ac:dyDescent="0.2">
      <c r="A790" s="10" t="s">
        <v>79</v>
      </c>
    </row>
    <row r="791" spans="1:7" x14ac:dyDescent="0.2">
      <c r="A791" t="s">
        <v>80</v>
      </c>
      <c r="B791" t="s">
        <v>81</v>
      </c>
      <c r="C791" t="s">
        <v>182</v>
      </c>
      <c r="D791" t="s">
        <v>72</v>
      </c>
      <c r="E791" t="s">
        <v>76</v>
      </c>
      <c r="F791" t="s">
        <v>74</v>
      </c>
      <c r="G791" t="s">
        <v>73</v>
      </c>
    </row>
    <row r="792" spans="1:7" x14ac:dyDescent="0.2">
      <c r="A792" t="s">
        <v>377</v>
      </c>
      <c r="B792">
        <v>1</v>
      </c>
      <c r="C792" t="s">
        <v>181</v>
      </c>
      <c r="D792" t="s">
        <v>95</v>
      </c>
      <c r="E792" t="s">
        <v>77</v>
      </c>
      <c r="F792" t="s">
        <v>84</v>
      </c>
    </row>
    <row r="793" spans="1:7" x14ac:dyDescent="0.2">
      <c r="A793" t="s">
        <v>277</v>
      </c>
      <c r="B793">
        <v>0.6</v>
      </c>
      <c r="C793" t="s">
        <v>186</v>
      </c>
      <c r="D793" t="s">
        <v>95</v>
      </c>
      <c r="E793" t="s">
        <v>77</v>
      </c>
      <c r="F793" t="s">
        <v>89</v>
      </c>
      <c r="G793" t="s">
        <v>278</v>
      </c>
    </row>
    <row r="794" spans="1:7" x14ac:dyDescent="0.2">
      <c r="A794" t="s">
        <v>429</v>
      </c>
      <c r="B794">
        <v>0.1</v>
      </c>
      <c r="C794" t="s">
        <v>186</v>
      </c>
      <c r="D794" t="s">
        <v>95</v>
      </c>
      <c r="E794" t="s">
        <v>77</v>
      </c>
      <c r="F794" t="s">
        <v>89</v>
      </c>
      <c r="G794" t="s">
        <v>430</v>
      </c>
    </row>
    <row r="795" spans="1:7" x14ac:dyDescent="0.2">
      <c r="A795" t="s">
        <v>281</v>
      </c>
      <c r="B795">
        <v>1</v>
      </c>
      <c r="C795" t="s">
        <v>186</v>
      </c>
      <c r="D795" t="s">
        <v>95</v>
      </c>
      <c r="E795" t="s">
        <v>77</v>
      </c>
      <c r="F795" t="s">
        <v>89</v>
      </c>
      <c r="G795" t="s">
        <v>282</v>
      </c>
    </row>
    <row r="796" spans="1:7" x14ac:dyDescent="0.2">
      <c r="A796" t="s">
        <v>289</v>
      </c>
      <c r="B796">
        <v>7.4000000000000003E-10</v>
      </c>
      <c r="C796" t="s">
        <v>186</v>
      </c>
      <c r="D796" t="s">
        <v>95</v>
      </c>
      <c r="E796" t="s">
        <v>76</v>
      </c>
      <c r="F796" t="s">
        <v>89</v>
      </c>
      <c r="G796" t="s">
        <v>290</v>
      </c>
    </row>
    <row r="797" spans="1:7" x14ac:dyDescent="0.2">
      <c r="A797" t="s">
        <v>431</v>
      </c>
      <c r="B797">
        <v>0.3</v>
      </c>
      <c r="C797" t="s">
        <v>186</v>
      </c>
      <c r="D797" t="s">
        <v>95</v>
      </c>
      <c r="E797" t="s">
        <v>77</v>
      </c>
      <c r="F797" t="s">
        <v>89</v>
      </c>
      <c r="G797" t="s">
        <v>432</v>
      </c>
    </row>
    <row r="799" spans="1:7" ht="16" x14ac:dyDescent="0.2">
      <c r="A799" s="10" t="s">
        <v>71</v>
      </c>
      <c r="B799" s="10" t="s">
        <v>272</v>
      </c>
    </row>
    <row r="800" spans="1:7" x14ac:dyDescent="0.2">
      <c r="A800" t="s">
        <v>194</v>
      </c>
      <c r="B800" t="s">
        <v>433</v>
      </c>
    </row>
    <row r="801" spans="1:7" x14ac:dyDescent="0.2">
      <c r="A801" t="s">
        <v>83</v>
      </c>
      <c r="B801" t="s">
        <v>85</v>
      </c>
    </row>
    <row r="802" spans="1:7" x14ac:dyDescent="0.2">
      <c r="A802" t="s">
        <v>72</v>
      </c>
      <c r="B802" t="s">
        <v>95</v>
      </c>
    </row>
    <row r="803" spans="1:7" x14ac:dyDescent="0.2">
      <c r="A803" t="s">
        <v>180</v>
      </c>
      <c r="B803">
        <v>1</v>
      </c>
    </row>
    <row r="804" spans="1:7" x14ac:dyDescent="0.2">
      <c r="A804" t="s">
        <v>73</v>
      </c>
      <c r="B804" t="s">
        <v>272</v>
      </c>
    </row>
    <row r="805" spans="1:7" x14ac:dyDescent="0.2">
      <c r="A805" t="s">
        <v>76</v>
      </c>
      <c r="B805" t="s">
        <v>77</v>
      </c>
    </row>
    <row r="806" spans="1:7" x14ac:dyDescent="0.2">
      <c r="A806" t="s">
        <v>195</v>
      </c>
      <c r="B806" t="s">
        <v>181</v>
      </c>
    </row>
    <row r="807" spans="1:7" ht="16" x14ac:dyDescent="0.2">
      <c r="A807" s="10" t="s">
        <v>79</v>
      </c>
    </row>
    <row r="808" spans="1:7" x14ac:dyDescent="0.2">
      <c r="A808" t="s">
        <v>80</v>
      </c>
      <c r="B808" t="s">
        <v>81</v>
      </c>
      <c r="C808" t="s">
        <v>182</v>
      </c>
      <c r="D808" t="s">
        <v>72</v>
      </c>
      <c r="E808" t="s">
        <v>76</v>
      </c>
      <c r="F808" t="s">
        <v>74</v>
      </c>
      <c r="G808" t="s">
        <v>73</v>
      </c>
    </row>
    <row r="809" spans="1:7" x14ac:dyDescent="0.2">
      <c r="A809" t="s">
        <v>272</v>
      </c>
      <c r="B809">
        <v>1</v>
      </c>
      <c r="C809" t="s">
        <v>181</v>
      </c>
      <c r="D809" t="s">
        <v>95</v>
      </c>
      <c r="E809" t="s">
        <v>77</v>
      </c>
      <c r="F809" t="s">
        <v>84</v>
      </c>
    </row>
    <row r="810" spans="1:7" x14ac:dyDescent="0.2">
      <c r="A810" t="s">
        <v>281</v>
      </c>
      <c r="B810">
        <v>1</v>
      </c>
      <c r="C810" t="s">
        <v>186</v>
      </c>
      <c r="D810" t="s">
        <v>95</v>
      </c>
      <c r="E810" t="s">
        <v>77</v>
      </c>
      <c r="F810" t="s">
        <v>89</v>
      </c>
      <c r="G810" t="s">
        <v>282</v>
      </c>
    </row>
    <row r="811" spans="1:7" x14ac:dyDescent="0.2">
      <c r="A811" t="s">
        <v>289</v>
      </c>
      <c r="B811">
        <v>7.4000000000000003E-10</v>
      </c>
      <c r="C811" t="s">
        <v>186</v>
      </c>
      <c r="D811" t="s">
        <v>95</v>
      </c>
      <c r="E811" t="s">
        <v>76</v>
      </c>
      <c r="F811" t="s">
        <v>89</v>
      </c>
      <c r="G811" t="s">
        <v>290</v>
      </c>
    </row>
    <row r="812" spans="1:7" x14ac:dyDescent="0.2">
      <c r="A812" t="s">
        <v>368</v>
      </c>
      <c r="B812">
        <v>1</v>
      </c>
      <c r="C812" t="s">
        <v>186</v>
      </c>
      <c r="D812" t="s">
        <v>95</v>
      </c>
      <c r="E812" t="s">
        <v>77</v>
      </c>
      <c r="F812" t="s">
        <v>89</v>
      </c>
      <c r="G812" t="s">
        <v>369</v>
      </c>
    </row>
    <row r="814" spans="1:7" ht="16" x14ac:dyDescent="0.2">
      <c r="A814" s="10" t="s">
        <v>71</v>
      </c>
      <c r="B814" s="10" t="s">
        <v>273</v>
      </c>
    </row>
    <row r="815" spans="1:7" x14ac:dyDescent="0.2">
      <c r="A815" t="s">
        <v>194</v>
      </c>
      <c r="B815" t="s">
        <v>434</v>
      </c>
    </row>
    <row r="816" spans="1:7" x14ac:dyDescent="0.2">
      <c r="A816" t="s">
        <v>83</v>
      </c>
      <c r="B816" t="s">
        <v>85</v>
      </c>
    </row>
    <row r="817" spans="1:7" x14ac:dyDescent="0.2">
      <c r="A817" t="s">
        <v>72</v>
      </c>
      <c r="B817" t="s">
        <v>95</v>
      </c>
    </row>
    <row r="818" spans="1:7" x14ac:dyDescent="0.2">
      <c r="A818" t="s">
        <v>180</v>
      </c>
      <c r="B818">
        <v>1</v>
      </c>
    </row>
    <row r="819" spans="1:7" x14ac:dyDescent="0.2">
      <c r="A819" t="s">
        <v>73</v>
      </c>
      <c r="B819" t="s">
        <v>273</v>
      </c>
    </row>
    <row r="820" spans="1:7" x14ac:dyDescent="0.2">
      <c r="A820" t="s">
        <v>76</v>
      </c>
      <c r="B820" t="s">
        <v>77</v>
      </c>
    </row>
    <row r="821" spans="1:7" x14ac:dyDescent="0.2">
      <c r="A821" t="s">
        <v>195</v>
      </c>
      <c r="B821" t="s">
        <v>181</v>
      </c>
    </row>
    <row r="822" spans="1:7" ht="16" x14ac:dyDescent="0.2">
      <c r="A822" s="10" t="s">
        <v>79</v>
      </c>
    </row>
    <row r="823" spans="1:7" x14ac:dyDescent="0.2">
      <c r="A823" t="s">
        <v>80</v>
      </c>
      <c r="B823" t="s">
        <v>81</v>
      </c>
      <c r="C823" t="s">
        <v>182</v>
      </c>
      <c r="D823" t="s">
        <v>72</v>
      </c>
      <c r="E823" t="s">
        <v>76</v>
      </c>
      <c r="F823" t="s">
        <v>74</v>
      </c>
      <c r="G823" t="s">
        <v>73</v>
      </c>
    </row>
    <row r="824" spans="1:7" x14ac:dyDescent="0.2">
      <c r="A824" t="s">
        <v>273</v>
      </c>
      <c r="B824">
        <v>1</v>
      </c>
      <c r="C824" t="s">
        <v>181</v>
      </c>
      <c r="D824" t="s">
        <v>95</v>
      </c>
      <c r="E824" t="s">
        <v>77</v>
      </c>
      <c r="F824" t="s">
        <v>84</v>
      </c>
    </row>
    <row r="825" spans="1:7" x14ac:dyDescent="0.2">
      <c r="A825" t="s">
        <v>435</v>
      </c>
      <c r="B825">
        <v>1</v>
      </c>
      <c r="C825" t="s">
        <v>186</v>
      </c>
      <c r="D825" t="s">
        <v>232</v>
      </c>
      <c r="E825" t="s">
        <v>77</v>
      </c>
      <c r="F825" t="s">
        <v>89</v>
      </c>
      <c r="G825" t="s">
        <v>436</v>
      </c>
    </row>
    <row r="826" spans="1:7" x14ac:dyDescent="0.2">
      <c r="A826" t="s">
        <v>281</v>
      </c>
      <c r="B826">
        <v>1</v>
      </c>
      <c r="C826" t="s">
        <v>186</v>
      </c>
      <c r="D826" t="s">
        <v>95</v>
      </c>
      <c r="E826" t="s">
        <v>77</v>
      </c>
      <c r="F826" t="s">
        <v>89</v>
      </c>
      <c r="G826" t="s">
        <v>282</v>
      </c>
    </row>
    <row r="827" spans="1:7" x14ac:dyDescent="0.2">
      <c r="A827" t="s">
        <v>289</v>
      </c>
      <c r="B827">
        <v>7.4000000000000003E-10</v>
      </c>
      <c r="C827" t="s">
        <v>186</v>
      </c>
      <c r="D827" t="s">
        <v>95</v>
      </c>
      <c r="E827" t="s">
        <v>76</v>
      </c>
      <c r="F827" t="s">
        <v>89</v>
      </c>
      <c r="G827" t="s">
        <v>290</v>
      </c>
    </row>
    <row r="829" spans="1:7" ht="16" x14ac:dyDescent="0.2">
      <c r="A829" s="10" t="s">
        <v>71</v>
      </c>
      <c r="B829" s="10" t="s">
        <v>274</v>
      </c>
    </row>
    <row r="830" spans="1:7" x14ac:dyDescent="0.2">
      <c r="A830" t="s">
        <v>83</v>
      </c>
      <c r="B830" t="s">
        <v>85</v>
      </c>
    </row>
    <row r="831" spans="1:7" x14ac:dyDescent="0.2">
      <c r="A831" t="s">
        <v>72</v>
      </c>
      <c r="B831" t="s">
        <v>95</v>
      </c>
    </row>
    <row r="832" spans="1:7" x14ac:dyDescent="0.2">
      <c r="A832" t="s">
        <v>180</v>
      </c>
      <c r="B832">
        <v>1</v>
      </c>
    </row>
    <row r="833" spans="1:7" x14ac:dyDescent="0.2">
      <c r="A833" t="s">
        <v>73</v>
      </c>
      <c r="B833" t="s">
        <v>274</v>
      </c>
    </row>
    <row r="834" spans="1:7" x14ac:dyDescent="0.2">
      <c r="A834" t="s">
        <v>76</v>
      </c>
      <c r="B834" t="s">
        <v>77</v>
      </c>
    </row>
    <row r="835" spans="1:7" x14ac:dyDescent="0.2">
      <c r="A835" t="s">
        <v>195</v>
      </c>
      <c r="B835" t="s">
        <v>181</v>
      </c>
    </row>
    <row r="836" spans="1:7" ht="16" x14ac:dyDescent="0.2">
      <c r="A836" s="10" t="s">
        <v>79</v>
      </c>
    </row>
    <row r="837" spans="1:7" x14ac:dyDescent="0.2">
      <c r="A837" t="s">
        <v>80</v>
      </c>
      <c r="B837" t="s">
        <v>81</v>
      </c>
      <c r="C837" t="s">
        <v>182</v>
      </c>
      <c r="D837" t="s">
        <v>72</v>
      </c>
      <c r="E837" t="s">
        <v>76</v>
      </c>
      <c r="F837" t="s">
        <v>74</v>
      </c>
      <c r="G837" t="s">
        <v>73</v>
      </c>
    </row>
    <row r="838" spans="1:7" x14ac:dyDescent="0.2">
      <c r="A838" t="s">
        <v>274</v>
      </c>
      <c r="B838">
        <v>1</v>
      </c>
      <c r="C838" t="s">
        <v>181</v>
      </c>
      <c r="D838" t="s">
        <v>95</v>
      </c>
      <c r="E838" t="s">
        <v>77</v>
      </c>
      <c r="F838" t="s">
        <v>84</v>
      </c>
    </row>
    <row r="839" spans="1:7" x14ac:dyDescent="0.2">
      <c r="A839" t="s">
        <v>283</v>
      </c>
      <c r="B839">
        <v>4.6000000000000001E-10</v>
      </c>
      <c r="C839" t="s">
        <v>186</v>
      </c>
      <c r="D839" t="s">
        <v>95</v>
      </c>
      <c r="E839" t="s">
        <v>76</v>
      </c>
      <c r="F839" t="s">
        <v>89</v>
      </c>
      <c r="G839" t="s">
        <v>284</v>
      </c>
    </row>
    <row r="840" spans="1:7" x14ac:dyDescent="0.2">
      <c r="A840" t="s">
        <v>304</v>
      </c>
      <c r="B840">
        <v>1</v>
      </c>
      <c r="C840" t="s">
        <v>186</v>
      </c>
      <c r="D840" t="s">
        <v>95</v>
      </c>
      <c r="E840" t="s">
        <v>77</v>
      </c>
      <c r="F840" t="s">
        <v>89</v>
      </c>
      <c r="G840" t="s">
        <v>305</v>
      </c>
    </row>
    <row r="841" spans="1:7" x14ac:dyDescent="0.2">
      <c r="A841" t="s">
        <v>310</v>
      </c>
      <c r="B841">
        <v>1</v>
      </c>
      <c r="C841" t="s">
        <v>186</v>
      </c>
      <c r="D841" t="s">
        <v>95</v>
      </c>
      <c r="E841" t="s">
        <v>77</v>
      </c>
      <c r="F841" t="s">
        <v>89</v>
      </c>
      <c r="G841" t="s">
        <v>311</v>
      </c>
    </row>
    <row r="843" spans="1:7" ht="16" x14ac:dyDescent="0.2">
      <c r="A843" s="10" t="s">
        <v>71</v>
      </c>
      <c r="B843" s="10" t="s">
        <v>474</v>
      </c>
    </row>
    <row r="844" spans="1:7" x14ac:dyDescent="0.2">
      <c r="A844" t="s">
        <v>83</v>
      </c>
      <c r="B844" t="s">
        <v>85</v>
      </c>
    </row>
    <row r="845" spans="1:7" x14ac:dyDescent="0.2">
      <c r="A845" t="s">
        <v>72</v>
      </c>
      <c r="B845" t="s">
        <v>92</v>
      </c>
    </row>
    <row r="846" spans="1:7" x14ac:dyDescent="0.2">
      <c r="A846" t="s">
        <v>180</v>
      </c>
      <c r="B846">
        <v>1</v>
      </c>
    </row>
    <row r="847" spans="1:7" x14ac:dyDescent="0.2">
      <c r="A847" t="s">
        <v>73</v>
      </c>
      <c r="B847" t="s">
        <v>473</v>
      </c>
    </row>
    <row r="848" spans="1:7" x14ac:dyDescent="0.2">
      <c r="A848" t="s">
        <v>76</v>
      </c>
      <c r="B848" t="s">
        <v>76</v>
      </c>
    </row>
    <row r="849" spans="1:8" x14ac:dyDescent="0.2">
      <c r="A849" t="s">
        <v>83</v>
      </c>
      <c r="B849" t="s">
        <v>472</v>
      </c>
    </row>
    <row r="850" spans="1:8" ht="16" x14ac:dyDescent="0.2">
      <c r="A850" s="10" t="s">
        <v>79</v>
      </c>
    </row>
    <row r="851" spans="1:8" x14ac:dyDescent="0.2">
      <c r="A851" t="s">
        <v>80</v>
      </c>
      <c r="B851" t="s">
        <v>81</v>
      </c>
      <c r="C851" t="s">
        <v>182</v>
      </c>
      <c r="D851" t="s">
        <v>72</v>
      </c>
      <c r="E851" t="s">
        <v>82</v>
      </c>
      <c r="F851" t="s">
        <v>76</v>
      </c>
      <c r="G851" t="s">
        <v>74</v>
      </c>
      <c r="H851" t="s">
        <v>73</v>
      </c>
    </row>
    <row r="852" spans="1:8" x14ac:dyDescent="0.2">
      <c r="A852" t="s">
        <v>474</v>
      </c>
      <c r="B852">
        <v>1</v>
      </c>
      <c r="C852" t="s">
        <v>181</v>
      </c>
      <c r="D852" t="s">
        <v>92</v>
      </c>
      <c r="F852" t="s">
        <v>76</v>
      </c>
      <c r="G852" t="s">
        <v>84</v>
      </c>
      <c r="H852" t="s">
        <v>473</v>
      </c>
    </row>
    <row r="853" spans="1:8" x14ac:dyDescent="0.2">
      <c r="A853" t="s">
        <v>283</v>
      </c>
      <c r="B853">
        <v>4.6000000000000001E-10</v>
      </c>
      <c r="C853" t="s">
        <v>186</v>
      </c>
      <c r="D853" t="s">
        <v>95</v>
      </c>
      <c r="F853" t="s">
        <v>76</v>
      </c>
      <c r="G853" t="s">
        <v>89</v>
      </c>
      <c r="H853" t="s">
        <v>284</v>
      </c>
    </row>
    <row r="854" spans="1:8" x14ac:dyDescent="0.2">
      <c r="A854" t="s">
        <v>304</v>
      </c>
      <c r="B854">
        <v>1</v>
      </c>
      <c r="C854" t="s">
        <v>186</v>
      </c>
      <c r="D854" t="s">
        <v>95</v>
      </c>
      <c r="F854" t="s">
        <v>77</v>
      </c>
      <c r="G854" t="s">
        <v>89</v>
      </c>
      <c r="H854" t="s">
        <v>305</v>
      </c>
    </row>
    <row r="855" spans="1:8" x14ac:dyDescent="0.2">
      <c r="A855" t="s">
        <v>310</v>
      </c>
      <c r="B855">
        <v>1</v>
      </c>
      <c r="C855" t="s">
        <v>186</v>
      </c>
      <c r="D855" t="s">
        <v>95</v>
      </c>
      <c r="F855" t="s">
        <v>77</v>
      </c>
      <c r="G855" t="s">
        <v>89</v>
      </c>
      <c r="H855" t="s">
        <v>311</v>
      </c>
    </row>
    <row r="856" spans="1:8" x14ac:dyDescent="0.2">
      <c r="A856" t="s">
        <v>442</v>
      </c>
      <c r="B856">
        <v>1.9575</v>
      </c>
      <c r="C856" t="s">
        <v>186</v>
      </c>
      <c r="D856" t="s">
        <v>95</v>
      </c>
      <c r="F856" t="s">
        <v>77</v>
      </c>
      <c r="G856" t="s">
        <v>89</v>
      </c>
      <c r="H856" t="s">
        <v>117</v>
      </c>
    </row>
    <row r="857" spans="1:8" x14ac:dyDescent="0.2">
      <c r="A857" t="s">
        <v>282</v>
      </c>
      <c r="B857">
        <v>1.9575</v>
      </c>
      <c r="C857" t="s">
        <v>186</v>
      </c>
      <c r="D857" t="s">
        <v>92</v>
      </c>
      <c r="F857" t="s">
        <v>77</v>
      </c>
      <c r="G857" t="s">
        <v>89</v>
      </c>
      <c r="H857" t="s">
        <v>282</v>
      </c>
    </row>
    <row r="858" spans="1:8" x14ac:dyDescent="0.2">
      <c r="A858" t="s">
        <v>444</v>
      </c>
      <c r="B858" s="7">
        <v>1.3227E-9</v>
      </c>
      <c r="C858" t="s">
        <v>186</v>
      </c>
      <c r="D858" t="s">
        <v>92</v>
      </c>
      <c r="F858" t="s">
        <v>76</v>
      </c>
      <c r="G858" t="s">
        <v>89</v>
      </c>
      <c r="H858" t="s">
        <v>443</v>
      </c>
    </row>
    <row r="859" spans="1:8" x14ac:dyDescent="0.2">
      <c r="A859" t="s">
        <v>446</v>
      </c>
      <c r="B859">
        <v>-4.5</v>
      </c>
      <c r="C859" t="s">
        <v>186</v>
      </c>
      <c r="D859" t="s">
        <v>92</v>
      </c>
      <c r="F859" t="s">
        <v>77</v>
      </c>
      <c r="G859" t="s">
        <v>89</v>
      </c>
      <c r="H859" t="s">
        <v>445</v>
      </c>
    </row>
    <row r="860" spans="1:8" x14ac:dyDescent="0.2">
      <c r="A860" t="s">
        <v>447</v>
      </c>
      <c r="B860">
        <v>13.580249999999999</v>
      </c>
      <c r="C860" t="s">
        <v>186</v>
      </c>
      <c r="D860" t="s">
        <v>92</v>
      </c>
      <c r="F860" t="s">
        <v>197</v>
      </c>
      <c r="G860" t="s">
        <v>89</v>
      </c>
      <c r="H860" t="s">
        <v>243</v>
      </c>
    </row>
    <row r="861" spans="1:8" x14ac:dyDescent="0.2">
      <c r="A861" t="s">
        <v>448</v>
      </c>
      <c r="B861">
        <v>5.1220999999999997</v>
      </c>
      <c r="C861" t="s">
        <v>186</v>
      </c>
      <c r="D861" t="s">
        <v>95</v>
      </c>
      <c r="F861" t="s">
        <v>77</v>
      </c>
      <c r="G861" t="s">
        <v>89</v>
      </c>
      <c r="H861" t="s">
        <v>208</v>
      </c>
    </row>
    <row r="862" spans="1:8" x14ac:dyDescent="0.2">
      <c r="A862" t="s">
        <v>449</v>
      </c>
      <c r="B862">
        <v>0.33750000000000002</v>
      </c>
      <c r="C862" t="s">
        <v>186</v>
      </c>
      <c r="D862" t="s">
        <v>92</v>
      </c>
      <c r="F862" t="s">
        <v>77</v>
      </c>
      <c r="G862" t="s">
        <v>89</v>
      </c>
      <c r="H862" t="s">
        <v>449</v>
      </c>
    </row>
    <row r="863" spans="1:8" x14ac:dyDescent="0.2">
      <c r="A863" t="s">
        <v>237</v>
      </c>
      <c r="B863">
        <v>6.8902000000000001</v>
      </c>
      <c r="C863" t="s">
        <v>186</v>
      </c>
      <c r="D863" t="s">
        <v>92</v>
      </c>
      <c r="F863" t="s">
        <v>98</v>
      </c>
      <c r="G863" t="s">
        <v>89</v>
      </c>
      <c r="H863" t="s">
        <v>124</v>
      </c>
    </row>
    <row r="864" spans="1:8" x14ac:dyDescent="0.2">
      <c r="A864" t="s">
        <v>185</v>
      </c>
      <c r="B864">
        <v>4.9024999999999999</v>
      </c>
      <c r="C864" t="s">
        <v>186</v>
      </c>
      <c r="D864" t="s">
        <v>95</v>
      </c>
      <c r="F864" t="s">
        <v>77</v>
      </c>
      <c r="G864" t="s">
        <v>89</v>
      </c>
      <c r="H864" t="s">
        <v>187</v>
      </c>
    </row>
    <row r="865" spans="1:8" x14ac:dyDescent="0.2">
      <c r="A865" t="s">
        <v>450</v>
      </c>
      <c r="B865">
        <v>3.7663000000000002</v>
      </c>
      <c r="C865" t="s">
        <v>186</v>
      </c>
      <c r="D865" t="s">
        <v>92</v>
      </c>
      <c r="F865" t="s">
        <v>77</v>
      </c>
      <c r="G865" t="s">
        <v>89</v>
      </c>
      <c r="H865" t="s">
        <v>450</v>
      </c>
    </row>
    <row r="866" spans="1:8" x14ac:dyDescent="0.2">
      <c r="A866" t="s">
        <v>454</v>
      </c>
      <c r="B866">
        <v>0.19269800000000001</v>
      </c>
      <c r="C866" t="s">
        <v>186</v>
      </c>
      <c r="D866" t="s">
        <v>92</v>
      </c>
      <c r="F866" t="s">
        <v>197</v>
      </c>
      <c r="G866" t="s">
        <v>89</v>
      </c>
      <c r="H866" t="s">
        <v>453</v>
      </c>
    </row>
    <row r="867" spans="1:8" x14ac:dyDescent="0.2">
      <c r="A867" t="s">
        <v>456</v>
      </c>
      <c r="B867">
        <v>0.74399999999999999</v>
      </c>
      <c r="C867" t="s">
        <v>186</v>
      </c>
      <c r="D867" t="s">
        <v>92</v>
      </c>
      <c r="F867" t="s">
        <v>77</v>
      </c>
      <c r="G867" t="s">
        <v>89</v>
      </c>
      <c r="H867" t="s">
        <v>455</v>
      </c>
    </row>
    <row r="868" spans="1:8" x14ac:dyDescent="0.2">
      <c r="A868" t="s">
        <v>458</v>
      </c>
      <c r="B868">
        <v>2.4104000000000001</v>
      </c>
      <c r="C868" t="s">
        <v>186</v>
      </c>
      <c r="D868" t="s">
        <v>95</v>
      </c>
      <c r="F868" t="s">
        <v>77</v>
      </c>
      <c r="G868" t="s">
        <v>89</v>
      </c>
      <c r="H868" t="s">
        <v>457</v>
      </c>
    </row>
    <row r="869" spans="1:8" x14ac:dyDescent="0.2">
      <c r="A869" t="s">
        <v>460</v>
      </c>
      <c r="B869">
        <v>0.03</v>
      </c>
      <c r="C869" t="s">
        <v>186</v>
      </c>
      <c r="D869" t="s">
        <v>92</v>
      </c>
      <c r="F869" t="s">
        <v>77</v>
      </c>
      <c r="G869" t="s">
        <v>89</v>
      </c>
      <c r="H869" t="s">
        <v>459</v>
      </c>
    </row>
    <row r="870" spans="1:8" x14ac:dyDescent="0.2">
      <c r="A870" t="s">
        <v>269</v>
      </c>
      <c r="B870">
        <v>0.5625</v>
      </c>
      <c r="C870" t="s">
        <v>186</v>
      </c>
      <c r="D870" t="s">
        <v>95</v>
      </c>
      <c r="F870" t="s">
        <v>77</v>
      </c>
      <c r="G870" t="s">
        <v>89</v>
      </c>
      <c r="H870" t="s">
        <v>270</v>
      </c>
    </row>
    <row r="871" spans="1:8" x14ac:dyDescent="0.2">
      <c r="A871" t="s">
        <v>462</v>
      </c>
      <c r="B871">
        <v>1.59</v>
      </c>
      <c r="C871" t="s">
        <v>186</v>
      </c>
      <c r="D871" t="s">
        <v>95</v>
      </c>
      <c r="F871" t="s">
        <v>77</v>
      </c>
      <c r="G871" t="s">
        <v>89</v>
      </c>
      <c r="H871" t="s">
        <v>461</v>
      </c>
    </row>
    <row r="872" spans="1:8" x14ac:dyDescent="0.2">
      <c r="A872" t="s">
        <v>464</v>
      </c>
      <c r="B872">
        <v>0.35</v>
      </c>
      <c r="C872" t="s">
        <v>186</v>
      </c>
      <c r="D872" t="s">
        <v>92</v>
      </c>
      <c r="F872" t="s">
        <v>404</v>
      </c>
      <c r="G872" t="s">
        <v>89</v>
      </c>
      <c r="H872" t="s">
        <v>463</v>
      </c>
    </row>
    <row r="873" spans="1:8" x14ac:dyDescent="0.2">
      <c r="A873" t="s">
        <v>466</v>
      </c>
      <c r="B873">
        <v>0.159</v>
      </c>
      <c r="C873" t="s">
        <v>186</v>
      </c>
      <c r="D873" t="s">
        <v>92</v>
      </c>
      <c r="F873" t="s">
        <v>77</v>
      </c>
      <c r="G873" t="s">
        <v>89</v>
      </c>
      <c r="H873" t="s">
        <v>465</v>
      </c>
    </row>
    <row r="874" spans="1:8" x14ac:dyDescent="0.2">
      <c r="A874" t="s">
        <v>468</v>
      </c>
      <c r="B874">
        <v>0.75</v>
      </c>
      <c r="C874" t="s">
        <v>186</v>
      </c>
      <c r="D874" t="s">
        <v>92</v>
      </c>
      <c r="F874" t="s">
        <v>467</v>
      </c>
      <c r="G874" t="s">
        <v>89</v>
      </c>
      <c r="H874" t="s">
        <v>468</v>
      </c>
    </row>
    <row r="875" spans="1:8" x14ac:dyDescent="0.2">
      <c r="A875" t="s">
        <v>470</v>
      </c>
      <c r="B875">
        <v>-6.7137031720422395E-4</v>
      </c>
      <c r="C875" t="s">
        <v>186</v>
      </c>
      <c r="D875" t="s">
        <v>257</v>
      </c>
      <c r="F875" t="s">
        <v>340</v>
      </c>
      <c r="G875" t="s">
        <v>89</v>
      </c>
      <c r="H875" t="s">
        <v>469</v>
      </c>
    </row>
    <row r="876" spans="1:8" x14ac:dyDescent="0.2">
      <c r="A876" t="s">
        <v>470</v>
      </c>
      <c r="B876" s="7">
        <v>-7.2629682795775403E-5</v>
      </c>
      <c r="C876" t="s">
        <v>186</v>
      </c>
      <c r="D876" t="s">
        <v>37</v>
      </c>
      <c r="F876" t="s">
        <v>340</v>
      </c>
      <c r="G876" t="s">
        <v>89</v>
      </c>
      <c r="H876" t="s">
        <v>469</v>
      </c>
    </row>
    <row r="877" spans="1:8" x14ac:dyDescent="0.2">
      <c r="A877" t="s">
        <v>471</v>
      </c>
      <c r="B877">
        <v>1.116E-4</v>
      </c>
      <c r="C877" t="s">
        <v>337</v>
      </c>
      <c r="E877" t="s">
        <v>165</v>
      </c>
      <c r="F877" t="s">
        <v>340</v>
      </c>
      <c r="G877" t="s">
        <v>167</v>
      </c>
    </row>
    <row r="880" spans="1:8" ht="16" x14ac:dyDescent="0.2">
      <c r="A880" s="10" t="s">
        <v>71</v>
      </c>
      <c r="B880" s="10" t="s">
        <v>475</v>
      </c>
    </row>
    <row r="881" spans="1:8" x14ac:dyDescent="0.2">
      <c r="A881" t="s">
        <v>83</v>
      </c>
      <c r="B881" t="s">
        <v>85</v>
      </c>
    </row>
    <row r="882" spans="1:8" x14ac:dyDescent="0.2">
      <c r="A882" t="s">
        <v>72</v>
      </c>
      <c r="B882" t="s">
        <v>37</v>
      </c>
    </row>
    <row r="883" spans="1:8" x14ac:dyDescent="0.2">
      <c r="A883" t="s">
        <v>180</v>
      </c>
      <c r="B883">
        <v>1</v>
      </c>
    </row>
    <row r="884" spans="1:8" x14ac:dyDescent="0.2">
      <c r="A884" t="s">
        <v>73</v>
      </c>
      <c r="B884" t="s">
        <v>475</v>
      </c>
    </row>
    <row r="885" spans="1:8" x14ac:dyDescent="0.2">
      <c r="A885" t="s">
        <v>76</v>
      </c>
      <c r="B885" t="s">
        <v>76</v>
      </c>
    </row>
    <row r="886" spans="1:8" x14ac:dyDescent="0.2">
      <c r="A886" t="s">
        <v>83</v>
      </c>
      <c r="B886" t="s">
        <v>484</v>
      </c>
    </row>
    <row r="887" spans="1:8" ht="16" x14ac:dyDescent="0.2">
      <c r="A887" s="10" t="s">
        <v>79</v>
      </c>
    </row>
    <row r="888" spans="1:8" x14ac:dyDescent="0.2">
      <c r="A888" t="s">
        <v>80</v>
      </c>
      <c r="B888" t="s">
        <v>81</v>
      </c>
      <c r="C888" t="s">
        <v>182</v>
      </c>
      <c r="D888" t="s">
        <v>72</v>
      </c>
      <c r="E888" t="s">
        <v>82</v>
      </c>
      <c r="F888" t="s">
        <v>76</v>
      </c>
      <c r="G888" t="s">
        <v>74</v>
      </c>
      <c r="H888" t="s">
        <v>73</v>
      </c>
    </row>
    <row r="889" spans="1:8" x14ac:dyDescent="0.2">
      <c r="A889" t="s">
        <v>475</v>
      </c>
      <c r="B889">
        <v>1</v>
      </c>
      <c r="C889" t="s">
        <v>181</v>
      </c>
      <c r="D889" t="s">
        <v>37</v>
      </c>
      <c r="F889" t="s">
        <v>76</v>
      </c>
      <c r="G889" t="s">
        <v>84</v>
      </c>
      <c r="H889" t="s">
        <v>475</v>
      </c>
    </row>
    <row r="890" spans="1:8" x14ac:dyDescent="0.2">
      <c r="A890" t="s">
        <v>477</v>
      </c>
      <c r="B890">
        <v>0.37662000000000001</v>
      </c>
      <c r="C890" t="s">
        <v>483</v>
      </c>
      <c r="D890" t="s">
        <v>95</v>
      </c>
      <c r="F890" t="s">
        <v>77</v>
      </c>
      <c r="G890" t="s">
        <v>89</v>
      </c>
      <c r="H890" t="s">
        <v>476</v>
      </c>
    </row>
    <row r="891" spans="1:8" x14ac:dyDescent="0.2">
      <c r="A891" t="s">
        <v>466</v>
      </c>
      <c r="B891">
        <v>0.22825000000000001</v>
      </c>
      <c r="C891" t="s">
        <v>483</v>
      </c>
      <c r="D891" t="s">
        <v>92</v>
      </c>
      <c r="F891" t="s">
        <v>77</v>
      </c>
      <c r="G891" t="s">
        <v>89</v>
      </c>
      <c r="H891" t="s">
        <v>465</v>
      </c>
    </row>
    <row r="892" spans="1:8" x14ac:dyDescent="0.2">
      <c r="A892" t="s">
        <v>479</v>
      </c>
      <c r="B892">
        <v>-1.0087999999999999</v>
      </c>
      <c r="C892" t="s">
        <v>483</v>
      </c>
      <c r="D892" t="s">
        <v>37</v>
      </c>
      <c r="F892" t="s">
        <v>77</v>
      </c>
      <c r="G892" t="s">
        <v>89</v>
      </c>
      <c r="H892" t="s">
        <v>478</v>
      </c>
    </row>
    <row r="893" spans="1:8" x14ac:dyDescent="0.2">
      <c r="A893" t="s">
        <v>282</v>
      </c>
      <c r="B893">
        <v>0.97875000000000001</v>
      </c>
      <c r="C893" t="s">
        <v>483</v>
      </c>
      <c r="D893" t="s">
        <v>92</v>
      </c>
      <c r="F893" t="s">
        <v>77</v>
      </c>
      <c r="G893" t="s">
        <v>89</v>
      </c>
      <c r="H893" t="s">
        <v>282</v>
      </c>
    </row>
    <row r="894" spans="1:8" x14ac:dyDescent="0.2">
      <c r="A894" t="s">
        <v>269</v>
      </c>
      <c r="B894">
        <v>1.6875</v>
      </c>
      <c r="C894" t="s">
        <v>483</v>
      </c>
      <c r="D894" t="s">
        <v>95</v>
      </c>
      <c r="F894" t="s">
        <v>77</v>
      </c>
      <c r="G894" t="s">
        <v>89</v>
      </c>
      <c r="H894" t="s">
        <v>270</v>
      </c>
    </row>
    <row r="895" spans="1:8" x14ac:dyDescent="0.2">
      <c r="A895" t="s">
        <v>460</v>
      </c>
      <c r="B895">
        <v>0.03</v>
      </c>
      <c r="C895" t="s">
        <v>483</v>
      </c>
      <c r="D895" t="s">
        <v>92</v>
      </c>
      <c r="F895" t="s">
        <v>77</v>
      </c>
      <c r="G895" t="s">
        <v>89</v>
      </c>
      <c r="H895" t="s">
        <v>459</v>
      </c>
    </row>
    <row r="896" spans="1:8" x14ac:dyDescent="0.2">
      <c r="A896" t="s">
        <v>442</v>
      </c>
      <c r="B896">
        <v>0.97875000000000001</v>
      </c>
      <c r="C896" t="s">
        <v>483</v>
      </c>
      <c r="D896" t="s">
        <v>95</v>
      </c>
      <c r="F896" t="s">
        <v>77</v>
      </c>
      <c r="G896" t="s">
        <v>89</v>
      </c>
      <c r="H896" t="s">
        <v>117</v>
      </c>
    </row>
    <row r="897" spans="1:10" x14ac:dyDescent="0.2">
      <c r="A897" t="s">
        <v>481</v>
      </c>
      <c r="B897">
        <v>-0.84375</v>
      </c>
      <c r="C897" t="s">
        <v>483</v>
      </c>
      <c r="D897" t="s">
        <v>37</v>
      </c>
      <c r="F897" t="s">
        <v>77</v>
      </c>
      <c r="G897" t="s">
        <v>89</v>
      </c>
      <c r="H897" t="s">
        <v>480</v>
      </c>
    </row>
    <row r="898" spans="1:10" x14ac:dyDescent="0.2">
      <c r="A898" t="s">
        <v>482</v>
      </c>
      <c r="B898">
        <v>7.4399999999999994E-2</v>
      </c>
      <c r="C898" t="s">
        <v>483</v>
      </c>
      <c r="D898" t="s">
        <v>37</v>
      </c>
      <c r="F898" t="s">
        <v>77</v>
      </c>
      <c r="G898" t="s">
        <v>89</v>
      </c>
      <c r="H898" t="s">
        <v>455</v>
      </c>
    </row>
    <row r="899" spans="1:10" x14ac:dyDescent="0.2">
      <c r="A899" t="s">
        <v>185</v>
      </c>
      <c r="B899">
        <v>0.22825000000000001</v>
      </c>
      <c r="C899" t="s">
        <v>483</v>
      </c>
      <c r="D899" t="s">
        <v>95</v>
      </c>
      <c r="F899" t="s">
        <v>77</v>
      </c>
      <c r="G899" t="s">
        <v>89</v>
      </c>
      <c r="H899" t="s">
        <v>187</v>
      </c>
    </row>
    <row r="900" spans="1:10" x14ac:dyDescent="0.2">
      <c r="A900" t="s">
        <v>450</v>
      </c>
      <c r="B900">
        <v>0.37662000000000001</v>
      </c>
      <c r="C900" t="s">
        <v>483</v>
      </c>
      <c r="D900" t="s">
        <v>92</v>
      </c>
      <c r="F900" t="s">
        <v>77</v>
      </c>
      <c r="G900" t="s">
        <v>89</v>
      </c>
      <c r="H900" t="s">
        <v>450</v>
      </c>
    </row>
    <row r="901" spans="1:10" x14ac:dyDescent="0.2">
      <c r="A901" t="s">
        <v>471</v>
      </c>
      <c r="B901" s="7">
        <v>6.3239999999999998E-5</v>
      </c>
      <c r="C901" t="s">
        <v>337</v>
      </c>
      <c r="E901" t="s">
        <v>324</v>
      </c>
      <c r="F901" t="s">
        <v>340</v>
      </c>
      <c r="G901" t="s">
        <v>167</v>
      </c>
    </row>
    <row r="902" spans="1:10" x14ac:dyDescent="0.2">
      <c r="A902" t="s">
        <v>471</v>
      </c>
      <c r="B902" s="7">
        <v>1.116E-5</v>
      </c>
      <c r="C902" t="s">
        <v>337</v>
      </c>
      <c r="E902" t="s">
        <v>165</v>
      </c>
      <c r="F902" t="s">
        <v>340</v>
      </c>
      <c r="G902" t="s">
        <v>167</v>
      </c>
    </row>
    <row r="904" spans="1:10" ht="16" x14ac:dyDescent="0.2">
      <c r="A904" s="10" t="s">
        <v>71</v>
      </c>
      <c r="B904" s="10" t="s">
        <v>759</v>
      </c>
    </row>
    <row r="905" spans="1:10" x14ac:dyDescent="0.2">
      <c r="A905" t="s">
        <v>83</v>
      </c>
      <c r="B905" t="s">
        <v>85</v>
      </c>
    </row>
    <row r="906" spans="1:10" x14ac:dyDescent="0.2">
      <c r="A906" t="s">
        <v>72</v>
      </c>
      <c r="B906" t="s">
        <v>95</v>
      </c>
    </row>
    <row r="907" spans="1:10" x14ac:dyDescent="0.2">
      <c r="A907" t="s">
        <v>180</v>
      </c>
      <c r="B907">
        <v>1</v>
      </c>
    </row>
    <row r="908" spans="1:10" x14ac:dyDescent="0.2">
      <c r="A908" t="s">
        <v>73</v>
      </c>
      <c r="B908" t="s">
        <v>96</v>
      </c>
    </row>
    <row r="909" spans="1:10" x14ac:dyDescent="0.2">
      <c r="A909" t="s">
        <v>76</v>
      </c>
      <c r="B909" t="s">
        <v>77</v>
      </c>
    </row>
    <row r="910" spans="1:10" ht="16" x14ac:dyDescent="0.2">
      <c r="A910" s="10" t="s">
        <v>79</v>
      </c>
    </row>
    <row r="911" spans="1:10" x14ac:dyDescent="0.2">
      <c r="A911" t="s">
        <v>80</v>
      </c>
      <c r="B911" t="s">
        <v>73</v>
      </c>
      <c r="C911" t="s">
        <v>81</v>
      </c>
      <c r="D911" t="s">
        <v>76</v>
      </c>
      <c r="E911" t="s">
        <v>182</v>
      </c>
      <c r="F911" t="s">
        <v>82</v>
      </c>
      <c r="G911" t="s">
        <v>72</v>
      </c>
      <c r="H911" t="s">
        <v>74</v>
      </c>
      <c r="I911" t="s">
        <v>775</v>
      </c>
      <c r="J911" t="s">
        <v>83</v>
      </c>
    </row>
    <row r="912" spans="1:10" ht="16" x14ac:dyDescent="0.2">
      <c r="A912" s="21" t="s">
        <v>759</v>
      </c>
      <c r="B912" t="s">
        <v>96</v>
      </c>
      <c r="C912">
        <v>1</v>
      </c>
      <c r="D912" t="s">
        <v>77</v>
      </c>
      <c r="E912" t="s">
        <v>181</v>
      </c>
      <c r="G912" t="s">
        <v>95</v>
      </c>
      <c r="H912" t="s">
        <v>84</v>
      </c>
    </row>
    <row r="913" spans="1:14" x14ac:dyDescent="0.2">
      <c r="A913" t="s">
        <v>776</v>
      </c>
      <c r="B913" t="s">
        <v>776</v>
      </c>
      <c r="C913">
        <v>0.38915579958819491</v>
      </c>
      <c r="D913" t="s">
        <v>77</v>
      </c>
      <c r="E913" t="s">
        <v>181</v>
      </c>
      <c r="G913" t="s">
        <v>777</v>
      </c>
      <c r="H913" t="s">
        <v>89</v>
      </c>
    </row>
    <row r="914" spans="1:14" x14ac:dyDescent="0.2">
      <c r="A914" t="s">
        <v>778</v>
      </c>
      <c r="B914" t="s">
        <v>778</v>
      </c>
      <c r="C914">
        <v>0.13150308853809195</v>
      </c>
      <c r="D914" t="s">
        <v>77</v>
      </c>
      <c r="E914" t="s">
        <v>181</v>
      </c>
      <c r="G914" t="s">
        <v>777</v>
      </c>
      <c r="H914" t="s">
        <v>89</v>
      </c>
    </row>
    <row r="915" spans="1:14" x14ac:dyDescent="0.2">
      <c r="A915" t="s">
        <v>779</v>
      </c>
      <c r="B915" t="s">
        <v>779</v>
      </c>
      <c r="C915">
        <v>5.6005490734385717E-2</v>
      </c>
      <c r="D915" t="s">
        <v>77</v>
      </c>
      <c r="E915" t="s">
        <v>181</v>
      </c>
      <c r="G915" t="s">
        <v>777</v>
      </c>
      <c r="H915" t="s">
        <v>89</v>
      </c>
    </row>
    <row r="916" spans="1:14" x14ac:dyDescent="0.2">
      <c r="A916" t="s">
        <v>780</v>
      </c>
      <c r="B916" t="s">
        <v>780</v>
      </c>
      <c r="C916">
        <v>0.12916952642415921</v>
      </c>
      <c r="D916" t="s">
        <v>77</v>
      </c>
      <c r="E916" t="s">
        <v>181</v>
      </c>
      <c r="G916" t="s">
        <v>777</v>
      </c>
      <c r="H916" t="s">
        <v>89</v>
      </c>
    </row>
    <row r="917" spans="1:14" x14ac:dyDescent="0.2">
      <c r="A917" t="s">
        <v>781</v>
      </c>
      <c r="B917" t="s">
        <v>781</v>
      </c>
      <c r="C917">
        <v>0.21153054221002057</v>
      </c>
      <c r="D917" t="s">
        <v>77</v>
      </c>
      <c r="E917" t="s">
        <v>181</v>
      </c>
      <c r="G917" t="s">
        <v>777</v>
      </c>
      <c r="H917" t="s">
        <v>89</v>
      </c>
    </row>
    <row r="918" spans="1:14" x14ac:dyDescent="0.2">
      <c r="A918" t="s">
        <v>782</v>
      </c>
      <c r="B918" t="s">
        <v>782</v>
      </c>
      <c r="C918">
        <v>5.1338366506520246E-2</v>
      </c>
      <c r="D918" t="s">
        <v>77</v>
      </c>
      <c r="E918" t="s">
        <v>181</v>
      </c>
      <c r="G918" t="s">
        <v>777</v>
      </c>
      <c r="H918" t="s">
        <v>89</v>
      </c>
    </row>
    <row r="919" spans="1:14" x14ac:dyDescent="0.2">
      <c r="A919" t="s">
        <v>239</v>
      </c>
      <c r="B919" t="s">
        <v>239</v>
      </c>
      <c r="C919">
        <v>3.1297185998627318E-2</v>
      </c>
      <c r="D919" t="s">
        <v>77</v>
      </c>
      <c r="E919" t="s">
        <v>181</v>
      </c>
      <c r="G919" t="s">
        <v>95</v>
      </c>
      <c r="H919" t="s">
        <v>89</v>
      </c>
      <c r="J919" t="s">
        <v>783</v>
      </c>
    </row>
    <row r="920" spans="1:14" x14ac:dyDescent="0.2">
      <c r="A920" t="s">
        <v>244</v>
      </c>
      <c r="B920" t="s">
        <v>245</v>
      </c>
      <c r="C920" s="5">
        <v>4.4680851063829783</v>
      </c>
      <c r="D920" t="s">
        <v>77</v>
      </c>
      <c r="E920" t="s">
        <v>483</v>
      </c>
      <c r="G920" t="s">
        <v>232</v>
      </c>
      <c r="H920" t="s">
        <v>89</v>
      </c>
      <c r="N920" s="5"/>
    </row>
    <row r="921" spans="1:14" x14ac:dyDescent="0.2">
      <c r="A921" t="s">
        <v>237</v>
      </c>
      <c r="B921" t="s">
        <v>124</v>
      </c>
      <c r="C921">
        <v>4</v>
      </c>
      <c r="D921" t="s">
        <v>98</v>
      </c>
      <c r="E921" t="s">
        <v>483</v>
      </c>
      <c r="G921" t="s">
        <v>95</v>
      </c>
      <c r="H921" t="s">
        <v>89</v>
      </c>
      <c r="J921" t="s">
        <v>246</v>
      </c>
    </row>
    <row r="922" spans="1:14" x14ac:dyDescent="0.2">
      <c r="A922" t="s">
        <v>242</v>
      </c>
      <c r="B922" t="s">
        <v>243</v>
      </c>
      <c r="C922" s="3">
        <v>14.4</v>
      </c>
      <c r="D922" t="s">
        <v>197</v>
      </c>
      <c r="E922" t="s">
        <v>483</v>
      </c>
      <c r="G922" t="s">
        <v>232</v>
      </c>
      <c r="H922" t="s">
        <v>89</v>
      </c>
    </row>
    <row r="925" spans="1:14" ht="16" x14ac:dyDescent="0.2">
      <c r="A925" s="10" t="s">
        <v>71</v>
      </c>
      <c r="B925" s="10" t="s">
        <v>778</v>
      </c>
    </row>
    <row r="926" spans="1:14" x14ac:dyDescent="0.2">
      <c r="A926" t="s">
        <v>194</v>
      </c>
      <c r="B926" t="s">
        <v>784</v>
      </c>
    </row>
    <row r="927" spans="1:14" x14ac:dyDescent="0.2">
      <c r="A927" t="s">
        <v>83</v>
      </c>
      <c r="B927" t="s">
        <v>85</v>
      </c>
    </row>
    <row r="928" spans="1:14" x14ac:dyDescent="0.2">
      <c r="A928" t="s">
        <v>72</v>
      </c>
      <c r="B928" t="s">
        <v>777</v>
      </c>
    </row>
    <row r="929" spans="1:8" x14ac:dyDescent="0.2">
      <c r="A929" t="s">
        <v>180</v>
      </c>
      <c r="B929">
        <v>1</v>
      </c>
    </row>
    <row r="930" spans="1:8" x14ac:dyDescent="0.2">
      <c r="A930" t="s">
        <v>73</v>
      </c>
      <c r="B930" t="s">
        <v>778</v>
      </c>
    </row>
    <row r="931" spans="1:8" x14ac:dyDescent="0.2">
      <c r="A931" t="s">
        <v>76</v>
      </c>
      <c r="B931" t="s">
        <v>77</v>
      </c>
    </row>
    <row r="932" spans="1:8" x14ac:dyDescent="0.2">
      <c r="A932" t="s">
        <v>195</v>
      </c>
      <c r="B932" t="s">
        <v>336</v>
      </c>
    </row>
    <row r="933" spans="1:8" ht="16" x14ac:dyDescent="0.2">
      <c r="A933" s="10" t="s">
        <v>79</v>
      </c>
    </row>
    <row r="934" spans="1:8" x14ac:dyDescent="0.2">
      <c r="A934" t="s">
        <v>80</v>
      </c>
      <c r="B934" t="s">
        <v>81</v>
      </c>
      <c r="C934" t="s">
        <v>182</v>
      </c>
      <c r="D934" t="s">
        <v>72</v>
      </c>
      <c r="E934" t="s">
        <v>76</v>
      </c>
      <c r="F934" t="s">
        <v>74</v>
      </c>
      <c r="G934" t="s">
        <v>73</v>
      </c>
      <c r="H934" t="s">
        <v>775</v>
      </c>
    </row>
    <row r="935" spans="1:8" x14ac:dyDescent="0.2">
      <c r="A935" t="s">
        <v>778</v>
      </c>
      <c r="B935">
        <v>1</v>
      </c>
      <c r="C935" t="s">
        <v>785</v>
      </c>
      <c r="D935" t="s">
        <v>777</v>
      </c>
      <c r="E935" t="s">
        <v>77</v>
      </c>
      <c r="F935" t="s">
        <v>84</v>
      </c>
    </row>
    <row r="936" spans="1:8" x14ac:dyDescent="0.2">
      <c r="A936" t="s">
        <v>319</v>
      </c>
      <c r="B936">
        <v>0.9</v>
      </c>
      <c r="C936" t="s">
        <v>344</v>
      </c>
      <c r="D936" t="s">
        <v>95</v>
      </c>
      <c r="E936" t="s">
        <v>77</v>
      </c>
      <c r="F936" t="s">
        <v>89</v>
      </c>
      <c r="G936" t="s">
        <v>320</v>
      </c>
      <c r="H936">
        <v>0.86185933408155613</v>
      </c>
    </row>
    <row r="937" spans="1:8" x14ac:dyDescent="0.2">
      <c r="A937" t="s">
        <v>216</v>
      </c>
      <c r="B937">
        <v>0.05</v>
      </c>
      <c r="C937" t="s">
        <v>344</v>
      </c>
      <c r="D937" t="s">
        <v>95</v>
      </c>
      <c r="E937" t="s">
        <v>77</v>
      </c>
      <c r="F937" t="s">
        <v>89</v>
      </c>
      <c r="G937" t="s">
        <v>217</v>
      </c>
    </row>
    <row r="938" spans="1:8" x14ac:dyDescent="0.2">
      <c r="A938" t="s">
        <v>321</v>
      </c>
      <c r="B938">
        <v>3.5000000000000003E-2</v>
      </c>
      <c r="C938" t="s">
        <v>344</v>
      </c>
      <c r="D938" t="s">
        <v>95</v>
      </c>
      <c r="E938" t="s">
        <v>77</v>
      </c>
      <c r="F938" t="s">
        <v>89</v>
      </c>
      <c r="G938" t="s">
        <v>322</v>
      </c>
      <c r="H938">
        <v>3.3516751880949401E-2</v>
      </c>
    </row>
    <row r="939" spans="1:8" x14ac:dyDescent="0.2">
      <c r="A939" t="s">
        <v>333</v>
      </c>
      <c r="B939">
        <v>1.4999999999999999E-2</v>
      </c>
      <c r="C939" t="s">
        <v>342</v>
      </c>
      <c r="D939" t="s">
        <v>92</v>
      </c>
      <c r="E939" t="s">
        <v>77</v>
      </c>
      <c r="F939" t="s">
        <v>89</v>
      </c>
      <c r="G939" t="s">
        <v>335</v>
      </c>
    </row>
    <row r="941" spans="1:8" ht="16" x14ac:dyDescent="0.2">
      <c r="A941" s="10" t="s">
        <v>71</v>
      </c>
      <c r="B941" s="10" t="s">
        <v>779</v>
      </c>
    </row>
    <row r="942" spans="1:8" x14ac:dyDescent="0.2">
      <c r="A942" t="s">
        <v>194</v>
      </c>
      <c r="B942" t="s">
        <v>786</v>
      </c>
    </row>
    <row r="943" spans="1:8" x14ac:dyDescent="0.2">
      <c r="A943" t="s">
        <v>83</v>
      </c>
      <c r="B943" t="s">
        <v>85</v>
      </c>
    </row>
    <row r="944" spans="1:8" x14ac:dyDescent="0.2">
      <c r="A944" t="s">
        <v>72</v>
      </c>
      <c r="B944" t="s">
        <v>777</v>
      </c>
    </row>
    <row r="945" spans="1:7" x14ac:dyDescent="0.2">
      <c r="A945" t="s">
        <v>180</v>
      </c>
      <c r="B945">
        <v>1</v>
      </c>
    </row>
    <row r="946" spans="1:7" x14ac:dyDescent="0.2">
      <c r="A946" t="s">
        <v>73</v>
      </c>
      <c r="B946" t="s">
        <v>779</v>
      </c>
    </row>
    <row r="947" spans="1:7" x14ac:dyDescent="0.2">
      <c r="A947" t="s">
        <v>76</v>
      </c>
      <c r="B947" t="s">
        <v>77</v>
      </c>
    </row>
    <row r="948" spans="1:7" x14ac:dyDescent="0.2">
      <c r="A948" t="s">
        <v>195</v>
      </c>
      <c r="B948" t="s">
        <v>336</v>
      </c>
    </row>
    <row r="949" spans="1:7" ht="16" x14ac:dyDescent="0.2">
      <c r="A949" s="10" t="s">
        <v>79</v>
      </c>
    </row>
    <row r="950" spans="1:7" x14ac:dyDescent="0.2">
      <c r="A950" t="s">
        <v>80</v>
      </c>
      <c r="B950" t="s">
        <v>81</v>
      </c>
      <c r="C950" t="s">
        <v>182</v>
      </c>
      <c r="D950" t="s">
        <v>72</v>
      </c>
      <c r="E950" t="s">
        <v>76</v>
      </c>
      <c r="F950" t="s">
        <v>74</v>
      </c>
      <c r="G950" t="s">
        <v>73</v>
      </c>
    </row>
    <row r="951" spans="1:7" x14ac:dyDescent="0.2">
      <c r="A951" t="s">
        <v>779</v>
      </c>
      <c r="B951">
        <v>1</v>
      </c>
      <c r="C951" t="s">
        <v>785</v>
      </c>
      <c r="D951" t="s">
        <v>777</v>
      </c>
      <c r="E951" t="s">
        <v>77</v>
      </c>
      <c r="F951" t="s">
        <v>84</v>
      </c>
    </row>
    <row r="952" spans="1:7" x14ac:dyDescent="0.2">
      <c r="A952" t="s">
        <v>787</v>
      </c>
      <c r="B952">
        <v>1</v>
      </c>
      <c r="C952" t="s">
        <v>344</v>
      </c>
      <c r="D952" t="s">
        <v>788</v>
      </c>
      <c r="E952" t="s">
        <v>77</v>
      </c>
      <c r="F952" t="s">
        <v>89</v>
      </c>
      <c r="G952" t="s">
        <v>789</v>
      </c>
    </row>
    <row r="953" spans="1:7" x14ac:dyDescent="0.2">
      <c r="A953" t="s">
        <v>211</v>
      </c>
      <c r="B953">
        <v>1</v>
      </c>
      <c r="C953" t="s">
        <v>344</v>
      </c>
      <c r="D953" t="s">
        <v>95</v>
      </c>
      <c r="E953" t="s">
        <v>77</v>
      </c>
      <c r="F953" t="s">
        <v>89</v>
      </c>
      <c r="G953" t="s">
        <v>212</v>
      </c>
    </row>
    <row r="955" spans="1:7" ht="16" x14ac:dyDescent="0.2">
      <c r="A955" s="10" t="s">
        <v>71</v>
      </c>
      <c r="B955" s="10" t="s">
        <v>776</v>
      </c>
    </row>
    <row r="956" spans="1:7" x14ac:dyDescent="0.2">
      <c r="A956" t="s">
        <v>194</v>
      </c>
      <c r="B956" t="s">
        <v>790</v>
      </c>
    </row>
    <row r="957" spans="1:7" x14ac:dyDescent="0.2">
      <c r="A957" t="s">
        <v>83</v>
      </c>
      <c r="B957" t="s">
        <v>85</v>
      </c>
    </row>
    <row r="958" spans="1:7" x14ac:dyDescent="0.2">
      <c r="A958" t="s">
        <v>72</v>
      </c>
      <c r="B958" t="s">
        <v>777</v>
      </c>
    </row>
    <row r="959" spans="1:7" x14ac:dyDescent="0.2">
      <c r="A959" t="s">
        <v>180</v>
      </c>
      <c r="B959">
        <v>1</v>
      </c>
    </row>
    <row r="960" spans="1:7" x14ac:dyDescent="0.2">
      <c r="A960" t="s">
        <v>73</v>
      </c>
      <c r="B960" t="s">
        <v>776</v>
      </c>
    </row>
    <row r="961" spans="1:7" x14ac:dyDescent="0.2">
      <c r="A961" t="s">
        <v>76</v>
      </c>
      <c r="B961" t="s">
        <v>77</v>
      </c>
    </row>
    <row r="962" spans="1:7" x14ac:dyDescent="0.2">
      <c r="A962" t="s">
        <v>195</v>
      </c>
      <c r="B962" t="s">
        <v>336</v>
      </c>
    </row>
    <row r="963" spans="1:7" ht="16" x14ac:dyDescent="0.2">
      <c r="A963" s="10" t="s">
        <v>79</v>
      </c>
    </row>
    <row r="964" spans="1:7" x14ac:dyDescent="0.2">
      <c r="A964" t="s">
        <v>80</v>
      </c>
      <c r="B964" t="s">
        <v>81</v>
      </c>
      <c r="C964" t="s">
        <v>182</v>
      </c>
      <c r="D964" t="s">
        <v>72</v>
      </c>
      <c r="E964" t="s">
        <v>76</v>
      </c>
      <c r="F964" t="s">
        <v>74</v>
      </c>
      <c r="G964" t="s">
        <v>73</v>
      </c>
    </row>
    <row r="965" spans="1:7" x14ac:dyDescent="0.2">
      <c r="A965" t="s">
        <v>776</v>
      </c>
      <c r="B965">
        <v>1</v>
      </c>
      <c r="C965" t="s">
        <v>785</v>
      </c>
      <c r="D965" t="s">
        <v>777</v>
      </c>
      <c r="E965" t="s">
        <v>77</v>
      </c>
      <c r="F965" t="s">
        <v>84</v>
      </c>
    </row>
    <row r="966" spans="1:7" x14ac:dyDescent="0.2">
      <c r="A966" t="s">
        <v>791</v>
      </c>
      <c r="B966">
        <v>0.87</v>
      </c>
      <c r="C966" t="s">
        <v>785</v>
      </c>
      <c r="D966" t="s">
        <v>777</v>
      </c>
      <c r="E966" t="s">
        <v>77</v>
      </c>
      <c r="F966" t="s">
        <v>89</v>
      </c>
      <c r="G966" t="s">
        <v>791</v>
      </c>
    </row>
    <row r="967" spans="1:7" x14ac:dyDescent="0.2">
      <c r="A967" t="s">
        <v>214</v>
      </c>
      <c r="B967">
        <v>0.28000000000000003</v>
      </c>
      <c r="C967" t="s">
        <v>344</v>
      </c>
      <c r="D967" t="s">
        <v>95</v>
      </c>
      <c r="E967" t="s">
        <v>77</v>
      </c>
      <c r="F967" t="s">
        <v>89</v>
      </c>
      <c r="G967" t="s">
        <v>215</v>
      </c>
    </row>
    <row r="968" spans="1:7" x14ac:dyDescent="0.2">
      <c r="A968" t="s">
        <v>216</v>
      </c>
      <c r="B968">
        <v>0.05</v>
      </c>
      <c r="C968" t="s">
        <v>344</v>
      </c>
      <c r="D968" t="s">
        <v>95</v>
      </c>
      <c r="E968" t="s">
        <v>77</v>
      </c>
      <c r="F968" t="s">
        <v>89</v>
      </c>
      <c r="G968" t="s">
        <v>217</v>
      </c>
    </row>
    <row r="969" spans="1:7" x14ac:dyDescent="0.2">
      <c r="A969" t="s">
        <v>218</v>
      </c>
      <c r="B969">
        <v>0.08</v>
      </c>
      <c r="C969" t="s">
        <v>344</v>
      </c>
      <c r="D969" t="s">
        <v>95</v>
      </c>
      <c r="E969" t="s">
        <v>77</v>
      </c>
      <c r="F969" t="s">
        <v>89</v>
      </c>
      <c r="G969" t="s">
        <v>219</v>
      </c>
    </row>
    <row r="971" spans="1:7" ht="16" x14ac:dyDescent="0.2">
      <c r="A971" s="10" t="s">
        <v>71</v>
      </c>
      <c r="B971" s="10" t="s">
        <v>781</v>
      </c>
    </row>
    <row r="972" spans="1:7" x14ac:dyDescent="0.2">
      <c r="A972" t="s">
        <v>194</v>
      </c>
      <c r="B972" t="s">
        <v>792</v>
      </c>
    </row>
    <row r="973" spans="1:7" x14ac:dyDescent="0.2">
      <c r="A973" t="s">
        <v>83</v>
      </c>
      <c r="B973" t="s">
        <v>85</v>
      </c>
    </row>
    <row r="974" spans="1:7" x14ac:dyDescent="0.2">
      <c r="A974" t="s">
        <v>72</v>
      </c>
      <c r="B974" t="s">
        <v>777</v>
      </c>
    </row>
    <row r="975" spans="1:7" x14ac:dyDescent="0.2">
      <c r="A975" t="s">
        <v>180</v>
      </c>
      <c r="B975">
        <v>1</v>
      </c>
    </row>
    <row r="976" spans="1:7" x14ac:dyDescent="0.2">
      <c r="A976" t="s">
        <v>73</v>
      </c>
      <c r="B976" t="s">
        <v>781</v>
      </c>
    </row>
    <row r="977" spans="1:7" x14ac:dyDescent="0.2">
      <c r="A977" t="s">
        <v>76</v>
      </c>
      <c r="B977" t="s">
        <v>77</v>
      </c>
    </row>
    <row r="978" spans="1:7" x14ac:dyDescent="0.2">
      <c r="A978" t="s">
        <v>195</v>
      </c>
      <c r="B978" t="s">
        <v>336</v>
      </c>
    </row>
    <row r="979" spans="1:7" ht="16" x14ac:dyDescent="0.2">
      <c r="A979" s="10" t="s">
        <v>79</v>
      </c>
    </row>
    <row r="980" spans="1:7" x14ac:dyDescent="0.2">
      <c r="A980" t="s">
        <v>80</v>
      </c>
      <c r="B980" t="s">
        <v>81</v>
      </c>
      <c r="C980" t="s">
        <v>182</v>
      </c>
      <c r="D980" t="s">
        <v>72</v>
      </c>
      <c r="E980" t="s">
        <v>76</v>
      </c>
      <c r="F980" t="s">
        <v>74</v>
      </c>
      <c r="G980" t="s">
        <v>73</v>
      </c>
    </row>
    <row r="981" spans="1:7" x14ac:dyDescent="0.2">
      <c r="A981" t="s">
        <v>781</v>
      </c>
      <c r="B981">
        <v>1</v>
      </c>
      <c r="C981" t="s">
        <v>785</v>
      </c>
      <c r="D981" t="s">
        <v>777</v>
      </c>
      <c r="E981" t="s">
        <v>77</v>
      </c>
      <c r="F981" t="s">
        <v>84</v>
      </c>
    </row>
    <row r="982" spans="1:7" x14ac:dyDescent="0.2">
      <c r="A982" t="s">
        <v>388</v>
      </c>
      <c r="B982">
        <v>0.89400000000000002</v>
      </c>
      <c r="C982" t="s">
        <v>344</v>
      </c>
      <c r="D982" t="s">
        <v>95</v>
      </c>
      <c r="E982" t="s">
        <v>77</v>
      </c>
      <c r="F982" t="s">
        <v>89</v>
      </c>
      <c r="G982" t="s">
        <v>389</v>
      </c>
    </row>
    <row r="983" spans="1:7" x14ac:dyDescent="0.2">
      <c r="A983" t="s">
        <v>390</v>
      </c>
      <c r="B983">
        <v>0.106</v>
      </c>
      <c r="C983" t="s">
        <v>344</v>
      </c>
      <c r="D983" t="s">
        <v>95</v>
      </c>
      <c r="E983" t="s">
        <v>77</v>
      </c>
      <c r="F983" t="s">
        <v>89</v>
      </c>
      <c r="G983" t="s">
        <v>391</v>
      </c>
    </row>
    <row r="985" spans="1:7" ht="16" x14ac:dyDescent="0.2">
      <c r="A985" s="10" t="s">
        <v>71</v>
      </c>
      <c r="B985" s="10" t="s">
        <v>782</v>
      </c>
    </row>
    <row r="986" spans="1:7" x14ac:dyDescent="0.2">
      <c r="A986" t="s">
        <v>194</v>
      </c>
      <c r="B986" t="s">
        <v>793</v>
      </c>
    </row>
    <row r="987" spans="1:7" x14ac:dyDescent="0.2">
      <c r="A987" t="s">
        <v>83</v>
      </c>
      <c r="B987" t="s">
        <v>85</v>
      </c>
    </row>
    <row r="988" spans="1:7" x14ac:dyDescent="0.2">
      <c r="A988" t="s">
        <v>72</v>
      </c>
      <c r="B988" t="s">
        <v>777</v>
      </c>
    </row>
    <row r="989" spans="1:7" x14ac:dyDescent="0.2">
      <c r="A989" t="s">
        <v>180</v>
      </c>
      <c r="B989">
        <v>1</v>
      </c>
    </row>
    <row r="990" spans="1:7" x14ac:dyDescent="0.2">
      <c r="A990" t="s">
        <v>73</v>
      </c>
      <c r="B990" t="s">
        <v>782</v>
      </c>
    </row>
    <row r="991" spans="1:7" x14ac:dyDescent="0.2">
      <c r="A991" t="s">
        <v>76</v>
      </c>
      <c r="B991" t="s">
        <v>77</v>
      </c>
    </row>
    <row r="992" spans="1:7" x14ac:dyDescent="0.2">
      <c r="A992" t="s">
        <v>195</v>
      </c>
      <c r="B992" t="s">
        <v>336</v>
      </c>
    </row>
    <row r="993" spans="1:7" ht="16" x14ac:dyDescent="0.2">
      <c r="A993" s="10" t="s">
        <v>79</v>
      </c>
    </row>
    <row r="994" spans="1:7" x14ac:dyDescent="0.2">
      <c r="A994" t="s">
        <v>80</v>
      </c>
      <c r="B994" t="s">
        <v>81</v>
      </c>
      <c r="C994" t="s">
        <v>182</v>
      </c>
      <c r="D994" t="s">
        <v>72</v>
      </c>
      <c r="E994" t="s">
        <v>76</v>
      </c>
      <c r="F994" t="s">
        <v>74</v>
      </c>
      <c r="G994" t="s">
        <v>73</v>
      </c>
    </row>
    <row r="995" spans="1:7" x14ac:dyDescent="0.2">
      <c r="A995" t="s">
        <v>782</v>
      </c>
      <c r="B995">
        <v>1</v>
      </c>
      <c r="C995" t="s">
        <v>785</v>
      </c>
      <c r="D995" t="s">
        <v>777</v>
      </c>
      <c r="E995" t="s">
        <v>77</v>
      </c>
      <c r="F995" t="s">
        <v>84</v>
      </c>
    </row>
    <row r="996" spans="1:7" x14ac:dyDescent="0.2">
      <c r="A996" t="s">
        <v>794</v>
      </c>
      <c r="B996">
        <v>1</v>
      </c>
      <c r="C996" t="s">
        <v>344</v>
      </c>
      <c r="D996" t="s">
        <v>95</v>
      </c>
      <c r="E996" t="s">
        <v>77</v>
      </c>
      <c r="F996" t="s">
        <v>89</v>
      </c>
      <c r="G996" t="s">
        <v>795</v>
      </c>
    </row>
    <row r="997" spans="1:7" x14ac:dyDescent="0.2">
      <c r="A997" t="s">
        <v>796</v>
      </c>
      <c r="B997">
        <v>0.5</v>
      </c>
      <c r="C997" t="s">
        <v>344</v>
      </c>
      <c r="D997" t="s">
        <v>95</v>
      </c>
      <c r="E997" t="s">
        <v>77</v>
      </c>
      <c r="F997" t="s">
        <v>89</v>
      </c>
      <c r="G997" t="s">
        <v>797</v>
      </c>
    </row>
    <row r="998" spans="1:7" x14ac:dyDescent="0.2">
      <c r="A998" t="s">
        <v>368</v>
      </c>
      <c r="B998">
        <v>0.5</v>
      </c>
      <c r="C998" t="s">
        <v>344</v>
      </c>
      <c r="D998" t="s">
        <v>95</v>
      </c>
      <c r="E998" t="s">
        <v>77</v>
      </c>
      <c r="F998" t="s">
        <v>89</v>
      </c>
      <c r="G998" t="s">
        <v>369</v>
      </c>
    </row>
    <row r="1000" spans="1:7" ht="16" x14ac:dyDescent="0.2">
      <c r="A1000" s="10" t="s">
        <v>71</v>
      </c>
      <c r="B1000" s="10" t="s">
        <v>780</v>
      </c>
    </row>
    <row r="1001" spans="1:7" x14ac:dyDescent="0.2">
      <c r="A1001" t="s">
        <v>194</v>
      </c>
      <c r="B1001" t="s">
        <v>798</v>
      </c>
    </row>
    <row r="1002" spans="1:7" x14ac:dyDescent="0.2">
      <c r="A1002" t="s">
        <v>83</v>
      </c>
      <c r="B1002" t="s">
        <v>85</v>
      </c>
    </row>
    <row r="1003" spans="1:7" x14ac:dyDescent="0.2">
      <c r="A1003" t="s">
        <v>72</v>
      </c>
      <c r="B1003" t="s">
        <v>777</v>
      </c>
    </row>
    <row r="1004" spans="1:7" x14ac:dyDescent="0.2">
      <c r="A1004" t="s">
        <v>180</v>
      </c>
      <c r="B1004">
        <v>1</v>
      </c>
    </row>
    <row r="1005" spans="1:7" x14ac:dyDescent="0.2">
      <c r="A1005" t="s">
        <v>73</v>
      </c>
      <c r="B1005" t="s">
        <v>780</v>
      </c>
    </row>
    <row r="1006" spans="1:7" x14ac:dyDescent="0.2">
      <c r="A1006" t="s">
        <v>76</v>
      </c>
      <c r="B1006" t="s">
        <v>77</v>
      </c>
    </row>
    <row r="1007" spans="1:7" x14ac:dyDescent="0.2">
      <c r="A1007" t="s">
        <v>195</v>
      </c>
      <c r="B1007" t="s">
        <v>336</v>
      </c>
    </row>
    <row r="1008" spans="1:7" ht="16" x14ac:dyDescent="0.2">
      <c r="A1008" s="10" t="s">
        <v>79</v>
      </c>
    </row>
    <row r="1009" spans="1:8" x14ac:dyDescent="0.2">
      <c r="A1009" t="s">
        <v>80</v>
      </c>
      <c r="B1009" t="s">
        <v>81</v>
      </c>
      <c r="C1009" t="s">
        <v>182</v>
      </c>
      <c r="D1009" t="s">
        <v>72</v>
      </c>
      <c r="E1009" t="s">
        <v>76</v>
      </c>
      <c r="F1009" t="s">
        <v>74</v>
      </c>
      <c r="G1009" t="s">
        <v>73</v>
      </c>
    </row>
    <row r="1010" spans="1:8" x14ac:dyDescent="0.2">
      <c r="A1010" t="s">
        <v>780</v>
      </c>
      <c r="B1010">
        <v>1</v>
      </c>
      <c r="C1010" t="s">
        <v>785</v>
      </c>
      <c r="D1010" t="s">
        <v>777</v>
      </c>
      <c r="E1010" t="s">
        <v>77</v>
      </c>
      <c r="F1010" t="s">
        <v>84</v>
      </c>
    </row>
    <row r="1011" spans="1:8" x14ac:dyDescent="0.2">
      <c r="A1011" t="s">
        <v>279</v>
      </c>
      <c r="B1011">
        <v>1</v>
      </c>
      <c r="C1011" t="s">
        <v>344</v>
      </c>
      <c r="D1011" t="s">
        <v>95</v>
      </c>
      <c r="E1011" t="s">
        <v>77</v>
      </c>
      <c r="F1011" t="s">
        <v>89</v>
      </c>
      <c r="G1011" t="s">
        <v>280</v>
      </c>
    </row>
    <row r="1012" spans="1:8" x14ac:dyDescent="0.2">
      <c r="A1012" t="s">
        <v>314</v>
      </c>
      <c r="B1012">
        <v>1</v>
      </c>
      <c r="C1012" t="s">
        <v>344</v>
      </c>
      <c r="D1012" t="s">
        <v>95</v>
      </c>
      <c r="E1012" t="s">
        <v>77</v>
      </c>
      <c r="F1012" t="s">
        <v>89</v>
      </c>
      <c r="G1012" t="s">
        <v>315</v>
      </c>
    </row>
    <row r="1014" spans="1:8" ht="16" x14ac:dyDescent="0.2">
      <c r="A1014" s="10" t="s">
        <v>71</v>
      </c>
      <c r="B1014" s="10" t="s">
        <v>791</v>
      </c>
    </row>
    <row r="1015" spans="1:8" x14ac:dyDescent="0.2">
      <c r="A1015" t="s">
        <v>194</v>
      </c>
      <c r="B1015" t="s">
        <v>799</v>
      </c>
    </row>
    <row r="1016" spans="1:8" x14ac:dyDescent="0.2">
      <c r="A1016" t="s">
        <v>83</v>
      </c>
      <c r="B1016" t="s">
        <v>85</v>
      </c>
    </row>
    <row r="1017" spans="1:8" x14ac:dyDescent="0.2">
      <c r="A1017" t="s">
        <v>72</v>
      </c>
      <c r="B1017" t="s">
        <v>777</v>
      </c>
    </row>
    <row r="1018" spans="1:8" x14ac:dyDescent="0.2">
      <c r="A1018" t="s">
        <v>180</v>
      </c>
      <c r="B1018">
        <v>1</v>
      </c>
    </row>
    <row r="1019" spans="1:8" x14ac:dyDescent="0.2">
      <c r="A1019" t="s">
        <v>73</v>
      </c>
      <c r="B1019" t="s">
        <v>791</v>
      </c>
    </row>
    <row r="1020" spans="1:8" x14ac:dyDescent="0.2">
      <c r="A1020" t="s">
        <v>76</v>
      </c>
      <c r="B1020" t="s">
        <v>77</v>
      </c>
    </row>
    <row r="1021" spans="1:8" x14ac:dyDescent="0.2">
      <c r="A1021" t="s">
        <v>195</v>
      </c>
      <c r="B1021" t="s">
        <v>336</v>
      </c>
    </row>
    <row r="1022" spans="1:8" ht="16" x14ac:dyDescent="0.2">
      <c r="A1022" s="10" t="s">
        <v>79</v>
      </c>
    </row>
    <row r="1023" spans="1:8" x14ac:dyDescent="0.2">
      <c r="A1023" t="s">
        <v>80</v>
      </c>
      <c r="B1023" t="s">
        <v>81</v>
      </c>
      <c r="C1023" t="s">
        <v>182</v>
      </c>
      <c r="D1023" t="s">
        <v>72</v>
      </c>
      <c r="E1023" t="s">
        <v>76</v>
      </c>
      <c r="F1023" t="s">
        <v>82</v>
      </c>
      <c r="G1023" t="s">
        <v>74</v>
      </c>
      <c r="H1023" t="s">
        <v>73</v>
      </c>
    </row>
    <row r="1024" spans="1:8" x14ac:dyDescent="0.2">
      <c r="A1024" t="s">
        <v>196</v>
      </c>
      <c r="B1024">
        <v>1.5</v>
      </c>
      <c r="C1024" t="s">
        <v>337</v>
      </c>
      <c r="E1024" t="s">
        <v>197</v>
      </c>
      <c r="F1024" t="s">
        <v>165</v>
      </c>
      <c r="G1024" t="s">
        <v>167</v>
      </c>
    </row>
    <row r="1025" spans="1:8" x14ac:dyDescent="0.2">
      <c r="A1025" t="s">
        <v>800</v>
      </c>
      <c r="B1025">
        <v>1.9E-2</v>
      </c>
      <c r="C1025" t="s">
        <v>337</v>
      </c>
      <c r="E1025" t="s">
        <v>77</v>
      </c>
      <c r="F1025" t="s">
        <v>324</v>
      </c>
      <c r="G1025" t="s">
        <v>167</v>
      </c>
    </row>
    <row r="1026" spans="1:8" x14ac:dyDescent="0.2">
      <c r="A1026" t="s">
        <v>801</v>
      </c>
      <c r="B1026">
        <v>0.1</v>
      </c>
      <c r="C1026" t="s">
        <v>337</v>
      </c>
      <c r="E1026" t="s">
        <v>77</v>
      </c>
      <c r="F1026" t="s">
        <v>324</v>
      </c>
      <c r="G1026" t="s">
        <v>167</v>
      </c>
    </row>
    <row r="1027" spans="1:8" x14ac:dyDescent="0.2">
      <c r="A1027" t="s">
        <v>802</v>
      </c>
      <c r="B1027">
        <v>3.2000000000000001E-2</v>
      </c>
      <c r="C1027" t="s">
        <v>337</v>
      </c>
      <c r="E1027" t="s">
        <v>77</v>
      </c>
      <c r="F1027" t="s">
        <v>324</v>
      </c>
      <c r="G1027" t="s">
        <v>167</v>
      </c>
    </row>
    <row r="1028" spans="1:8" x14ac:dyDescent="0.2">
      <c r="A1028" t="s">
        <v>791</v>
      </c>
      <c r="B1028">
        <v>1</v>
      </c>
      <c r="C1028" t="s">
        <v>785</v>
      </c>
      <c r="D1028" t="s">
        <v>777</v>
      </c>
      <c r="E1028" t="s">
        <v>77</v>
      </c>
      <c r="G1028" t="s">
        <v>84</v>
      </c>
    </row>
    <row r="1029" spans="1:8" x14ac:dyDescent="0.2">
      <c r="A1029" t="s">
        <v>199</v>
      </c>
      <c r="B1029">
        <v>4.0000000000000001E-10</v>
      </c>
      <c r="C1029" t="s">
        <v>344</v>
      </c>
      <c r="D1029" t="s">
        <v>95</v>
      </c>
      <c r="E1029" t="s">
        <v>76</v>
      </c>
      <c r="G1029" t="s">
        <v>89</v>
      </c>
      <c r="H1029" t="s">
        <v>200</v>
      </c>
    </row>
    <row r="1030" spans="1:8" x14ac:dyDescent="0.2">
      <c r="A1030" t="s">
        <v>803</v>
      </c>
      <c r="B1030">
        <v>15</v>
      </c>
      <c r="C1030" t="s">
        <v>344</v>
      </c>
      <c r="D1030" t="s">
        <v>232</v>
      </c>
      <c r="E1030" t="s">
        <v>197</v>
      </c>
      <c r="G1030" t="s">
        <v>89</v>
      </c>
      <c r="H1030" t="s">
        <v>804</v>
      </c>
    </row>
    <row r="1031" spans="1:8" x14ac:dyDescent="0.2">
      <c r="A1031" t="s">
        <v>805</v>
      </c>
      <c r="B1031">
        <v>1</v>
      </c>
      <c r="C1031" t="s">
        <v>344</v>
      </c>
      <c r="D1031" t="s">
        <v>232</v>
      </c>
      <c r="E1031" t="s">
        <v>77</v>
      </c>
      <c r="G1031" t="s">
        <v>89</v>
      </c>
      <c r="H1031" t="s">
        <v>806</v>
      </c>
    </row>
    <row r="1032" spans="1:8" x14ac:dyDescent="0.2">
      <c r="A1032" t="s">
        <v>203</v>
      </c>
      <c r="B1032">
        <v>0.46</v>
      </c>
      <c r="C1032" t="s">
        <v>344</v>
      </c>
      <c r="D1032" t="s">
        <v>95</v>
      </c>
      <c r="E1032" t="s">
        <v>77</v>
      </c>
      <c r="G1032" t="s">
        <v>89</v>
      </c>
      <c r="H1032" t="s">
        <v>204</v>
      </c>
    </row>
    <row r="1033" spans="1:8" x14ac:dyDescent="0.2">
      <c r="A1033" t="s">
        <v>807</v>
      </c>
      <c r="B1033">
        <v>0.65</v>
      </c>
      <c r="C1033" t="s">
        <v>344</v>
      </c>
      <c r="D1033" t="s">
        <v>95</v>
      </c>
      <c r="E1033" t="s">
        <v>77</v>
      </c>
      <c r="G1033" t="s">
        <v>89</v>
      </c>
      <c r="H1033" t="s">
        <v>808</v>
      </c>
    </row>
    <row r="1034" spans="1:8" x14ac:dyDescent="0.2">
      <c r="A1034" t="s">
        <v>354</v>
      </c>
      <c r="B1034">
        <v>46</v>
      </c>
      <c r="C1034" t="s">
        <v>344</v>
      </c>
      <c r="D1034" t="s">
        <v>232</v>
      </c>
      <c r="E1034" t="s">
        <v>77</v>
      </c>
      <c r="G1034" t="s">
        <v>89</v>
      </c>
      <c r="H1034" t="s">
        <v>355</v>
      </c>
    </row>
    <row r="1037" spans="1:8" ht="16" x14ac:dyDescent="0.2">
      <c r="A1037" s="10" t="s">
        <v>71</v>
      </c>
      <c r="B1037" s="10" t="s">
        <v>760</v>
      </c>
    </row>
    <row r="1038" spans="1:8" x14ac:dyDescent="0.2">
      <c r="A1038" t="s">
        <v>83</v>
      </c>
      <c r="B1038" t="s">
        <v>85</v>
      </c>
    </row>
    <row r="1039" spans="1:8" x14ac:dyDescent="0.2">
      <c r="A1039" t="s">
        <v>72</v>
      </c>
      <c r="B1039" t="s">
        <v>95</v>
      </c>
    </row>
    <row r="1040" spans="1:8" x14ac:dyDescent="0.2">
      <c r="A1040" t="s">
        <v>180</v>
      </c>
      <c r="B1040">
        <v>1</v>
      </c>
    </row>
    <row r="1041" spans="1:14" x14ac:dyDescent="0.2">
      <c r="A1041" t="s">
        <v>73</v>
      </c>
      <c r="B1041" t="s">
        <v>96</v>
      </c>
    </row>
    <row r="1042" spans="1:14" x14ac:dyDescent="0.2">
      <c r="A1042" t="s">
        <v>76</v>
      </c>
      <c r="B1042" t="s">
        <v>77</v>
      </c>
    </row>
    <row r="1043" spans="1:14" x14ac:dyDescent="0.2">
      <c r="A1043" t="s">
        <v>195</v>
      </c>
      <c r="B1043" t="s">
        <v>336</v>
      </c>
    </row>
    <row r="1044" spans="1:14" ht="16" x14ac:dyDescent="0.2">
      <c r="A1044" s="10" t="s">
        <v>79</v>
      </c>
    </row>
    <row r="1045" spans="1:14" x14ac:dyDescent="0.2">
      <c r="A1045" t="s">
        <v>80</v>
      </c>
      <c r="B1045" t="s">
        <v>73</v>
      </c>
      <c r="C1045" t="s">
        <v>81</v>
      </c>
      <c r="D1045" t="s">
        <v>76</v>
      </c>
      <c r="E1045" t="s">
        <v>182</v>
      </c>
      <c r="F1045" t="s">
        <v>82</v>
      </c>
      <c r="G1045" t="s">
        <v>72</v>
      </c>
      <c r="H1045" t="s">
        <v>74</v>
      </c>
      <c r="I1045" t="s">
        <v>775</v>
      </c>
      <c r="J1045" t="s">
        <v>83</v>
      </c>
    </row>
    <row r="1046" spans="1:14" ht="16" x14ac:dyDescent="0.2">
      <c r="A1046" s="21" t="s">
        <v>760</v>
      </c>
      <c r="B1046" t="s">
        <v>96</v>
      </c>
      <c r="C1046">
        <v>1</v>
      </c>
      <c r="D1046" t="s">
        <v>77</v>
      </c>
      <c r="E1046" t="s">
        <v>181</v>
      </c>
      <c r="G1046" t="s">
        <v>95</v>
      </c>
      <c r="H1046" t="s">
        <v>84</v>
      </c>
    </row>
    <row r="1047" spans="1:14" x14ac:dyDescent="0.2">
      <c r="A1047" t="s">
        <v>809</v>
      </c>
      <c r="B1047" t="s">
        <v>809</v>
      </c>
      <c r="C1047" s="5">
        <v>0.25692307692307692</v>
      </c>
      <c r="D1047" t="s">
        <v>77</v>
      </c>
      <c r="E1047" t="s">
        <v>181</v>
      </c>
      <c r="G1047" t="s">
        <v>777</v>
      </c>
      <c r="H1047" t="s">
        <v>89</v>
      </c>
      <c r="N1047" s="5"/>
    </row>
    <row r="1048" spans="1:14" x14ac:dyDescent="0.2">
      <c r="A1048" t="s">
        <v>810</v>
      </c>
      <c r="B1048" t="s">
        <v>810</v>
      </c>
      <c r="C1048" s="5">
        <v>0.18923076923076923</v>
      </c>
      <c r="D1048" t="s">
        <v>77</v>
      </c>
      <c r="E1048" t="s">
        <v>181</v>
      </c>
      <c r="G1048" t="s">
        <v>777</v>
      </c>
      <c r="H1048" t="s">
        <v>89</v>
      </c>
      <c r="N1048" s="5"/>
    </row>
    <row r="1049" spans="1:14" x14ac:dyDescent="0.2">
      <c r="A1049" t="s">
        <v>811</v>
      </c>
      <c r="B1049" t="s">
        <v>811</v>
      </c>
      <c r="C1049" s="5">
        <v>6.4615384615384616E-2</v>
      </c>
      <c r="D1049" t="s">
        <v>77</v>
      </c>
      <c r="E1049" t="s">
        <v>181</v>
      </c>
      <c r="G1049" t="s">
        <v>777</v>
      </c>
      <c r="H1049" t="s">
        <v>89</v>
      </c>
      <c r="N1049" s="5"/>
    </row>
    <row r="1050" spans="1:14" x14ac:dyDescent="0.2">
      <c r="A1050" t="s">
        <v>812</v>
      </c>
      <c r="B1050" t="s">
        <v>812</v>
      </c>
      <c r="C1050" s="5">
        <v>0.12769230769230769</v>
      </c>
      <c r="D1050" t="s">
        <v>77</v>
      </c>
      <c r="E1050" t="s">
        <v>181</v>
      </c>
      <c r="G1050" t="s">
        <v>777</v>
      </c>
      <c r="H1050" t="s">
        <v>89</v>
      </c>
      <c r="N1050" s="5"/>
    </row>
    <row r="1051" spans="1:14" x14ac:dyDescent="0.2">
      <c r="A1051" t="s">
        <v>813</v>
      </c>
      <c r="B1051" t="s">
        <v>813</v>
      </c>
      <c r="C1051" s="5">
        <v>0.25846153846153846</v>
      </c>
      <c r="D1051" t="s">
        <v>77</v>
      </c>
      <c r="E1051" t="s">
        <v>181</v>
      </c>
      <c r="G1051" t="s">
        <v>777</v>
      </c>
      <c r="H1051" t="s">
        <v>89</v>
      </c>
      <c r="N1051" s="5"/>
    </row>
    <row r="1052" spans="1:14" x14ac:dyDescent="0.2">
      <c r="A1052" t="s">
        <v>814</v>
      </c>
      <c r="B1052" t="s">
        <v>814</v>
      </c>
      <c r="C1052" s="5">
        <v>7.2307692307692309E-2</v>
      </c>
      <c r="D1052" t="s">
        <v>77</v>
      </c>
      <c r="E1052" t="s">
        <v>181</v>
      </c>
      <c r="G1052" t="s">
        <v>777</v>
      </c>
      <c r="H1052" t="s">
        <v>89</v>
      </c>
      <c r="N1052" s="5"/>
    </row>
    <row r="1053" spans="1:14" x14ac:dyDescent="0.2">
      <c r="A1053" t="s">
        <v>239</v>
      </c>
      <c r="B1053" t="s">
        <v>239</v>
      </c>
      <c r="C1053" s="5">
        <v>3.0769230769230771E-2</v>
      </c>
      <c r="D1053" t="s">
        <v>77</v>
      </c>
      <c r="E1053" t="s">
        <v>342</v>
      </c>
      <c r="G1053" t="s">
        <v>95</v>
      </c>
      <c r="H1053" t="s">
        <v>89</v>
      </c>
      <c r="J1053" t="s">
        <v>783</v>
      </c>
      <c r="N1053" s="5"/>
    </row>
    <row r="1054" spans="1:14" x14ac:dyDescent="0.2">
      <c r="A1054" t="s">
        <v>244</v>
      </c>
      <c r="B1054" t="s">
        <v>245</v>
      </c>
      <c r="C1054" s="5">
        <v>5.0076923076923077</v>
      </c>
      <c r="D1054" t="s">
        <v>77</v>
      </c>
      <c r="E1054" t="s">
        <v>483</v>
      </c>
      <c r="G1054" t="s">
        <v>232</v>
      </c>
      <c r="H1054" t="s">
        <v>89</v>
      </c>
      <c r="N1054" s="5"/>
    </row>
    <row r="1055" spans="1:14" x14ac:dyDescent="0.2">
      <c r="A1055" t="s">
        <v>237</v>
      </c>
      <c r="B1055" t="s">
        <v>124</v>
      </c>
      <c r="C1055" s="2">
        <v>3</v>
      </c>
      <c r="D1055" t="s">
        <v>98</v>
      </c>
      <c r="E1055" t="s">
        <v>483</v>
      </c>
      <c r="G1055" t="s">
        <v>95</v>
      </c>
      <c r="H1055" t="s">
        <v>89</v>
      </c>
      <c r="N1055" s="5"/>
    </row>
    <row r="1056" spans="1:14" x14ac:dyDescent="0.2">
      <c r="A1056" t="s">
        <v>242</v>
      </c>
      <c r="B1056" t="s">
        <v>243</v>
      </c>
      <c r="C1056">
        <v>10.8</v>
      </c>
      <c r="D1056" t="s">
        <v>197</v>
      </c>
      <c r="E1056" t="s">
        <v>483</v>
      </c>
      <c r="G1056" t="s">
        <v>232</v>
      </c>
      <c r="H1056" t="s">
        <v>89</v>
      </c>
    </row>
    <row r="1059" spans="1:7" ht="16" x14ac:dyDescent="0.2">
      <c r="A1059" s="10" t="s">
        <v>71</v>
      </c>
      <c r="B1059" s="10" t="s">
        <v>810</v>
      </c>
    </row>
    <row r="1060" spans="1:7" x14ac:dyDescent="0.2">
      <c r="A1060" t="s">
        <v>194</v>
      </c>
      <c r="B1060" t="s">
        <v>815</v>
      </c>
    </row>
    <row r="1061" spans="1:7" x14ac:dyDescent="0.2">
      <c r="A1061" t="s">
        <v>83</v>
      </c>
      <c r="B1061" t="s">
        <v>85</v>
      </c>
    </row>
    <row r="1062" spans="1:7" x14ac:dyDescent="0.2">
      <c r="A1062" t="s">
        <v>72</v>
      </c>
      <c r="B1062" t="s">
        <v>777</v>
      </c>
    </row>
    <row r="1063" spans="1:7" x14ac:dyDescent="0.2">
      <c r="A1063" t="s">
        <v>180</v>
      </c>
      <c r="B1063">
        <v>1</v>
      </c>
    </row>
    <row r="1064" spans="1:7" x14ac:dyDescent="0.2">
      <c r="A1064" t="s">
        <v>73</v>
      </c>
      <c r="B1064" t="s">
        <v>810</v>
      </c>
    </row>
    <row r="1065" spans="1:7" x14ac:dyDescent="0.2">
      <c r="A1065" t="s">
        <v>76</v>
      </c>
      <c r="B1065" t="s">
        <v>77</v>
      </c>
    </row>
    <row r="1066" spans="1:7" x14ac:dyDescent="0.2">
      <c r="A1066" t="s">
        <v>195</v>
      </c>
      <c r="B1066" t="s">
        <v>336</v>
      </c>
    </row>
    <row r="1067" spans="1:7" ht="16" x14ac:dyDescent="0.2">
      <c r="A1067" s="10" t="s">
        <v>79</v>
      </c>
    </row>
    <row r="1068" spans="1:7" x14ac:dyDescent="0.2">
      <c r="A1068" t="s">
        <v>80</v>
      </c>
      <c r="B1068" t="s">
        <v>81</v>
      </c>
      <c r="C1068" t="s">
        <v>182</v>
      </c>
      <c r="D1068" t="s">
        <v>72</v>
      </c>
      <c r="E1068" t="s">
        <v>76</v>
      </c>
      <c r="F1068" t="s">
        <v>74</v>
      </c>
      <c r="G1068" t="s">
        <v>73</v>
      </c>
    </row>
    <row r="1069" spans="1:7" x14ac:dyDescent="0.2">
      <c r="A1069" t="s">
        <v>810</v>
      </c>
      <c r="B1069">
        <v>1</v>
      </c>
      <c r="C1069" t="s">
        <v>181</v>
      </c>
      <c r="D1069" t="s">
        <v>777</v>
      </c>
      <c r="E1069" t="s">
        <v>77</v>
      </c>
      <c r="F1069" t="s">
        <v>84</v>
      </c>
    </row>
    <row r="1070" spans="1:7" x14ac:dyDescent="0.2">
      <c r="A1070" t="s">
        <v>816</v>
      </c>
      <c r="B1070">
        <v>0.9</v>
      </c>
      <c r="C1070" t="s">
        <v>344</v>
      </c>
      <c r="D1070" t="s">
        <v>232</v>
      </c>
      <c r="E1070" t="s">
        <v>77</v>
      </c>
      <c r="F1070" t="s">
        <v>89</v>
      </c>
      <c r="G1070" t="s">
        <v>320</v>
      </c>
    </row>
    <row r="1071" spans="1:7" x14ac:dyDescent="0.2">
      <c r="A1071" t="s">
        <v>216</v>
      </c>
      <c r="B1071">
        <v>0.05</v>
      </c>
      <c r="C1071" t="s">
        <v>344</v>
      </c>
      <c r="D1071" t="s">
        <v>95</v>
      </c>
      <c r="E1071" t="s">
        <v>77</v>
      </c>
      <c r="F1071" t="s">
        <v>89</v>
      </c>
      <c r="G1071" t="s">
        <v>217</v>
      </c>
    </row>
    <row r="1072" spans="1:7" x14ac:dyDescent="0.2">
      <c r="A1072" t="s">
        <v>321</v>
      </c>
      <c r="B1072">
        <v>3.5000000000000003E-2</v>
      </c>
      <c r="C1072" t="s">
        <v>344</v>
      </c>
      <c r="D1072" t="s">
        <v>95</v>
      </c>
      <c r="E1072" t="s">
        <v>77</v>
      </c>
      <c r="F1072" t="s">
        <v>89</v>
      </c>
      <c r="G1072" t="s">
        <v>322</v>
      </c>
    </row>
    <row r="1073" spans="1:7" x14ac:dyDescent="0.2">
      <c r="A1073" t="s">
        <v>269</v>
      </c>
      <c r="B1073">
        <v>1.4999999999999999E-2</v>
      </c>
      <c r="C1073" t="s">
        <v>342</v>
      </c>
      <c r="D1073" t="s">
        <v>95</v>
      </c>
      <c r="E1073" t="s">
        <v>77</v>
      </c>
      <c r="F1073" t="s">
        <v>89</v>
      </c>
      <c r="G1073" t="s">
        <v>270</v>
      </c>
    </row>
    <row r="1075" spans="1:7" ht="16" x14ac:dyDescent="0.2">
      <c r="A1075" s="10" t="s">
        <v>71</v>
      </c>
      <c r="B1075" s="10" t="s">
        <v>811</v>
      </c>
    </row>
    <row r="1076" spans="1:7" x14ac:dyDescent="0.2">
      <c r="A1076" t="s">
        <v>194</v>
      </c>
      <c r="B1076" t="s">
        <v>817</v>
      </c>
    </row>
    <row r="1077" spans="1:7" x14ac:dyDescent="0.2">
      <c r="A1077" t="s">
        <v>83</v>
      </c>
      <c r="B1077" t="s">
        <v>85</v>
      </c>
    </row>
    <row r="1078" spans="1:7" x14ac:dyDescent="0.2">
      <c r="A1078" t="s">
        <v>72</v>
      </c>
      <c r="B1078" t="s">
        <v>777</v>
      </c>
    </row>
    <row r="1079" spans="1:7" x14ac:dyDescent="0.2">
      <c r="A1079" t="s">
        <v>180</v>
      </c>
      <c r="B1079">
        <v>1</v>
      </c>
    </row>
    <row r="1080" spans="1:7" x14ac:dyDescent="0.2">
      <c r="A1080" t="s">
        <v>73</v>
      </c>
      <c r="B1080" t="s">
        <v>811</v>
      </c>
    </row>
    <row r="1081" spans="1:7" x14ac:dyDescent="0.2">
      <c r="A1081" t="s">
        <v>76</v>
      </c>
      <c r="B1081" t="s">
        <v>77</v>
      </c>
    </row>
    <row r="1082" spans="1:7" x14ac:dyDescent="0.2">
      <c r="A1082" t="s">
        <v>195</v>
      </c>
      <c r="B1082" t="s">
        <v>336</v>
      </c>
    </row>
    <row r="1083" spans="1:7" ht="16" x14ac:dyDescent="0.2">
      <c r="A1083" s="10" t="s">
        <v>79</v>
      </c>
    </row>
    <row r="1084" spans="1:7" x14ac:dyDescent="0.2">
      <c r="A1084" t="s">
        <v>80</v>
      </c>
      <c r="B1084" t="s">
        <v>81</v>
      </c>
      <c r="C1084" t="s">
        <v>182</v>
      </c>
      <c r="D1084" t="s">
        <v>72</v>
      </c>
      <c r="E1084" t="s">
        <v>76</v>
      </c>
      <c r="F1084" t="s">
        <v>74</v>
      </c>
      <c r="G1084" t="s">
        <v>73</v>
      </c>
    </row>
    <row r="1085" spans="1:7" x14ac:dyDescent="0.2">
      <c r="A1085" t="s">
        <v>811</v>
      </c>
      <c r="B1085">
        <v>1</v>
      </c>
      <c r="C1085" t="s">
        <v>181</v>
      </c>
      <c r="D1085" t="s">
        <v>777</v>
      </c>
      <c r="E1085" t="s">
        <v>77</v>
      </c>
      <c r="F1085" t="s">
        <v>84</v>
      </c>
    </row>
    <row r="1086" spans="1:7" x14ac:dyDescent="0.2">
      <c r="A1086" t="s">
        <v>787</v>
      </c>
      <c r="B1086">
        <v>1</v>
      </c>
      <c r="C1086" t="s">
        <v>344</v>
      </c>
      <c r="D1086" t="s">
        <v>788</v>
      </c>
      <c r="E1086" t="s">
        <v>77</v>
      </c>
      <c r="F1086" t="s">
        <v>89</v>
      </c>
      <c r="G1086" t="s">
        <v>789</v>
      </c>
    </row>
    <row r="1087" spans="1:7" x14ac:dyDescent="0.2">
      <c r="A1087" t="s">
        <v>211</v>
      </c>
      <c r="B1087">
        <v>1</v>
      </c>
      <c r="C1087" t="s">
        <v>344</v>
      </c>
      <c r="D1087" t="s">
        <v>95</v>
      </c>
      <c r="E1087" t="s">
        <v>77</v>
      </c>
      <c r="F1087" t="s">
        <v>89</v>
      </c>
      <c r="G1087" t="s">
        <v>212</v>
      </c>
    </row>
    <row r="1089" spans="1:7" ht="16" x14ac:dyDescent="0.2">
      <c r="A1089" s="10" t="s">
        <v>71</v>
      </c>
      <c r="B1089" s="10" t="s">
        <v>809</v>
      </c>
    </row>
    <row r="1090" spans="1:7" x14ac:dyDescent="0.2">
      <c r="A1090" t="s">
        <v>83</v>
      </c>
      <c r="B1090" t="s">
        <v>85</v>
      </c>
    </row>
    <row r="1091" spans="1:7" x14ac:dyDescent="0.2">
      <c r="A1091" t="s">
        <v>72</v>
      </c>
      <c r="B1091" t="s">
        <v>777</v>
      </c>
    </row>
    <row r="1092" spans="1:7" x14ac:dyDescent="0.2">
      <c r="A1092" t="s">
        <v>180</v>
      </c>
      <c r="B1092">
        <v>1</v>
      </c>
    </row>
    <row r="1093" spans="1:7" x14ac:dyDescent="0.2">
      <c r="A1093" t="s">
        <v>73</v>
      </c>
      <c r="B1093" t="s">
        <v>809</v>
      </c>
    </row>
    <row r="1094" spans="1:7" x14ac:dyDescent="0.2">
      <c r="A1094" t="s">
        <v>76</v>
      </c>
      <c r="B1094" t="s">
        <v>77</v>
      </c>
    </row>
    <row r="1095" spans="1:7" x14ac:dyDescent="0.2">
      <c r="A1095" t="s">
        <v>195</v>
      </c>
      <c r="B1095" t="s">
        <v>336</v>
      </c>
    </row>
    <row r="1096" spans="1:7" ht="16" x14ac:dyDescent="0.2">
      <c r="A1096" s="10" t="s">
        <v>79</v>
      </c>
    </row>
    <row r="1097" spans="1:7" x14ac:dyDescent="0.2">
      <c r="A1097" t="s">
        <v>80</v>
      </c>
      <c r="B1097" t="s">
        <v>81</v>
      </c>
      <c r="C1097" t="s">
        <v>182</v>
      </c>
      <c r="D1097" t="s">
        <v>72</v>
      </c>
      <c r="E1097" t="s">
        <v>76</v>
      </c>
      <c r="F1097" t="s">
        <v>74</v>
      </c>
      <c r="G1097" t="s">
        <v>73</v>
      </c>
    </row>
    <row r="1098" spans="1:7" x14ac:dyDescent="0.2">
      <c r="A1098" t="s">
        <v>809</v>
      </c>
      <c r="B1098">
        <v>1</v>
      </c>
      <c r="C1098" t="s">
        <v>181</v>
      </c>
      <c r="D1098" t="s">
        <v>777</v>
      </c>
      <c r="E1098" t="s">
        <v>77</v>
      </c>
      <c r="F1098" t="s">
        <v>84</v>
      </c>
    </row>
    <row r="1099" spans="1:7" x14ac:dyDescent="0.2">
      <c r="A1099" t="s">
        <v>818</v>
      </c>
      <c r="B1099">
        <v>0.94</v>
      </c>
      <c r="C1099" t="s">
        <v>181</v>
      </c>
      <c r="D1099" t="s">
        <v>777</v>
      </c>
      <c r="E1099" t="s">
        <v>77</v>
      </c>
      <c r="F1099" t="s">
        <v>89</v>
      </c>
      <c r="G1099" t="s">
        <v>818</v>
      </c>
    </row>
    <row r="1100" spans="1:7" x14ac:dyDescent="0.2">
      <c r="A1100" t="s">
        <v>214</v>
      </c>
      <c r="B1100">
        <v>0.5980556828014455</v>
      </c>
      <c r="C1100" t="s">
        <v>344</v>
      </c>
      <c r="D1100" t="s">
        <v>95</v>
      </c>
      <c r="E1100" t="s">
        <v>77</v>
      </c>
      <c r="F1100" t="s">
        <v>89</v>
      </c>
      <c r="G1100" t="s">
        <v>215</v>
      </c>
    </row>
    <row r="1101" spans="1:7" x14ac:dyDescent="0.2">
      <c r="A1101" t="s">
        <v>216</v>
      </c>
      <c r="B1101">
        <v>0.02</v>
      </c>
      <c r="C1101" t="s">
        <v>344</v>
      </c>
      <c r="D1101" t="s">
        <v>95</v>
      </c>
      <c r="E1101" t="s">
        <v>77</v>
      </c>
      <c r="F1101" t="s">
        <v>89</v>
      </c>
      <c r="G1101" t="s">
        <v>217</v>
      </c>
    </row>
    <row r="1102" spans="1:7" x14ac:dyDescent="0.2">
      <c r="A1102" t="s">
        <v>218</v>
      </c>
      <c r="B1102">
        <v>0.04</v>
      </c>
      <c r="C1102" t="s">
        <v>344</v>
      </c>
      <c r="D1102" t="s">
        <v>95</v>
      </c>
      <c r="E1102" t="s">
        <v>77</v>
      </c>
      <c r="F1102" t="s">
        <v>89</v>
      </c>
      <c r="G1102" t="s">
        <v>219</v>
      </c>
    </row>
    <row r="1104" spans="1:7" ht="16" x14ac:dyDescent="0.2">
      <c r="A1104" s="10" t="s">
        <v>71</v>
      </c>
      <c r="B1104" s="10" t="s">
        <v>813</v>
      </c>
    </row>
    <row r="1105" spans="1:7" x14ac:dyDescent="0.2">
      <c r="A1105" t="s">
        <v>194</v>
      </c>
      <c r="B1105" t="s">
        <v>819</v>
      </c>
    </row>
    <row r="1106" spans="1:7" x14ac:dyDescent="0.2">
      <c r="A1106" t="s">
        <v>83</v>
      </c>
      <c r="B1106" t="s">
        <v>85</v>
      </c>
    </row>
    <row r="1107" spans="1:7" x14ac:dyDescent="0.2">
      <c r="A1107" t="s">
        <v>72</v>
      </c>
      <c r="B1107" t="s">
        <v>777</v>
      </c>
    </row>
    <row r="1108" spans="1:7" x14ac:dyDescent="0.2">
      <c r="A1108" t="s">
        <v>180</v>
      </c>
      <c r="B1108">
        <v>1</v>
      </c>
    </row>
    <row r="1109" spans="1:7" x14ac:dyDescent="0.2">
      <c r="A1109" t="s">
        <v>73</v>
      </c>
      <c r="B1109" t="s">
        <v>813</v>
      </c>
    </row>
    <row r="1110" spans="1:7" x14ac:dyDescent="0.2">
      <c r="A1110" t="s">
        <v>76</v>
      </c>
      <c r="B1110" t="s">
        <v>77</v>
      </c>
    </row>
    <row r="1111" spans="1:7" x14ac:dyDescent="0.2">
      <c r="A1111" t="s">
        <v>195</v>
      </c>
      <c r="B1111" t="s">
        <v>336</v>
      </c>
    </row>
    <row r="1112" spans="1:7" ht="16" x14ac:dyDescent="0.2">
      <c r="A1112" s="10" t="s">
        <v>79</v>
      </c>
    </row>
    <row r="1113" spans="1:7" x14ac:dyDescent="0.2">
      <c r="A1113" t="s">
        <v>80</v>
      </c>
      <c r="B1113" t="s">
        <v>81</v>
      </c>
      <c r="C1113" t="s">
        <v>182</v>
      </c>
      <c r="D1113" t="s">
        <v>72</v>
      </c>
      <c r="E1113" t="s">
        <v>76</v>
      </c>
      <c r="F1113" t="s">
        <v>74</v>
      </c>
      <c r="G1113" t="s">
        <v>73</v>
      </c>
    </row>
    <row r="1114" spans="1:7" x14ac:dyDescent="0.2">
      <c r="A1114" t="s">
        <v>813</v>
      </c>
      <c r="B1114">
        <v>1</v>
      </c>
      <c r="C1114" t="s">
        <v>181</v>
      </c>
      <c r="D1114" t="s">
        <v>777</v>
      </c>
      <c r="E1114" t="s">
        <v>77</v>
      </c>
      <c r="F1114" t="s">
        <v>84</v>
      </c>
    </row>
    <row r="1115" spans="1:7" x14ac:dyDescent="0.2">
      <c r="A1115" t="s">
        <v>388</v>
      </c>
      <c r="B1115">
        <v>0.89400000000000002</v>
      </c>
      <c r="C1115" t="s">
        <v>344</v>
      </c>
      <c r="D1115" t="s">
        <v>95</v>
      </c>
      <c r="E1115" t="s">
        <v>77</v>
      </c>
      <c r="F1115" t="s">
        <v>89</v>
      </c>
      <c r="G1115" t="s">
        <v>389</v>
      </c>
    </row>
    <row r="1116" spans="1:7" x14ac:dyDescent="0.2">
      <c r="A1116" t="s">
        <v>390</v>
      </c>
      <c r="B1116">
        <v>0.106</v>
      </c>
      <c r="C1116" t="s">
        <v>344</v>
      </c>
      <c r="D1116" t="s">
        <v>95</v>
      </c>
      <c r="E1116" t="s">
        <v>77</v>
      </c>
      <c r="F1116" t="s">
        <v>89</v>
      </c>
      <c r="G1116" t="s">
        <v>391</v>
      </c>
    </row>
    <row r="1118" spans="1:7" ht="16" x14ac:dyDescent="0.2">
      <c r="A1118" s="10" t="s">
        <v>71</v>
      </c>
      <c r="B1118" s="10" t="s">
        <v>814</v>
      </c>
    </row>
    <row r="1119" spans="1:7" x14ac:dyDescent="0.2">
      <c r="A1119" t="s">
        <v>194</v>
      </c>
      <c r="B1119" t="s">
        <v>820</v>
      </c>
    </row>
    <row r="1120" spans="1:7" x14ac:dyDescent="0.2">
      <c r="A1120" t="s">
        <v>83</v>
      </c>
      <c r="B1120" t="s">
        <v>85</v>
      </c>
    </row>
    <row r="1121" spans="1:7" x14ac:dyDescent="0.2">
      <c r="A1121" t="s">
        <v>72</v>
      </c>
      <c r="B1121" t="s">
        <v>777</v>
      </c>
    </row>
    <row r="1122" spans="1:7" x14ac:dyDescent="0.2">
      <c r="A1122" t="s">
        <v>180</v>
      </c>
      <c r="B1122">
        <v>1</v>
      </c>
    </row>
    <row r="1123" spans="1:7" x14ac:dyDescent="0.2">
      <c r="A1123" t="s">
        <v>73</v>
      </c>
      <c r="B1123" t="s">
        <v>814</v>
      </c>
    </row>
    <row r="1124" spans="1:7" x14ac:dyDescent="0.2">
      <c r="A1124" t="s">
        <v>76</v>
      </c>
      <c r="B1124" t="s">
        <v>77</v>
      </c>
    </row>
    <row r="1125" spans="1:7" x14ac:dyDescent="0.2">
      <c r="A1125" t="s">
        <v>195</v>
      </c>
      <c r="B1125" t="s">
        <v>336</v>
      </c>
    </row>
    <row r="1126" spans="1:7" ht="16" x14ac:dyDescent="0.2">
      <c r="A1126" s="10" t="s">
        <v>79</v>
      </c>
    </row>
    <row r="1127" spans="1:7" x14ac:dyDescent="0.2">
      <c r="A1127" t="s">
        <v>80</v>
      </c>
      <c r="B1127" t="s">
        <v>81</v>
      </c>
      <c r="C1127" t="s">
        <v>182</v>
      </c>
      <c r="D1127" t="s">
        <v>72</v>
      </c>
      <c r="E1127" t="s">
        <v>76</v>
      </c>
      <c r="F1127" t="s">
        <v>74</v>
      </c>
      <c r="G1127" t="s">
        <v>73</v>
      </c>
    </row>
    <row r="1128" spans="1:7" x14ac:dyDescent="0.2">
      <c r="A1128" t="s">
        <v>814</v>
      </c>
      <c r="B1128">
        <v>1</v>
      </c>
      <c r="C1128" t="s">
        <v>181</v>
      </c>
      <c r="D1128" t="s">
        <v>777</v>
      </c>
      <c r="E1128" t="s">
        <v>77</v>
      </c>
      <c r="F1128" t="s">
        <v>84</v>
      </c>
    </row>
    <row r="1129" spans="1:7" x14ac:dyDescent="0.2">
      <c r="A1129" t="s">
        <v>794</v>
      </c>
      <c r="B1129">
        <v>1</v>
      </c>
      <c r="C1129" t="s">
        <v>344</v>
      </c>
      <c r="D1129" t="s">
        <v>95</v>
      </c>
      <c r="E1129" t="s">
        <v>77</v>
      </c>
      <c r="F1129" t="s">
        <v>89</v>
      </c>
      <c r="G1129" t="s">
        <v>795</v>
      </c>
    </row>
    <row r="1130" spans="1:7" x14ac:dyDescent="0.2">
      <c r="A1130" t="s">
        <v>796</v>
      </c>
      <c r="B1130">
        <v>0.5</v>
      </c>
      <c r="C1130" t="s">
        <v>344</v>
      </c>
      <c r="D1130" t="s">
        <v>95</v>
      </c>
      <c r="E1130" t="s">
        <v>77</v>
      </c>
      <c r="F1130" t="s">
        <v>89</v>
      </c>
      <c r="G1130" t="s">
        <v>797</v>
      </c>
    </row>
    <row r="1131" spans="1:7" x14ac:dyDescent="0.2">
      <c r="A1131" t="s">
        <v>368</v>
      </c>
      <c r="B1131">
        <v>0.5</v>
      </c>
      <c r="C1131" t="s">
        <v>344</v>
      </c>
      <c r="D1131" t="s">
        <v>95</v>
      </c>
      <c r="E1131" t="s">
        <v>77</v>
      </c>
      <c r="F1131" t="s">
        <v>89</v>
      </c>
      <c r="G1131" t="s">
        <v>369</v>
      </c>
    </row>
    <row r="1133" spans="1:7" ht="16" x14ac:dyDescent="0.2">
      <c r="A1133" s="10" t="s">
        <v>71</v>
      </c>
      <c r="B1133" s="10" t="s">
        <v>812</v>
      </c>
    </row>
    <row r="1134" spans="1:7" x14ac:dyDescent="0.2">
      <c r="A1134" t="s">
        <v>194</v>
      </c>
      <c r="B1134" t="s">
        <v>821</v>
      </c>
    </row>
    <row r="1135" spans="1:7" x14ac:dyDescent="0.2">
      <c r="A1135" t="s">
        <v>83</v>
      </c>
      <c r="B1135" t="s">
        <v>85</v>
      </c>
    </row>
    <row r="1136" spans="1:7" x14ac:dyDescent="0.2">
      <c r="A1136" t="s">
        <v>72</v>
      </c>
      <c r="B1136" t="s">
        <v>777</v>
      </c>
    </row>
    <row r="1137" spans="1:7" x14ac:dyDescent="0.2">
      <c r="A1137" t="s">
        <v>180</v>
      </c>
      <c r="B1137">
        <v>1</v>
      </c>
    </row>
    <row r="1138" spans="1:7" x14ac:dyDescent="0.2">
      <c r="A1138" t="s">
        <v>73</v>
      </c>
      <c r="B1138" t="s">
        <v>812</v>
      </c>
    </row>
    <row r="1139" spans="1:7" x14ac:dyDescent="0.2">
      <c r="A1139" t="s">
        <v>76</v>
      </c>
      <c r="B1139" t="s">
        <v>77</v>
      </c>
    </row>
    <row r="1140" spans="1:7" x14ac:dyDescent="0.2">
      <c r="A1140" t="s">
        <v>195</v>
      </c>
      <c r="B1140" t="s">
        <v>336</v>
      </c>
    </row>
    <row r="1141" spans="1:7" ht="16" x14ac:dyDescent="0.2">
      <c r="A1141" s="10" t="s">
        <v>79</v>
      </c>
    </row>
    <row r="1142" spans="1:7" x14ac:dyDescent="0.2">
      <c r="A1142" t="s">
        <v>80</v>
      </c>
      <c r="B1142" t="s">
        <v>81</v>
      </c>
      <c r="C1142" t="s">
        <v>182</v>
      </c>
      <c r="D1142" t="s">
        <v>72</v>
      </c>
      <c r="E1142" t="s">
        <v>76</v>
      </c>
      <c r="F1142" t="s">
        <v>74</v>
      </c>
      <c r="G1142" t="s">
        <v>73</v>
      </c>
    </row>
    <row r="1143" spans="1:7" x14ac:dyDescent="0.2">
      <c r="A1143" t="s">
        <v>812</v>
      </c>
      <c r="B1143">
        <v>1</v>
      </c>
      <c r="C1143" t="s">
        <v>181</v>
      </c>
      <c r="D1143" t="s">
        <v>777</v>
      </c>
      <c r="E1143" t="s">
        <v>77</v>
      </c>
      <c r="F1143" t="s">
        <v>84</v>
      </c>
    </row>
    <row r="1144" spans="1:7" x14ac:dyDescent="0.2">
      <c r="A1144" t="s">
        <v>279</v>
      </c>
      <c r="B1144">
        <v>1</v>
      </c>
      <c r="C1144" t="s">
        <v>344</v>
      </c>
      <c r="D1144" t="s">
        <v>95</v>
      </c>
      <c r="E1144" t="s">
        <v>77</v>
      </c>
      <c r="F1144" t="s">
        <v>89</v>
      </c>
      <c r="G1144" t="s">
        <v>280</v>
      </c>
    </row>
    <row r="1145" spans="1:7" x14ac:dyDescent="0.2">
      <c r="A1145" t="s">
        <v>314</v>
      </c>
      <c r="B1145">
        <v>1</v>
      </c>
      <c r="C1145" t="s">
        <v>344</v>
      </c>
      <c r="D1145" t="s">
        <v>95</v>
      </c>
      <c r="E1145" t="s">
        <v>77</v>
      </c>
      <c r="F1145" t="s">
        <v>89</v>
      </c>
      <c r="G1145" t="s">
        <v>315</v>
      </c>
    </row>
    <row r="1147" spans="1:7" ht="16" x14ac:dyDescent="0.2">
      <c r="A1147" s="10" t="s">
        <v>71</v>
      </c>
      <c r="B1147" s="10" t="s">
        <v>818</v>
      </c>
    </row>
    <row r="1148" spans="1:7" x14ac:dyDescent="0.2">
      <c r="A1148" t="s">
        <v>194</v>
      </c>
      <c r="B1148" t="s">
        <v>822</v>
      </c>
    </row>
    <row r="1149" spans="1:7" x14ac:dyDescent="0.2">
      <c r="A1149" t="s">
        <v>72</v>
      </c>
      <c r="B1149" t="s">
        <v>777</v>
      </c>
    </row>
    <row r="1150" spans="1:7" x14ac:dyDescent="0.2">
      <c r="A1150" t="s">
        <v>180</v>
      </c>
      <c r="B1150">
        <v>1</v>
      </c>
    </row>
    <row r="1151" spans="1:7" x14ac:dyDescent="0.2">
      <c r="A1151" t="s">
        <v>73</v>
      </c>
      <c r="B1151" t="s">
        <v>818</v>
      </c>
    </row>
    <row r="1152" spans="1:7" x14ac:dyDescent="0.2">
      <c r="A1152" t="s">
        <v>74</v>
      </c>
      <c r="B1152" t="s">
        <v>75</v>
      </c>
    </row>
    <row r="1153" spans="1:8" x14ac:dyDescent="0.2">
      <c r="A1153" t="s">
        <v>76</v>
      </c>
      <c r="B1153" t="s">
        <v>77</v>
      </c>
    </row>
    <row r="1154" spans="1:8" x14ac:dyDescent="0.2">
      <c r="A1154" t="s">
        <v>195</v>
      </c>
      <c r="B1154" t="s">
        <v>336</v>
      </c>
    </row>
    <row r="1155" spans="1:8" ht="16" x14ac:dyDescent="0.2">
      <c r="A1155" s="10" t="s">
        <v>79</v>
      </c>
    </row>
    <row r="1156" spans="1:8" x14ac:dyDescent="0.2">
      <c r="A1156" t="s">
        <v>80</v>
      </c>
      <c r="B1156" t="s">
        <v>81</v>
      </c>
      <c r="C1156" t="s">
        <v>182</v>
      </c>
      <c r="D1156" t="s">
        <v>72</v>
      </c>
      <c r="E1156" t="s">
        <v>76</v>
      </c>
      <c r="F1156" t="s">
        <v>82</v>
      </c>
      <c r="G1156" t="s">
        <v>74</v>
      </c>
      <c r="H1156" t="s">
        <v>73</v>
      </c>
    </row>
    <row r="1157" spans="1:8" x14ac:dyDescent="0.2">
      <c r="A1157" t="s">
        <v>158</v>
      </c>
      <c r="B1157">
        <v>1.37</v>
      </c>
      <c r="C1157" t="s">
        <v>337</v>
      </c>
      <c r="E1157" t="s">
        <v>77</v>
      </c>
      <c r="F1157" t="s">
        <v>823</v>
      </c>
      <c r="G1157" t="s">
        <v>167</v>
      </c>
    </row>
    <row r="1158" spans="1:8" x14ac:dyDescent="0.2">
      <c r="A1158" t="s">
        <v>818</v>
      </c>
      <c r="B1158">
        <v>1</v>
      </c>
      <c r="C1158" t="s">
        <v>181</v>
      </c>
      <c r="D1158" t="s">
        <v>777</v>
      </c>
      <c r="E1158" t="s">
        <v>77</v>
      </c>
      <c r="G1158" t="s">
        <v>84</v>
      </c>
      <c r="H1158" t="s">
        <v>818</v>
      </c>
    </row>
    <row r="1159" spans="1:8" x14ac:dyDescent="0.2">
      <c r="A1159" t="s">
        <v>824</v>
      </c>
      <c r="B1159">
        <v>0.04</v>
      </c>
      <c r="C1159" t="s">
        <v>344</v>
      </c>
      <c r="D1159" t="s">
        <v>825</v>
      </c>
      <c r="E1159" t="s">
        <v>77</v>
      </c>
      <c r="G1159" t="s">
        <v>89</v>
      </c>
      <c r="H1159" t="s">
        <v>826</v>
      </c>
    </row>
    <row r="1160" spans="1:8" x14ac:dyDescent="0.2">
      <c r="A1160" t="s">
        <v>827</v>
      </c>
      <c r="B1160">
        <v>0.09</v>
      </c>
      <c r="C1160" t="s">
        <v>344</v>
      </c>
      <c r="D1160" t="s">
        <v>95</v>
      </c>
      <c r="E1160" t="s">
        <v>77</v>
      </c>
      <c r="G1160" t="s">
        <v>89</v>
      </c>
      <c r="H1160" t="s">
        <v>291</v>
      </c>
    </row>
    <row r="1161" spans="1:8" x14ac:dyDescent="0.2">
      <c r="A1161" t="s">
        <v>828</v>
      </c>
      <c r="B1161">
        <v>2.96</v>
      </c>
      <c r="C1161" t="s">
        <v>344</v>
      </c>
      <c r="D1161" t="s">
        <v>257</v>
      </c>
      <c r="E1161" t="s">
        <v>197</v>
      </c>
      <c r="G1161" t="s">
        <v>89</v>
      </c>
      <c r="H1161" t="s">
        <v>243</v>
      </c>
    </row>
    <row r="1162" spans="1:8" x14ac:dyDescent="0.2">
      <c r="A1162" t="s">
        <v>829</v>
      </c>
      <c r="B1162">
        <v>0.46</v>
      </c>
      <c r="C1162" t="s">
        <v>344</v>
      </c>
      <c r="D1162" t="s">
        <v>92</v>
      </c>
      <c r="E1162" t="s">
        <v>77</v>
      </c>
      <c r="G1162" t="s">
        <v>89</v>
      </c>
      <c r="H1162" t="s">
        <v>830</v>
      </c>
    </row>
    <row r="1163" spans="1:8" x14ac:dyDescent="0.2">
      <c r="A1163" t="s">
        <v>831</v>
      </c>
      <c r="B1163">
        <v>0.27</v>
      </c>
      <c r="C1163" t="s">
        <v>344</v>
      </c>
      <c r="D1163" t="s">
        <v>95</v>
      </c>
      <c r="E1163" t="s">
        <v>77</v>
      </c>
      <c r="G1163" t="s">
        <v>89</v>
      </c>
      <c r="H1163" t="s">
        <v>204</v>
      </c>
    </row>
    <row r="1164" spans="1:8" x14ac:dyDescent="0.2">
      <c r="A1164" t="s">
        <v>832</v>
      </c>
      <c r="B1164">
        <v>1.25</v>
      </c>
      <c r="C1164" t="s">
        <v>344</v>
      </c>
      <c r="D1164" t="s">
        <v>95</v>
      </c>
      <c r="E1164" t="s">
        <v>77</v>
      </c>
      <c r="G1164" t="s">
        <v>89</v>
      </c>
      <c r="H1164" t="s">
        <v>833</v>
      </c>
    </row>
    <row r="1165" spans="1:8" x14ac:dyDescent="0.2">
      <c r="A1165" t="s">
        <v>482</v>
      </c>
      <c r="B1165">
        <v>55</v>
      </c>
      <c r="C1165" t="s">
        <v>344</v>
      </c>
      <c r="D1165" t="s">
        <v>257</v>
      </c>
      <c r="E1165" t="s">
        <v>77</v>
      </c>
      <c r="G1165" t="s">
        <v>89</v>
      </c>
      <c r="H1165" t="s">
        <v>455</v>
      </c>
    </row>
    <row r="1166" spans="1:8" x14ac:dyDescent="0.2">
      <c r="A1166" t="s">
        <v>237</v>
      </c>
      <c r="B1166">
        <v>1.88</v>
      </c>
      <c r="C1166" t="s">
        <v>344</v>
      </c>
      <c r="D1166" t="s">
        <v>95</v>
      </c>
      <c r="E1166" t="s">
        <v>98</v>
      </c>
      <c r="G1166" t="s">
        <v>89</v>
      </c>
      <c r="H1166" t="s">
        <v>124</v>
      </c>
    </row>
    <row r="1167" spans="1:8" x14ac:dyDescent="0.2">
      <c r="A1167" t="s">
        <v>834</v>
      </c>
      <c r="B1167">
        <v>0.49</v>
      </c>
      <c r="C1167" t="s">
        <v>344</v>
      </c>
      <c r="D1167" t="s">
        <v>825</v>
      </c>
      <c r="E1167" t="s">
        <v>77</v>
      </c>
      <c r="G1167" t="s">
        <v>89</v>
      </c>
      <c r="H1167" t="s">
        <v>835</v>
      </c>
    </row>
    <row r="1168" spans="1:8" x14ac:dyDescent="0.2">
      <c r="A1168" t="s">
        <v>836</v>
      </c>
      <c r="B1168">
        <v>1.97</v>
      </c>
      <c r="C1168" t="s">
        <v>344</v>
      </c>
      <c r="D1168" t="s">
        <v>837</v>
      </c>
      <c r="E1168" t="s">
        <v>77</v>
      </c>
      <c r="G1168" t="s">
        <v>89</v>
      </c>
      <c r="H1168" t="s">
        <v>838</v>
      </c>
    </row>
    <row r="1169" spans="1:8" x14ac:dyDescent="0.2">
      <c r="A1169" t="s">
        <v>839</v>
      </c>
      <c r="B1169">
        <v>-0.05</v>
      </c>
      <c r="C1169" t="s">
        <v>344</v>
      </c>
      <c r="D1169" t="s">
        <v>37</v>
      </c>
      <c r="E1169" t="s">
        <v>340</v>
      </c>
      <c r="G1169" t="s">
        <v>89</v>
      </c>
      <c r="H1169" t="s">
        <v>469</v>
      </c>
    </row>
    <row r="1171" spans="1:8" ht="16" x14ac:dyDescent="0.2">
      <c r="A1171" s="10" t="s">
        <v>71</v>
      </c>
      <c r="B1171" s="23" t="s">
        <v>848</v>
      </c>
    </row>
    <row r="1172" spans="1:8" x14ac:dyDescent="0.2">
      <c r="A1172" t="s">
        <v>72</v>
      </c>
      <c r="B1172" s="7" t="s">
        <v>37</v>
      </c>
    </row>
    <row r="1173" spans="1:8" x14ac:dyDescent="0.2">
      <c r="A1173" t="s">
        <v>180</v>
      </c>
      <c r="B1173" s="7">
        <v>1</v>
      </c>
    </row>
    <row r="1174" spans="1:8" ht="16" x14ac:dyDescent="0.2">
      <c r="A1174" t="s">
        <v>73</v>
      </c>
      <c r="B1174" s="24" t="s">
        <v>849</v>
      </c>
    </row>
    <row r="1175" spans="1:8" x14ac:dyDescent="0.2">
      <c r="A1175" t="s">
        <v>78</v>
      </c>
      <c r="B1175" s="7" t="s">
        <v>850</v>
      </c>
    </row>
    <row r="1176" spans="1:8" x14ac:dyDescent="0.2">
      <c r="A1176" t="s">
        <v>74</v>
      </c>
      <c r="B1176" s="7" t="s">
        <v>75</v>
      </c>
    </row>
    <row r="1177" spans="1:8" x14ac:dyDescent="0.2">
      <c r="A1177" t="s">
        <v>76</v>
      </c>
      <c r="B1177" s="7" t="s">
        <v>77</v>
      </c>
    </row>
    <row r="1178" spans="1:8" ht="16" x14ac:dyDescent="0.2">
      <c r="A1178" s="10" t="s">
        <v>79</v>
      </c>
      <c r="B1178" s="7"/>
    </row>
    <row r="1179" spans="1:8" x14ac:dyDescent="0.2">
      <c r="A1179" t="s">
        <v>80</v>
      </c>
      <c r="B1179" s="7" t="s">
        <v>81</v>
      </c>
      <c r="C1179" t="s">
        <v>72</v>
      </c>
      <c r="D1179" t="s">
        <v>76</v>
      </c>
      <c r="E1179" t="s">
        <v>82</v>
      </c>
      <c r="F1179" t="s">
        <v>74</v>
      </c>
      <c r="G1179" t="s">
        <v>73</v>
      </c>
    </row>
    <row r="1180" spans="1:8" x14ac:dyDescent="0.2">
      <c r="A1180" t="s">
        <v>848</v>
      </c>
      <c r="B1180" s="7">
        <v>1</v>
      </c>
      <c r="C1180" t="s">
        <v>37</v>
      </c>
      <c r="D1180" t="s">
        <v>77</v>
      </c>
      <c r="F1180" t="s">
        <v>84</v>
      </c>
      <c r="G1180" t="s">
        <v>849</v>
      </c>
    </row>
    <row r="1181" spans="1:8" x14ac:dyDescent="0.2">
      <c r="A1181" t="s">
        <v>846</v>
      </c>
      <c r="B1181" s="7">
        <v>1.2E-2</v>
      </c>
      <c r="C1181" t="s">
        <v>92</v>
      </c>
      <c r="D1181" t="s">
        <v>77</v>
      </c>
      <c r="F1181" t="s">
        <v>89</v>
      </c>
      <c r="G1181" t="s">
        <v>847</v>
      </c>
    </row>
    <row r="1182" spans="1:8" x14ac:dyDescent="0.2">
      <c r="A1182" t="s">
        <v>99</v>
      </c>
      <c r="B1182" s="7">
        <f>1-B1181</f>
        <v>0.98799999999999999</v>
      </c>
      <c r="C1182" t="s">
        <v>37</v>
      </c>
      <c r="D1182" t="s">
        <v>77</v>
      </c>
      <c r="F1182" t="s">
        <v>89</v>
      </c>
      <c r="G1182" t="s">
        <v>101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8" t="s">
        <v>528</v>
      </c>
      <c r="D2" s="48"/>
      <c r="E2" s="48" t="s">
        <v>533</v>
      </c>
      <c r="F2" s="48"/>
    </row>
    <row r="3" spans="1:6" x14ac:dyDescent="0.2">
      <c r="C3" t="s">
        <v>529</v>
      </c>
      <c r="D3" t="s">
        <v>530</v>
      </c>
      <c r="E3" t="s">
        <v>529</v>
      </c>
      <c r="F3" t="s">
        <v>530</v>
      </c>
    </row>
    <row r="4" spans="1:6" x14ac:dyDescent="0.2">
      <c r="B4" t="s">
        <v>91</v>
      </c>
      <c r="C4" t="b">
        <v>0</v>
      </c>
      <c r="D4" t="b">
        <v>1</v>
      </c>
      <c r="E4" t="b">
        <v>1</v>
      </c>
      <c r="F4" t="b">
        <v>0</v>
      </c>
    </row>
    <row r="5" spans="1:6" x14ac:dyDescent="0.2">
      <c r="B5" t="s">
        <v>531</v>
      </c>
      <c r="C5" t="b">
        <v>0</v>
      </c>
      <c r="D5" t="b">
        <v>0</v>
      </c>
      <c r="E5" t="b">
        <v>1</v>
      </c>
      <c r="F5" t="b">
        <v>0</v>
      </c>
    </row>
    <row r="6" spans="1:6" x14ac:dyDescent="0.2">
      <c r="B6" t="s">
        <v>114</v>
      </c>
      <c r="C6" t="b">
        <v>0</v>
      </c>
      <c r="D6" t="b">
        <v>1</v>
      </c>
      <c r="E6" t="b">
        <v>1</v>
      </c>
      <c r="F6" t="b">
        <v>0</v>
      </c>
    </row>
    <row r="7" spans="1:6" x14ac:dyDescent="0.2">
      <c r="B7" t="s">
        <v>532</v>
      </c>
      <c r="C7" t="b">
        <v>0</v>
      </c>
      <c r="D7" t="b">
        <v>0</v>
      </c>
      <c r="E7" t="b">
        <v>0</v>
      </c>
      <c r="F7" t="b">
        <v>0</v>
      </c>
    </row>
    <row r="8" spans="1:6" x14ac:dyDescent="0.2">
      <c r="B8" t="s">
        <v>534</v>
      </c>
      <c r="C8" t="b">
        <v>0</v>
      </c>
      <c r="D8" t="b">
        <v>1</v>
      </c>
      <c r="E8" t="b">
        <v>1</v>
      </c>
      <c r="F8" t="b">
        <v>0</v>
      </c>
    </row>
    <row r="9" spans="1:6" x14ac:dyDescent="0.2">
      <c r="B9" t="s">
        <v>535</v>
      </c>
      <c r="C9" t="b">
        <v>0</v>
      </c>
      <c r="D9" t="b">
        <v>0</v>
      </c>
      <c r="E9" t="b">
        <v>0</v>
      </c>
      <c r="F9" t="b">
        <v>0</v>
      </c>
    </row>
    <row r="10" spans="1:6" x14ac:dyDescent="0.2">
      <c r="B10" t="s">
        <v>104</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row>
    <row r="2" spans="1:56" x14ac:dyDescent="0.2">
      <c r="B2" t="s">
        <v>648</v>
      </c>
      <c r="C2" t="s">
        <v>649</v>
      </c>
      <c r="D2" t="s">
        <v>650</v>
      </c>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row>
    <row r="3" spans="1:56" x14ac:dyDescent="0.2">
      <c r="B3" t="s">
        <v>619</v>
      </c>
      <c r="C3" t="s">
        <v>619</v>
      </c>
      <c r="D3" t="s">
        <v>619</v>
      </c>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row>
    <row r="4" spans="1:56" x14ac:dyDescent="0.2">
      <c r="A4" t="s">
        <v>618</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489</v>
      </c>
      <c r="B6" s="7">
        <v>2.9189999999999999E-6</v>
      </c>
      <c r="C6" s="7">
        <v>1.8370000000000002E-6</v>
      </c>
      <c r="D6" s="7">
        <v>3.0000000000000001E-6</v>
      </c>
    </row>
    <row r="7" spans="1:56" x14ac:dyDescent="0.2">
      <c r="A7" t="s">
        <v>490</v>
      </c>
      <c r="B7" s="7">
        <v>2.9189999999999999E-6</v>
      </c>
      <c r="C7" s="7">
        <v>1.8370000000000002E-6</v>
      </c>
      <c r="D7" s="7">
        <v>3.0000000000000001E-6</v>
      </c>
      <c r="I7" t="s">
        <v>1150</v>
      </c>
      <c r="J7" t="s">
        <v>1144</v>
      </c>
      <c r="K7" t="s">
        <v>1152</v>
      </c>
      <c r="L7" t="s">
        <v>1148</v>
      </c>
      <c r="M7">
        <v>8.1999999999999993</v>
      </c>
      <c r="P7" t="s">
        <v>1144</v>
      </c>
      <c r="Q7" t="s">
        <v>1145</v>
      </c>
      <c r="R7" t="s">
        <v>1146</v>
      </c>
    </row>
    <row r="8" spans="1:56" x14ac:dyDescent="0.2">
      <c r="A8" t="s">
        <v>496</v>
      </c>
      <c r="B8" s="7">
        <v>5.8379999999999998E-6</v>
      </c>
      <c r="C8" s="7">
        <v>3.6740000000000003E-6</v>
      </c>
      <c r="D8" s="7">
        <v>6.0000000000000002E-6</v>
      </c>
      <c r="I8" t="s">
        <v>1150</v>
      </c>
      <c r="J8" t="s">
        <v>1144</v>
      </c>
      <c r="K8" t="s">
        <v>1152</v>
      </c>
      <c r="L8" t="s">
        <v>1149</v>
      </c>
      <c r="M8">
        <v>2.2999999999999998</v>
      </c>
      <c r="O8" t="s">
        <v>618</v>
      </c>
      <c r="P8">
        <v>1</v>
      </c>
    </row>
    <row r="9" spans="1:56" x14ac:dyDescent="0.2">
      <c r="A9" t="s">
        <v>579</v>
      </c>
      <c r="B9" s="7">
        <v>5.8379999999999998E-6</v>
      </c>
      <c r="C9" s="7">
        <v>3.6740000000000003E-6</v>
      </c>
      <c r="D9" s="7">
        <v>6.0000000000000002E-6</v>
      </c>
      <c r="I9" t="s">
        <v>1150</v>
      </c>
      <c r="J9" t="s">
        <v>1144</v>
      </c>
      <c r="K9" t="s">
        <v>1153</v>
      </c>
      <c r="L9" t="s">
        <v>1148</v>
      </c>
      <c r="M9">
        <v>11</v>
      </c>
      <c r="O9" t="s">
        <v>33</v>
      </c>
      <c r="P9">
        <v>1</v>
      </c>
    </row>
    <row r="10" spans="1:56" x14ac:dyDescent="0.2">
      <c r="A10" t="s">
        <v>580</v>
      </c>
      <c r="B10" s="7">
        <v>5.8379999999999998E-6</v>
      </c>
      <c r="C10" s="7">
        <v>3.6740000000000003E-6</v>
      </c>
      <c r="D10" s="7">
        <v>6.0000000000000002E-6</v>
      </c>
      <c r="I10" t="s">
        <v>1150</v>
      </c>
      <c r="J10" t="s">
        <v>1144</v>
      </c>
      <c r="K10" t="s">
        <v>1153</v>
      </c>
      <c r="L10" t="s">
        <v>1149</v>
      </c>
      <c r="M10">
        <v>1.9</v>
      </c>
      <c r="O10" t="s">
        <v>489</v>
      </c>
      <c r="P10">
        <v>1</v>
      </c>
    </row>
    <row r="11" spans="1:56" x14ac:dyDescent="0.2">
      <c r="A11" t="s">
        <v>581</v>
      </c>
      <c r="B11" s="7">
        <v>5.8379999999999998E-6</v>
      </c>
      <c r="C11" s="7">
        <v>3.6740000000000003E-6</v>
      </c>
      <c r="D11" s="7">
        <v>6.0000000000000002E-6</v>
      </c>
      <c r="I11" t="s">
        <v>1150</v>
      </c>
      <c r="J11" t="s">
        <v>1145</v>
      </c>
      <c r="K11" t="s">
        <v>1152</v>
      </c>
      <c r="L11" t="s">
        <v>1148</v>
      </c>
      <c r="M11">
        <v>6.4</v>
      </c>
      <c r="O11" t="s">
        <v>490</v>
      </c>
      <c r="P11">
        <v>1</v>
      </c>
    </row>
    <row r="12" spans="1:56" x14ac:dyDescent="0.2">
      <c r="A12" t="s">
        <v>609</v>
      </c>
      <c r="B12" s="7">
        <v>6.3939999999999993E-6</v>
      </c>
      <c r="C12" s="7">
        <v>6.1789999999999996E-6</v>
      </c>
      <c r="D12" s="7">
        <v>6.0000000000000002E-6</v>
      </c>
      <c r="I12" t="s">
        <v>1150</v>
      </c>
      <c r="J12" t="s">
        <v>1145</v>
      </c>
      <c r="K12" t="s">
        <v>1152</v>
      </c>
      <c r="L12" t="s">
        <v>1149</v>
      </c>
      <c r="M12">
        <v>2.2999999999999998</v>
      </c>
      <c r="O12" t="s">
        <v>496</v>
      </c>
      <c r="P12">
        <v>1</v>
      </c>
    </row>
    <row r="13" spans="1:56" x14ac:dyDescent="0.2">
      <c r="A13" t="s">
        <v>610</v>
      </c>
      <c r="B13" s="7">
        <v>6.3939999999999993E-6</v>
      </c>
      <c r="C13" s="7">
        <v>6.1789999999999996E-6</v>
      </c>
      <c r="D13" s="7">
        <v>6.0000000000000002E-6</v>
      </c>
      <c r="I13" t="s">
        <v>1150</v>
      </c>
      <c r="J13" t="s">
        <v>1145</v>
      </c>
      <c r="K13" t="s">
        <v>1153</v>
      </c>
      <c r="L13" t="s">
        <v>1148</v>
      </c>
      <c r="M13">
        <v>4.5</v>
      </c>
      <c r="O13" t="s">
        <v>579</v>
      </c>
      <c r="P13">
        <v>0.5</v>
      </c>
      <c r="Q13">
        <v>0.5</v>
      </c>
    </row>
    <row r="14" spans="1:56" x14ac:dyDescent="0.2">
      <c r="A14" t="s">
        <v>611</v>
      </c>
      <c r="B14" s="7">
        <v>6.3939999999999993E-6</v>
      </c>
      <c r="C14" s="7">
        <v>6.1789999999999996E-6</v>
      </c>
      <c r="D14" s="7">
        <v>6.0000000000000002E-6</v>
      </c>
      <c r="I14" t="s">
        <v>1150</v>
      </c>
      <c r="J14" t="s">
        <v>1145</v>
      </c>
      <c r="K14" t="s">
        <v>1153</v>
      </c>
      <c r="L14" t="s">
        <v>1149</v>
      </c>
      <c r="M14">
        <v>1.5</v>
      </c>
      <c r="O14" t="s">
        <v>580</v>
      </c>
      <c r="P14">
        <v>0.5</v>
      </c>
      <c r="Q14">
        <v>0.5</v>
      </c>
    </row>
    <row r="15" spans="1:56" x14ac:dyDescent="0.2">
      <c r="A15" t="s">
        <v>570</v>
      </c>
      <c r="B15" s="7">
        <v>6.3939999999999993E-6</v>
      </c>
      <c r="C15" s="7">
        <v>6.1789999999999996E-6</v>
      </c>
      <c r="D15" s="7">
        <v>6.0000000000000002E-6</v>
      </c>
      <c r="I15" t="s">
        <v>1150</v>
      </c>
      <c r="J15" t="s">
        <v>1146</v>
      </c>
      <c r="K15" t="s">
        <v>1152</v>
      </c>
      <c r="L15" t="s">
        <v>1148</v>
      </c>
      <c r="M15">
        <v>5.5</v>
      </c>
      <c r="O15" t="s">
        <v>581</v>
      </c>
      <c r="P15">
        <v>0.5</v>
      </c>
      <c r="Q15">
        <v>0.5</v>
      </c>
    </row>
    <row r="16" spans="1:56" x14ac:dyDescent="0.2">
      <c r="A16" t="s">
        <v>571</v>
      </c>
      <c r="B16" s="7">
        <v>6.3939999999999993E-6</v>
      </c>
      <c r="C16" s="7">
        <v>6.1789999999999996E-6</v>
      </c>
      <c r="D16" s="7">
        <v>6.0000000000000002E-6</v>
      </c>
      <c r="I16" t="s">
        <v>1150</v>
      </c>
      <c r="J16" t="s">
        <v>1146</v>
      </c>
      <c r="K16" t="s">
        <v>1152</v>
      </c>
      <c r="L16" t="s">
        <v>1149</v>
      </c>
      <c r="M16">
        <v>2.2999999999999998</v>
      </c>
      <c r="O16" t="s">
        <v>609</v>
      </c>
      <c r="P16">
        <v>0.5</v>
      </c>
      <c r="Q16">
        <v>0.5</v>
      </c>
    </row>
    <row r="17" spans="1:18" x14ac:dyDescent="0.2">
      <c r="A17" t="s">
        <v>572</v>
      </c>
      <c r="B17" s="7">
        <v>6.3939999999999993E-6</v>
      </c>
      <c r="C17" s="7">
        <v>6.1789999999999996E-6</v>
      </c>
      <c r="D17" s="7">
        <v>6.0000000000000002E-6</v>
      </c>
      <c r="I17" t="s">
        <v>1150</v>
      </c>
      <c r="J17" t="s">
        <v>1146</v>
      </c>
      <c r="K17" t="s">
        <v>1153</v>
      </c>
      <c r="L17" t="s">
        <v>1148</v>
      </c>
      <c r="M17">
        <v>1</v>
      </c>
      <c r="O17" t="s">
        <v>610</v>
      </c>
      <c r="P17">
        <v>0.5</v>
      </c>
      <c r="Q17">
        <v>0.5</v>
      </c>
    </row>
    <row r="18" spans="1:18" x14ac:dyDescent="0.2">
      <c r="A18" t="s">
        <v>608</v>
      </c>
      <c r="B18" s="7">
        <v>6.3939999999999993E-6</v>
      </c>
      <c r="C18" s="7">
        <v>3.0894999999999998E-6</v>
      </c>
      <c r="D18" s="7">
        <v>6.0000000000000002E-6</v>
      </c>
      <c r="I18" t="s">
        <v>1150</v>
      </c>
      <c r="J18" t="s">
        <v>1146</v>
      </c>
      <c r="K18" t="s">
        <v>1153</v>
      </c>
      <c r="L18" t="s">
        <v>1149</v>
      </c>
      <c r="M18">
        <v>1.3</v>
      </c>
      <c r="O18" t="s">
        <v>611</v>
      </c>
      <c r="P18">
        <v>0.5</v>
      </c>
      <c r="Q18">
        <v>0.5</v>
      </c>
    </row>
    <row r="19" spans="1:18" x14ac:dyDescent="0.2">
      <c r="A19" t="s">
        <v>569</v>
      </c>
      <c r="B19" s="7">
        <v>6.3939999999999993E-6</v>
      </c>
      <c r="C19" s="7">
        <v>3.0894999999999998E-6</v>
      </c>
      <c r="D19" s="7">
        <v>6.0000000000000002E-6</v>
      </c>
      <c r="I19" t="s">
        <v>1151</v>
      </c>
      <c r="J19" t="s">
        <v>1144</v>
      </c>
      <c r="K19" t="s">
        <v>1152</v>
      </c>
      <c r="L19" t="s">
        <v>1148</v>
      </c>
      <c r="M19">
        <v>5.8</v>
      </c>
      <c r="O19" t="s">
        <v>570</v>
      </c>
      <c r="P19">
        <v>0.5</v>
      </c>
      <c r="Q19">
        <v>0.5</v>
      </c>
    </row>
    <row r="20" spans="1:18" x14ac:dyDescent="0.2">
      <c r="A20" t="s">
        <v>638</v>
      </c>
      <c r="B20" s="7">
        <v>7.3669999999999991E-6</v>
      </c>
      <c r="C20" s="7">
        <v>8.3499999999999997E-6</v>
      </c>
      <c r="D20" s="7">
        <v>6.0000000000000002E-6</v>
      </c>
      <c r="I20" t="s">
        <v>1151</v>
      </c>
      <c r="J20" t="s">
        <v>1144</v>
      </c>
      <c r="K20" t="s">
        <v>1152</v>
      </c>
      <c r="L20" t="s">
        <v>1149</v>
      </c>
      <c r="M20">
        <v>2.2999999999999998</v>
      </c>
      <c r="O20" t="s">
        <v>571</v>
      </c>
      <c r="P20">
        <v>0.5</v>
      </c>
      <c r="Q20">
        <v>0.5</v>
      </c>
    </row>
    <row r="21" spans="1:18" x14ac:dyDescent="0.2">
      <c r="A21" t="s">
        <v>639</v>
      </c>
      <c r="B21" s="7">
        <v>7.3669999999999991E-6</v>
      </c>
      <c r="C21" s="7">
        <v>8.3499999999999997E-6</v>
      </c>
      <c r="D21" s="7">
        <v>6.0000000000000002E-6</v>
      </c>
      <c r="I21" t="s">
        <v>1151</v>
      </c>
      <c r="J21" t="s">
        <v>1144</v>
      </c>
      <c r="K21" t="s">
        <v>1153</v>
      </c>
      <c r="L21" t="s">
        <v>1148</v>
      </c>
      <c r="M21">
        <v>4.2</v>
      </c>
      <c r="O21" t="s">
        <v>572</v>
      </c>
      <c r="P21">
        <v>0.5</v>
      </c>
      <c r="Q21">
        <v>0.5</v>
      </c>
    </row>
    <row r="22" spans="1:18" x14ac:dyDescent="0.2">
      <c r="A22" t="s">
        <v>640</v>
      </c>
      <c r="B22" s="7">
        <v>7.3669999999999991E-6</v>
      </c>
      <c r="C22" s="7">
        <v>8.3499999999999997E-6</v>
      </c>
      <c r="D22" s="7">
        <v>6.0000000000000002E-6</v>
      </c>
      <c r="I22" t="s">
        <v>1151</v>
      </c>
      <c r="J22" t="s">
        <v>1144</v>
      </c>
      <c r="K22" t="s">
        <v>1153</v>
      </c>
      <c r="L22" t="s">
        <v>1149</v>
      </c>
      <c r="M22">
        <v>1.9</v>
      </c>
      <c r="O22" t="s">
        <v>608</v>
      </c>
      <c r="P22">
        <v>0.5</v>
      </c>
      <c r="Q22">
        <v>0.5</v>
      </c>
    </row>
    <row r="23" spans="1:18" x14ac:dyDescent="0.2">
      <c r="A23" t="s">
        <v>620</v>
      </c>
      <c r="B23" s="7">
        <v>7.3669999999999991E-6</v>
      </c>
      <c r="C23" s="7">
        <v>8.3499999999999997E-6</v>
      </c>
      <c r="D23" s="7">
        <v>6.0000000000000002E-6</v>
      </c>
      <c r="I23" t="s">
        <v>1151</v>
      </c>
      <c r="J23" t="s">
        <v>1145</v>
      </c>
      <c r="K23" t="s">
        <v>1152</v>
      </c>
      <c r="L23" t="s">
        <v>1148</v>
      </c>
      <c r="M23">
        <v>4.5</v>
      </c>
      <c r="O23" t="s">
        <v>569</v>
      </c>
      <c r="P23">
        <v>0.5</v>
      </c>
      <c r="Q23">
        <v>0.5</v>
      </c>
    </row>
    <row r="24" spans="1:18" x14ac:dyDescent="0.2">
      <c r="A24" t="s">
        <v>621</v>
      </c>
      <c r="B24" s="7">
        <v>7.3669999999999991E-6</v>
      </c>
      <c r="C24" s="7">
        <v>8.3499999999999997E-6</v>
      </c>
      <c r="D24" s="7">
        <v>6.0000000000000002E-6</v>
      </c>
      <c r="I24" t="s">
        <v>1151</v>
      </c>
      <c r="J24" t="s">
        <v>1145</v>
      </c>
      <c r="K24" t="s">
        <v>1152</v>
      </c>
      <c r="L24" t="s">
        <v>1149</v>
      </c>
      <c r="M24">
        <v>2.2999999999999998</v>
      </c>
      <c r="O24" t="s">
        <v>638</v>
      </c>
      <c r="P24">
        <v>0.5</v>
      </c>
      <c r="Q24">
        <v>0.5</v>
      </c>
    </row>
    <row r="25" spans="1:18" x14ac:dyDescent="0.2">
      <c r="A25" t="s">
        <v>622</v>
      </c>
      <c r="B25" s="7">
        <v>7.3669999999999991E-6</v>
      </c>
      <c r="C25" s="7">
        <v>8.3499999999999997E-6</v>
      </c>
      <c r="D25" s="7">
        <v>6.0000000000000002E-6</v>
      </c>
      <c r="I25" t="s">
        <v>1151</v>
      </c>
      <c r="J25" t="s">
        <v>1145</v>
      </c>
      <c r="K25" t="s">
        <v>1153</v>
      </c>
      <c r="L25" t="s">
        <v>1148</v>
      </c>
      <c r="M25">
        <v>1.8</v>
      </c>
      <c r="O25" t="s">
        <v>639</v>
      </c>
      <c r="P25">
        <v>0.5</v>
      </c>
      <c r="Q25">
        <v>0.5</v>
      </c>
    </row>
    <row r="26" spans="1:18" x14ac:dyDescent="0.2">
      <c r="A26" t="s">
        <v>629</v>
      </c>
      <c r="B26" s="7">
        <v>7.3669999999999991E-6</v>
      </c>
      <c r="C26" s="7">
        <v>8.3499999999999997E-6</v>
      </c>
      <c r="D26" s="7">
        <v>6.0000000000000002E-6</v>
      </c>
      <c r="I26" t="s">
        <v>1151</v>
      </c>
      <c r="J26" t="s">
        <v>1145</v>
      </c>
      <c r="K26" t="s">
        <v>1153</v>
      </c>
      <c r="L26" t="s">
        <v>1149</v>
      </c>
      <c r="M26">
        <v>1.5</v>
      </c>
      <c r="O26" t="s">
        <v>640</v>
      </c>
      <c r="P26">
        <v>0.5</v>
      </c>
      <c r="Q26">
        <v>0.5</v>
      </c>
    </row>
    <row r="27" spans="1:18" x14ac:dyDescent="0.2">
      <c r="A27" t="s">
        <v>630</v>
      </c>
      <c r="B27" s="7">
        <v>7.3669999999999991E-6</v>
      </c>
      <c r="C27" s="7">
        <v>8.3499999999999997E-6</v>
      </c>
      <c r="D27" s="7">
        <v>6.0000000000000002E-6</v>
      </c>
      <c r="I27" t="s">
        <v>1151</v>
      </c>
      <c r="J27" t="s">
        <v>1146</v>
      </c>
      <c r="K27" t="s">
        <v>1152</v>
      </c>
      <c r="L27" t="s">
        <v>1148</v>
      </c>
      <c r="M27">
        <v>3.8</v>
      </c>
      <c r="O27" t="s">
        <v>620</v>
      </c>
      <c r="P27">
        <v>0.33</v>
      </c>
      <c r="Q27">
        <v>0.33</v>
      </c>
      <c r="R27">
        <v>0.33</v>
      </c>
    </row>
    <row r="28" spans="1:18" x14ac:dyDescent="0.2">
      <c r="A28" t="s">
        <v>631</v>
      </c>
      <c r="B28" s="7">
        <v>7.3669999999999991E-6</v>
      </c>
      <c r="C28" s="7">
        <v>8.3499999999999997E-6</v>
      </c>
      <c r="D28" s="7">
        <v>6.0000000000000002E-6</v>
      </c>
      <c r="I28" t="s">
        <v>1151</v>
      </c>
      <c r="J28" t="s">
        <v>1146</v>
      </c>
      <c r="K28" t="s">
        <v>1152</v>
      </c>
      <c r="L28" t="s">
        <v>1149</v>
      </c>
      <c r="M28">
        <v>2.2999999999999998</v>
      </c>
      <c r="O28" t="s">
        <v>621</v>
      </c>
      <c r="P28">
        <v>0.33</v>
      </c>
      <c r="Q28">
        <v>0.33</v>
      </c>
      <c r="R28">
        <v>0.33</v>
      </c>
    </row>
    <row r="29" spans="1:18" x14ac:dyDescent="0.2">
      <c r="A29" t="s">
        <v>492</v>
      </c>
      <c r="B29" s="7">
        <v>7.3669999999999991E-6</v>
      </c>
      <c r="C29" s="7">
        <v>4.1749999999999998E-6</v>
      </c>
      <c r="D29" s="7">
        <v>6.0000000000000002E-6</v>
      </c>
      <c r="I29" t="s">
        <v>1151</v>
      </c>
      <c r="J29" t="s">
        <v>1146</v>
      </c>
      <c r="K29" t="s">
        <v>1153</v>
      </c>
      <c r="L29" t="s">
        <v>1148</v>
      </c>
      <c r="M29">
        <v>0.4</v>
      </c>
      <c r="O29" t="s">
        <v>622</v>
      </c>
      <c r="P29">
        <v>0.33</v>
      </c>
      <c r="Q29">
        <v>0.33</v>
      </c>
      <c r="R29">
        <v>0.33</v>
      </c>
    </row>
    <row r="30" spans="1:18" x14ac:dyDescent="0.2">
      <c r="A30" t="s">
        <v>493</v>
      </c>
      <c r="B30" s="7">
        <v>7.3669999999999991E-6</v>
      </c>
      <c r="C30" s="7">
        <v>4.1749999999999998E-6</v>
      </c>
      <c r="D30" s="7">
        <v>6.0000000000000002E-6</v>
      </c>
      <c r="I30" t="s">
        <v>1151</v>
      </c>
      <c r="J30" t="s">
        <v>1146</v>
      </c>
      <c r="K30" t="s">
        <v>1153</v>
      </c>
      <c r="L30" t="s">
        <v>1149</v>
      </c>
      <c r="M30">
        <v>1.3</v>
      </c>
      <c r="O30" t="s">
        <v>629</v>
      </c>
      <c r="P30">
        <v>0.33</v>
      </c>
      <c r="Q30">
        <v>0.33</v>
      </c>
      <c r="R30">
        <v>0.33</v>
      </c>
    </row>
    <row r="31" spans="1:18" x14ac:dyDescent="0.2">
      <c r="A31" t="s">
        <v>494</v>
      </c>
      <c r="B31" s="7">
        <v>7.3669999999999991E-6</v>
      </c>
      <c r="C31" s="7">
        <v>4.1749999999999998E-6</v>
      </c>
      <c r="D31" s="7">
        <v>6.0000000000000002E-6</v>
      </c>
      <c r="I31" t="s">
        <v>1151</v>
      </c>
      <c r="K31" t="s">
        <v>1154</v>
      </c>
      <c r="L31" t="s">
        <v>1148</v>
      </c>
      <c r="M31">
        <v>5.0999999999999996</v>
      </c>
      <c r="O31" t="s">
        <v>630</v>
      </c>
      <c r="P31">
        <v>0.33</v>
      </c>
      <c r="Q31">
        <v>0.33</v>
      </c>
      <c r="R31">
        <v>0.33</v>
      </c>
    </row>
    <row r="32" spans="1:18" x14ac:dyDescent="0.2">
      <c r="A32" t="s">
        <v>495</v>
      </c>
      <c r="B32" s="7">
        <v>7.3669999999999991E-6</v>
      </c>
      <c r="C32" s="7">
        <v>4.1749999999999998E-6</v>
      </c>
      <c r="D32" s="7">
        <v>6.0000000000000002E-6</v>
      </c>
      <c r="I32" t="s">
        <v>1151</v>
      </c>
      <c r="K32" t="s">
        <v>1154</v>
      </c>
      <c r="L32" t="s">
        <v>1149</v>
      </c>
      <c r="M32">
        <v>1.5</v>
      </c>
      <c r="O32" t="s">
        <v>631</v>
      </c>
      <c r="P32">
        <v>0.33</v>
      </c>
      <c r="Q32">
        <v>0.33</v>
      </c>
      <c r="R32">
        <v>0.33</v>
      </c>
    </row>
    <row r="33" spans="9:18" x14ac:dyDescent="0.2">
      <c r="I33" t="s">
        <v>1151</v>
      </c>
      <c r="K33" t="s">
        <v>1155</v>
      </c>
      <c r="L33" t="s">
        <v>1148</v>
      </c>
      <c r="M33">
        <v>8.1999999999999993</v>
      </c>
      <c r="O33" t="s">
        <v>492</v>
      </c>
      <c r="P33">
        <v>0.33</v>
      </c>
      <c r="Q33">
        <v>0.33</v>
      </c>
      <c r="R33">
        <v>0.33</v>
      </c>
    </row>
    <row r="34" spans="9:18" x14ac:dyDescent="0.2">
      <c r="I34" t="s">
        <v>1151</v>
      </c>
      <c r="K34" t="s">
        <v>1155</v>
      </c>
      <c r="L34" t="s">
        <v>1149</v>
      </c>
      <c r="M34">
        <v>1.1000000000000001</v>
      </c>
      <c r="O34" t="s">
        <v>493</v>
      </c>
      <c r="P34">
        <v>0.33</v>
      </c>
      <c r="Q34">
        <v>0.33</v>
      </c>
      <c r="R34">
        <v>0.33</v>
      </c>
    </row>
    <row r="35" spans="9:18" x14ac:dyDescent="0.2">
      <c r="I35" t="s">
        <v>1150</v>
      </c>
      <c r="K35" t="s">
        <v>1154</v>
      </c>
      <c r="L35" t="s">
        <v>1148</v>
      </c>
      <c r="M35">
        <v>5.0999999999999996</v>
      </c>
      <c r="O35" t="s">
        <v>494</v>
      </c>
      <c r="P35">
        <v>0.33</v>
      </c>
      <c r="Q35">
        <v>0.33</v>
      </c>
      <c r="R35">
        <v>0.33</v>
      </c>
    </row>
    <row r="36" spans="9:18" x14ac:dyDescent="0.2">
      <c r="I36" t="s">
        <v>1150</v>
      </c>
      <c r="K36" t="s">
        <v>1154</v>
      </c>
      <c r="L36" t="s">
        <v>1149</v>
      </c>
      <c r="M36">
        <v>1.5</v>
      </c>
      <c r="O36" t="s">
        <v>495</v>
      </c>
      <c r="P36">
        <v>0.33</v>
      </c>
      <c r="Q36">
        <v>0.33</v>
      </c>
      <c r="R36">
        <v>0.33</v>
      </c>
    </row>
    <row r="37" spans="9:18" x14ac:dyDescent="0.2">
      <c r="I37" t="s">
        <v>1150</v>
      </c>
      <c r="K37" t="s">
        <v>1155</v>
      </c>
      <c r="L37" t="s">
        <v>1148</v>
      </c>
      <c r="M37">
        <v>8.1999999999999993</v>
      </c>
    </row>
    <row r="38" spans="9:18" x14ac:dyDescent="0.2">
      <c r="I38" t="s">
        <v>1150</v>
      </c>
      <c r="K38" t="s">
        <v>1155</v>
      </c>
      <c r="L38" t="s">
        <v>1149</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651</v>
      </c>
    </row>
    <row r="2" spans="1:4" x14ac:dyDescent="0.2">
      <c r="B2" t="s">
        <v>43</v>
      </c>
      <c r="C2" t="s">
        <v>44</v>
      </c>
      <c r="D2" t="s">
        <v>45</v>
      </c>
    </row>
    <row r="3" spans="1:4" x14ac:dyDescent="0.2">
      <c r="A3" s="19">
        <v>2020</v>
      </c>
      <c r="B3">
        <v>0.2</v>
      </c>
      <c r="C3">
        <v>0.15</v>
      </c>
      <c r="D3">
        <v>0.23</v>
      </c>
    </row>
    <row r="4" spans="1:4" x14ac:dyDescent="0.2">
      <c r="A4" s="19">
        <v>2030</v>
      </c>
      <c r="B4">
        <v>0.3</v>
      </c>
      <c r="C4">
        <v>0.18</v>
      </c>
      <c r="D4">
        <v>0.3</v>
      </c>
    </row>
    <row r="5" spans="1:4" x14ac:dyDescent="0.2">
      <c r="A5" s="19">
        <v>2040</v>
      </c>
      <c r="B5">
        <v>0.4</v>
      </c>
      <c r="C5">
        <v>0.18</v>
      </c>
      <c r="D5">
        <v>0.4</v>
      </c>
    </row>
    <row r="6" spans="1:4" x14ac:dyDescent="0.2">
      <c r="A6" s="19">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604</v>
      </c>
      <c r="B8" t="s">
        <v>605</v>
      </c>
    </row>
    <row r="9" spans="1:40" x14ac:dyDescent="0.2">
      <c r="A9" t="s">
        <v>602</v>
      </c>
      <c r="C9" t="s">
        <v>595</v>
      </c>
      <c r="D9" t="s">
        <v>596</v>
      </c>
      <c r="E9" t="s">
        <v>597</v>
      </c>
      <c r="F9" t="s">
        <v>598</v>
      </c>
      <c r="G9" t="s">
        <v>599</v>
      </c>
      <c r="H9" t="s">
        <v>600</v>
      </c>
    </row>
    <row r="10" spans="1:40" x14ac:dyDescent="0.2">
      <c r="A10" t="s">
        <v>141</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141</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141</v>
      </c>
      <c r="B12" t="s">
        <v>601</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141</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141</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141</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141</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141</v>
      </c>
      <c r="B17" t="s">
        <v>593</v>
      </c>
      <c r="C17" s="7">
        <v>0.99037189923972668</v>
      </c>
      <c r="D17" s="7">
        <v>0.79798060638763357</v>
      </c>
      <c r="E17" s="7">
        <v>0.39308601769474416</v>
      </c>
      <c r="F17" s="7">
        <v>2.8709430025130551E-2</v>
      </c>
      <c r="G17" s="7">
        <v>2.9486733371868183E-2</v>
      </c>
      <c r="H17" s="7">
        <v>2.9576845168859025E-2</v>
      </c>
      <c r="I17" s="5"/>
    </row>
    <row r="18" spans="1:10" x14ac:dyDescent="0.2">
      <c r="A18" t="s">
        <v>141</v>
      </c>
      <c r="B18" t="s">
        <v>541</v>
      </c>
      <c r="C18" s="7">
        <v>6.9833915972032007E-2</v>
      </c>
      <c r="D18" s="7">
        <v>5.6267863270922876E-2</v>
      </c>
      <c r="E18" s="7">
        <v>2.7717603811808881E-2</v>
      </c>
      <c r="F18" s="7">
        <v>2.0243828863874104E-3</v>
      </c>
      <c r="G18" s="7">
        <v>2.0791927377599357E-3</v>
      </c>
      <c r="H18" s="7">
        <v>2.0855467747272387E-3</v>
      </c>
      <c r="I18" s="5"/>
    </row>
    <row r="19" spans="1:10" x14ac:dyDescent="0.2">
      <c r="A19" t="s">
        <v>141</v>
      </c>
      <c r="B19" t="s">
        <v>542</v>
      </c>
      <c r="C19" s="7">
        <v>1.4229481310915611E-2</v>
      </c>
      <c r="D19" s="7">
        <v>1.1465238597523471E-2</v>
      </c>
      <c r="E19" s="7">
        <v>5.6477876105566691E-3</v>
      </c>
      <c r="F19" s="7">
        <v>4.124918107058987E-4</v>
      </c>
      <c r="G19" s="7">
        <v>4.2365996223948536E-4</v>
      </c>
      <c r="H19" s="7">
        <v>4.2495467196636527E-4</v>
      </c>
      <c r="I19" s="5"/>
    </row>
    <row r="20" spans="1:10" x14ac:dyDescent="0.2">
      <c r="A20" t="s">
        <v>141</v>
      </c>
      <c r="B20" t="s">
        <v>543</v>
      </c>
      <c r="C20" s="7">
        <v>0.11471151087568894</v>
      </c>
      <c r="D20" s="7">
        <v>9.2427461924650761E-2</v>
      </c>
      <c r="E20" s="7">
        <v>4.5529857045102998E-2</v>
      </c>
      <c r="F20" s="7">
        <v>3.3253185970752454E-3</v>
      </c>
      <c r="G20" s="7">
        <v>3.4153510802075438E-3</v>
      </c>
      <c r="H20" s="7">
        <v>3.4257884324673141E-3</v>
      </c>
      <c r="I20" s="5"/>
    </row>
    <row r="21" spans="1:10" x14ac:dyDescent="0.2">
      <c r="A21" t="s">
        <v>141</v>
      </c>
      <c r="B21" t="s">
        <v>544</v>
      </c>
      <c r="C21" s="7">
        <v>4.7066745874567023E-2</v>
      </c>
      <c r="D21" s="7">
        <v>3.7923481514885324E-2</v>
      </c>
      <c r="E21" s="7">
        <v>1.8681143634918213E-2</v>
      </c>
      <c r="F21" s="7">
        <v>1.3643959892579726E-3</v>
      </c>
      <c r="G21" s="7">
        <v>1.4013367981767593E-3</v>
      </c>
      <c r="H21" s="7">
        <v>1.4056192995810543E-3</v>
      </c>
      <c r="I21" s="5"/>
    </row>
    <row r="22" spans="1:10" x14ac:dyDescent="0.2">
      <c r="A22" t="s">
        <v>141</v>
      </c>
      <c r="B22" t="s">
        <v>545</v>
      </c>
      <c r="C22" s="7">
        <v>3.524533063165252E-2</v>
      </c>
      <c r="D22" s="7">
        <v>2.8398514064635057E-2</v>
      </c>
      <c r="E22" s="7">
        <v>1.3989135466148057E-2</v>
      </c>
      <c r="F22" s="7">
        <v>1.0217104849792259E-3</v>
      </c>
      <c r="G22" s="7">
        <v>1.0493731372393407E-3</v>
      </c>
      <c r="H22" s="7">
        <v>1.0525800336397663E-3</v>
      </c>
    </row>
    <row r="23" spans="1:10" x14ac:dyDescent="0.2">
      <c r="A23" t="s">
        <v>141</v>
      </c>
      <c r="B23" t="s">
        <v>546</v>
      </c>
      <c r="C23" s="7">
        <v>2.4956321068375076E-2</v>
      </c>
      <c r="D23" s="7">
        <v>2.0108264617195011E-2</v>
      </c>
      <c r="E23" s="7">
        <v>9.9053505785147728E-3</v>
      </c>
      <c r="F23" s="7">
        <v>7.234471756995762E-4</v>
      </c>
      <c r="G23" s="7">
        <v>7.4303439531232817E-4</v>
      </c>
      <c r="H23" s="7">
        <v>7.453051169871637E-4</v>
      </c>
      <c r="I23" s="7"/>
      <c r="J23" s="16"/>
    </row>
    <row r="24" spans="1:10" x14ac:dyDescent="0.2">
      <c r="A24" t="s">
        <v>141</v>
      </c>
      <c r="B24" t="s">
        <v>547</v>
      </c>
      <c r="C24" s="7">
        <v>1.6199717184734699E-2</v>
      </c>
      <c r="D24" s="7">
        <v>1.3052733172565183E-2</v>
      </c>
      <c r="E24" s="7">
        <v>6.4297889720183622E-3</v>
      </c>
      <c r="F24" s="7">
        <v>4.696060614190232E-4</v>
      </c>
      <c r="G24" s="7">
        <v>4.8232057239572186E-4</v>
      </c>
      <c r="H24" s="7">
        <v>4.8379454962324666E-4</v>
      </c>
      <c r="I24" s="7"/>
      <c r="J24" s="16"/>
    </row>
    <row r="25" spans="1:10" x14ac:dyDescent="0.2">
      <c r="A25" t="s">
        <v>141</v>
      </c>
      <c r="B25" t="s">
        <v>548</v>
      </c>
      <c r="C25" s="7">
        <v>0.15980802087643686</v>
      </c>
      <c r="D25" s="7">
        <v>0.12876344886449437</v>
      </c>
      <c r="E25" s="7">
        <v>6.3428999318559512E-2</v>
      </c>
      <c r="F25" s="7">
        <v>4.6326003356200931E-3</v>
      </c>
      <c r="G25" s="7">
        <v>4.7580272682280662E-3</v>
      </c>
      <c r="H25" s="7">
        <v>4.7725678543914865E-3</v>
      </c>
      <c r="I25" s="7"/>
      <c r="J25" s="16"/>
    </row>
    <row r="26" spans="1:10" x14ac:dyDescent="0.2">
      <c r="A26" t="s">
        <v>141</v>
      </c>
      <c r="B26" t="s">
        <v>549</v>
      </c>
      <c r="C26" s="7">
        <v>8.362556708876559E-2</v>
      </c>
      <c r="D26" s="7">
        <v>6.7380325296214863E-2</v>
      </c>
      <c r="E26" s="7">
        <v>3.3191613342040731E-2</v>
      </c>
      <c r="F26" s="7">
        <v>2.4241826413792817E-3</v>
      </c>
      <c r="G26" s="7">
        <v>2.4898170088535907E-3</v>
      </c>
      <c r="H26" s="7">
        <v>2.4974259183254081E-3</v>
      </c>
      <c r="I26" s="7"/>
      <c r="J26" s="16"/>
    </row>
    <row r="27" spans="1:10" x14ac:dyDescent="0.2">
      <c r="A27" t="s">
        <v>141</v>
      </c>
      <c r="B27" t="s">
        <v>550</v>
      </c>
      <c r="C27" s="7">
        <v>2.4080660680011038E-3</v>
      </c>
      <c r="D27" s="7">
        <v>1.9402711472732029E-3</v>
      </c>
      <c r="E27" s="7">
        <v>9.5577944178651321E-4</v>
      </c>
      <c r="F27" s="7">
        <v>6.9806306427152101E-5</v>
      </c>
      <c r="G27" s="7">
        <v>7.1696301302066765E-5</v>
      </c>
      <c r="H27" s="7">
        <v>7.1915406025077199E-5</v>
      </c>
      <c r="I27" s="7"/>
      <c r="J27" s="16"/>
    </row>
    <row r="28" spans="1:10" x14ac:dyDescent="0.2">
      <c r="A28" t="s">
        <v>141</v>
      </c>
      <c r="B28" t="s">
        <v>55</v>
      </c>
      <c r="C28" s="7">
        <v>0.12281136946805628</v>
      </c>
      <c r="D28" s="7">
        <v>9.8953828510933331E-2</v>
      </c>
      <c r="E28" s="7">
        <v>4.8744751531112171E-2</v>
      </c>
      <c r="F28" s="7">
        <v>3.5601216277847563E-3</v>
      </c>
      <c r="G28" s="7">
        <v>3.6565113664054042E-3</v>
      </c>
      <c r="H28" s="7">
        <v>3.6676857072789372E-3</v>
      </c>
      <c r="I28" s="7"/>
      <c r="J28" s="16"/>
    </row>
    <row r="29" spans="1:10" x14ac:dyDescent="0.2">
      <c r="A29" t="s">
        <v>141</v>
      </c>
      <c r="B29" t="s">
        <v>551</v>
      </c>
      <c r="C29" s="7">
        <v>0.24036877660592834</v>
      </c>
      <c r="D29" s="7">
        <v>0.19367433815508878</v>
      </c>
      <c r="E29" s="7">
        <v>9.5404166098326498E-2</v>
      </c>
      <c r="F29" s="7">
        <v>6.9679385870011811E-3</v>
      </c>
      <c r="G29" s="7">
        <v>7.1565944390608446E-3</v>
      </c>
      <c r="H29" s="7">
        <v>7.1784650741395237E-3</v>
      </c>
      <c r="I29" s="7"/>
      <c r="J29" s="16"/>
    </row>
    <row r="30" spans="1:10" x14ac:dyDescent="0.2">
      <c r="A30" t="s">
        <v>141</v>
      </c>
      <c r="B30" t="s">
        <v>552</v>
      </c>
      <c r="C30" s="7">
        <v>0.11887089772041812</v>
      </c>
      <c r="D30" s="7">
        <v>9.5778839360849924E-2</v>
      </c>
      <c r="E30" s="7">
        <v>4.7180748808188788E-2</v>
      </c>
      <c r="F30" s="7">
        <v>3.4458931263585076E-3</v>
      </c>
      <c r="G30" s="7">
        <v>3.5391901460929318E-3</v>
      </c>
      <c r="H30" s="7">
        <v>3.5500059519651744E-3</v>
      </c>
      <c r="I30" s="7"/>
      <c r="J30" s="16"/>
    </row>
    <row r="31" spans="1:10" x14ac:dyDescent="0.2">
      <c r="A31" t="s">
        <v>141</v>
      </c>
      <c r="B31" t="s">
        <v>553</v>
      </c>
      <c r="C31" s="7">
        <v>4.9474811942568128E-2</v>
      </c>
      <c r="D31" s="7">
        <v>3.9863752662158525E-2</v>
      </c>
      <c r="E31" s="7">
        <v>1.9636923076704723E-2</v>
      </c>
      <c r="F31" s="7">
        <v>1.4342022956851247E-3</v>
      </c>
      <c r="G31" s="7">
        <v>1.4730330994788259E-3</v>
      </c>
      <c r="H31" s="7">
        <v>1.4775347056061314E-3</v>
      </c>
      <c r="I31" s="7"/>
      <c r="J31" s="16"/>
    </row>
    <row r="32" spans="1:10" x14ac:dyDescent="0.2">
      <c r="A32" t="s">
        <v>141</v>
      </c>
      <c r="B32" t="s">
        <v>554</v>
      </c>
      <c r="C32" s="7">
        <v>3.7215566505471608E-2</v>
      </c>
      <c r="D32" s="7">
        <v>2.9986008639676771E-2</v>
      </c>
      <c r="E32" s="7">
        <v>1.4771136827609751E-2</v>
      </c>
      <c r="F32" s="7">
        <v>1.0788247356923505E-3</v>
      </c>
      <c r="G32" s="7">
        <v>1.1080337473955773E-3</v>
      </c>
      <c r="H32" s="7">
        <v>1.1114199112966477E-3</v>
      </c>
      <c r="I32" s="7"/>
      <c r="J32" s="16"/>
    </row>
    <row r="33" spans="1:10" x14ac:dyDescent="0.2">
      <c r="A33" t="s">
        <v>141</v>
      </c>
      <c r="B33" t="s">
        <v>555</v>
      </c>
      <c r="C33" s="7">
        <v>1.6418632281825708E-2</v>
      </c>
      <c r="D33" s="7">
        <v>1.3229121458680928E-2</v>
      </c>
      <c r="E33" s="7">
        <v>6.5166780121807717E-3</v>
      </c>
      <c r="F33" s="7">
        <v>4.7595208927603695E-4</v>
      </c>
      <c r="G33" s="7">
        <v>4.8883841796863693E-4</v>
      </c>
      <c r="H33" s="7">
        <v>4.9033231380734448E-4</v>
      </c>
      <c r="I33" s="7"/>
      <c r="J33" s="16"/>
    </row>
    <row r="34" spans="1:10" x14ac:dyDescent="0.2">
      <c r="A34" t="s">
        <v>141</v>
      </c>
      <c r="B34" t="s">
        <v>556</v>
      </c>
      <c r="C34" s="7">
        <v>4.8161321360022076E-3</v>
      </c>
      <c r="D34" s="7">
        <v>3.8805422945464058E-3</v>
      </c>
      <c r="E34" s="7">
        <v>1.9115588835730264E-3</v>
      </c>
      <c r="F34" s="7">
        <v>1.396126128543042E-4</v>
      </c>
      <c r="G34" s="7">
        <v>1.4339260260413353E-4</v>
      </c>
      <c r="H34" s="7">
        <v>1.438308120501544E-4</v>
      </c>
      <c r="I34" s="7"/>
      <c r="J34" s="16"/>
    </row>
    <row r="35" spans="1:10" x14ac:dyDescent="0.2">
      <c r="A35" t="s">
        <v>141</v>
      </c>
      <c r="B35" t="s">
        <v>557</v>
      </c>
      <c r="C35" s="7">
        <v>1.3353820922551576E-2</v>
      </c>
      <c r="D35" s="7">
        <v>1.0759685453060488E-2</v>
      </c>
      <c r="E35" s="7">
        <v>5.3002314499070282E-3</v>
      </c>
      <c r="F35" s="7">
        <v>3.8710769927784345E-4</v>
      </c>
      <c r="G35" s="7">
        <v>3.9758857994782478E-4</v>
      </c>
      <c r="H35" s="7">
        <v>3.9880361522997361E-4</v>
      </c>
      <c r="I35" s="7"/>
      <c r="J35" s="16"/>
    </row>
    <row r="36" spans="1:10" x14ac:dyDescent="0.2">
      <c r="A36" t="s">
        <v>141</v>
      </c>
      <c r="B36" t="s">
        <v>560</v>
      </c>
      <c r="C36" s="7">
        <v>1.0945754854550472E-3</v>
      </c>
      <c r="D36" s="7">
        <v>8.8194143057872851E-4</v>
      </c>
      <c r="E36" s="7">
        <v>4.3444520081205144E-4</v>
      </c>
      <c r="F36" s="7">
        <v>3.1730139285069131E-5</v>
      </c>
      <c r="G36" s="7">
        <v>3.2589227864575796E-5</v>
      </c>
      <c r="H36" s="7">
        <v>3.2688820920489636E-5</v>
      </c>
      <c r="I36" s="7"/>
      <c r="J36" s="16"/>
    </row>
    <row r="37" spans="1:10" x14ac:dyDescent="0.2">
      <c r="A37" t="s">
        <v>141</v>
      </c>
      <c r="B37" t="s">
        <v>558</v>
      </c>
      <c r="C37" s="7">
        <v>4.1593868447291791E-3</v>
      </c>
      <c r="D37" s="7">
        <v>3.3513774361991684E-3</v>
      </c>
      <c r="E37" s="7">
        <v>1.6508917630857955E-3</v>
      </c>
      <c r="F37" s="7">
        <v>1.205745292832627E-4</v>
      </c>
      <c r="G37" s="7">
        <v>1.2383906588538804E-4</v>
      </c>
      <c r="H37" s="7">
        <v>1.2421751949786062E-4</v>
      </c>
      <c r="I37" s="7"/>
      <c r="J37" s="16"/>
    </row>
    <row r="38" spans="1:10" x14ac:dyDescent="0.2">
      <c r="A38" t="s">
        <v>141</v>
      </c>
      <c r="B38" t="s">
        <v>559</v>
      </c>
      <c r="C38" s="7">
        <v>2.211042480619195E-2</v>
      </c>
      <c r="D38" s="7">
        <v>1.7815216897690316E-2</v>
      </c>
      <c r="E38" s="7">
        <v>8.7757930564034397E-3</v>
      </c>
      <c r="F38" s="7">
        <v>6.4094881355839645E-4</v>
      </c>
      <c r="G38" s="7">
        <v>6.5830240286443109E-4</v>
      </c>
      <c r="H38" s="7">
        <v>6.6031418259389059E-4</v>
      </c>
      <c r="I38" s="7"/>
      <c r="J38" s="16"/>
    </row>
    <row r="39" spans="1:10" x14ac:dyDescent="0.2">
      <c r="A39" t="s">
        <v>141</v>
      </c>
      <c r="B39" t="s">
        <v>561</v>
      </c>
      <c r="C39" s="17">
        <v>8.1882352941176475E-7</v>
      </c>
      <c r="D39" s="17">
        <v>8.1882352941176475E-7</v>
      </c>
      <c r="E39" s="17">
        <v>8.1882352941176475E-7</v>
      </c>
      <c r="F39" s="17">
        <v>8.1882352941176475E-7</v>
      </c>
      <c r="G39" s="17">
        <v>8.1882352941176475E-7</v>
      </c>
      <c r="H39" s="17">
        <v>8.1882352941176475E-7</v>
      </c>
      <c r="I39" s="7"/>
      <c r="J39" s="16"/>
    </row>
    <row r="40" spans="1:10" x14ac:dyDescent="0.2">
      <c r="A40" t="s">
        <v>141</v>
      </c>
      <c r="B40" t="s">
        <v>562</v>
      </c>
      <c r="C40" s="17">
        <v>7.0588235294117646E-9</v>
      </c>
      <c r="D40" s="17">
        <v>7.0588235294117646E-9</v>
      </c>
      <c r="E40" s="17">
        <v>7.0588235294117646E-9</v>
      </c>
      <c r="F40" s="17">
        <v>7.0588235294117646E-9</v>
      </c>
      <c r="G40" s="17">
        <v>7.0588235294117646E-9</v>
      </c>
      <c r="H40" s="17">
        <v>7.0588235294117646E-9</v>
      </c>
      <c r="I40" s="7"/>
      <c r="J40" s="16"/>
    </row>
    <row r="41" spans="1:10" x14ac:dyDescent="0.2">
      <c r="A41" t="s">
        <v>141</v>
      </c>
      <c r="B41" t="s">
        <v>563</v>
      </c>
      <c r="C41" s="17">
        <v>4.705882352941177E-9</v>
      </c>
      <c r="D41" s="17">
        <v>4.705882352941177E-9</v>
      </c>
      <c r="E41" s="17">
        <v>4.705882352941177E-9</v>
      </c>
      <c r="F41" s="17">
        <v>4.705882352941177E-9</v>
      </c>
      <c r="G41" s="17">
        <v>4.705882352941177E-9</v>
      </c>
      <c r="H41" s="17">
        <v>4.705882352941177E-9</v>
      </c>
      <c r="I41" s="7"/>
      <c r="J41" s="16"/>
    </row>
    <row r="42" spans="1:10" x14ac:dyDescent="0.2">
      <c r="A42" t="s">
        <v>141</v>
      </c>
      <c r="B42" t="s">
        <v>564</v>
      </c>
      <c r="C42" s="17">
        <v>5.082352941176471E-5</v>
      </c>
      <c r="D42" s="17">
        <v>5.082352941176471E-5</v>
      </c>
      <c r="E42" s="17">
        <v>5.082352941176471E-5</v>
      </c>
      <c r="F42" s="17">
        <v>5.082352941176471E-5</v>
      </c>
      <c r="G42" s="17">
        <v>5.082352941176471E-5</v>
      </c>
      <c r="H42" s="17">
        <v>5.082352941176471E-5</v>
      </c>
      <c r="I42" s="7"/>
      <c r="J42" s="16"/>
    </row>
    <row r="43" spans="1:10" x14ac:dyDescent="0.2">
      <c r="A43" t="s">
        <v>141</v>
      </c>
      <c r="B43" t="s">
        <v>522</v>
      </c>
      <c r="C43" s="17">
        <v>9.8823529411764699E-7</v>
      </c>
      <c r="D43" s="17">
        <v>9.8823529411764699E-7</v>
      </c>
      <c r="E43" s="17">
        <v>9.8823529411764699E-7</v>
      </c>
      <c r="F43" s="17">
        <v>9.8823529411764699E-7</v>
      </c>
      <c r="G43" s="17">
        <v>9.8823529411764699E-7</v>
      </c>
      <c r="H43" s="17">
        <v>9.8823529411764699E-7</v>
      </c>
      <c r="I43" s="7"/>
      <c r="J43" s="16"/>
    </row>
    <row r="44" spans="1:10" x14ac:dyDescent="0.2">
      <c r="A44" t="s">
        <v>141</v>
      </c>
      <c r="B44" t="s">
        <v>524</v>
      </c>
      <c r="C44" s="17">
        <v>3.0588235294117647E-7</v>
      </c>
      <c r="D44" s="17">
        <v>3.0588235294117647E-7</v>
      </c>
      <c r="E44" s="17">
        <v>3.0588235294117647E-7</v>
      </c>
      <c r="F44" s="17">
        <v>3.0588235294117647E-7</v>
      </c>
      <c r="G44" s="17">
        <v>3.0588235294117647E-7</v>
      </c>
      <c r="H44" s="17">
        <v>3.0588235294117647E-7</v>
      </c>
      <c r="I44" s="7"/>
    </row>
    <row r="45" spans="1:10" x14ac:dyDescent="0.2">
      <c r="A45" t="s">
        <v>141</v>
      </c>
      <c r="B45" t="s">
        <v>523</v>
      </c>
      <c r="C45" s="17">
        <v>3.7647058823529416E-7</v>
      </c>
      <c r="D45" s="17">
        <v>3.7647058823529416E-7</v>
      </c>
      <c r="E45" s="17">
        <v>3.7647058823529416E-7</v>
      </c>
      <c r="F45" s="17">
        <v>3.7647058823529416E-7</v>
      </c>
      <c r="G45" s="17">
        <v>3.7647058823529416E-7</v>
      </c>
      <c r="H45" s="17">
        <v>3.7647058823529416E-7</v>
      </c>
    </row>
    <row r="46" spans="1:10" x14ac:dyDescent="0.2">
      <c r="A46" t="s">
        <v>141</v>
      </c>
      <c r="B46" t="s">
        <v>567</v>
      </c>
      <c r="C46" s="17">
        <v>7.5294117647058821E-10</v>
      </c>
      <c r="D46" s="17">
        <v>7.5294117647058821E-10</v>
      </c>
      <c r="E46" s="17">
        <v>7.5294117647058821E-10</v>
      </c>
      <c r="F46" s="17">
        <v>7.5294117647058821E-10</v>
      </c>
      <c r="G46" s="17">
        <v>7.5294117647058821E-10</v>
      </c>
      <c r="H46" s="17">
        <v>7.5294117647058821E-10</v>
      </c>
      <c r="I46" s="18"/>
    </row>
    <row r="47" spans="1:10" x14ac:dyDescent="0.2">
      <c r="A47" t="s">
        <v>141</v>
      </c>
      <c r="B47" t="s">
        <v>565</v>
      </c>
      <c r="C47" s="17">
        <v>2.0470588235294119E-7</v>
      </c>
      <c r="D47" s="17">
        <v>2.0470588235294119E-7</v>
      </c>
      <c r="E47" s="17">
        <v>2.0470588235294119E-7</v>
      </c>
      <c r="F47" s="17">
        <v>2.0470588235294119E-7</v>
      </c>
      <c r="G47" s="17">
        <v>2.0470588235294119E-7</v>
      </c>
      <c r="H47" s="17">
        <v>2.0470588235294119E-7</v>
      </c>
      <c r="I47" s="18"/>
    </row>
    <row r="48" spans="1:10" x14ac:dyDescent="0.2">
      <c r="A48" t="s">
        <v>141</v>
      </c>
      <c r="B48" t="s">
        <v>566</v>
      </c>
      <c r="C48" s="17">
        <v>2.5411764705882357E-7</v>
      </c>
      <c r="D48" s="17">
        <v>2.5411764705882357E-7</v>
      </c>
      <c r="E48" s="17">
        <v>2.5411764705882357E-7</v>
      </c>
      <c r="F48" s="17">
        <v>2.5411764705882357E-7</v>
      </c>
      <c r="G48" s="17">
        <v>2.5411764705882357E-7</v>
      </c>
      <c r="H48" s="17">
        <v>2.5411764705882357E-7</v>
      </c>
      <c r="I48" s="18"/>
    </row>
    <row r="49" spans="1:35" x14ac:dyDescent="0.2">
      <c r="A49" t="s">
        <v>142</v>
      </c>
      <c r="B49" t="s">
        <v>57</v>
      </c>
      <c r="C49" s="7">
        <v>2.915195448533793</v>
      </c>
      <c r="D49" s="7">
        <v>3.2299158780310151</v>
      </c>
      <c r="E49" s="7">
        <v>3.5224878702476778</v>
      </c>
      <c r="F49" s="7">
        <v>0.80889745917939671</v>
      </c>
      <c r="G49" s="7">
        <v>9.5150832475643779E-2</v>
      </c>
      <c r="H49" s="7">
        <v>9.5149632903978362E-2</v>
      </c>
      <c r="I49" s="18"/>
    </row>
    <row r="50" spans="1:35" x14ac:dyDescent="0.2">
      <c r="A50" t="s">
        <v>142</v>
      </c>
      <c r="B50" t="s">
        <v>60</v>
      </c>
      <c r="C50" s="7">
        <v>0.10489381378097931</v>
      </c>
      <c r="D50" s="7">
        <v>0.10489381378097931</v>
      </c>
      <c r="E50" s="7">
        <v>3.8860210090666626E-2</v>
      </c>
      <c r="F50" s="7">
        <v>2.686988232543534E-2</v>
      </c>
      <c r="G50" s="7">
        <v>9.2318827679158492E-3</v>
      </c>
      <c r="H50" s="7">
        <v>7.0497830742104438E-3</v>
      </c>
      <c r="I50" s="18"/>
    </row>
    <row r="51" spans="1:35" x14ac:dyDescent="0.2">
      <c r="A51" t="s">
        <v>142</v>
      </c>
      <c r="B51" t="s">
        <v>601</v>
      </c>
      <c r="C51" s="7">
        <v>1.0838177419178909</v>
      </c>
      <c r="D51" s="7">
        <v>0.64320914062177992</v>
      </c>
      <c r="E51" s="7">
        <v>0.82099046851904756</v>
      </c>
      <c r="F51" s="7">
        <v>9.0637972192836605E-2</v>
      </c>
      <c r="G51" s="7">
        <v>2.307364639176256E-2</v>
      </c>
      <c r="H51" s="7">
        <v>2.3066881837462593E-2</v>
      </c>
      <c r="I51" s="18"/>
    </row>
    <row r="52" spans="1:35" x14ac:dyDescent="0.2">
      <c r="A52" t="s">
        <v>142</v>
      </c>
      <c r="B52" t="s">
        <v>62</v>
      </c>
      <c r="C52" s="7">
        <v>8.0330641182335405E-3</v>
      </c>
      <c r="D52" s="7">
        <v>3.1374129927211969E-3</v>
      </c>
      <c r="E52" s="7">
        <v>1.0638578146824082E-2</v>
      </c>
      <c r="F52" s="7">
        <v>4.9486252530670048E-3</v>
      </c>
      <c r="G52" s="7">
        <v>1.4133139635978708E-3</v>
      </c>
      <c r="H52" s="7">
        <v>1.4132961458726764E-3</v>
      </c>
      <c r="I52" s="18"/>
      <c r="AG52" s="16"/>
      <c r="AH52" s="16"/>
      <c r="AI52" s="16"/>
    </row>
    <row r="53" spans="1:35" x14ac:dyDescent="0.2">
      <c r="A53" t="s">
        <v>142</v>
      </c>
      <c r="B53" t="s">
        <v>56</v>
      </c>
      <c r="C53" s="7">
        <v>2.7569509623956653E-2</v>
      </c>
      <c r="D53" s="7">
        <v>2.7569509623956653E-2</v>
      </c>
      <c r="E53" s="7">
        <v>1.0971033713912328E-2</v>
      </c>
      <c r="F53" s="7">
        <v>5.542460283435046E-2</v>
      </c>
      <c r="G53" s="7">
        <v>1.8797075715851683E-2</v>
      </c>
      <c r="H53" s="7">
        <v>1.0741050708632342E-2</v>
      </c>
      <c r="I53" s="18"/>
      <c r="AG53" s="16"/>
      <c r="AH53" s="16"/>
      <c r="AI53" s="16"/>
    </row>
    <row r="54" spans="1:35" x14ac:dyDescent="0.2">
      <c r="A54" t="s">
        <v>142</v>
      </c>
      <c r="B54" t="s">
        <v>59</v>
      </c>
      <c r="C54" s="7">
        <v>1.3987574644320985E-3</v>
      </c>
      <c r="D54" s="7">
        <v>1.3987574644320985E-3</v>
      </c>
      <c r="E54" s="7">
        <v>1.7730963578040135E-3</v>
      </c>
      <c r="F54" s="7">
        <v>1.9794501012268019E-3</v>
      </c>
      <c r="G54" s="7">
        <v>5.6532558543914832E-4</v>
      </c>
      <c r="H54" s="7">
        <v>5.653184583490706E-4</v>
      </c>
      <c r="I54" s="18"/>
      <c r="AG54" s="16"/>
      <c r="AH54" s="16"/>
      <c r="AI54" s="16"/>
    </row>
    <row r="55" spans="1:35" x14ac:dyDescent="0.2">
      <c r="A55" t="s">
        <v>142</v>
      </c>
      <c r="B55" t="s">
        <v>58</v>
      </c>
      <c r="C55" s="7">
        <v>1.3987574644320985E-3</v>
      </c>
      <c r="D55" s="7">
        <v>1.3987574644320985E-3</v>
      </c>
      <c r="E55" s="7">
        <v>1.7730963578040135E-3</v>
      </c>
      <c r="F55" s="7">
        <v>1.9794501012268019E-3</v>
      </c>
      <c r="G55" s="7">
        <v>5.6532558543914832E-4</v>
      </c>
      <c r="H55" s="7">
        <v>5.653184583490706E-4</v>
      </c>
      <c r="I55" s="18"/>
      <c r="AG55" s="16"/>
      <c r="AH55" s="16"/>
      <c r="AI55" s="16"/>
    </row>
    <row r="56" spans="1:35" x14ac:dyDescent="0.2">
      <c r="A56" t="s">
        <v>142</v>
      </c>
      <c r="B56" t="s">
        <v>593</v>
      </c>
      <c r="C56" s="7">
        <v>0.49031914644365387</v>
      </c>
      <c r="D56" s="7">
        <v>0.29098781521729328</v>
      </c>
      <c r="E56" s="7">
        <v>0.37141608795801712</v>
      </c>
      <c r="F56" s="7">
        <v>4.1004618620039283E-2</v>
      </c>
      <c r="G56" s="7">
        <v>1.0438517627633382E-2</v>
      </c>
      <c r="H56" s="7">
        <v>1.0435457343268078E-2</v>
      </c>
      <c r="I56" s="7"/>
      <c r="AG56" s="16"/>
      <c r="AH56" s="16"/>
      <c r="AI56" s="16"/>
    </row>
    <row r="57" spans="1:35" x14ac:dyDescent="0.2">
      <c r="A57" t="s">
        <v>142</v>
      </c>
      <c r="B57" t="s">
        <v>541</v>
      </c>
      <c r="C57" s="7">
        <v>3.457378596718072E-2</v>
      </c>
      <c r="D57" s="7">
        <v>2.0518371585834777E-2</v>
      </c>
      <c r="E57" s="7">
        <v>2.6189595945757614E-2</v>
      </c>
      <c r="F57" s="7">
        <v>2.8913513129514875E-3</v>
      </c>
      <c r="G57" s="7">
        <v>7.3604931989722558E-4</v>
      </c>
      <c r="H57" s="7">
        <v>7.3583353061505664E-4</v>
      </c>
      <c r="AG57" s="16"/>
      <c r="AH57" s="16"/>
      <c r="AI57" s="16"/>
    </row>
    <row r="58" spans="1:35" x14ac:dyDescent="0.2">
      <c r="A58" t="s">
        <v>142</v>
      </c>
      <c r="B58" t="s">
        <v>542</v>
      </c>
      <c r="C58" s="7">
        <v>7.0448153224662909E-3</v>
      </c>
      <c r="D58" s="7">
        <v>4.1808594140415696E-3</v>
      </c>
      <c r="E58" s="7">
        <v>5.3364380453738086E-3</v>
      </c>
      <c r="F58" s="7">
        <v>5.891468192534379E-4</v>
      </c>
      <c r="G58" s="7">
        <v>1.4997870154645664E-4</v>
      </c>
      <c r="H58" s="7">
        <v>1.4993473194350684E-4</v>
      </c>
      <c r="AG58" s="16"/>
      <c r="AH58" s="16"/>
      <c r="AI58" s="16"/>
    </row>
    <row r="59" spans="1:35" x14ac:dyDescent="0.2">
      <c r="A59" t="s">
        <v>142</v>
      </c>
      <c r="B59" t="s">
        <v>543</v>
      </c>
      <c r="C59" s="7">
        <v>5.6792049676497487E-2</v>
      </c>
      <c r="D59" s="7">
        <v>3.3704158968581269E-2</v>
      </c>
      <c r="E59" s="7">
        <v>4.3019900550398095E-2</v>
      </c>
      <c r="F59" s="7">
        <v>4.7494297429046383E-3</v>
      </c>
      <c r="G59" s="7">
        <v>1.2090590709283582E-3</v>
      </c>
      <c r="H59" s="7">
        <v>1.2087046082830399E-3</v>
      </c>
      <c r="I59" s="5"/>
      <c r="AG59" s="16"/>
      <c r="AH59" s="16"/>
      <c r="AI59" s="16"/>
    </row>
    <row r="60" spans="1:35" x14ac:dyDescent="0.2">
      <c r="A60" t="s">
        <v>142</v>
      </c>
      <c r="B60" t="s">
        <v>544</v>
      </c>
      <c r="C60" s="7">
        <v>2.3302081451234653E-2</v>
      </c>
      <c r="D60" s="7">
        <v>1.3828996523368267E-2</v>
      </c>
      <c r="E60" s="7">
        <v>1.7651295073159521E-2</v>
      </c>
      <c r="F60" s="7">
        <v>1.9487164021459869E-3</v>
      </c>
      <c r="G60" s="7">
        <v>4.9608339742289497E-4</v>
      </c>
      <c r="H60" s="7">
        <v>4.959379595054457E-4</v>
      </c>
      <c r="I60" s="5"/>
      <c r="AG60" s="16"/>
      <c r="AH60" s="16"/>
      <c r="AI60" s="16"/>
    </row>
    <row r="61" spans="1:35" x14ac:dyDescent="0.2">
      <c r="A61" t="s">
        <v>142</v>
      </c>
      <c r="B61" t="s">
        <v>545</v>
      </c>
      <c r="C61" s="7">
        <v>1.7449465644878044E-2</v>
      </c>
      <c r="D61" s="7">
        <v>1.0355667164010656E-2</v>
      </c>
      <c r="E61" s="7">
        <v>1.3217946543156665E-2</v>
      </c>
      <c r="F61" s="7">
        <v>1.4592713523046692E-3</v>
      </c>
      <c r="G61" s="7">
        <v>3.7148570690737721E-4</v>
      </c>
      <c r="H61" s="7">
        <v>3.7137679758314772E-4</v>
      </c>
      <c r="I61" s="5"/>
      <c r="AG61" s="16"/>
      <c r="AH61" s="16"/>
      <c r="AI61" s="16"/>
    </row>
    <row r="62" spans="1:35" x14ac:dyDescent="0.2">
      <c r="A62" t="s">
        <v>142</v>
      </c>
      <c r="B62" t="s">
        <v>546</v>
      </c>
      <c r="C62" s="7">
        <v>1.2355522257863957E-2</v>
      </c>
      <c r="D62" s="7">
        <v>7.3325842030882915E-3</v>
      </c>
      <c r="E62" s="7">
        <v>9.359291341117142E-3</v>
      </c>
      <c r="F62" s="7">
        <v>1.0332728829983374E-3</v>
      </c>
      <c r="G62" s="7">
        <v>2.6303956886609319E-4</v>
      </c>
      <c r="H62" s="7">
        <v>2.6296245294707356E-4</v>
      </c>
      <c r="I62" s="5"/>
      <c r="AG62" s="16"/>
      <c r="AH62" s="16"/>
      <c r="AI62" s="16"/>
    </row>
    <row r="63" spans="1:35" x14ac:dyDescent="0.2">
      <c r="A63" t="s">
        <v>142</v>
      </c>
      <c r="B63" t="s">
        <v>547</v>
      </c>
      <c r="C63" s="7">
        <v>8.0202512901923935E-3</v>
      </c>
      <c r="D63" s="7">
        <v>4.7597476406011719E-3</v>
      </c>
      <c r="E63" s="7">
        <v>6.0753294670409519E-3</v>
      </c>
      <c r="F63" s="7">
        <v>6.7072099422699086E-4</v>
      </c>
      <c r="G63" s="7">
        <v>1.7074498329904296E-4</v>
      </c>
      <c r="H63" s="7">
        <v>1.706949255972232E-4</v>
      </c>
      <c r="I63" s="5"/>
      <c r="AG63" s="16"/>
      <c r="AH63" s="16"/>
      <c r="AI63" s="16"/>
    </row>
    <row r="64" spans="1:35" x14ac:dyDescent="0.2">
      <c r="A64" t="s">
        <v>142</v>
      </c>
      <c r="B64" t="s">
        <v>548</v>
      </c>
      <c r="C64" s="7">
        <v>7.9118695160006039E-2</v>
      </c>
      <c r="D64" s="7">
        <v>4.6954267265389933E-2</v>
      </c>
      <c r="E64" s="7">
        <v>5.9932304201890468E-2</v>
      </c>
      <c r="F64" s="7">
        <v>6.6165719700770715E-3</v>
      </c>
      <c r="G64" s="7">
        <v>1.6843761865986667E-3</v>
      </c>
      <c r="H64" s="7">
        <v>1.6838823741347692E-3</v>
      </c>
      <c r="I64" s="5"/>
      <c r="AG64" s="16"/>
      <c r="AH64" s="16"/>
      <c r="AI64" s="16"/>
    </row>
    <row r="65" spans="1:35" x14ac:dyDescent="0.2">
      <c r="A65" t="s">
        <v>142</v>
      </c>
      <c r="B65" t="s">
        <v>549</v>
      </c>
      <c r="C65" s="7">
        <v>4.1401837741263429E-2</v>
      </c>
      <c r="D65" s="7">
        <v>2.4570589171751991E-2</v>
      </c>
      <c r="E65" s="7">
        <v>3.1361835897427616E-2</v>
      </c>
      <c r="F65" s="7">
        <v>3.4623705377663581E-3</v>
      </c>
      <c r="G65" s="7">
        <v>8.8141329216532974E-4</v>
      </c>
      <c r="H65" s="7">
        <v>8.8115488619107103E-4</v>
      </c>
      <c r="I65" s="5"/>
      <c r="AG65" s="16"/>
      <c r="AH65" s="16"/>
      <c r="AI65" s="16"/>
    </row>
    <row r="66" spans="1:35" x14ac:dyDescent="0.2">
      <c r="A66" t="s">
        <v>142</v>
      </c>
      <c r="B66" t="s">
        <v>550</v>
      </c>
      <c r="C66" s="7">
        <v>1.1921995161096801E-3</v>
      </c>
      <c r="D66" s="7">
        <v>7.0753005468395793E-4</v>
      </c>
      <c r="E66" s="7">
        <v>9.0308951537095233E-4</v>
      </c>
      <c r="F66" s="7">
        <v>9.9701769412120265E-5</v>
      </c>
      <c r="G66" s="7">
        <v>2.5381011030938817E-5</v>
      </c>
      <c r="H66" s="7">
        <v>2.5373570021208853E-5</v>
      </c>
      <c r="I66" s="5"/>
      <c r="AG66" s="16"/>
      <c r="AH66" s="16"/>
      <c r="AI66" s="16"/>
    </row>
    <row r="67" spans="1:35" x14ac:dyDescent="0.2">
      <c r="A67" t="s">
        <v>142</v>
      </c>
      <c r="B67" t="s">
        <v>55</v>
      </c>
      <c r="C67" s="7">
        <v>6.0802175321593675E-2</v>
      </c>
      <c r="D67" s="7">
        <v>3.6084032788881851E-2</v>
      </c>
      <c r="E67" s="7">
        <v>4.6057565283918564E-2</v>
      </c>
      <c r="F67" s="7">
        <v>5.0847902400181335E-3</v>
      </c>
      <c r="G67" s="7">
        <v>1.2944315625778794E-3</v>
      </c>
      <c r="H67" s="7">
        <v>1.2940520710816514E-3</v>
      </c>
      <c r="I67" s="5"/>
      <c r="AG67" s="16"/>
      <c r="AH67" s="16"/>
      <c r="AI67" s="16"/>
    </row>
    <row r="68" spans="1:35" x14ac:dyDescent="0.2">
      <c r="A68" t="s">
        <v>142</v>
      </c>
      <c r="B68" t="s">
        <v>551</v>
      </c>
      <c r="C68" s="7">
        <v>0.11900318806258442</v>
      </c>
      <c r="D68" s="7">
        <v>7.0624363640271429E-2</v>
      </c>
      <c r="E68" s="7">
        <v>9.0144753443391415E-2</v>
      </c>
      <c r="F68" s="7">
        <v>9.9520493467734582E-3</v>
      </c>
      <c r="G68" s="7">
        <v>2.533486373815529E-3</v>
      </c>
      <c r="H68" s="7">
        <v>2.5327436257533927E-3</v>
      </c>
      <c r="I68" s="5"/>
      <c r="AG68" s="16"/>
      <c r="AH68" s="16"/>
      <c r="AI68" s="16"/>
    </row>
    <row r="69" spans="1:35" x14ac:dyDescent="0.2">
      <c r="A69" t="s">
        <v>142</v>
      </c>
      <c r="B69" t="s">
        <v>552</v>
      </c>
      <c r="C69" s="7">
        <v>5.8851303386141481E-2</v>
      </c>
      <c r="D69" s="7">
        <v>3.492625633576265E-2</v>
      </c>
      <c r="E69" s="7">
        <v>4.4579782440584283E-2</v>
      </c>
      <c r="F69" s="7">
        <v>4.9216418900710273E-3</v>
      </c>
      <c r="G69" s="7">
        <v>1.2528989990727071E-3</v>
      </c>
      <c r="H69" s="7">
        <v>1.2525316837742188E-3</v>
      </c>
      <c r="I69" s="5"/>
      <c r="AG69" s="16"/>
      <c r="AH69" s="16"/>
      <c r="AI69" s="16"/>
    </row>
    <row r="70" spans="1:35" x14ac:dyDescent="0.2">
      <c r="A70" t="s">
        <v>142</v>
      </c>
      <c r="B70" t="s">
        <v>553</v>
      </c>
      <c r="C70" s="7">
        <v>2.4494280967344333E-2</v>
      </c>
      <c r="D70" s="7">
        <v>1.4536526578052225E-2</v>
      </c>
      <c r="E70" s="7">
        <v>1.8554384588530475E-2</v>
      </c>
      <c r="F70" s="7">
        <v>2.0484181715581073E-3</v>
      </c>
      <c r="G70" s="7">
        <v>5.2146440845383382E-4</v>
      </c>
      <c r="H70" s="7">
        <v>5.2131152952665462E-4</v>
      </c>
      <c r="I70" s="5"/>
      <c r="AG70" s="16"/>
      <c r="AH70" s="16"/>
      <c r="AI70" s="16"/>
    </row>
    <row r="71" spans="1:35" x14ac:dyDescent="0.2">
      <c r="A71" t="s">
        <v>142</v>
      </c>
      <c r="B71" t="s">
        <v>554</v>
      </c>
      <c r="C71" s="7">
        <v>1.8424901612604148E-2</v>
      </c>
      <c r="D71" s="7">
        <v>1.0934555390570259E-2</v>
      </c>
      <c r="E71" s="7">
        <v>1.3956837964823809E-2</v>
      </c>
      <c r="F71" s="7">
        <v>1.5408455272782225E-3</v>
      </c>
      <c r="G71" s="7">
        <v>3.9225198865996356E-4</v>
      </c>
      <c r="H71" s="7">
        <v>3.9213699123686409E-4</v>
      </c>
      <c r="AG71" s="16"/>
      <c r="AH71" s="16"/>
      <c r="AI71" s="16"/>
    </row>
    <row r="72" spans="1:35" x14ac:dyDescent="0.2">
      <c r="A72" t="s">
        <v>142</v>
      </c>
      <c r="B72" t="s">
        <v>555</v>
      </c>
      <c r="C72" s="7">
        <v>8.1286330643841817E-3</v>
      </c>
      <c r="D72" s="7">
        <v>4.824068554663349E-3</v>
      </c>
      <c r="E72" s="7">
        <v>6.1574285138928566E-3</v>
      </c>
      <c r="F72" s="7">
        <v>6.7978479144627452E-4</v>
      </c>
      <c r="G72" s="7">
        <v>1.7305234793821918E-4</v>
      </c>
      <c r="H72" s="7">
        <v>1.7300161378096946E-4</v>
      </c>
      <c r="I72" s="4"/>
      <c r="L72" s="16"/>
      <c r="M72" s="16"/>
      <c r="N72" s="16"/>
      <c r="AG72" s="16"/>
      <c r="AH72" s="16"/>
      <c r="AI72" s="16"/>
    </row>
    <row r="73" spans="1:35" x14ac:dyDescent="0.2">
      <c r="A73" t="s">
        <v>142</v>
      </c>
      <c r="B73" t="s">
        <v>556</v>
      </c>
      <c r="C73" s="7">
        <v>2.3843990322193601E-3</v>
      </c>
      <c r="D73" s="7">
        <v>1.4150601093679159E-3</v>
      </c>
      <c r="E73" s="7">
        <v>1.8061790307419047E-3</v>
      </c>
      <c r="F73" s="7">
        <v>1.9940353882424053E-4</v>
      </c>
      <c r="G73" s="7">
        <v>5.0762022061877634E-5</v>
      </c>
      <c r="H73" s="7">
        <v>5.0747140042417706E-5</v>
      </c>
      <c r="I73" s="4"/>
      <c r="L73" s="16"/>
      <c r="M73" s="16"/>
      <c r="N73" s="16"/>
      <c r="AG73" s="16"/>
      <c r="AH73" s="16"/>
      <c r="AI73" s="16"/>
    </row>
    <row r="74" spans="1:35" x14ac:dyDescent="0.2">
      <c r="A74" t="s">
        <v>142</v>
      </c>
      <c r="B74" t="s">
        <v>557</v>
      </c>
      <c r="C74" s="7">
        <v>6.6112882256991355E-3</v>
      </c>
      <c r="D74" s="7">
        <v>3.9235757577928574E-3</v>
      </c>
      <c r="E74" s="7">
        <v>5.0080418579661907E-3</v>
      </c>
      <c r="F74" s="7">
        <v>5.5289163037630336E-4</v>
      </c>
      <c r="G74" s="7">
        <v>1.4074924298975163E-4</v>
      </c>
      <c r="H74" s="7">
        <v>1.4070797920852184E-4</v>
      </c>
      <c r="I74" s="4"/>
      <c r="L74" s="16"/>
      <c r="M74" s="16"/>
      <c r="N74" s="16"/>
    </row>
    <row r="75" spans="1:35" x14ac:dyDescent="0.2">
      <c r="A75" t="s">
        <v>142</v>
      </c>
      <c r="B75" t="s">
        <v>594</v>
      </c>
      <c r="C75" s="7">
        <v>5.419088709589455E-4</v>
      </c>
      <c r="D75" s="7">
        <v>3.2160457031088995E-4</v>
      </c>
      <c r="E75" s="7">
        <v>4.1049523425952381E-4</v>
      </c>
      <c r="F75" s="7">
        <v>4.5318986096418302E-5</v>
      </c>
      <c r="G75" s="7">
        <v>1.1536823195881281E-5</v>
      </c>
      <c r="H75" s="7">
        <v>1.1533440918731296E-5</v>
      </c>
      <c r="I75" s="4"/>
      <c r="L75" s="16"/>
      <c r="M75" s="16"/>
      <c r="N75" s="16"/>
    </row>
    <row r="76" spans="1:35" x14ac:dyDescent="0.2">
      <c r="A76" t="s">
        <v>142</v>
      </c>
      <c r="B76" t="s">
        <v>558</v>
      </c>
      <c r="C76" s="7">
        <v>2.0592537096439929E-3</v>
      </c>
      <c r="D76" s="7">
        <v>1.2220973671813818E-3</v>
      </c>
      <c r="E76" s="7">
        <v>1.5598818901861903E-3</v>
      </c>
      <c r="F76" s="7">
        <v>1.7221214716638955E-4</v>
      </c>
      <c r="G76" s="7">
        <v>4.3839928144348865E-5</v>
      </c>
      <c r="H76" s="7">
        <v>4.3827075491178927E-5</v>
      </c>
      <c r="I76" s="4"/>
      <c r="L76" s="16"/>
      <c r="M76" s="16"/>
      <c r="N76" s="16"/>
    </row>
    <row r="77" spans="1:35" x14ac:dyDescent="0.2">
      <c r="A77" t="s">
        <v>142</v>
      </c>
      <c r="B77" t="s">
        <v>559</v>
      </c>
      <c r="C77" s="7">
        <v>1.0946559193370698E-2</v>
      </c>
      <c r="D77" s="7">
        <v>6.496412320279977E-3</v>
      </c>
      <c r="E77" s="7">
        <v>8.2920037320423808E-3</v>
      </c>
      <c r="F77" s="7">
        <v>9.1544351914764972E-4</v>
      </c>
      <c r="G77" s="7">
        <v>2.3304382855680183E-4</v>
      </c>
      <c r="H77" s="7">
        <v>2.3297550655837219E-4</v>
      </c>
      <c r="I77" s="4"/>
      <c r="L77" s="16"/>
      <c r="M77" s="16"/>
      <c r="N77" s="16"/>
    </row>
    <row r="78" spans="1:35" x14ac:dyDescent="0.2">
      <c r="A78" t="s">
        <v>142</v>
      </c>
      <c r="B78" t="s">
        <v>561</v>
      </c>
      <c r="C78" s="17">
        <v>8.1882352941176475E-7</v>
      </c>
      <c r="D78" s="17">
        <v>8.1882352941176475E-7</v>
      </c>
      <c r="E78" s="17">
        <v>8.1882352941176475E-7</v>
      </c>
      <c r="F78" s="17">
        <v>8.1882352941176475E-7</v>
      </c>
      <c r="G78" s="17">
        <v>8.1882352941176475E-7</v>
      </c>
      <c r="H78" s="17">
        <v>8.1882352941176475E-7</v>
      </c>
      <c r="I78" s="4"/>
      <c r="L78" s="16"/>
      <c r="M78" s="16"/>
      <c r="N78" s="16"/>
    </row>
    <row r="79" spans="1:35" x14ac:dyDescent="0.2">
      <c r="A79" t="s">
        <v>142</v>
      </c>
      <c r="B79" t="s">
        <v>562</v>
      </c>
      <c r="C79" s="17">
        <v>7.0588235294117646E-9</v>
      </c>
      <c r="D79" s="17">
        <v>7.0588235294117646E-9</v>
      </c>
      <c r="E79" s="17">
        <v>7.0588235294117646E-9</v>
      </c>
      <c r="F79" s="17">
        <v>7.0588235294117646E-9</v>
      </c>
      <c r="G79" s="17">
        <v>7.0588235294117646E-9</v>
      </c>
      <c r="H79" s="17">
        <v>7.0588235294117646E-9</v>
      </c>
      <c r="I79" s="4"/>
      <c r="L79" s="16"/>
      <c r="M79" s="16"/>
      <c r="N79" s="16"/>
    </row>
    <row r="80" spans="1:35" x14ac:dyDescent="0.2">
      <c r="A80" t="s">
        <v>142</v>
      </c>
      <c r="B80" t="s">
        <v>563</v>
      </c>
      <c r="C80" s="17">
        <v>4.705882352941177E-9</v>
      </c>
      <c r="D80" s="17">
        <v>4.705882352941177E-9</v>
      </c>
      <c r="E80" s="17">
        <v>4.705882352941177E-9</v>
      </c>
      <c r="F80" s="17">
        <v>4.705882352941177E-9</v>
      </c>
      <c r="G80" s="17">
        <v>4.705882352941177E-9</v>
      </c>
      <c r="H80" s="17">
        <v>4.705882352941177E-9</v>
      </c>
      <c r="I80" s="4"/>
      <c r="L80" s="16"/>
      <c r="M80" s="16"/>
      <c r="N80" s="16"/>
    </row>
    <row r="81" spans="1:14" x14ac:dyDescent="0.2">
      <c r="A81" t="s">
        <v>142</v>
      </c>
      <c r="B81" t="s">
        <v>564</v>
      </c>
      <c r="C81" s="17">
        <v>5.082352941176471E-5</v>
      </c>
      <c r="D81" s="17">
        <v>5.082352941176471E-5</v>
      </c>
      <c r="E81" s="17">
        <v>5.082352941176471E-5</v>
      </c>
      <c r="F81" s="17">
        <v>5.082352941176471E-5</v>
      </c>
      <c r="G81" s="17">
        <v>5.082352941176471E-5</v>
      </c>
      <c r="H81" s="17">
        <v>5.082352941176471E-5</v>
      </c>
      <c r="I81" s="4"/>
      <c r="L81" s="16"/>
      <c r="M81" s="16"/>
      <c r="N81" s="16"/>
    </row>
    <row r="82" spans="1:14" x14ac:dyDescent="0.2">
      <c r="A82" t="s">
        <v>142</v>
      </c>
      <c r="B82" t="s">
        <v>522</v>
      </c>
      <c r="C82" s="17">
        <v>9.8823529411764699E-7</v>
      </c>
      <c r="D82" s="17">
        <v>9.8823529411764699E-7</v>
      </c>
      <c r="E82" s="17">
        <v>9.8823529411764699E-7</v>
      </c>
      <c r="F82" s="17">
        <v>9.8823529411764699E-7</v>
      </c>
      <c r="G82" s="17">
        <v>9.8823529411764699E-7</v>
      </c>
      <c r="H82" s="17">
        <v>9.8823529411764699E-7</v>
      </c>
      <c r="I82" s="4"/>
      <c r="L82" s="16"/>
      <c r="M82" s="16"/>
      <c r="N82" s="16"/>
    </row>
    <row r="83" spans="1:14" x14ac:dyDescent="0.2">
      <c r="A83" t="s">
        <v>142</v>
      </c>
      <c r="B83" t="s">
        <v>524</v>
      </c>
      <c r="C83" s="17">
        <v>3.0588235294117647E-7</v>
      </c>
      <c r="D83" s="17">
        <v>3.0588235294117647E-7</v>
      </c>
      <c r="E83" s="17">
        <v>3.0588235294117647E-7</v>
      </c>
      <c r="F83" s="17">
        <v>3.0588235294117647E-7</v>
      </c>
      <c r="G83" s="17">
        <v>3.0588235294117647E-7</v>
      </c>
      <c r="H83" s="17">
        <v>3.0588235294117647E-7</v>
      </c>
      <c r="I83" s="4"/>
      <c r="L83" s="16"/>
      <c r="M83" s="16"/>
      <c r="N83" s="16"/>
    </row>
    <row r="84" spans="1:14" x14ac:dyDescent="0.2">
      <c r="A84" t="s">
        <v>142</v>
      </c>
      <c r="B84" t="s">
        <v>523</v>
      </c>
      <c r="C84" s="17">
        <v>3.7647058823529416E-7</v>
      </c>
      <c r="D84" s="17">
        <v>3.7647058823529416E-7</v>
      </c>
      <c r="E84" s="17">
        <v>3.7647058823529416E-7</v>
      </c>
      <c r="F84" s="17">
        <v>3.7647058823529416E-7</v>
      </c>
      <c r="G84" s="17">
        <v>3.7647058823529416E-7</v>
      </c>
      <c r="H84" s="17">
        <v>3.7647058823529416E-7</v>
      </c>
      <c r="I84" s="4"/>
      <c r="L84" s="16"/>
      <c r="M84" s="16"/>
      <c r="N84" s="16"/>
    </row>
    <row r="85" spans="1:14" x14ac:dyDescent="0.2">
      <c r="A85" t="s">
        <v>142</v>
      </c>
      <c r="B85" t="s">
        <v>567</v>
      </c>
      <c r="C85" s="17">
        <v>7.5294117647058821E-10</v>
      </c>
      <c r="D85" s="17">
        <v>7.5294117647058821E-10</v>
      </c>
      <c r="E85" s="17">
        <v>7.5294117647058821E-10</v>
      </c>
      <c r="F85" s="17">
        <v>7.5294117647058821E-10</v>
      </c>
      <c r="G85" s="17">
        <v>7.5294117647058821E-10</v>
      </c>
      <c r="H85" s="17">
        <v>7.5294117647058821E-10</v>
      </c>
      <c r="I85" s="4"/>
      <c r="L85" s="16"/>
      <c r="M85" s="16"/>
      <c r="N85" s="16"/>
    </row>
    <row r="86" spans="1:14" x14ac:dyDescent="0.2">
      <c r="A86" t="s">
        <v>142</v>
      </c>
      <c r="B86" t="s">
        <v>565</v>
      </c>
      <c r="C86" s="17">
        <v>2.0470588235294119E-7</v>
      </c>
      <c r="D86" s="17">
        <v>2.0470588235294119E-7</v>
      </c>
      <c r="E86" s="17">
        <v>2.0470588235294119E-7</v>
      </c>
      <c r="F86" s="17">
        <v>2.0470588235294119E-7</v>
      </c>
      <c r="G86" s="17">
        <v>2.0470588235294119E-7</v>
      </c>
      <c r="H86" s="17">
        <v>2.0470588235294119E-7</v>
      </c>
      <c r="I86" s="4"/>
      <c r="L86" s="16"/>
      <c r="M86" s="16"/>
      <c r="N86" s="16"/>
    </row>
    <row r="87" spans="1:14" x14ac:dyDescent="0.2">
      <c r="A87" t="s">
        <v>142</v>
      </c>
      <c r="B87" t="s">
        <v>566</v>
      </c>
      <c r="C87" s="17">
        <v>2.5411764705882357E-7</v>
      </c>
      <c r="D87" s="17">
        <v>2.5411764705882357E-7</v>
      </c>
      <c r="E87" s="17">
        <v>2.5411764705882357E-7</v>
      </c>
      <c r="F87" s="17">
        <v>2.5411764705882357E-7</v>
      </c>
      <c r="G87" s="17">
        <v>2.5411764705882357E-7</v>
      </c>
      <c r="H87" s="17">
        <v>2.5411764705882357E-7</v>
      </c>
      <c r="I87" s="4"/>
      <c r="L87" s="16"/>
      <c r="M87" s="16"/>
      <c r="N87" s="16"/>
    </row>
    <row r="88" spans="1:14" x14ac:dyDescent="0.2">
      <c r="A88" t="s">
        <v>143</v>
      </c>
      <c r="B88" t="s">
        <v>57</v>
      </c>
      <c r="C88" s="7">
        <v>2.915195448533793</v>
      </c>
      <c r="D88" s="7">
        <v>3.2299158780310151</v>
      </c>
      <c r="E88" s="7">
        <v>1.4585926343621791</v>
      </c>
      <c r="F88" s="7">
        <v>0.708341892150957</v>
      </c>
      <c r="G88" s="7">
        <v>8.3455151885463486E-2</v>
      </c>
      <c r="H88" s="7">
        <v>8.3454099761872666E-2</v>
      </c>
      <c r="I88" s="4"/>
      <c r="L88" s="16"/>
      <c r="M88" s="16"/>
      <c r="N88" s="16"/>
    </row>
    <row r="89" spans="1:14" x14ac:dyDescent="0.2">
      <c r="A89" t="s">
        <v>143</v>
      </c>
      <c r="B89" t="s">
        <v>60</v>
      </c>
      <c r="C89" s="7">
        <v>0.10489381378097931</v>
      </c>
      <c r="D89" s="7">
        <v>0.10489381378097931</v>
      </c>
      <c r="E89" s="7">
        <v>2.6143425239245593E-2</v>
      </c>
      <c r="F89" s="7">
        <v>1.821059018432937E-2</v>
      </c>
      <c r="G89" s="7">
        <v>6.1620141012972453E-3</v>
      </c>
      <c r="H89" s="7">
        <v>4.7581662322556638E-3</v>
      </c>
      <c r="I89" s="4"/>
      <c r="L89" s="16"/>
      <c r="M89" s="16"/>
      <c r="N89" s="16"/>
    </row>
    <row r="90" spans="1:14" x14ac:dyDescent="0.2">
      <c r="A90" t="s">
        <v>143</v>
      </c>
      <c r="B90" t="s">
        <v>601</v>
      </c>
      <c r="C90" s="7">
        <v>1.0838177419178909</v>
      </c>
      <c r="D90" s="7">
        <v>0.64320914062177992</v>
      </c>
      <c r="E90" s="7">
        <v>0.48292296293835996</v>
      </c>
      <c r="F90" s="7">
        <v>5.3220185225018736E-2</v>
      </c>
      <c r="G90" s="7">
        <v>1.3588965977336222E-2</v>
      </c>
      <c r="H90" s="7">
        <v>1.3583175766044535E-2</v>
      </c>
      <c r="I90" s="4"/>
      <c r="L90" s="16"/>
      <c r="M90" s="16"/>
      <c r="N90" s="16"/>
    </row>
    <row r="91" spans="1:14" x14ac:dyDescent="0.2">
      <c r="A91" t="s">
        <v>143</v>
      </c>
      <c r="B91" t="s">
        <v>62</v>
      </c>
      <c r="C91" s="7">
        <v>8.0330641182335405E-3</v>
      </c>
      <c r="D91" s="7">
        <v>3.1374129927211969E-3</v>
      </c>
      <c r="E91" s="7">
        <v>1.0638578146824082E-2</v>
      </c>
      <c r="F91" s="7">
        <v>4.9486252530670048E-3</v>
      </c>
      <c r="G91" s="7">
        <v>1.4133139635978708E-3</v>
      </c>
      <c r="H91" s="7">
        <v>1.4132961458726764E-3</v>
      </c>
      <c r="I91" s="4"/>
      <c r="L91" s="16"/>
      <c r="M91" s="16"/>
      <c r="N91" s="16"/>
    </row>
    <row r="92" spans="1:14" x14ac:dyDescent="0.2">
      <c r="A92" t="s">
        <v>143</v>
      </c>
      <c r="B92" t="s">
        <v>56</v>
      </c>
      <c r="C92" s="7">
        <v>2.7569509623956653E-2</v>
      </c>
      <c r="D92" s="7">
        <v>2.7569509623956653E-2</v>
      </c>
      <c r="E92" s="7">
        <v>1.0971033713912328E-2</v>
      </c>
      <c r="F92" s="7">
        <v>5.542460283435046E-2</v>
      </c>
      <c r="G92" s="7">
        <v>1.8797075715851683E-2</v>
      </c>
      <c r="H92" s="7">
        <v>1.0741050708632342E-2</v>
      </c>
      <c r="I92" s="4"/>
      <c r="L92" s="16"/>
      <c r="M92" s="16"/>
      <c r="N92" s="16"/>
    </row>
    <row r="93" spans="1:14" x14ac:dyDescent="0.2">
      <c r="A93" t="s">
        <v>143</v>
      </c>
      <c r="B93" t="s">
        <v>59</v>
      </c>
      <c r="C93" s="7">
        <v>1.3987574644320985E-3</v>
      </c>
      <c r="D93" s="7">
        <v>1.3987574644320985E-3</v>
      </c>
      <c r="E93" s="7">
        <v>1.7730963578040135E-3</v>
      </c>
      <c r="F93" s="7">
        <v>1.9794501012268019E-3</v>
      </c>
      <c r="G93" s="7">
        <v>5.6532558543914832E-4</v>
      </c>
      <c r="H93" s="7">
        <v>5.653184583490706E-4</v>
      </c>
      <c r="I93" s="4"/>
      <c r="L93" s="16"/>
      <c r="M93" s="16"/>
      <c r="N93" s="16"/>
    </row>
    <row r="94" spans="1:14" x14ac:dyDescent="0.2">
      <c r="A94" t="s">
        <v>143</v>
      </c>
      <c r="B94" t="s">
        <v>58</v>
      </c>
      <c r="C94" s="7">
        <v>1.3987574644320985E-3</v>
      </c>
      <c r="D94" s="7">
        <v>1.3987574644320985E-3</v>
      </c>
      <c r="E94" s="7">
        <v>1.7730963578040135E-3</v>
      </c>
      <c r="F94" s="7">
        <v>1.9794501012268019E-3</v>
      </c>
      <c r="G94" s="7">
        <v>5.6532558543914832E-4</v>
      </c>
      <c r="H94" s="7">
        <v>5.653184583490706E-4</v>
      </c>
    </row>
    <row r="95" spans="1:14" x14ac:dyDescent="0.2">
      <c r="A95" t="s">
        <v>143</v>
      </c>
      <c r="B95" t="s">
        <v>593</v>
      </c>
      <c r="C95" s="7">
        <v>0.49031914644365387</v>
      </c>
      <c r="D95" s="7">
        <v>0.29098781521729328</v>
      </c>
      <c r="E95" s="7">
        <v>0.21847434843331406</v>
      </c>
      <c r="F95" s="7">
        <v>2.4076811795798476E-2</v>
      </c>
      <c r="G95" s="7">
        <v>6.1476482081469072E-3</v>
      </c>
      <c r="H95" s="7">
        <v>6.145028716558548E-3</v>
      </c>
    </row>
    <row r="96" spans="1:14" x14ac:dyDescent="0.2">
      <c r="A96" t="s">
        <v>143</v>
      </c>
      <c r="B96" t="s">
        <v>541</v>
      </c>
      <c r="C96" s="7">
        <v>3.457378596718072E-2</v>
      </c>
      <c r="D96" s="7">
        <v>2.0518371585834777E-2</v>
      </c>
      <c r="E96" s="7">
        <v>1.5405242517733682E-2</v>
      </c>
      <c r="F96" s="7">
        <v>1.6977239086780976E-3</v>
      </c>
      <c r="G96" s="7">
        <v>4.3348801467702543E-4</v>
      </c>
      <c r="H96" s="7">
        <v>4.3330330693682064E-4</v>
      </c>
    </row>
    <row r="97" spans="1:14" x14ac:dyDescent="0.2">
      <c r="A97" t="s">
        <v>143</v>
      </c>
      <c r="B97" t="s">
        <v>542</v>
      </c>
      <c r="C97" s="7">
        <v>7.0448153224662909E-3</v>
      </c>
      <c r="D97" s="7">
        <v>4.1808594140415696E-3</v>
      </c>
      <c r="E97" s="7">
        <v>3.1389992590993396E-3</v>
      </c>
      <c r="F97" s="7">
        <v>3.4593120396262175E-4</v>
      </c>
      <c r="G97" s="7">
        <v>8.8328278852685434E-5</v>
      </c>
      <c r="H97" s="7">
        <v>8.8290642479289466E-5</v>
      </c>
    </row>
    <row r="98" spans="1:14" x14ac:dyDescent="0.2">
      <c r="A98" t="s">
        <v>143</v>
      </c>
      <c r="B98" t="s">
        <v>543</v>
      </c>
      <c r="C98" s="7">
        <v>5.6792049676497487E-2</v>
      </c>
      <c r="D98" s="7">
        <v>3.3704158968581269E-2</v>
      </c>
      <c r="E98" s="7">
        <v>2.5305163257970064E-2</v>
      </c>
      <c r="F98" s="7">
        <v>2.788737705790982E-3</v>
      </c>
      <c r="G98" s="7">
        <v>7.1206181721241801E-4</v>
      </c>
      <c r="H98" s="7">
        <v>7.117584101407336E-4</v>
      </c>
    </row>
    <row r="99" spans="1:14" x14ac:dyDescent="0.2">
      <c r="A99" t="s">
        <v>143</v>
      </c>
      <c r="B99" t="s">
        <v>544</v>
      </c>
      <c r="C99" s="7">
        <v>2.3302081451234653E-2</v>
      </c>
      <c r="D99" s="7">
        <v>1.3828996523368267E-2</v>
      </c>
      <c r="E99" s="7">
        <v>1.0382843703174738E-2</v>
      </c>
      <c r="F99" s="7">
        <v>1.1442339823379028E-3</v>
      </c>
      <c r="G99" s="7">
        <v>2.9216276851272877E-4</v>
      </c>
      <c r="H99" s="7">
        <v>2.9203827896995748E-4</v>
      </c>
    </row>
    <row r="100" spans="1:14" x14ac:dyDescent="0.2">
      <c r="A100" t="s">
        <v>143</v>
      </c>
      <c r="B100" t="s">
        <v>545</v>
      </c>
      <c r="C100" s="7">
        <v>1.7449465644878044E-2</v>
      </c>
      <c r="D100" s="7">
        <v>1.0355667164010656E-2</v>
      </c>
      <c r="E100" s="7">
        <v>7.7750597033075953E-3</v>
      </c>
      <c r="F100" s="7">
        <v>8.5684498212280165E-4</v>
      </c>
      <c r="G100" s="7">
        <v>2.1878235223511317E-4</v>
      </c>
      <c r="H100" s="7">
        <v>2.18689129833317E-4</v>
      </c>
    </row>
    <row r="101" spans="1:14" x14ac:dyDescent="0.2">
      <c r="A101" t="s">
        <v>143</v>
      </c>
      <c r="B101" t="s">
        <v>546</v>
      </c>
      <c r="C101" s="7">
        <v>1.2355522257863957E-2</v>
      </c>
      <c r="D101" s="7">
        <v>7.3325842030882915E-3</v>
      </c>
      <c r="E101" s="7">
        <v>5.505321777497304E-3</v>
      </c>
      <c r="F101" s="7">
        <v>6.0671011156521366E-4</v>
      </c>
      <c r="G101" s="7">
        <v>1.5491421214163293E-4</v>
      </c>
      <c r="H101" s="7">
        <v>1.5484820373290771E-4</v>
      </c>
    </row>
    <row r="102" spans="1:14" x14ac:dyDescent="0.2">
      <c r="A102" t="s">
        <v>143</v>
      </c>
      <c r="B102" t="s">
        <v>547</v>
      </c>
      <c r="C102" s="7">
        <v>8.0202512901923935E-3</v>
      </c>
      <c r="D102" s="7">
        <v>4.7597476406011719E-3</v>
      </c>
      <c r="E102" s="7">
        <v>3.573629925743864E-3</v>
      </c>
      <c r="F102" s="7">
        <v>3.9382937066513866E-4</v>
      </c>
      <c r="G102" s="7">
        <v>1.0055834823228805E-4</v>
      </c>
      <c r="H102" s="7">
        <v>1.0051550066872956E-4</v>
      </c>
    </row>
    <row r="103" spans="1:14" x14ac:dyDescent="0.2">
      <c r="A103" t="s">
        <v>143</v>
      </c>
      <c r="B103" t="s">
        <v>548</v>
      </c>
      <c r="C103" s="7">
        <v>7.9118695160006039E-2</v>
      </c>
      <c r="D103" s="7">
        <v>4.6954267265389933E-2</v>
      </c>
      <c r="E103" s="7">
        <v>3.5253376294500274E-2</v>
      </c>
      <c r="F103" s="7">
        <v>3.8850735214263675E-3</v>
      </c>
      <c r="G103" s="7">
        <v>9.9199451634554418E-4</v>
      </c>
      <c r="H103" s="7">
        <v>9.9157183092125098E-4</v>
      </c>
    </row>
    <row r="104" spans="1:14" x14ac:dyDescent="0.2">
      <c r="A104" t="s">
        <v>143</v>
      </c>
      <c r="B104" t="s">
        <v>549</v>
      </c>
      <c r="C104" s="7">
        <v>4.1401837741263429E-2</v>
      </c>
      <c r="D104" s="7">
        <v>2.4570589171751991E-2</v>
      </c>
      <c r="E104" s="7">
        <v>1.8447657184245351E-2</v>
      </c>
      <c r="F104" s="7">
        <v>2.0330110755957154E-3</v>
      </c>
      <c r="G104" s="7">
        <v>5.1909850033424361E-4</v>
      </c>
      <c r="H104" s="7">
        <v>5.1887731426290124E-4</v>
      </c>
    </row>
    <row r="105" spans="1:14" x14ac:dyDescent="0.2">
      <c r="A105" t="s">
        <v>143</v>
      </c>
      <c r="B105" t="s">
        <v>550</v>
      </c>
      <c r="C105" s="7">
        <v>1.1921995161096801E-3</v>
      </c>
      <c r="D105" s="7">
        <v>7.0753005468395793E-4</v>
      </c>
      <c r="E105" s="7">
        <v>5.3121525923219596E-4</v>
      </c>
      <c r="F105" s="7">
        <v>5.8542203747520615E-5</v>
      </c>
      <c r="G105" s="7">
        <v>1.4947862575069845E-5</v>
      </c>
      <c r="H105" s="7">
        <v>1.494149334264899E-5</v>
      </c>
    </row>
    <row r="106" spans="1:14" x14ac:dyDescent="0.2">
      <c r="A106" t="s">
        <v>143</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143</v>
      </c>
      <c r="B107" t="s">
        <v>551</v>
      </c>
      <c r="C107" s="7">
        <v>0.11900318806258442</v>
      </c>
      <c r="D107" s="7">
        <v>7.0624363640271429E-2</v>
      </c>
      <c r="E107" s="7">
        <v>5.3024941330631924E-2</v>
      </c>
      <c r="F107" s="7">
        <v>5.8435763377070573E-3</v>
      </c>
      <c r="G107" s="7">
        <v>1.492068464311517E-3</v>
      </c>
      <c r="H107" s="7">
        <v>1.4914326991116898E-3</v>
      </c>
    </row>
    <row r="108" spans="1:14" x14ac:dyDescent="0.2">
      <c r="A108" t="s">
        <v>143</v>
      </c>
      <c r="B108" t="s">
        <v>552</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143</v>
      </c>
      <c r="B109" t="s">
        <v>553</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143</v>
      </c>
      <c r="B110" t="s">
        <v>554</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143</v>
      </c>
      <c r="B111" t="s">
        <v>555</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143</v>
      </c>
      <c r="B112" t="s">
        <v>556</v>
      </c>
      <c r="C112" s="7">
        <v>2.3843990322193601E-3</v>
      </c>
      <c r="D112" s="7">
        <v>1.4150601093679159E-3</v>
      </c>
      <c r="E112" s="7">
        <v>1.0624305184643919E-3</v>
      </c>
      <c r="F112" s="7">
        <v>1.1708440749504123E-4</v>
      </c>
      <c r="G112" s="7">
        <v>2.9895725150139691E-5</v>
      </c>
      <c r="H112" s="7">
        <v>2.9882986685297979E-5</v>
      </c>
    </row>
    <row r="113" spans="1:13" x14ac:dyDescent="0.2">
      <c r="A113" t="s">
        <v>143</v>
      </c>
      <c r="B113" t="s">
        <v>557</v>
      </c>
      <c r="C113" s="7">
        <v>6.6112882256991355E-3</v>
      </c>
      <c r="D113" s="7">
        <v>3.9235757577928574E-3</v>
      </c>
      <c r="E113" s="7">
        <v>2.9458300739239958E-3</v>
      </c>
      <c r="F113" s="7">
        <v>3.2464312987261429E-4</v>
      </c>
      <c r="G113" s="7">
        <v>8.2892692461750963E-5</v>
      </c>
      <c r="H113" s="7">
        <v>8.285737217287166E-5</v>
      </c>
    </row>
    <row r="114" spans="1:13" x14ac:dyDescent="0.2">
      <c r="A114" t="s">
        <v>143</v>
      </c>
      <c r="B114" t="s">
        <v>594</v>
      </c>
      <c r="C114" s="7">
        <v>5.419088709589455E-4</v>
      </c>
      <c r="D114" s="7">
        <v>3.2160457031088995E-4</v>
      </c>
      <c r="E114" s="7">
        <v>2.4146148146917998E-4</v>
      </c>
      <c r="F114" s="7">
        <v>2.6610092612509368E-5</v>
      </c>
      <c r="G114" s="7">
        <v>6.7944829886681113E-6</v>
      </c>
      <c r="H114" s="7">
        <v>6.7915878830222673E-6</v>
      </c>
    </row>
    <row r="115" spans="1:13" x14ac:dyDescent="0.2">
      <c r="A115" t="s">
        <v>143</v>
      </c>
      <c r="B115" t="s">
        <v>558</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143</v>
      </c>
      <c r="B116" t="s">
        <v>559</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143</v>
      </c>
      <c r="B117" t="s">
        <v>561</v>
      </c>
      <c r="C117" s="17">
        <v>8.1882352941176475E-7</v>
      </c>
      <c r="D117" s="17">
        <v>8.1882352941176475E-7</v>
      </c>
      <c r="E117" s="17">
        <v>8.1882352941176475E-7</v>
      </c>
      <c r="F117" s="17">
        <v>8.1882352941176475E-7</v>
      </c>
      <c r="G117" s="17">
        <v>8.1882352941176475E-7</v>
      </c>
      <c r="H117" s="17">
        <v>8.1882352941176475E-7</v>
      </c>
      <c r="I117" s="5"/>
      <c r="L117" s="6"/>
      <c r="M117" s="6"/>
    </row>
    <row r="118" spans="1:13" x14ac:dyDescent="0.2">
      <c r="A118" t="s">
        <v>143</v>
      </c>
      <c r="B118" t="s">
        <v>562</v>
      </c>
      <c r="C118" s="17">
        <v>7.0588235294117646E-9</v>
      </c>
      <c r="D118" s="17">
        <v>7.0588235294117646E-9</v>
      </c>
      <c r="E118" s="17">
        <v>7.0588235294117646E-9</v>
      </c>
      <c r="F118" s="17">
        <v>7.0588235294117646E-9</v>
      </c>
      <c r="G118" s="17">
        <v>7.0588235294117646E-9</v>
      </c>
      <c r="H118" s="17">
        <v>7.0588235294117646E-9</v>
      </c>
      <c r="I118" s="4"/>
      <c r="L118" s="6"/>
      <c r="M118" s="6"/>
    </row>
    <row r="119" spans="1:13" x14ac:dyDescent="0.2">
      <c r="A119" t="s">
        <v>143</v>
      </c>
      <c r="B119" t="s">
        <v>563</v>
      </c>
      <c r="C119" s="17">
        <v>4.705882352941177E-9</v>
      </c>
      <c r="D119" s="17">
        <v>4.705882352941177E-9</v>
      </c>
      <c r="E119" s="17">
        <v>4.705882352941177E-9</v>
      </c>
      <c r="F119" s="17">
        <v>4.705882352941177E-9</v>
      </c>
      <c r="G119" s="17">
        <v>4.705882352941177E-9</v>
      </c>
      <c r="H119" s="17">
        <v>4.705882352941177E-9</v>
      </c>
    </row>
    <row r="120" spans="1:13" x14ac:dyDescent="0.2">
      <c r="A120" t="s">
        <v>143</v>
      </c>
      <c r="B120" t="s">
        <v>564</v>
      </c>
      <c r="C120" s="17">
        <v>5.082352941176471E-5</v>
      </c>
      <c r="D120" s="17">
        <v>5.082352941176471E-5</v>
      </c>
      <c r="E120" s="17">
        <v>5.082352941176471E-5</v>
      </c>
      <c r="F120" s="17">
        <v>5.082352941176471E-5</v>
      </c>
      <c r="G120" s="17">
        <v>5.082352941176471E-5</v>
      </c>
      <c r="H120" s="17">
        <v>5.082352941176471E-5</v>
      </c>
    </row>
    <row r="121" spans="1:13" x14ac:dyDescent="0.2">
      <c r="A121" t="s">
        <v>143</v>
      </c>
      <c r="B121" t="s">
        <v>522</v>
      </c>
      <c r="C121" s="17">
        <v>9.8823529411764699E-7</v>
      </c>
      <c r="D121" s="17">
        <v>9.8823529411764699E-7</v>
      </c>
      <c r="E121" s="17">
        <v>9.8823529411764699E-7</v>
      </c>
      <c r="F121" s="17">
        <v>9.8823529411764699E-7</v>
      </c>
      <c r="G121" s="17">
        <v>9.8823529411764699E-7</v>
      </c>
      <c r="H121" s="17">
        <v>9.8823529411764699E-7</v>
      </c>
    </row>
    <row r="122" spans="1:13" x14ac:dyDescent="0.2">
      <c r="A122" t="s">
        <v>143</v>
      </c>
      <c r="B122" t="s">
        <v>524</v>
      </c>
      <c r="C122" s="17">
        <v>3.0588235294117647E-7</v>
      </c>
      <c r="D122" s="17">
        <v>3.0588235294117647E-7</v>
      </c>
      <c r="E122" s="17">
        <v>3.0588235294117647E-7</v>
      </c>
      <c r="F122" s="17">
        <v>3.0588235294117647E-7</v>
      </c>
      <c r="G122" s="17">
        <v>3.0588235294117647E-7</v>
      </c>
      <c r="H122" s="17">
        <v>3.0588235294117647E-7</v>
      </c>
      <c r="I122" s="5"/>
      <c r="L122" s="6"/>
      <c r="M122" s="6"/>
    </row>
    <row r="123" spans="1:13" x14ac:dyDescent="0.2">
      <c r="A123" t="s">
        <v>143</v>
      </c>
      <c r="B123" t="s">
        <v>523</v>
      </c>
      <c r="C123" s="17">
        <v>3.7647058823529416E-7</v>
      </c>
      <c r="D123" s="17">
        <v>3.7647058823529416E-7</v>
      </c>
      <c r="E123" s="17">
        <v>3.7647058823529416E-7</v>
      </c>
      <c r="F123" s="17">
        <v>3.7647058823529416E-7</v>
      </c>
      <c r="G123" s="17">
        <v>3.7647058823529416E-7</v>
      </c>
      <c r="H123" s="17">
        <v>3.7647058823529416E-7</v>
      </c>
      <c r="I123" s="5"/>
      <c r="L123" s="6"/>
      <c r="M123" s="6"/>
    </row>
    <row r="124" spans="1:13" x14ac:dyDescent="0.2">
      <c r="A124" t="s">
        <v>143</v>
      </c>
      <c r="B124" t="s">
        <v>567</v>
      </c>
      <c r="C124" s="17">
        <v>7.5294117647058821E-10</v>
      </c>
      <c r="D124" s="17">
        <v>7.5294117647058821E-10</v>
      </c>
      <c r="E124" s="17">
        <v>7.5294117647058821E-10</v>
      </c>
      <c r="F124" s="17">
        <v>7.5294117647058821E-10</v>
      </c>
      <c r="G124" s="17">
        <v>7.5294117647058821E-10</v>
      </c>
      <c r="H124" s="17">
        <v>7.5294117647058821E-10</v>
      </c>
      <c r="I124" s="5"/>
      <c r="L124" s="6"/>
      <c r="M124" s="6"/>
    </row>
    <row r="125" spans="1:13" x14ac:dyDescent="0.2">
      <c r="A125" t="s">
        <v>143</v>
      </c>
      <c r="B125" t="s">
        <v>565</v>
      </c>
      <c r="C125" s="17">
        <v>2.0470588235294119E-7</v>
      </c>
      <c r="D125" s="17">
        <v>2.0470588235294119E-7</v>
      </c>
      <c r="E125" s="17">
        <v>2.0470588235294119E-7</v>
      </c>
      <c r="F125" s="17">
        <v>2.0470588235294119E-7</v>
      </c>
      <c r="G125" s="17">
        <v>2.0470588235294119E-7</v>
      </c>
      <c r="H125" s="17">
        <v>2.0470588235294119E-7</v>
      </c>
      <c r="I125" s="4"/>
      <c r="L125" s="6"/>
      <c r="M125" s="4"/>
    </row>
    <row r="126" spans="1:13" x14ac:dyDescent="0.2">
      <c r="A126" t="s">
        <v>143</v>
      </c>
      <c r="B126" t="s">
        <v>566</v>
      </c>
      <c r="C126" s="17">
        <v>2.5411764705882357E-7</v>
      </c>
      <c r="D126" s="17">
        <v>2.5411764705882357E-7</v>
      </c>
      <c r="E126" s="17">
        <v>2.5411764705882357E-7</v>
      </c>
      <c r="F126" s="17">
        <v>2.5411764705882357E-7</v>
      </c>
      <c r="G126" s="17">
        <v>2.5411764705882357E-7</v>
      </c>
      <c r="H126" s="17">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9"/>
  <sheetViews>
    <sheetView topLeftCell="A195" workbookViewId="0">
      <selection activeCell="B226" sqref="B226"/>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tr">
        <f>B5&amp;", "&amp;B20&amp;" battery, "&amp;B7</f>
        <v>Kick Scooter, electric, &lt;1kW, NMC battery, 2020</v>
      </c>
    </row>
    <row r="4" spans="1:2" x14ac:dyDescent="0.2">
      <c r="A4" t="s">
        <v>72</v>
      </c>
      <c r="B4" t="s">
        <v>37</v>
      </c>
    </row>
    <row r="5" spans="1:2" x14ac:dyDescent="0.2">
      <c r="A5" t="s">
        <v>86</v>
      </c>
      <c r="B5" t="s">
        <v>618</v>
      </c>
    </row>
    <row r="6" spans="1:2" x14ac:dyDescent="0.2">
      <c r="A6" t="s">
        <v>87</v>
      </c>
    </row>
    <row r="7" spans="1:2" x14ac:dyDescent="0.2">
      <c r="A7" t="s">
        <v>88</v>
      </c>
      <c r="B7">
        <v>2020</v>
      </c>
    </row>
    <row r="8" spans="1:2" x14ac:dyDescent="0.2">
      <c r="A8" t="s">
        <v>126</v>
      </c>
      <c r="B8" t="str">
        <f>B5&amp;" - "&amp;B7&amp;" - "&amp;B20&amp;" - "&amp;B4</f>
        <v>Kick Scooter, electric, &lt;1kW - 2020 - NMC - CH</v>
      </c>
    </row>
    <row r="9" spans="1:2" x14ac:dyDescent="0.2">
      <c r="A9" t="s">
        <v>73</v>
      </c>
      <c r="B9" t="str">
        <f>B5</f>
        <v>Kick Scooter, electric, &lt;1kW</v>
      </c>
    </row>
    <row r="10" spans="1:2" x14ac:dyDescent="0.2">
      <c r="A10" t="s">
        <v>74</v>
      </c>
      <c r="B10" t="s">
        <v>75</v>
      </c>
    </row>
    <row r="11" spans="1:2" x14ac:dyDescent="0.2">
      <c r="A11" t="s">
        <v>76</v>
      </c>
      <c r="B11" t="s">
        <v>76</v>
      </c>
    </row>
    <row r="12" spans="1:2" x14ac:dyDescent="0.2">
      <c r="A12" t="s">
        <v>78</v>
      </c>
      <c r="B12" t="s">
        <v>1143</v>
      </c>
    </row>
    <row r="13" spans="1:2" x14ac:dyDescent="0.2">
      <c r="A13" t="s">
        <v>127</v>
      </c>
      <c r="B13">
        <f>INDEX('vehicles specifications'!$B$3:$CW$166,MATCH('lci-kick scooter - NMC'!B8,'vehicles specifications'!$A$3:$A$166,0),MATCH("Lifetime [km]",'vehicles specifications'!$B$2:$CW$2,0))</f>
        <v>1785</v>
      </c>
    </row>
    <row r="14" spans="1:2" x14ac:dyDescent="0.2">
      <c r="A14" t="s">
        <v>128</v>
      </c>
      <c r="B14">
        <f>INDEX('vehicles specifications'!$B$3:$CW$166,MATCH('lci-kick scooter - NMC'!B8,'vehicles specifications'!$A$3:$A$166,0),MATCH("Passengers [unit]",'vehicles specifications'!$B$2:$CW$2,0))</f>
        <v>1</v>
      </c>
    </row>
    <row r="15" spans="1:2" x14ac:dyDescent="0.2">
      <c r="A15" t="s">
        <v>129</v>
      </c>
      <c r="B15">
        <f>INDEX('vehicles specifications'!$B$3:$CW$166,MATCH('lci-kick scooter - NMC'!B8,'vehicles specifications'!$A$3:$A$166,0),MATCH("Servicing [unit]",'vehicles specifications'!$B$2:$CW$2,0))</f>
        <v>0</v>
      </c>
    </row>
    <row r="16" spans="1:2" x14ac:dyDescent="0.2">
      <c r="A16" t="s">
        <v>130</v>
      </c>
      <c r="B16">
        <f>INDEX('vehicles specifications'!$B$3:$CW$166,MATCH('lci-kick scooter - NMC'!B8,'vehicles specifications'!$A$3:$A$166,0),MATCH("Energy battery replacement [unit]",'vehicles specifications'!$B$2:$CW$2,0))</f>
        <v>0</v>
      </c>
    </row>
    <row r="17" spans="1:2" x14ac:dyDescent="0.2">
      <c r="A17" t="s">
        <v>131</v>
      </c>
      <c r="B17">
        <f>INDEX('vehicles specifications'!$B$3:$CW$166,MATCH('lci-kick scooter - NMC'!B8,'vehicles specifications'!$A$3:$A$166,0),MATCH("Annual kilometers [km]",'vehicles specifications'!$B$2:$CW$2,0))</f>
        <v>890</v>
      </c>
    </row>
    <row r="18" spans="1:2" x14ac:dyDescent="0.2">
      <c r="A18" t="s">
        <v>132</v>
      </c>
      <c r="B18">
        <f>INDEX('vehicles specifications'!$B$3:$CW$166,MATCH('lci-kick scooter - NMC'!B8,'vehicles specifications'!$A$3:$A$166,0),MATCH("Curb mass [kg]",'vehicles specifications'!$B$2:$CW$2,0))</f>
        <v>11.625</v>
      </c>
    </row>
    <row r="19" spans="1:2" x14ac:dyDescent="0.2">
      <c r="A19" t="s">
        <v>133</v>
      </c>
      <c r="B19">
        <f>INDEX('vehicles specifications'!$B$3:$CW$166,MATCH('lci-kick scooter - NMC'!B8,'vehicles specifications'!$A$3:$A$166,0),MATCH("Power [kW]",'vehicles specifications'!$B$2:$CW$2,0))</f>
        <v>0.25</v>
      </c>
    </row>
    <row r="20" spans="1:2" x14ac:dyDescent="0.2">
      <c r="A20" t="s">
        <v>652</v>
      </c>
      <c r="B20" s="20" t="s">
        <v>43</v>
      </c>
    </row>
    <row r="21" spans="1:2" x14ac:dyDescent="0.2">
      <c r="A21" t="s">
        <v>134</v>
      </c>
      <c r="B21">
        <f>INDEX('vehicles specifications'!$B$3:$CW$166,MATCH('lci-kick scooter - NMC'!B8,'vehicles specifications'!$A$3:$A$166,0),MATCH("Energy battery mass [kg]",'vehicles specifications'!$B$2:$CW$2,0))</f>
        <v>1.625</v>
      </c>
    </row>
    <row r="22" spans="1:2" x14ac:dyDescent="0.2">
      <c r="A22" t="s">
        <v>135</v>
      </c>
      <c r="B22">
        <f>INDEX('vehicles specifications'!$B$3:$CW$166,MATCH('lci-kick scooter - NMC'!B8,'vehicles specifications'!$A$3:$A$166,0),MATCH("Electric energy stored [kWh]",'vehicles specifications'!$B$2:$CW$2,0))</f>
        <v>0.25</v>
      </c>
    </row>
    <row r="23" spans="1:2" x14ac:dyDescent="0.2">
      <c r="A23" t="s">
        <v>588</v>
      </c>
      <c r="B23">
        <f>INDEX('vehicles specifications'!$B$3:$CW$166,MATCH('lci-kick scooter - NMC'!B8,'vehicles specifications'!$A$3:$A$166,0),MATCH("Electric energy available [kWh]",'vehicles specifications'!$B$2:$CW$2,0))</f>
        <v>0.2</v>
      </c>
    </row>
    <row r="24" spans="1:2" x14ac:dyDescent="0.2">
      <c r="A24" t="s">
        <v>138</v>
      </c>
      <c r="B24">
        <f>INDEX('vehicles specifications'!$B$3:$CW$166,MATCH('lci-kick scooter - NMC'!B8,'vehicles specifications'!$A$3:$A$166,0),MATCH("Oxydation energy stored [kWh]",'vehicles specifications'!$B$2:$CW$2,0))</f>
        <v>0</v>
      </c>
    </row>
    <row r="25" spans="1:2" x14ac:dyDescent="0.2">
      <c r="A25" t="s">
        <v>139</v>
      </c>
      <c r="B25">
        <f>INDEX('vehicles specifications'!$B$3:$CW$166,MATCH('lci-kick scooter - NMC'!B8,'vehicles specifications'!$A$3:$A$166,0),MATCH("Fuel mass [kg]",'vehicles specifications'!$B$2:$CW$2,0))</f>
        <v>0</v>
      </c>
    </row>
    <row r="26" spans="1:2" x14ac:dyDescent="0.2">
      <c r="A26" t="s">
        <v>136</v>
      </c>
      <c r="B26">
        <f>INDEX('vehicles specifications'!$B$3:$CW$166,MATCH('lci-kick scooter - NMC'!B8,'vehicles specifications'!$A$3:$A$166,0),MATCH("Range [km]",'vehicles specifications'!$B$2:$CW$2,0))</f>
        <v>8.3598130841121492</v>
      </c>
    </row>
    <row r="27" spans="1:2" x14ac:dyDescent="0.2">
      <c r="A27" t="s">
        <v>137</v>
      </c>
      <c r="B27" t="str">
        <f>INDEX('vehicles specifications'!$B$3:$CW$166,MATCH('lci-kick scooter - NMC'!B8,'vehicles specifications'!$A$3:$A$166,0),MATCH("Emission standard",'vehicles specifications'!$B$2:$CW$2,0))</f>
        <v>None</v>
      </c>
    </row>
    <row r="28" spans="1:2" x14ac:dyDescent="0.2">
      <c r="A28" t="s">
        <v>1174</v>
      </c>
      <c r="B28" s="6">
        <f>INDEX('vehicles specifications'!$B$3:$CW$166,MATCH('lci-kick scooter - NMC'!B8,'vehicles specifications'!$A$3:$A$166,0),MATCH("Lightweighting rate [%]",'vehicles specifications'!$B$2:$CW$2,0))</f>
        <v>0</v>
      </c>
    </row>
    <row r="29" spans="1:2" x14ac:dyDescent="0.2">
      <c r="A29" t="s">
        <v>485</v>
      </c>
      <c r="B29" s="6" t="s">
        <v>486</v>
      </c>
    </row>
    <row r="30" spans="1:2" x14ac:dyDescent="0.2">
      <c r="A30" t="s">
        <v>487</v>
      </c>
      <c r="B30" s="2">
        <v>15900</v>
      </c>
    </row>
    <row r="31" spans="1:2" x14ac:dyDescent="0.2">
      <c r="A31" t="s">
        <v>488</v>
      </c>
      <c r="B31" s="2">
        <v>1000</v>
      </c>
    </row>
    <row r="32" spans="1:2" x14ac:dyDescent="0.2">
      <c r="A32" t="s">
        <v>83</v>
      </c>
      <c r="B32" t="str">
        <f>"Power: "&amp;B19&amp;" kW. Lifetime: "&amp;B13&amp;" km. Annual kilometers: "&amp;ROUND(B17,0)&amp;" km. Number of passengers: "&amp;ROUND(B14,1)&amp;". Curb mass: "&amp;ROUND(B18,1)&amp;" kg. Lightweighting of glider: "&amp;ROUND(B28*100,0)&amp;"%. Emission standard: "&amp;B27&amp;". Service visits throughout lifetime: "&amp;ROUND(B15,1)&amp;". Range: "&amp;ROUND(B26,0)&amp;" km. Battery capacity: "&amp;ROUND(B22,1)&amp;" kWh. Available battery capacity: "&amp;B23&amp;" kWh. Battery mass: "&amp;ROUND(B21,1)&amp; " kg. Battery replacement throughout lifetime: "&amp;ROUND(B16,1)&amp;". Fuel tank capacity: "&amp;ROUND(B24,1)&amp;" kWh. Fuel mass: "&amp;ROUND(B25,1)&amp;" kg. Origin of manufacture: "&amp;B29&amp;". Shipping distance: "&amp;B30&amp;" km. Lorry distribution distance: "&amp;B31&amp;" km. Documentation: "&amp;Readmefirst!$B$2&amp;", "&amp;Readmefirst!$B$3&amp;". "&amp;'lci-kick scooter - NMC'!B12</f>
        <v>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tr">
        <f>B3</f>
        <v>Kick Scooter, electric, &lt;1kW, NMC battery, 2020</v>
      </c>
      <c r="B35">
        <v>1</v>
      </c>
      <c r="C35" t="str">
        <f>B4</f>
        <v>CH</v>
      </c>
      <c r="D35" t="str">
        <f>B11</f>
        <v>unit</v>
      </c>
      <c r="F35" t="s">
        <v>84</v>
      </c>
      <c r="G35" t="s">
        <v>85</v>
      </c>
      <c r="H35" t="str">
        <f>B9</f>
        <v>Kick Scooter, electric, &lt;1kW</v>
      </c>
    </row>
    <row r="36" spans="1:8" x14ac:dyDescent="0.2">
      <c r="A36" t="str">
        <f>INDEX('ei names mapping'!$B$4:$R$33,MATCH('lci-kick scooter - NMC'!$B$5,'ei names mapping'!$A$4:$A$33,0),MATCH('lci-kick scooter - NMC'!$G36,'ei names mapping'!$B$3:$R$3,0))</f>
        <v>bicycle production</v>
      </c>
      <c r="B36" s="4">
        <f>INDEX('vehicles specifications'!$B$3:$CW$166,MATCH(B8,'vehicles specifications'!$A$3:$A$166,0),MATCH(G36,'vehicles specifications'!$B$2:$CW$2,0))*INDEX('ei names mapping'!$B$137:$BL$300,MATCH(B8,'ei names mapping'!$A$137:$A$300,0),MATCH(G36,'ei names mapping'!$B$136:$BL$136,0))</f>
        <v>0.41176470588235292</v>
      </c>
      <c r="C36" t="str">
        <f>INDEX('ei names mapping'!$B$38:$R$67,MATCH('lci-kick scooter - NMC'!$B$5,'ei names mapping'!$A$4:$A$33,0),MATCH('lci-kick scooter - NMC'!$G36,'ei names mapping'!$B$3:$R$3,0))</f>
        <v>RER</v>
      </c>
      <c r="D36" t="str">
        <f>INDEX('ei names mapping'!$B$104:$R$133,MATCH('lci-kick scooter - NMC'!$B$5,'ei names mapping'!$A$4:$A$33,0),MATCH('lci-kick scooter - NMC'!$G36,'ei names mapping'!$B$3:$R$3,0))</f>
        <v>unit</v>
      </c>
      <c r="F36" t="s">
        <v>89</v>
      </c>
      <c r="G36" t="s">
        <v>15</v>
      </c>
      <c r="H36" t="str">
        <f>INDEX('ei names mapping'!$B$71:$R$100,MATCH('lci-kick scooter - NMC'!$B$5,'ei names mapping'!$A$4:$A$33,0),MATCH('lci-kick scooter - NMC'!$G36,'ei names mapping'!$B$3:$R$3,0))</f>
        <v>bicycle</v>
      </c>
    </row>
    <row r="37" spans="1:8" x14ac:dyDescent="0.2">
      <c r="A37" t="str">
        <f>INDEX('ei names mapping'!$B$4:$R$33,MATCH('lci-kick scooter - NMC'!$B$5,'ei names mapping'!$A$4:$A$33,0),MATCH('lci-kick scooter - NMC'!$G37,'ei names mapping'!$B$3:$R$3,0))</f>
        <v>market for electric motor, vehicle</v>
      </c>
      <c r="B37" s="4">
        <f>INDEX('vehicles specifications'!$B$3:$CW$166,MATCH(B8,'vehicles specifications'!$A$3:$A$166,0),MATCH(G37,'vehicles specifications'!$B$2:$CW$2,0))*INDEX('ei names mapping'!$B$137:$BL$300,MATCH(B8,'ei names mapping'!$A$137:$A$300,0),MATCH(G37,'ei names mapping'!$B$136:$BL$136,0))</f>
        <v>3</v>
      </c>
      <c r="C37" t="str">
        <f>INDEX('ei names mapping'!$B$38:$R$67,MATCH('lci-kick scooter - NMC'!$B$5,'ei names mapping'!$A$4:$A$33,0),MATCH('lci-kick scooter - NMC'!$G37,'ei names mapping'!$B$3:$R$3,0))</f>
        <v>GLO</v>
      </c>
      <c r="D37" t="str">
        <f>INDEX('ei names mapping'!$B$104:$R$133,MATCH('lci-kick scooter - NMC'!$B$5,'ei names mapping'!$A$4:$A$33,0),MATCH('lci-kick scooter - NMC'!$G37,'ei names mapping'!$B$3:$R$3,0))</f>
        <v>kilogram</v>
      </c>
      <c r="F37" t="s">
        <v>89</v>
      </c>
      <c r="G37" t="s">
        <v>501</v>
      </c>
      <c r="H37" t="str">
        <f>INDEX('ei names mapping'!$B$71:$R$100,MATCH('lci-kick scooter - NMC'!$B$5,'ei names mapping'!$A$4:$A$33,0),MATCH('lci-kick scooter - NMC'!$G37,'ei names mapping'!$B$3:$R$3,0))</f>
        <v>electric motor, vehicle</v>
      </c>
    </row>
    <row r="38" spans="1:8" x14ac:dyDescent="0.2">
      <c r="A38" t="str">
        <f>INDEX('ei names mapping'!$B$4:$R$33,MATCH(B5,'ei names mapping'!$A$4:$A$33,0),MATCH(G38,'ei names mapping'!$B$3:$R$3,0))</f>
        <v>Glider lightweighting</v>
      </c>
      <c r="B38" s="11">
        <f>INDEX('vehicles specifications'!$B$3:$CW$166,MATCH(B8,'vehicles specifications'!$A$3:$A$166,0),MATCH(G38,'vehicles specifications'!$B$2:$CW$2,0))*INDEX('ei names mapping'!$B$137:$BL$300,MATCH(B8,'ei names mapping'!$A$137:$A$300,0),MATCH(G38,'ei names mapping'!$B$136:$BL$136,0))</f>
        <v>0</v>
      </c>
      <c r="C38" t="str">
        <f>INDEX('ei names mapping'!$B$38:$R$67,MATCH(B5,'ei names mapping'!$A$4:$A$33,0),MATCH(G38,'ei names mapping'!$B$3:$R$3,0))</f>
        <v>GLO</v>
      </c>
      <c r="D38" t="str">
        <f>INDEX('ei names mapping'!$B$104:$R$133,MATCH(B5,'ei names mapping'!$A$4:$A$33,0),MATCH(G38,'ei names mapping'!$B$3:$R$3,0))</f>
        <v>kilogram</v>
      </c>
      <c r="F38" t="s">
        <v>89</v>
      </c>
      <c r="G38" t="s">
        <v>14</v>
      </c>
      <c r="H38" t="str">
        <f>INDEX('ei names mapping'!$B$71:$R$100,MATCH(B5,'ei names mapping'!$A$4:$A$33,0),MATCH(G38,'ei names mapping'!$B$3:$R$3,0))</f>
        <v>Glider lightweighting</v>
      </c>
    </row>
    <row r="39" spans="1:8" x14ac:dyDescent="0.2">
      <c r="A39" t="str">
        <f>INDEX('ei names mapping'!$B$4:$R$33,MATCH('lci-kick scooter - NMC'!$B$5,'ei names mapping'!$A$4:$A$33,0),MATCH('lci-kick scooter - NMC'!$G39,'ei names mapping'!$B$3:$R$3,0))</f>
        <v>Battery cell, NMC-622</v>
      </c>
      <c r="B39" s="4">
        <f>INDEX('vehicles specifications'!$B$3:$CW$166,MATCH(B8,'vehicles specifications'!$A$3:$A$166,0),MATCH(G39,'vehicles specifications'!$B$2:$CW$2,0))*INDEX('ei names mapping'!$B$137:$BL$300,MATCH(B8,'ei names mapping'!$A$137:$A$300,0),MATCH(G39,'ei names mapping'!$B$136:$BL$136,0))</f>
        <v>1.25</v>
      </c>
      <c r="C39" t="str">
        <f>INDEX('ei names mapping'!$B$38:$R$67,MATCH('lci-kick scooter - NMC'!$B$5,'ei names mapping'!$A$4:$A$33,0),MATCH('lci-kick scooter - NMC'!$G39,'ei names mapping'!$B$3:$R$3,0))</f>
        <v>GLO</v>
      </c>
      <c r="D39" t="str">
        <f>INDEX('ei names mapping'!$B$104:$R$133,MATCH('lci-kick scooter - NMC'!$B$5,'ei names mapping'!$A$4:$A$33,0),MATCH('lci-kick scooter - NMC'!$G39,'ei names mapping'!$B$3:$R$3,0))</f>
        <v>kilogram</v>
      </c>
      <c r="F39" t="s">
        <v>89</v>
      </c>
      <c r="G39" t="s">
        <v>19</v>
      </c>
      <c r="H39" t="str">
        <f>INDEX('ei names mapping'!$B$71:$R$100,MATCH('lci-kick scooter - NMC'!$B$5,'ei names mapping'!$A$4:$A$33,0),MATCH('lci-kick scooter - NMC'!$G39,'ei names mapping'!$B$3:$R$3,0))</f>
        <v>Battery cell</v>
      </c>
    </row>
    <row r="40" spans="1:8" x14ac:dyDescent="0.2">
      <c r="A40" t="str">
        <f>INDEX('ei names mapping'!$B$4:$R$33,MATCH('lci-kick scooter - NMC'!$B$5,'ei names mapping'!$A$4:$A$33,0),MATCH('lci-kick scooter - NMC'!$G40,'ei names mapping'!$B$3:$R$3,0))</f>
        <v>Battery BoP</v>
      </c>
      <c r="B40" s="4">
        <f>INDEX('vehicles specifications'!$B$3:$CW$166,MATCH(B8,'vehicles specifications'!$A$3:$A$166,0),MATCH(G40,'vehicles specifications'!$B$2:$CW$2,0))*INDEX('ei names mapping'!$B$137:$BL$300,MATCH(B8,'ei names mapping'!$A$137:$A$300,0),MATCH(G40,'ei names mapping'!$B$136:$BL$136,0))</f>
        <v>0.375</v>
      </c>
      <c r="C40" t="str">
        <f>INDEX('ei names mapping'!$B$38:$R$67,MATCH('lci-kick scooter - NMC'!$B$5,'ei names mapping'!$A$4:$A$33,0),MATCH('lci-kick scooter - NMC'!$G40,'ei names mapping'!$B$3:$R$3,0))</f>
        <v>GLO</v>
      </c>
      <c r="D40" t="str">
        <f>INDEX('ei names mapping'!$B$104:$R$133,MATCH('lci-kick scooter - NMC'!$B$5,'ei names mapping'!$A$4:$A$33,0),MATCH('lci-kick scooter - NMC'!$G40,'ei names mapping'!$B$3:$R$3,0))</f>
        <v>kilogram</v>
      </c>
      <c r="F40" t="s">
        <v>89</v>
      </c>
      <c r="G40" t="s">
        <v>20</v>
      </c>
      <c r="H40" t="str">
        <f>INDEX('ei names mapping'!$B$71:$R$100,MATCH('lci-kick scooter - NMC'!$B$5,'ei names mapping'!$A$4:$A$33,0),MATCH('lci-kick scooter - NMC'!$G40,'ei names mapping'!$B$3:$R$3,0))</f>
        <v>Battery BoP</v>
      </c>
    </row>
    <row r="41" spans="1:8" x14ac:dyDescent="0.2">
      <c r="A41" t="str">
        <f>INDEX('ei names mapping'!$B$4:$R$33,MATCH('lci-kick scooter - NMC'!$B$5,'ei names mapping'!$A$4:$A$33,0),MATCH('lci-kick scooter - NMC'!$G41,'ei names mapping'!$B$3:$R$3,0))</f>
        <v>charging station, 100W</v>
      </c>
      <c r="B41" s="4">
        <f>INDEX('vehicles specifications'!$B$3:$CW$166,MATCH(B8,'vehicles specifications'!$A$3:$A$166,0),MATCH(G41,'vehicles specifications'!$B$2:$CW$2,0))*INDEX('ei names mapping'!$B$137:$BL$300,MATCH(B8,'ei names mapping'!$A$137:$A$300,0),MATCH(G41,'ei names mapping'!$B$136:$BL$136,0))</f>
        <v>1</v>
      </c>
      <c r="C41" t="str">
        <f>INDEX('ei names mapping'!$B$38:$R$67,MATCH('lci-kick scooter - NMC'!$B$5,'ei names mapping'!$A$4:$A$33,0),MATCH('lci-kick scooter - NMC'!$G41,'ei names mapping'!$B$3:$R$3,0))</f>
        <v>GLO</v>
      </c>
      <c r="D41" t="str">
        <f>INDEX('ei names mapping'!$B$104:$R$133,MATCH('lci-kick scooter - NMC'!$B$5,'ei names mapping'!$A$4:$A$33,0),MATCH('lci-kick scooter - NMC'!$G41,'ei names mapping'!$B$3:$R$3,0))</f>
        <v>unit</v>
      </c>
      <c r="F41" t="s">
        <v>89</v>
      </c>
      <c r="G41" t="s">
        <v>52</v>
      </c>
      <c r="H41" t="str">
        <f>INDEX('ei names mapping'!$B$71:$R$100,MATCH('lci-kick scooter - NMC'!$B$5,'ei names mapping'!$A$4:$A$33,0),MATCH('lci-kick scooter - NMC'!$G41,'ei names mapping'!$B$3:$R$3,0))</f>
        <v>charging station, 100W</v>
      </c>
    </row>
    <row r="42" spans="1:8" x14ac:dyDescent="0.2">
      <c r="A42" t="str">
        <f>INDEX('ei names mapping'!$B$4:$R$33,MATCH('lci-kick scooter - NMC'!$B$5,'ei names mapping'!$A$4:$A$33,0),MATCH('lci-kick scooter - NMC'!$G42,'ei names mapping'!$B$3:$R$3,0))</f>
        <v>treatment of used electric bicycle</v>
      </c>
      <c r="B42" s="4">
        <f>INDEX('vehicles specifications'!$B$3:$CW$166,MATCH(B8,'vehicles specifications'!$A$3:$A$166,0),MATCH(G42,'vehicles specifications'!$B$2:$CW$2,0))*INDEX('ei names mapping'!$B$137:$BL$300,MATCH(B8,'ei names mapping'!$A$137:$A$300,0),MATCH(G42,'ei names mapping'!$B$136:$BL$136,0))</f>
        <v>-0.125</v>
      </c>
      <c r="C42" t="str">
        <f>INDEX('ei names mapping'!$B$38:$R$67,MATCH('lci-kick scooter - NMC'!$B$5,'ei names mapping'!$A$4:$A$33,0),MATCH('lci-kick scooter - NMC'!$G42,'ei names mapping'!$B$3:$R$3,0))</f>
        <v>CH</v>
      </c>
      <c r="D42" t="str">
        <f>INDEX('ei names mapping'!$B$104:$R$133,MATCH('lci-kick scooter - NMC'!$B$5,'ei names mapping'!$A$4:$A$33,0),MATCH('lci-kick scooter - NMC'!$G42,'ei names mapping'!$B$3:$R$3,0))</f>
        <v>unit</v>
      </c>
      <c r="F42" t="s">
        <v>89</v>
      </c>
      <c r="G42" t="s">
        <v>145</v>
      </c>
      <c r="H42" t="str">
        <f>INDEX('ei names mapping'!$B$71:$R$100,MATCH('lci-kick scooter - NMC'!$B$5,'ei names mapping'!$A$4:$A$33,0),MATCH('lci-kick scooter - NMC'!$G42,'ei names mapping'!$B$3:$R$3,0))</f>
        <v>used electric bicycle</v>
      </c>
    </row>
    <row r="43" spans="1:8" x14ac:dyDescent="0.2">
      <c r="A43" t="str">
        <f>INDEX('ei names mapping'!$B$4:$R$33,MATCH('lci-kick scooter - NMC'!$B$5,'ei names mapping'!$A$4:$A$33,0),MATCH('lci-kick scooter - NMC'!$G43,'ei names mapping'!$B$3:$R$3,0))</f>
        <v>treatment of used bicycle</v>
      </c>
      <c r="B43" s="4">
        <f>INDEX('vehicles specifications'!$B$3:$CW$166,MATCH(B8,'vehicles specifications'!$A$3:$A$166,0),MATCH(G43,'vehicles specifications'!$B$2:$CW$2,0))*INDEX('ei names mapping'!$B$137:$BL$300,MATCH(B8,'ei names mapping'!$A$137:$A$300,0),MATCH(G43,'ei names mapping'!$B$136:$BL$136,0))</f>
        <v>-0.41176470588235292</v>
      </c>
      <c r="C43" t="str">
        <f>INDEX('ei names mapping'!$B$38:$R$67,MATCH('lci-kick scooter - NMC'!$B$5,'ei names mapping'!$A$4:$A$33,0),MATCH('lci-kick scooter - NMC'!$G43,'ei names mapping'!$B$3:$R$3,0))</f>
        <v>CH</v>
      </c>
      <c r="D43" t="str">
        <f>INDEX('ei names mapping'!$B$104:$R$133,MATCH('lci-kick scooter - NMC'!$B$5,'ei names mapping'!$A$4:$A$33,0),MATCH('lci-kick scooter - NMC'!$G43,'ei names mapping'!$B$3:$R$3,0))</f>
        <v>unit</v>
      </c>
      <c r="F43" t="s">
        <v>89</v>
      </c>
      <c r="G43" t="s">
        <v>144</v>
      </c>
      <c r="H43" t="str">
        <f>INDEX('ei names mapping'!$B$71:$R$100,MATCH('lci-kick scooter - NMC'!$B$5,'ei names mapping'!$A$4:$A$33,0),MATCH('lci-kick scooter - NMC'!$G43,'ei names mapping'!$B$3:$R$3,0))</f>
        <v>used bicycle</v>
      </c>
    </row>
    <row r="44" spans="1:8" x14ac:dyDescent="0.2">
      <c r="A44" t="str">
        <f>INDEX('ei names mapping'!$B$4:$R$33,MATCH('lci-kick scooter - NMC'!$B$5,'ei names mapping'!$A$4:$A$33,0),MATCH('lci-kick scooter - NMC'!$G44,'ei names mapping'!$B$3:$R$3,0))</f>
        <v>market for used Li-ion battery</v>
      </c>
      <c r="B44" s="4">
        <f>INDEX('vehicles specifications'!$B$3:$CW$166,MATCH(B8,'vehicles specifications'!$A$3:$A$166,0),MATCH(G44,'vehicles specifications'!$B$2:$CW$2,0))*INDEX('ei names mapping'!$B$137:$BL$300,MATCH(B8,'ei names mapping'!$A$137:$A$300,0),MATCH(G44,'ei names mapping'!$B$136:$BL$136,0))</f>
        <v>-1.625</v>
      </c>
      <c r="C44" t="str">
        <f>INDEX('ei names mapping'!$B$38:$R$67,MATCH('lci-kick scooter - NMC'!$B$5,'ei names mapping'!$A$4:$A$33,0),MATCH('lci-kick scooter - NMC'!$G44,'ei names mapping'!$B$3:$R$3,0))</f>
        <v>GLO</v>
      </c>
      <c r="D44" t="str">
        <f>INDEX('ei names mapping'!$B$104:$R$133,MATCH('lci-kick scooter - NMC'!$B$5,'ei names mapping'!$A$4:$A$33,0),MATCH('lci-kick scooter - NMC'!$G44,'ei names mapping'!$B$3:$R$3,0))</f>
        <v>kilogram</v>
      </c>
      <c r="F44" t="s">
        <v>89</v>
      </c>
      <c r="G44" t="s">
        <v>146</v>
      </c>
      <c r="H44" t="str">
        <f>INDEX('ei names mapping'!$B$71:$R$100,MATCH('lci-kick scooter - NMC'!$B$5,'ei names mapping'!$A$4:$A$33,0),MATCH('lci-kick scooter - NMC'!$G44,'ei names mapping'!$B$3:$R$3,0))</f>
        <v>used Li-ion battery</v>
      </c>
    </row>
    <row r="45" spans="1:8" x14ac:dyDescent="0.2">
      <c r="A45" s="37" t="s">
        <v>840</v>
      </c>
      <c r="B45">
        <f>(B18/1000)*B31</f>
        <v>11.625</v>
      </c>
      <c r="C45" t="s">
        <v>92</v>
      </c>
      <c r="D45" t="s">
        <v>233</v>
      </c>
      <c r="F45" t="s">
        <v>89</v>
      </c>
      <c r="H45" s="13" t="s">
        <v>841</v>
      </c>
    </row>
    <row r="46" spans="1:8" x14ac:dyDescent="0.2">
      <c r="A46" s="37" t="s">
        <v>441</v>
      </c>
      <c r="B46" s="2">
        <f>(B18/1000)*B30</f>
        <v>184.83750000000001</v>
      </c>
      <c r="C46" t="s">
        <v>95</v>
      </c>
      <c r="D46" t="s">
        <v>233</v>
      </c>
      <c r="F46" t="s">
        <v>89</v>
      </c>
      <c r="H46" s="13" t="s">
        <v>441</v>
      </c>
    </row>
    <row r="48" spans="1:8" ht="16" x14ac:dyDescent="0.2">
      <c r="A48" s="10" t="s">
        <v>71</v>
      </c>
      <c r="B48" s="8" t="str">
        <f>B50&amp;", "&amp;B65&amp;" battery, "&amp;B52</f>
        <v>Kick Scooter, electric, &lt;1kW, NMC battery, 2030</v>
      </c>
    </row>
    <row r="49" spans="1:2" x14ac:dyDescent="0.2">
      <c r="A49" t="s">
        <v>72</v>
      </c>
      <c r="B49" t="s">
        <v>37</v>
      </c>
    </row>
    <row r="50" spans="1:2" x14ac:dyDescent="0.2">
      <c r="A50" t="s">
        <v>86</v>
      </c>
      <c r="B50" t="s">
        <v>618</v>
      </c>
    </row>
    <row r="51" spans="1:2" x14ac:dyDescent="0.2">
      <c r="A51" t="s">
        <v>87</v>
      </c>
    </row>
    <row r="52" spans="1:2" x14ac:dyDescent="0.2">
      <c r="A52" t="s">
        <v>88</v>
      </c>
      <c r="B52">
        <v>2030</v>
      </c>
    </row>
    <row r="53" spans="1:2" x14ac:dyDescent="0.2">
      <c r="A53" t="s">
        <v>126</v>
      </c>
      <c r="B53" t="str">
        <f>B50&amp;" - "&amp;B52&amp;" - "&amp;B65&amp;" - "&amp;B49</f>
        <v>Kick Scooter, electric, &lt;1kW - 2030 - NMC - CH</v>
      </c>
    </row>
    <row r="54" spans="1:2" x14ac:dyDescent="0.2">
      <c r="A54" t="s">
        <v>73</v>
      </c>
      <c r="B54" t="str">
        <f>B50</f>
        <v>Kick Scooter, electric, &lt;1kW</v>
      </c>
    </row>
    <row r="55" spans="1:2" x14ac:dyDescent="0.2">
      <c r="A55" t="s">
        <v>74</v>
      </c>
      <c r="B55" t="s">
        <v>75</v>
      </c>
    </row>
    <row r="56" spans="1:2" x14ac:dyDescent="0.2">
      <c r="A56" t="s">
        <v>76</v>
      </c>
      <c r="B56" t="s">
        <v>76</v>
      </c>
    </row>
    <row r="57" spans="1:2" x14ac:dyDescent="0.2">
      <c r="A57" t="s">
        <v>78</v>
      </c>
      <c r="B57" t="s">
        <v>1143</v>
      </c>
    </row>
    <row r="58" spans="1:2" x14ac:dyDescent="0.2">
      <c r="A58" t="s">
        <v>127</v>
      </c>
      <c r="B58">
        <f>INDEX('vehicles specifications'!$B$3:$CW$166,MATCH('lci-kick scooter - NMC'!B53,'vehicles specifications'!$A$3:$A$166,0),MATCH("Lifetime [km]",'vehicles specifications'!$B$2:$CW$2,0))</f>
        <v>1785</v>
      </c>
    </row>
    <row r="59" spans="1:2" x14ac:dyDescent="0.2">
      <c r="A59" t="s">
        <v>128</v>
      </c>
      <c r="B59">
        <f>INDEX('vehicles specifications'!$B$3:$CW$166,MATCH('lci-kick scooter - NMC'!B53,'vehicles specifications'!$A$3:$A$166,0),MATCH("Passengers [unit]",'vehicles specifications'!$B$2:$CW$2,0))</f>
        <v>1</v>
      </c>
    </row>
    <row r="60" spans="1:2" x14ac:dyDescent="0.2">
      <c r="A60" t="s">
        <v>129</v>
      </c>
      <c r="B60">
        <f>INDEX('vehicles specifications'!$B$3:$CW$166,MATCH('lci-kick scooter - NMC'!B53,'vehicles specifications'!$A$3:$A$166,0),MATCH("Servicing [unit]",'vehicles specifications'!$B$2:$CW$2,0))</f>
        <v>0</v>
      </c>
    </row>
    <row r="61" spans="1:2" x14ac:dyDescent="0.2">
      <c r="A61" t="s">
        <v>130</v>
      </c>
      <c r="B61">
        <f>INDEX('vehicles specifications'!$B$3:$CW$166,MATCH('lci-kick scooter - NMC'!B53,'vehicles specifications'!$A$3:$A$166,0),MATCH("Energy battery replacement [unit]",'vehicles specifications'!$B$2:$CW$2,0))</f>
        <v>0</v>
      </c>
    </row>
    <row r="62" spans="1:2" x14ac:dyDescent="0.2">
      <c r="A62" t="s">
        <v>131</v>
      </c>
      <c r="B62">
        <f>INDEX('vehicles specifications'!$B$3:$CW$166,MATCH('lci-kick scooter - NMC'!B53,'vehicles specifications'!$A$3:$A$166,0),MATCH("Annual kilometers [km]",'vehicles specifications'!$B$2:$CW$2,0))</f>
        <v>890</v>
      </c>
    </row>
    <row r="63" spans="1:2" x14ac:dyDescent="0.2">
      <c r="A63" t="s">
        <v>132</v>
      </c>
      <c r="B63">
        <f>INDEX('vehicles specifications'!$B$3:$CW$166,MATCH('lci-kick scooter - NMC'!B53,'vehicles specifications'!$A$3:$A$166,0),MATCH("Curb mass [kg]",'vehicles specifications'!$B$2:$CW$2,0))</f>
        <v>10.99</v>
      </c>
    </row>
    <row r="64" spans="1:2" x14ac:dyDescent="0.2">
      <c r="A64" t="s">
        <v>133</v>
      </c>
      <c r="B64">
        <f>INDEX('vehicles specifications'!$B$3:$CW$166,MATCH('lci-kick scooter - NMC'!B53,'vehicles specifications'!$A$3:$A$166,0),MATCH("Power [kW]",'vehicles specifications'!$B$2:$CW$2,0))</f>
        <v>0.25</v>
      </c>
    </row>
    <row r="65" spans="1:8" x14ac:dyDescent="0.2">
      <c r="A65" t="s">
        <v>652</v>
      </c>
      <c r="B65" t="s">
        <v>43</v>
      </c>
    </row>
    <row r="66" spans="1:8" x14ac:dyDescent="0.2">
      <c r="A66" t="s">
        <v>134</v>
      </c>
      <c r="B66">
        <f>INDEX('vehicles specifications'!$B$3:$CW$166,MATCH('lci-kick scooter - NMC'!B53,'vehicles specifications'!$A$3:$A$166,0),MATCH("Energy battery mass [kg]",'vehicles specifications'!$B$2:$CW$2,0))</f>
        <v>1.3</v>
      </c>
    </row>
    <row r="67" spans="1:8" x14ac:dyDescent="0.2">
      <c r="A67" t="s">
        <v>135</v>
      </c>
      <c r="B67">
        <f>INDEX('vehicles specifications'!$B$3:$CW$166,MATCH('lci-kick scooter - NMC'!B53,'vehicles specifications'!$A$3:$A$166,0),MATCH("Electric energy stored [kWh]",'vehicles specifications'!$B$2:$CW$2,0))</f>
        <v>0.3</v>
      </c>
    </row>
    <row r="68" spans="1:8" x14ac:dyDescent="0.2">
      <c r="A68" t="s">
        <v>588</v>
      </c>
      <c r="B68">
        <f>INDEX('vehicles specifications'!$B$3:$CW$166,MATCH('lci-kick scooter - NMC'!B53,'vehicles specifications'!$A$3:$A$166,0),MATCH("Electric energy available [kWh]",'vehicles specifications'!$B$2:$CW$2,0))</f>
        <v>0.24</v>
      </c>
    </row>
    <row r="69" spans="1:8" x14ac:dyDescent="0.2">
      <c r="A69" t="s">
        <v>138</v>
      </c>
      <c r="B69">
        <f>INDEX('vehicles specifications'!$B$3:$CW$166,MATCH('lci-kick scooter - NMC'!B53,'vehicles specifications'!$A$3:$A$166,0),MATCH("Oxydation energy stored [kWh]",'vehicles specifications'!$B$2:$CW$2,0))</f>
        <v>0</v>
      </c>
    </row>
    <row r="70" spans="1:8" x14ac:dyDescent="0.2">
      <c r="A70" t="s">
        <v>139</v>
      </c>
      <c r="B70">
        <f>INDEX('vehicles specifications'!$B$3:$CW$166,MATCH('lci-kick scooter - NMC'!B53,'vehicles specifications'!$A$3:$A$166,0),MATCH("Fuel mass [kg]",'vehicles specifications'!$B$2:$CW$2,0))</f>
        <v>0</v>
      </c>
    </row>
    <row r="71" spans="1:8" x14ac:dyDescent="0.2">
      <c r="A71" t="s">
        <v>136</v>
      </c>
      <c r="B71">
        <f>INDEX('vehicles specifications'!$B$3:$CW$166,MATCH('lci-kick scooter - NMC'!B53,'vehicles specifications'!$A$3:$A$166,0),MATCH("Range [km]",'vehicles specifications'!$B$2:$CW$2,0))</f>
        <v>10.031775700934579</v>
      </c>
    </row>
    <row r="72" spans="1:8" x14ac:dyDescent="0.2">
      <c r="A72" t="s">
        <v>137</v>
      </c>
      <c r="B72" t="str">
        <f>INDEX('vehicles specifications'!$B$3:$CW$166,MATCH('lci-kick scooter - NMC'!B53,'vehicles specifications'!$A$3:$A$166,0),MATCH("Emission standard",'vehicles specifications'!$B$2:$CW$2,0))</f>
        <v>None</v>
      </c>
    </row>
    <row r="73" spans="1:8" x14ac:dyDescent="0.2">
      <c r="A73" t="s">
        <v>1174</v>
      </c>
      <c r="B73" s="6">
        <f>INDEX('vehicles specifications'!$B$3:$CW$166,MATCH('lci-kick scooter - NMC'!B53,'vehicles specifications'!$A$3:$A$166,0),MATCH("Lightweighting rate [%]",'vehicles specifications'!$B$2:$CW$2,0))</f>
        <v>0.03</v>
      </c>
    </row>
    <row r="74" spans="1:8" x14ac:dyDescent="0.2">
      <c r="A74" t="s">
        <v>485</v>
      </c>
      <c r="B74" s="6" t="s">
        <v>486</v>
      </c>
    </row>
    <row r="75" spans="1:8" x14ac:dyDescent="0.2">
      <c r="A75" t="s">
        <v>487</v>
      </c>
      <c r="B75" s="2">
        <v>15900</v>
      </c>
    </row>
    <row r="76" spans="1:8" x14ac:dyDescent="0.2">
      <c r="A76" t="s">
        <v>488</v>
      </c>
      <c r="B76" s="2">
        <v>1000</v>
      </c>
    </row>
    <row r="77" spans="1:8" x14ac:dyDescent="0.2">
      <c r="A77" t="s">
        <v>83</v>
      </c>
      <c r="B77" t="str">
        <f>"Power: "&amp;B64&amp;" kW. Lifetime: "&amp;B58&amp;" km. Annual kilometers: "&amp;ROUND(B62,0)&amp;" km. Number of passengers: "&amp;ROUND(B59,1)&amp;". Curb mass: "&amp;ROUND(B63,1)&amp;" kg. Lightweighting of glider: "&amp;ROUND(B73*100,0)&amp;"%. Emission standard: "&amp;B72&amp;". Service visits throughout lifetime: "&amp;ROUND(B60,1)&amp;". Range: "&amp;ROUND(B71,0)&amp;" km. Battery capacity: "&amp;ROUND(B67,1)&amp;" kWh. Available battery capacity: "&amp;B68&amp;" kWh. Battery mass: "&amp;ROUND(B66,1)&amp; " kg. Battery replacement throughout lifetime: "&amp;ROUND(B61,1)&amp;". Fuel tank capacity: "&amp;ROUND(B69,1)&amp;" kWh. Fuel mass: "&amp;ROUND(B70,1)&amp;" kg. Origin of manufacture: "&amp;B74&amp;". Shipping distance: "&amp;B75&amp;" km. Lorry distribution distance: "&amp;B76&amp;" km. Documentation: "&amp;Readmefirst!$B$2&amp;", "&amp;Readmefirst!$B$3&amp;". "&amp;'lci-kick scooter - NMC'!B57</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78" spans="1:8" ht="16" x14ac:dyDescent="0.2">
      <c r="A78" s="10" t="s">
        <v>79</v>
      </c>
    </row>
    <row r="79" spans="1:8" x14ac:dyDescent="0.2">
      <c r="A79" t="s">
        <v>80</v>
      </c>
      <c r="B79" t="s">
        <v>81</v>
      </c>
      <c r="C79" t="s">
        <v>72</v>
      </c>
      <c r="D79" t="s">
        <v>76</v>
      </c>
      <c r="E79" t="s">
        <v>82</v>
      </c>
      <c r="F79" t="s">
        <v>74</v>
      </c>
      <c r="G79" t="s">
        <v>83</v>
      </c>
      <c r="H79" t="s">
        <v>73</v>
      </c>
    </row>
    <row r="80" spans="1:8" x14ac:dyDescent="0.2">
      <c r="A80" t="str">
        <f>B48</f>
        <v>Kick Scooter, electric, &lt;1kW, NMC battery, 2030</v>
      </c>
      <c r="B80">
        <v>1</v>
      </c>
      <c r="C80" t="str">
        <f>B49</f>
        <v>CH</v>
      </c>
      <c r="D80" t="str">
        <f>B56</f>
        <v>unit</v>
      </c>
      <c r="F80" t="s">
        <v>84</v>
      </c>
      <c r="G80" t="s">
        <v>85</v>
      </c>
      <c r="H80" t="str">
        <f>B54</f>
        <v>Kick Scooter, electric, &lt;1kW</v>
      </c>
    </row>
    <row r="81" spans="1:8" x14ac:dyDescent="0.2">
      <c r="A81" t="str">
        <f>INDEX('ei names mapping'!$B$4:$R$33,MATCH('lci-kick scooter - NMC'!$B$5,'ei names mapping'!$A$4:$A$33,0),MATCH('lci-kick scooter - NMC'!$G81,'ei names mapping'!$B$3:$R$3,0))</f>
        <v>bicycle production</v>
      </c>
      <c r="B81" s="4">
        <f>INDEX('vehicles specifications'!$B$3:$CW$166,MATCH(B53,'vehicles specifications'!$A$3:$A$166,0),MATCH(G81,'vehicles specifications'!$B$2:$CW$2,0))*INDEX('ei names mapping'!$B$137:$BL$300,MATCH(B53,'ei names mapping'!$A$137:$A$300,0),MATCH(G81,'ei names mapping'!$B$136:$BL$136,0))</f>
        <v>0.41176470588235292</v>
      </c>
      <c r="C81" t="str">
        <f>INDEX('ei names mapping'!$B$38:$R$67,MATCH('lci-kick scooter - NMC'!$B$5,'ei names mapping'!$A$4:$A$33,0),MATCH('lci-kick scooter - NMC'!$G81,'ei names mapping'!$B$3:$R$3,0))</f>
        <v>RER</v>
      </c>
      <c r="D81" t="str">
        <f>INDEX('ei names mapping'!$B$104:$R$133,MATCH('lci-kick scooter - NMC'!$B$5,'ei names mapping'!$A$4:$A$33,0),MATCH('lci-kick scooter - NMC'!$G81,'ei names mapping'!$B$3:$R$3,0))</f>
        <v>unit</v>
      </c>
      <c r="F81" t="s">
        <v>89</v>
      </c>
      <c r="G81" t="s">
        <v>15</v>
      </c>
      <c r="H81" t="str">
        <f>INDEX('ei names mapping'!$B$71:$R$100,MATCH('lci-kick scooter - NMC'!$B$5,'ei names mapping'!$A$4:$A$33,0),MATCH('lci-kick scooter - NMC'!$G81,'ei names mapping'!$B$3:$R$3,0))</f>
        <v>bicycle</v>
      </c>
    </row>
    <row r="82" spans="1:8" x14ac:dyDescent="0.2">
      <c r="A82" t="str">
        <f>INDEX('ei names mapping'!$B$4:$R$33,MATCH('lci-kick scooter - NMC'!$B$5,'ei names mapping'!$A$4:$A$33,0),MATCH('lci-kick scooter - NMC'!$G82,'ei names mapping'!$B$3:$R$3,0))</f>
        <v>market for electric motor, vehicle</v>
      </c>
      <c r="B82" s="4">
        <f>INDEX('vehicles specifications'!$B$3:$CW$166,MATCH(B53,'vehicles specifications'!$A$3:$A$166,0),MATCH(G82,'vehicles specifications'!$B$2:$CW$2,0))*INDEX('ei names mapping'!$B$137:$BL$300,MATCH(B53,'ei names mapping'!$A$137:$A$300,0),MATCH(G82,'ei names mapping'!$B$136:$BL$136,0))</f>
        <v>2.9</v>
      </c>
      <c r="C82" t="str">
        <f>INDEX('ei names mapping'!$B$38:$R$67,MATCH('lci-kick scooter - NMC'!$B$5,'ei names mapping'!$A$4:$A$33,0),MATCH('lci-kick scooter - NMC'!$G82,'ei names mapping'!$B$3:$R$3,0))</f>
        <v>GLO</v>
      </c>
      <c r="D82" t="str">
        <f>INDEX('ei names mapping'!$B$104:$R$133,MATCH('lci-kick scooter - NMC'!$B$5,'ei names mapping'!$A$4:$A$33,0),MATCH('lci-kick scooter - NMC'!$G82,'ei names mapping'!$B$3:$R$3,0))</f>
        <v>kilogram</v>
      </c>
      <c r="F82" t="s">
        <v>89</v>
      </c>
      <c r="G82" t="s">
        <v>501</v>
      </c>
      <c r="H82" t="str">
        <f>INDEX('ei names mapping'!$B$71:$R$100,MATCH('lci-kick scooter - NMC'!$B$5,'ei names mapping'!$A$4:$A$33,0),MATCH('lci-kick scooter - NMC'!$G82,'ei names mapping'!$B$3:$R$3,0))</f>
        <v>electric motor, vehicle</v>
      </c>
    </row>
    <row r="83" spans="1:8" x14ac:dyDescent="0.2">
      <c r="A83" t="str">
        <f>INDEX('ei names mapping'!$B$4:$R$33,MATCH(B50,'ei names mapping'!$A$4:$A$33,0),MATCH(G83,'ei names mapping'!$B$3:$R$3,0))</f>
        <v>Glider lightweighting</v>
      </c>
      <c r="B83" s="11">
        <f>INDEX('vehicles specifications'!$B$3:$CW$166,MATCH(B53,'vehicles specifications'!$A$3:$A$166,0),MATCH(G83,'vehicles specifications'!$B$2:$CW$2,0))*INDEX('ei names mapping'!$B$137:$BL$300,MATCH(B53,'ei names mapping'!$A$137:$A$300,0),MATCH(G83,'ei names mapping'!$B$136:$BL$136,0))</f>
        <v>0.21</v>
      </c>
      <c r="C83" t="str">
        <f>INDEX('ei names mapping'!$B$38:$R$67,MATCH(B50,'ei names mapping'!$A$4:$A$33,0),MATCH(G83,'ei names mapping'!$B$3:$R$3,0))</f>
        <v>GLO</v>
      </c>
      <c r="D83" t="str">
        <f>INDEX('ei names mapping'!$B$104:$R$133,MATCH(B50,'ei names mapping'!$A$4:$A$33,0),MATCH(G83,'ei names mapping'!$B$3:$R$3,0))</f>
        <v>kilogram</v>
      </c>
      <c r="F83" t="s">
        <v>89</v>
      </c>
      <c r="G83" t="s">
        <v>14</v>
      </c>
      <c r="H83" t="str">
        <f>INDEX('ei names mapping'!$B$71:$R$100,MATCH(B50,'ei names mapping'!$A$4:$A$33,0),MATCH(G83,'ei names mapping'!$B$3:$R$3,0))</f>
        <v>Glider lightweighting</v>
      </c>
    </row>
    <row r="84" spans="1:8" x14ac:dyDescent="0.2">
      <c r="A84" t="str">
        <f>INDEX('ei names mapping'!$B$4:$R$33,MATCH('lci-kick scooter - NMC'!$B$5,'ei names mapping'!$A$4:$A$33,0),MATCH('lci-kick scooter - NMC'!$G84,'ei names mapping'!$B$3:$R$3,0))</f>
        <v>Battery cell, NMC-622</v>
      </c>
      <c r="B84" s="4">
        <f>INDEX('vehicles specifications'!$B$3:$CW$166,MATCH(B53,'vehicles specifications'!$A$3:$A$166,0),MATCH(G84,'vehicles specifications'!$B$2:$CW$2,0))*INDEX('ei names mapping'!$B$137:$BL$300,MATCH(B53,'ei names mapping'!$A$137:$A$300,0),MATCH(G84,'ei names mapping'!$B$136:$BL$136,0))</f>
        <v>1</v>
      </c>
      <c r="C84" t="str">
        <f>INDEX('ei names mapping'!$B$38:$R$67,MATCH('lci-kick scooter - NMC'!$B$5,'ei names mapping'!$A$4:$A$33,0),MATCH('lci-kick scooter - NMC'!$G84,'ei names mapping'!$B$3:$R$3,0))</f>
        <v>GLO</v>
      </c>
      <c r="D84" t="str">
        <f>INDEX('ei names mapping'!$B$104:$R$133,MATCH('lci-kick scooter - NMC'!$B$5,'ei names mapping'!$A$4:$A$33,0),MATCH('lci-kick scooter - NMC'!$G84,'ei names mapping'!$B$3:$R$3,0))</f>
        <v>kilogram</v>
      </c>
      <c r="F84" t="s">
        <v>89</v>
      </c>
      <c r="G84" t="s">
        <v>19</v>
      </c>
      <c r="H84" t="str">
        <f>INDEX('ei names mapping'!$B$71:$R$100,MATCH('lci-kick scooter - NMC'!$B$5,'ei names mapping'!$A$4:$A$33,0),MATCH('lci-kick scooter - NMC'!$G84,'ei names mapping'!$B$3:$R$3,0))</f>
        <v>Battery cell</v>
      </c>
    </row>
    <row r="85" spans="1:8" x14ac:dyDescent="0.2">
      <c r="A85" t="str">
        <f>INDEX('ei names mapping'!$B$4:$R$33,MATCH('lci-kick scooter - NMC'!$B$5,'ei names mapping'!$A$4:$A$33,0),MATCH('lci-kick scooter - NMC'!$G85,'ei names mapping'!$B$3:$R$3,0))</f>
        <v>Battery BoP</v>
      </c>
      <c r="B85" s="4">
        <f>INDEX('vehicles specifications'!$B$3:$CW$166,MATCH(B53,'vehicles specifications'!$A$3:$A$166,0),MATCH(G85,'vehicles specifications'!$B$2:$CW$2,0))*INDEX('ei names mapping'!$B$137:$BL$300,MATCH(B53,'ei names mapping'!$A$137:$A$300,0),MATCH(G85,'ei names mapping'!$B$136:$BL$136,0))</f>
        <v>0.3</v>
      </c>
      <c r="C85" t="str">
        <f>INDEX('ei names mapping'!$B$38:$R$67,MATCH('lci-kick scooter - NMC'!$B$5,'ei names mapping'!$A$4:$A$33,0),MATCH('lci-kick scooter - NMC'!$G85,'ei names mapping'!$B$3:$R$3,0))</f>
        <v>GLO</v>
      </c>
      <c r="D85" t="str">
        <f>INDEX('ei names mapping'!$B$104:$R$133,MATCH('lci-kick scooter - NMC'!$B$5,'ei names mapping'!$A$4:$A$33,0),MATCH('lci-kick scooter - NMC'!$G85,'ei names mapping'!$B$3:$R$3,0))</f>
        <v>kilogram</v>
      </c>
      <c r="F85" t="s">
        <v>89</v>
      </c>
      <c r="G85" t="s">
        <v>20</v>
      </c>
      <c r="H85" t="str">
        <f>INDEX('ei names mapping'!$B$71:$R$100,MATCH('lci-kick scooter - NMC'!$B$5,'ei names mapping'!$A$4:$A$33,0),MATCH('lci-kick scooter - NMC'!$G85,'ei names mapping'!$B$3:$R$3,0))</f>
        <v>Battery BoP</v>
      </c>
    </row>
    <row r="86" spans="1:8" x14ac:dyDescent="0.2">
      <c r="A86" t="str">
        <f>INDEX('ei names mapping'!$B$4:$R$33,MATCH('lci-kick scooter - NMC'!$B$5,'ei names mapping'!$A$4:$A$33,0),MATCH('lci-kick scooter - NMC'!$G86,'ei names mapping'!$B$3:$R$3,0))</f>
        <v>charging station, 100W</v>
      </c>
      <c r="B86" s="4">
        <f>INDEX('vehicles specifications'!$B$3:$CW$166,MATCH(B53,'vehicles specifications'!$A$3:$A$166,0),MATCH(G86,'vehicles specifications'!$B$2:$CW$2,0))*INDEX('ei names mapping'!$B$137:$BL$300,MATCH(B53,'ei names mapping'!$A$137:$A$300,0),MATCH(G86,'ei names mapping'!$B$136:$BL$136,0))</f>
        <v>1</v>
      </c>
      <c r="C86" t="str">
        <f>INDEX('ei names mapping'!$B$38:$R$67,MATCH('lci-kick scooter - NMC'!$B$5,'ei names mapping'!$A$4:$A$33,0),MATCH('lci-kick scooter - NMC'!$G86,'ei names mapping'!$B$3:$R$3,0))</f>
        <v>GLO</v>
      </c>
      <c r="D86" t="str">
        <f>INDEX('ei names mapping'!$B$104:$R$133,MATCH('lci-kick scooter - NMC'!$B$5,'ei names mapping'!$A$4:$A$33,0),MATCH('lci-kick scooter - NMC'!$G86,'ei names mapping'!$B$3:$R$3,0))</f>
        <v>unit</v>
      </c>
      <c r="F86" t="s">
        <v>89</v>
      </c>
      <c r="G86" t="s">
        <v>52</v>
      </c>
      <c r="H86" t="str">
        <f>INDEX('ei names mapping'!$B$71:$R$100,MATCH('lci-kick scooter - NMC'!$B$5,'ei names mapping'!$A$4:$A$33,0),MATCH('lci-kick scooter - NMC'!$G86,'ei names mapping'!$B$3:$R$3,0))</f>
        <v>charging station, 100W</v>
      </c>
    </row>
    <row r="87" spans="1:8" x14ac:dyDescent="0.2">
      <c r="A87" t="str">
        <f>INDEX('ei names mapping'!$B$4:$R$33,MATCH('lci-kick scooter - NMC'!$B$5,'ei names mapping'!$A$4:$A$33,0),MATCH('lci-kick scooter - NMC'!$G87,'ei names mapping'!$B$3:$R$3,0))</f>
        <v>treatment of used electric bicycle</v>
      </c>
      <c r="B87" s="4">
        <f>INDEX('vehicles specifications'!$B$3:$CW$166,MATCH(B53,'vehicles specifications'!$A$3:$A$166,0),MATCH(G87,'vehicles specifications'!$B$2:$CW$2,0))*INDEX('ei names mapping'!$B$137:$BL$300,MATCH(B53,'ei names mapping'!$A$137:$A$300,0),MATCH(G87,'ei names mapping'!$B$136:$BL$136,0))</f>
        <v>-0.12083333333333332</v>
      </c>
      <c r="C87" t="str">
        <f>INDEX('ei names mapping'!$B$38:$R$67,MATCH('lci-kick scooter - NMC'!$B$5,'ei names mapping'!$A$4:$A$33,0),MATCH('lci-kick scooter - NMC'!$G87,'ei names mapping'!$B$3:$R$3,0))</f>
        <v>CH</v>
      </c>
      <c r="D87" t="str">
        <f>INDEX('ei names mapping'!$B$104:$R$133,MATCH('lci-kick scooter - NMC'!$B$5,'ei names mapping'!$A$4:$A$33,0),MATCH('lci-kick scooter - NMC'!$G87,'ei names mapping'!$B$3:$R$3,0))</f>
        <v>unit</v>
      </c>
      <c r="F87" t="s">
        <v>89</v>
      </c>
      <c r="G87" t="s">
        <v>145</v>
      </c>
      <c r="H87" t="str">
        <f>INDEX('ei names mapping'!$B$71:$R$100,MATCH('lci-kick scooter - NMC'!$B$5,'ei names mapping'!$A$4:$A$33,0),MATCH('lci-kick scooter - NMC'!$G87,'ei names mapping'!$B$3:$R$3,0))</f>
        <v>used electric bicycle</v>
      </c>
    </row>
    <row r="88" spans="1:8" x14ac:dyDescent="0.2">
      <c r="A88" t="str">
        <f>INDEX('ei names mapping'!$B$4:$R$33,MATCH('lci-kick scooter - NMC'!$B$5,'ei names mapping'!$A$4:$A$33,0),MATCH('lci-kick scooter - NMC'!$G88,'ei names mapping'!$B$3:$R$3,0))</f>
        <v>treatment of used bicycle</v>
      </c>
      <c r="B88" s="4">
        <f>INDEX('vehicles specifications'!$B$3:$CW$166,MATCH(B53,'vehicles specifications'!$A$3:$A$166,0),MATCH(G88,'vehicles specifications'!$B$2:$CW$2,0))*INDEX('ei names mapping'!$B$137:$BL$300,MATCH(B53,'ei names mapping'!$A$137:$A$300,0),MATCH(G88,'ei names mapping'!$B$136:$BL$136,0))</f>
        <v>-0.39941176470588236</v>
      </c>
      <c r="C88" t="str">
        <f>INDEX('ei names mapping'!$B$38:$R$67,MATCH('lci-kick scooter - NMC'!$B$5,'ei names mapping'!$A$4:$A$33,0),MATCH('lci-kick scooter - NMC'!$G88,'ei names mapping'!$B$3:$R$3,0))</f>
        <v>CH</v>
      </c>
      <c r="D88" t="str">
        <f>INDEX('ei names mapping'!$B$104:$R$133,MATCH('lci-kick scooter - NMC'!$B$5,'ei names mapping'!$A$4:$A$33,0),MATCH('lci-kick scooter - NMC'!$G88,'ei names mapping'!$B$3:$R$3,0))</f>
        <v>unit</v>
      </c>
      <c r="F88" t="s">
        <v>89</v>
      </c>
      <c r="G88" t="s">
        <v>144</v>
      </c>
      <c r="H88" t="str">
        <f>INDEX('ei names mapping'!$B$71:$R$100,MATCH('lci-kick scooter - NMC'!$B$5,'ei names mapping'!$A$4:$A$33,0),MATCH('lci-kick scooter - NMC'!$G88,'ei names mapping'!$B$3:$R$3,0))</f>
        <v>used bicycle</v>
      </c>
    </row>
    <row r="89" spans="1:8" x14ac:dyDescent="0.2">
      <c r="A89" t="str">
        <f>INDEX('ei names mapping'!$B$4:$R$33,MATCH('lci-kick scooter - NMC'!$B$5,'ei names mapping'!$A$4:$A$33,0),MATCH('lci-kick scooter - NMC'!$G89,'ei names mapping'!$B$3:$R$3,0))</f>
        <v>market for used Li-ion battery</v>
      </c>
      <c r="B89" s="4">
        <f>INDEX('vehicles specifications'!$B$3:$CW$166,MATCH(B53,'vehicles specifications'!$A$3:$A$166,0),MATCH(G89,'vehicles specifications'!$B$2:$CW$2,0))*INDEX('ei names mapping'!$B$137:$BL$300,MATCH(B53,'ei names mapping'!$A$137:$A$300,0),MATCH(G89,'ei names mapping'!$B$136:$BL$136,0))</f>
        <v>-1.3</v>
      </c>
      <c r="C89" t="str">
        <f>INDEX('ei names mapping'!$B$38:$R$67,MATCH('lci-kick scooter - NMC'!$B$5,'ei names mapping'!$A$4:$A$33,0),MATCH('lci-kick scooter - NMC'!$G89,'ei names mapping'!$B$3:$R$3,0))</f>
        <v>GLO</v>
      </c>
      <c r="D89" t="str">
        <f>INDEX('ei names mapping'!$B$104:$R$133,MATCH('lci-kick scooter - NMC'!$B$5,'ei names mapping'!$A$4:$A$33,0),MATCH('lci-kick scooter - NMC'!$G89,'ei names mapping'!$B$3:$R$3,0))</f>
        <v>kilogram</v>
      </c>
      <c r="F89" t="s">
        <v>89</v>
      </c>
      <c r="G89" t="s">
        <v>146</v>
      </c>
      <c r="H89" t="str">
        <f>INDEX('ei names mapping'!$B$71:$R$100,MATCH('lci-kick scooter - NMC'!$B$5,'ei names mapping'!$A$4:$A$33,0),MATCH('lci-kick scooter - NMC'!$G89,'ei names mapping'!$B$3:$R$3,0))</f>
        <v>used Li-ion battery</v>
      </c>
    </row>
    <row r="90" spans="1:8" x14ac:dyDescent="0.2">
      <c r="A90" s="13" t="s">
        <v>840</v>
      </c>
      <c r="B90">
        <f>(B63/1000)*B76</f>
        <v>10.99</v>
      </c>
      <c r="C90" t="s">
        <v>92</v>
      </c>
      <c r="D90" t="s">
        <v>233</v>
      </c>
      <c r="F90" t="s">
        <v>89</v>
      </c>
      <c r="H90" s="13" t="s">
        <v>841</v>
      </c>
    </row>
    <row r="91" spans="1:8" x14ac:dyDescent="0.2">
      <c r="A91" s="13" t="s">
        <v>441</v>
      </c>
      <c r="B91" s="2">
        <f>(B63/1000)*B75</f>
        <v>174.74099999999999</v>
      </c>
      <c r="C91" t="s">
        <v>95</v>
      </c>
      <c r="D91" t="s">
        <v>233</v>
      </c>
      <c r="F91" t="s">
        <v>89</v>
      </c>
      <c r="H91" s="13" t="s">
        <v>441</v>
      </c>
    </row>
    <row r="93" spans="1:8" ht="16" x14ac:dyDescent="0.2">
      <c r="A93" s="10" t="s">
        <v>71</v>
      </c>
      <c r="B93" s="8" t="str">
        <f>B95&amp;", "&amp;B110&amp;" battery, "&amp;B97</f>
        <v>Kick Scooter, electric, &lt;1kW, NMC battery, 2040</v>
      </c>
    </row>
    <row r="94" spans="1:8" x14ac:dyDescent="0.2">
      <c r="A94" t="s">
        <v>72</v>
      </c>
      <c r="B94" t="s">
        <v>37</v>
      </c>
    </row>
    <row r="95" spans="1:8" x14ac:dyDescent="0.2">
      <c r="A95" t="s">
        <v>86</v>
      </c>
      <c r="B95" t="s">
        <v>618</v>
      </c>
    </row>
    <row r="96" spans="1:8" x14ac:dyDescent="0.2">
      <c r="A96" t="s">
        <v>87</v>
      </c>
    </row>
    <row r="97" spans="1:2" x14ac:dyDescent="0.2">
      <c r="A97" t="s">
        <v>88</v>
      </c>
      <c r="B97">
        <v>2040</v>
      </c>
    </row>
    <row r="98" spans="1:2" x14ac:dyDescent="0.2">
      <c r="A98" t="s">
        <v>126</v>
      </c>
      <c r="B98" t="str">
        <f>B95&amp;" - "&amp;B97&amp;" - "&amp;B110&amp;" - "&amp;B94</f>
        <v>Kick Scooter, electric, &lt;1kW - 2040 - NMC - CH</v>
      </c>
    </row>
    <row r="99" spans="1:2" x14ac:dyDescent="0.2">
      <c r="A99" t="s">
        <v>73</v>
      </c>
      <c r="B99" t="str">
        <f>B95</f>
        <v>Kick Scooter, electric, &lt;1kW</v>
      </c>
    </row>
    <row r="100" spans="1:2" x14ac:dyDescent="0.2">
      <c r="A100" t="s">
        <v>74</v>
      </c>
      <c r="B100" t="s">
        <v>75</v>
      </c>
    </row>
    <row r="101" spans="1:2" x14ac:dyDescent="0.2">
      <c r="A101" t="s">
        <v>76</v>
      </c>
      <c r="B101" t="s">
        <v>76</v>
      </c>
    </row>
    <row r="102" spans="1:2" x14ac:dyDescent="0.2">
      <c r="A102" t="s">
        <v>78</v>
      </c>
      <c r="B102" t="s">
        <v>1143</v>
      </c>
    </row>
    <row r="103" spans="1:2" x14ac:dyDescent="0.2">
      <c r="A103" t="s">
        <v>127</v>
      </c>
      <c r="B103">
        <f>INDEX('vehicles specifications'!$B$3:$CW$166,MATCH('lci-kick scooter - NMC'!B98,'vehicles specifications'!$A$3:$A$166,0),MATCH("Lifetime [km]",'vehicles specifications'!$B$2:$CW$2,0))</f>
        <v>1785</v>
      </c>
    </row>
    <row r="104" spans="1:2" x14ac:dyDescent="0.2">
      <c r="A104" t="s">
        <v>128</v>
      </c>
      <c r="B104">
        <f>INDEX('vehicles specifications'!$B$3:$CW$166,MATCH('lci-kick scooter - NMC'!B98,'vehicles specifications'!$A$3:$A$166,0),MATCH("Passengers [unit]",'vehicles specifications'!$B$2:$CW$2,0))</f>
        <v>1</v>
      </c>
    </row>
    <row r="105" spans="1:2" x14ac:dyDescent="0.2">
      <c r="A105" t="s">
        <v>129</v>
      </c>
      <c r="B105">
        <f>INDEX('vehicles specifications'!$B$3:$CW$166,MATCH('lci-kick scooter - NMC'!B98,'vehicles specifications'!$A$3:$A$166,0),MATCH("Servicing [unit]",'vehicles specifications'!$B$2:$CW$2,0))</f>
        <v>0</v>
      </c>
    </row>
    <row r="106" spans="1:2" x14ac:dyDescent="0.2">
      <c r="A106" t="s">
        <v>130</v>
      </c>
      <c r="B106">
        <f>INDEX('vehicles specifications'!$B$3:$CW$166,MATCH('lci-kick scooter - NMC'!B98,'vehicles specifications'!$A$3:$A$166,0),MATCH("Energy battery replacement [unit]",'vehicles specifications'!$B$2:$CW$2,0))</f>
        <v>0</v>
      </c>
    </row>
    <row r="107" spans="1:2" x14ac:dyDescent="0.2">
      <c r="A107" t="s">
        <v>131</v>
      </c>
      <c r="B107">
        <f>INDEX('vehicles specifications'!$B$3:$CW$166,MATCH('lci-kick scooter - NMC'!B98,'vehicles specifications'!$A$3:$A$166,0),MATCH("Annual kilometers [km]",'vehicles specifications'!$B$2:$CW$2,0))</f>
        <v>890</v>
      </c>
    </row>
    <row r="108" spans="1:2" x14ac:dyDescent="0.2">
      <c r="A108" t="s">
        <v>132</v>
      </c>
      <c r="B108">
        <f>INDEX('vehicles specifications'!$B$3:$CW$166,MATCH('lci-kick scooter - NMC'!B98,'vehicles specifications'!$A$3:$A$166,0),MATCH("Curb mass [kg]",'vehicles specifications'!$B$2:$CW$2,0))</f>
        <v>10.75</v>
      </c>
    </row>
    <row r="109" spans="1:2" x14ac:dyDescent="0.2">
      <c r="A109" t="s">
        <v>133</v>
      </c>
      <c r="B109">
        <f>INDEX('vehicles specifications'!$B$3:$CW$166,MATCH('lci-kick scooter - NMC'!B98,'vehicles specifications'!$A$3:$A$166,0),MATCH("Power [kW]",'vehicles specifications'!$B$2:$CW$2,0))</f>
        <v>0.25</v>
      </c>
    </row>
    <row r="110" spans="1:2" x14ac:dyDescent="0.2">
      <c r="A110" t="s">
        <v>652</v>
      </c>
      <c r="B110" t="s">
        <v>43</v>
      </c>
    </row>
    <row r="111" spans="1:2" x14ac:dyDescent="0.2">
      <c r="A111" t="s">
        <v>134</v>
      </c>
      <c r="B111">
        <f>INDEX('vehicles specifications'!$B$3:$CW$166,MATCH('lci-kick scooter - NMC'!B98,'vehicles specifications'!$A$3:$A$166,0),MATCH("Energy battery mass [kg]",'vehicles specifications'!$B$2:$CW$2,0))</f>
        <v>1.3</v>
      </c>
    </row>
    <row r="112" spans="1:2" x14ac:dyDescent="0.2">
      <c r="A112" t="s">
        <v>135</v>
      </c>
      <c r="B112">
        <f>INDEX('vehicles specifications'!$B$3:$CW$166,MATCH('lci-kick scooter - NMC'!B98,'vehicles specifications'!$A$3:$A$166,0),MATCH("Electric energy stored [kWh]",'vehicles specifications'!$B$2:$CW$2,0))</f>
        <v>0.4</v>
      </c>
    </row>
    <row r="113" spans="1:8" x14ac:dyDescent="0.2">
      <c r="A113" t="s">
        <v>588</v>
      </c>
      <c r="B113">
        <f>INDEX('vehicles specifications'!$B$3:$CW$166,MATCH('lci-kick scooter - NMC'!B98,'vehicles specifications'!$A$3:$A$166,0),MATCH("Electric energy available [kWh]",'vehicles specifications'!$B$2:$CW$2,0))</f>
        <v>0.32000000000000006</v>
      </c>
    </row>
    <row r="114" spans="1:8" x14ac:dyDescent="0.2">
      <c r="A114" t="s">
        <v>138</v>
      </c>
      <c r="B114">
        <f>INDEX('vehicles specifications'!$B$3:$CW$166,MATCH('lci-kick scooter - NMC'!B98,'vehicles specifications'!$A$3:$A$166,0),MATCH("Oxydation energy stored [kWh]",'vehicles specifications'!$B$2:$CW$2,0))</f>
        <v>0</v>
      </c>
    </row>
    <row r="115" spans="1:8" x14ac:dyDescent="0.2">
      <c r="A115" t="s">
        <v>139</v>
      </c>
      <c r="B115">
        <f>INDEX('vehicles specifications'!$B$3:$CW$166,MATCH('lci-kick scooter - NMC'!B98,'vehicles specifications'!$A$3:$A$166,0),MATCH("Fuel mass [kg]",'vehicles specifications'!$B$2:$CW$2,0))</f>
        <v>0</v>
      </c>
    </row>
    <row r="116" spans="1:8" x14ac:dyDescent="0.2">
      <c r="A116" t="s">
        <v>136</v>
      </c>
      <c r="B116">
        <f>INDEX('vehicles specifications'!$B$3:$CW$166,MATCH('lci-kick scooter - NMC'!B98,'vehicles specifications'!$A$3:$A$166,0),MATCH("Range [km]",'vehicles specifications'!$B$2:$CW$2,0))</f>
        <v>13.375700934579442</v>
      </c>
    </row>
    <row r="117" spans="1:8" x14ac:dyDescent="0.2">
      <c r="A117" t="s">
        <v>137</v>
      </c>
      <c r="B117" t="str">
        <f>INDEX('vehicles specifications'!$B$3:$CW$166,MATCH('lci-kick scooter - NMC'!B98,'vehicles specifications'!$A$3:$A$166,0),MATCH("Emission standard",'vehicles specifications'!$B$2:$CW$2,0))</f>
        <v>None</v>
      </c>
    </row>
    <row r="118" spans="1:8" x14ac:dyDescent="0.2">
      <c r="A118" t="s">
        <v>1174</v>
      </c>
      <c r="B118" s="6">
        <f>INDEX('vehicles specifications'!$B$3:$CW$166,MATCH('lci-kick scooter - NMC'!B98,'vehicles specifications'!$A$3:$A$166,0),MATCH("Lightweighting rate [%]",'vehicles specifications'!$B$2:$CW$2,0))</f>
        <v>0.05</v>
      </c>
    </row>
    <row r="119" spans="1:8" x14ac:dyDescent="0.2">
      <c r="A119" t="s">
        <v>485</v>
      </c>
      <c r="B119" s="6" t="s">
        <v>486</v>
      </c>
    </row>
    <row r="120" spans="1:8" x14ac:dyDescent="0.2">
      <c r="A120" t="s">
        <v>487</v>
      </c>
      <c r="B120" s="2">
        <v>15900</v>
      </c>
    </row>
    <row r="121" spans="1:8" x14ac:dyDescent="0.2">
      <c r="A121" t="s">
        <v>488</v>
      </c>
      <c r="B121" s="2">
        <v>1000</v>
      </c>
    </row>
    <row r="122" spans="1:8" x14ac:dyDescent="0.2">
      <c r="A122" t="s">
        <v>83</v>
      </c>
      <c r="B122" t="str">
        <f>"Power: "&amp;B109&amp;" kW. Lifetime: "&amp;B103&amp;" km. Annual kilometers: "&amp;ROUND(B107,0)&amp;" km. Number of passengers: "&amp;ROUND(B104,1)&amp;". Curb mass: "&amp;ROUND(B108,1)&amp;" kg. Lightweighting of glider: "&amp;ROUND(B118*100,0)&amp;"%. Emission standard: "&amp;B117&amp;". Service visits throughout lifetime: "&amp;ROUND(B105,1)&amp;". Range: "&amp;ROUND(B116,0)&amp;" km. Battery capacity: "&amp;ROUND(B112,1)&amp;" kWh. Available battery capacity: "&amp;B113&amp;" kWh. Battery mass: "&amp;ROUND(B111,1)&amp; " kg. Battery replacement throughout lifetime: "&amp;ROUND(B106,1)&amp;". Fuel tank capacity: "&amp;ROUND(B114,1)&amp;" kWh. Fuel mass: "&amp;ROUND(B115,1)&amp;" kg. Origin of manufacture: "&amp;B119&amp;". Shipping distance: "&amp;B120&amp;" km. Lorry distribution distance: "&amp;B121&amp;" km. Documentation: "&amp;Readmefirst!$B$2&amp;", "&amp;Readmefirst!$B$3&amp;". "&amp;'lci-kick scooter - NMC'!B102</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23" spans="1:8" ht="16" x14ac:dyDescent="0.2">
      <c r="A123" s="10" t="s">
        <v>79</v>
      </c>
    </row>
    <row r="124" spans="1:8" x14ac:dyDescent="0.2">
      <c r="A124" t="s">
        <v>80</v>
      </c>
      <c r="B124" t="s">
        <v>81</v>
      </c>
      <c r="C124" t="s">
        <v>72</v>
      </c>
      <c r="D124" t="s">
        <v>76</v>
      </c>
      <c r="E124" t="s">
        <v>82</v>
      </c>
      <c r="F124" t="s">
        <v>74</v>
      </c>
      <c r="G124" t="s">
        <v>83</v>
      </c>
      <c r="H124" t="s">
        <v>73</v>
      </c>
    </row>
    <row r="125" spans="1:8" x14ac:dyDescent="0.2">
      <c r="A125" t="str">
        <f>B93</f>
        <v>Kick Scooter, electric, &lt;1kW, NMC battery, 2040</v>
      </c>
      <c r="B125">
        <v>1</v>
      </c>
      <c r="C125" t="str">
        <f>B94</f>
        <v>CH</v>
      </c>
      <c r="D125" t="str">
        <f>B101</f>
        <v>unit</v>
      </c>
      <c r="F125" t="s">
        <v>84</v>
      </c>
      <c r="G125" t="s">
        <v>85</v>
      </c>
      <c r="H125" t="str">
        <f>B99</f>
        <v>Kick Scooter, electric, &lt;1kW</v>
      </c>
    </row>
    <row r="126" spans="1:8" x14ac:dyDescent="0.2">
      <c r="A126" t="str">
        <f>INDEX('ei names mapping'!$B$4:$R$33,MATCH('lci-kick scooter - NMC'!$B$5,'ei names mapping'!$A$4:$A$33,0),MATCH('lci-kick scooter - NMC'!$G126,'ei names mapping'!$B$3:$R$3,0))</f>
        <v>bicycle production</v>
      </c>
      <c r="B126" s="4">
        <f>INDEX('vehicles specifications'!$B$3:$CW$166,MATCH(B98,'vehicles specifications'!$A$3:$A$166,0),MATCH(G126,'vehicles specifications'!$B$2:$CW$2,0))*INDEX('ei names mapping'!$B$137:$BL$300,MATCH(B98,'ei names mapping'!$A$137:$A$300,0),MATCH(G126,'ei names mapping'!$B$136:$BL$136,0))</f>
        <v>0.41176470588235292</v>
      </c>
      <c r="C126" t="str">
        <f>INDEX('ei names mapping'!$B$38:$R$67,MATCH('lci-kick scooter - NMC'!$B$5,'ei names mapping'!$A$4:$A$33,0),MATCH('lci-kick scooter - NMC'!$G126,'ei names mapping'!$B$3:$R$3,0))</f>
        <v>RER</v>
      </c>
      <c r="D126" t="str">
        <f>INDEX('ei names mapping'!$B$104:$R$133,MATCH('lci-kick scooter - NMC'!$B$5,'ei names mapping'!$A$4:$A$33,0),MATCH('lci-kick scooter - NMC'!$G126,'ei names mapping'!$B$3:$R$3,0))</f>
        <v>unit</v>
      </c>
      <c r="F126" t="s">
        <v>89</v>
      </c>
      <c r="G126" t="s">
        <v>15</v>
      </c>
      <c r="H126" t="str">
        <f>INDEX('ei names mapping'!$B$71:$R$100,MATCH('lci-kick scooter - NMC'!$B$5,'ei names mapping'!$A$4:$A$33,0),MATCH('lci-kick scooter - NMC'!$G126,'ei names mapping'!$B$3:$R$3,0))</f>
        <v>bicycle</v>
      </c>
    </row>
    <row r="127" spans="1:8" x14ac:dyDescent="0.2">
      <c r="A127" t="str">
        <f>INDEX('ei names mapping'!$B$4:$R$33,MATCH('lci-kick scooter - NMC'!$B$5,'ei names mapping'!$A$4:$A$33,0),MATCH('lci-kick scooter - NMC'!$G127,'ei names mapping'!$B$3:$R$3,0))</f>
        <v>market for electric motor, vehicle</v>
      </c>
      <c r="B127" s="4">
        <f>INDEX('vehicles specifications'!$B$3:$CW$166,MATCH(B98,'vehicles specifications'!$A$3:$A$166,0),MATCH(G127,'vehicles specifications'!$B$2:$CW$2,0))*INDEX('ei names mapping'!$B$137:$BL$300,MATCH(B98,'ei names mapping'!$A$137:$A$300,0),MATCH(G127,'ei names mapping'!$B$136:$BL$136,0))</f>
        <v>2.8</v>
      </c>
      <c r="C127" t="str">
        <f>INDEX('ei names mapping'!$B$38:$R$67,MATCH('lci-kick scooter - NMC'!$B$5,'ei names mapping'!$A$4:$A$33,0),MATCH('lci-kick scooter - NMC'!$G127,'ei names mapping'!$B$3:$R$3,0))</f>
        <v>GLO</v>
      </c>
      <c r="D127" t="str">
        <f>INDEX('ei names mapping'!$B$104:$R$133,MATCH('lci-kick scooter - NMC'!$B$5,'ei names mapping'!$A$4:$A$33,0),MATCH('lci-kick scooter - NMC'!$G127,'ei names mapping'!$B$3:$R$3,0))</f>
        <v>kilogram</v>
      </c>
      <c r="F127" t="s">
        <v>89</v>
      </c>
      <c r="G127" t="s">
        <v>501</v>
      </c>
      <c r="H127" t="str">
        <f>INDEX('ei names mapping'!$B$71:$R$100,MATCH('lci-kick scooter - NMC'!$B$5,'ei names mapping'!$A$4:$A$33,0),MATCH('lci-kick scooter - NMC'!$G127,'ei names mapping'!$B$3:$R$3,0))</f>
        <v>electric motor, vehicle</v>
      </c>
    </row>
    <row r="128" spans="1:8" x14ac:dyDescent="0.2">
      <c r="A128" t="str">
        <f>INDEX('ei names mapping'!$B$4:$R$33,MATCH(B95,'ei names mapping'!$A$4:$A$33,0),MATCH(G128,'ei names mapping'!$B$3:$R$3,0))</f>
        <v>Glider lightweighting</v>
      </c>
      <c r="B128" s="11">
        <f>INDEX('vehicles specifications'!$B$3:$CW$166,MATCH(B98,'vehicles specifications'!$A$3:$A$166,0),MATCH(G128,'vehicles specifications'!$B$2:$CW$2,0))*INDEX('ei names mapping'!$B$137:$BL$300,MATCH(B98,'ei names mapping'!$A$137:$A$300,0),MATCH(G128,'ei names mapping'!$B$136:$BL$136,0))</f>
        <v>0.35000000000000003</v>
      </c>
      <c r="C128" t="str">
        <f>INDEX('ei names mapping'!$B$38:$R$67,MATCH(B95,'ei names mapping'!$A$4:$A$33,0),MATCH(G128,'ei names mapping'!$B$3:$R$3,0))</f>
        <v>GLO</v>
      </c>
      <c r="D128" t="str">
        <f>INDEX('ei names mapping'!$B$104:$R$133,MATCH(B95,'ei names mapping'!$A$4:$A$33,0),MATCH(G128,'ei names mapping'!$B$3:$R$3,0))</f>
        <v>kilogram</v>
      </c>
      <c r="F128" t="s">
        <v>89</v>
      </c>
      <c r="G128" t="s">
        <v>14</v>
      </c>
      <c r="H128" t="str">
        <f>INDEX('ei names mapping'!$B$71:$R$100,MATCH(B95,'ei names mapping'!$A$4:$A$33,0),MATCH(G128,'ei names mapping'!$B$3:$R$3,0))</f>
        <v>Glider lightweighting</v>
      </c>
    </row>
    <row r="129" spans="1:8" x14ac:dyDescent="0.2">
      <c r="A129" t="str">
        <f>INDEX('ei names mapping'!$B$4:$R$33,MATCH('lci-kick scooter - NMC'!$B$5,'ei names mapping'!$A$4:$A$33,0),MATCH('lci-kick scooter - NMC'!$G129,'ei names mapping'!$B$3:$R$3,0))</f>
        <v>Battery cell, NMC-622</v>
      </c>
      <c r="B129" s="4">
        <f>INDEX('vehicles specifications'!$B$3:$CW$166,MATCH(B98,'vehicles specifications'!$A$3:$A$166,0),MATCH(G129,'vehicles specifications'!$B$2:$CW$2,0))*INDEX('ei names mapping'!$B$137:$BL$300,MATCH(B98,'ei names mapping'!$A$137:$A$300,0),MATCH(G129,'ei names mapping'!$B$136:$BL$136,0))</f>
        <v>1</v>
      </c>
      <c r="C129" t="str">
        <f>INDEX('ei names mapping'!$B$38:$R$67,MATCH('lci-kick scooter - NMC'!$B$5,'ei names mapping'!$A$4:$A$33,0),MATCH('lci-kick scooter - NMC'!$G129,'ei names mapping'!$B$3:$R$3,0))</f>
        <v>GLO</v>
      </c>
      <c r="D129" t="str">
        <f>INDEX('ei names mapping'!$B$104:$R$133,MATCH('lci-kick scooter - NMC'!$B$5,'ei names mapping'!$A$4:$A$33,0),MATCH('lci-kick scooter - NMC'!$G129,'ei names mapping'!$B$3:$R$3,0))</f>
        <v>kilogram</v>
      </c>
      <c r="F129" t="s">
        <v>89</v>
      </c>
      <c r="G129" t="s">
        <v>19</v>
      </c>
      <c r="H129" t="str">
        <f>INDEX('ei names mapping'!$B$71:$R$100,MATCH('lci-kick scooter - NMC'!$B$5,'ei names mapping'!$A$4:$A$33,0),MATCH('lci-kick scooter - NMC'!$G129,'ei names mapping'!$B$3:$R$3,0))</f>
        <v>Battery cell</v>
      </c>
    </row>
    <row r="130" spans="1:8" x14ac:dyDescent="0.2">
      <c r="A130" t="str">
        <f>INDEX('ei names mapping'!$B$4:$R$33,MATCH('lci-kick scooter - NMC'!$B$5,'ei names mapping'!$A$4:$A$33,0),MATCH('lci-kick scooter - NMC'!$G130,'ei names mapping'!$B$3:$R$3,0))</f>
        <v>Battery BoP</v>
      </c>
      <c r="B130" s="4">
        <f>INDEX('vehicles specifications'!$B$3:$CW$166,MATCH(B98,'vehicles specifications'!$A$3:$A$166,0),MATCH(G130,'vehicles specifications'!$B$2:$CW$2,0))*INDEX('ei names mapping'!$B$137:$BL$300,MATCH(B98,'ei names mapping'!$A$137:$A$300,0),MATCH(G130,'ei names mapping'!$B$136:$BL$136,0))</f>
        <v>0.3</v>
      </c>
      <c r="C130" t="str">
        <f>INDEX('ei names mapping'!$B$38:$R$67,MATCH('lci-kick scooter - NMC'!$B$5,'ei names mapping'!$A$4:$A$33,0),MATCH('lci-kick scooter - NMC'!$G130,'ei names mapping'!$B$3:$R$3,0))</f>
        <v>GLO</v>
      </c>
      <c r="D130" t="str">
        <f>INDEX('ei names mapping'!$B$104:$R$133,MATCH('lci-kick scooter - NMC'!$B$5,'ei names mapping'!$A$4:$A$33,0),MATCH('lci-kick scooter - NMC'!$G130,'ei names mapping'!$B$3:$R$3,0))</f>
        <v>kilogram</v>
      </c>
      <c r="F130" t="s">
        <v>89</v>
      </c>
      <c r="G130" t="s">
        <v>20</v>
      </c>
      <c r="H130" t="str">
        <f>INDEX('ei names mapping'!$B$71:$R$100,MATCH('lci-kick scooter - NMC'!$B$5,'ei names mapping'!$A$4:$A$33,0),MATCH('lci-kick scooter - NMC'!$G130,'ei names mapping'!$B$3:$R$3,0))</f>
        <v>Battery BoP</v>
      </c>
    </row>
    <row r="131" spans="1:8" x14ac:dyDescent="0.2">
      <c r="A131" t="str">
        <f>INDEX('ei names mapping'!$B$4:$R$33,MATCH('lci-kick scooter - NMC'!$B$5,'ei names mapping'!$A$4:$A$33,0),MATCH('lci-kick scooter - NMC'!$G131,'ei names mapping'!$B$3:$R$3,0))</f>
        <v>charging station, 100W</v>
      </c>
      <c r="B131" s="4">
        <f>INDEX('vehicles specifications'!$B$3:$CW$166,MATCH(B98,'vehicles specifications'!$A$3:$A$166,0),MATCH(G131,'vehicles specifications'!$B$2:$CW$2,0))*INDEX('ei names mapping'!$B$137:$BL$300,MATCH(B98,'ei names mapping'!$A$137:$A$300,0),MATCH(G131,'ei names mapping'!$B$136:$BL$136,0))</f>
        <v>1</v>
      </c>
      <c r="C131" t="str">
        <f>INDEX('ei names mapping'!$B$38:$R$67,MATCH('lci-kick scooter - NMC'!$B$5,'ei names mapping'!$A$4:$A$33,0),MATCH('lci-kick scooter - NMC'!$G131,'ei names mapping'!$B$3:$R$3,0))</f>
        <v>GLO</v>
      </c>
      <c r="D131" t="str">
        <f>INDEX('ei names mapping'!$B$104:$R$133,MATCH('lci-kick scooter - NMC'!$B$5,'ei names mapping'!$A$4:$A$33,0),MATCH('lci-kick scooter - NMC'!$G131,'ei names mapping'!$B$3:$R$3,0))</f>
        <v>unit</v>
      </c>
      <c r="F131" t="s">
        <v>89</v>
      </c>
      <c r="G131" t="s">
        <v>52</v>
      </c>
      <c r="H131" t="str">
        <f>INDEX('ei names mapping'!$B$71:$R$100,MATCH('lci-kick scooter - NMC'!$B$5,'ei names mapping'!$A$4:$A$33,0),MATCH('lci-kick scooter - NMC'!$G131,'ei names mapping'!$B$3:$R$3,0))</f>
        <v>charging station, 100W</v>
      </c>
    </row>
    <row r="132" spans="1:8" x14ac:dyDescent="0.2">
      <c r="A132" t="str">
        <f>INDEX('ei names mapping'!$B$4:$R$33,MATCH('lci-kick scooter - NMC'!$B$5,'ei names mapping'!$A$4:$A$33,0),MATCH('lci-kick scooter - NMC'!$G132,'ei names mapping'!$B$3:$R$3,0))</f>
        <v>treatment of used electric bicycle</v>
      </c>
      <c r="B132" s="4">
        <f>INDEX('vehicles specifications'!$B$3:$CW$166,MATCH(B98,'vehicles specifications'!$A$3:$A$166,0),MATCH(G132,'vehicles specifications'!$B$2:$CW$2,0))*INDEX('ei names mapping'!$B$137:$BL$300,MATCH(B98,'ei names mapping'!$A$137:$A$300,0),MATCH(G132,'ei names mapping'!$B$136:$BL$136,0))</f>
        <v>-0.11666666666666665</v>
      </c>
      <c r="C132" t="str">
        <f>INDEX('ei names mapping'!$B$38:$R$67,MATCH('lci-kick scooter - NMC'!$B$5,'ei names mapping'!$A$4:$A$33,0),MATCH('lci-kick scooter - NMC'!$G132,'ei names mapping'!$B$3:$R$3,0))</f>
        <v>CH</v>
      </c>
      <c r="D132" t="str">
        <f>INDEX('ei names mapping'!$B$104:$R$133,MATCH('lci-kick scooter - NMC'!$B$5,'ei names mapping'!$A$4:$A$33,0),MATCH('lci-kick scooter - NMC'!$G132,'ei names mapping'!$B$3:$R$3,0))</f>
        <v>unit</v>
      </c>
      <c r="F132" t="s">
        <v>89</v>
      </c>
      <c r="G132" t="s">
        <v>145</v>
      </c>
      <c r="H132" t="str">
        <f>INDEX('ei names mapping'!$B$71:$R$100,MATCH('lci-kick scooter - NMC'!$B$5,'ei names mapping'!$A$4:$A$33,0),MATCH('lci-kick scooter - NMC'!$G132,'ei names mapping'!$B$3:$R$3,0))</f>
        <v>used electric bicycle</v>
      </c>
    </row>
    <row r="133" spans="1:8" x14ac:dyDescent="0.2">
      <c r="A133" t="str">
        <f>INDEX('ei names mapping'!$B$4:$R$33,MATCH('lci-kick scooter - NMC'!$B$5,'ei names mapping'!$A$4:$A$33,0),MATCH('lci-kick scooter - NMC'!$G133,'ei names mapping'!$B$3:$R$3,0))</f>
        <v>treatment of used bicycle</v>
      </c>
      <c r="B133" s="4">
        <f>INDEX('vehicles specifications'!$B$3:$CW$166,MATCH(B98,'vehicles specifications'!$A$3:$A$166,0),MATCH(G133,'vehicles specifications'!$B$2:$CW$2,0))*INDEX('ei names mapping'!$B$137:$BL$300,MATCH(B98,'ei names mapping'!$A$137:$A$300,0),MATCH(G133,'ei names mapping'!$B$136:$BL$136,0))</f>
        <v>-0.39117647058823524</v>
      </c>
      <c r="C133" t="str">
        <f>INDEX('ei names mapping'!$B$38:$R$67,MATCH('lci-kick scooter - NMC'!$B$5,'ei names mapping'!$A$4:$A$33,0),MATCH('lci-kick scooter - NMC'!$G133,'ei names mapping'!$B$3:$R$3,0))</f>
        <v>CH</v>
      </c>
      <c r="D133" t="str">
        <f>INDEX('ei names mapping'!$B$104:$R$133,MATCH('lci-kick scooter - NMC'!$B$5,'ei names mapping'!$A$4:$A$33,0),MATCH('lci-kick scooter - NMC'!$G133,'ei names mapping'!$B$3:$R$3,0))</f>
        <v>unit</v>
      </c>
      <c r="F133" t="s">
        <v>89</v>
      </c>
      <c r="G133" t="s">
        <v>144</v>
      </c>
      <c r="H133" t="str">
        <f>INDEX('ei names mapping'!$B$71:$R$100,MATCH('lci-kick scooter - NMC'!$B$5,'ei names mapping'!$A$4:$A$33,0),MATCH('lci-kick scooter - NMC'!$G133,'ei names mapping'!$B$3:$R$3,0))</f>
        <v>used bicycle</v>
      </c>
    </row>
    <row r="134" spans="1:8" x14ac:dyDescent="0.2">
      <c r="A134" t="str">
        <f>INDEX('ei names mapping'!$B$4:$R$33,MATCH('lci-kick scooter - NMC'!$B$5,'ei names mapping'!$A$4:$A$33,0),MATCH('lci-kick scooter - NMC'!$G134,'ei names mapping'!$B$3:$R$3,0))</f>
        <v>market for used Li-ion battery</v>
      </c>
      <c r="B134" s="4">
        <f>INDEX('vehicles specifications'!$B$3:$CW$166,MATCH(B98,'vehicles specifications'!$A$3:$A$166,0),MATCH(G134,'vehicles specifications'!$B$2:$CW$2,0))*INDEX('ei names mapping'!$B$137:$BL$300,MATCH(B98,'ei names mapping'!$A$137:$A$300,0),MATCH(G134,'ei names mapping'!$B$136:$BL$136,0))</f>
        <v>-1.3</v>
      </c>
      <c r="C134" t="str">
        <f>INDEX('ei names mapping'!$B$38:$R$67,MATCH('lci-kick scooter - NMC'!$B$5,'ei names mapping'!$A$4:$A$33,0),MATCH('lci-kick scooter - NMC'!$G134,'ei names mapping'!$B$3:$R$3,0))</f>
        <v>GLO</v>
      </c>
      <c r="D134" t="str">
        <f>INDEX('ei names mapping'!$B$104:$R$133,MATCH('lci-kick scooter - NMC'!$B$5,'ei names mapping'!$A$4:$A$33,0),MATCH('lci-kick scooter - NMC'!$G134,'ei names mapping'!$B$3:$R$3,0))</f>
        <v>kilogram</v>
      </c>
      <c r="F134" t="s">
        <v>89</v>
      </c>
      <c r="G134" t="s">
        <v>146</v>
      </c>
      <c r="H134" t="str">
        <f>INDEX('ei names mapping'!$B$71:$R$100,MATCH('lci-kick scooter - NMC'!$B$5,'ei names mapping'!$A$4:$A$33,0),MATCH('lci-kick scooter - NMC'!$G134,'ei names mapping'!$B$3:$R$3,0))</f>
        <v>used Li-ion battery</v>
      </c>
    </row>
    <row r="135" spans="1:8" x14ac:dyDescent="0.2">
      <c r="A135" s="13" t="s">
        <v>840</v>
      </c>
      <c r="B135">
        <f>(B108/1000)*B121</f>
        <v>10.75</v>
      </c>
      <c r="C135" t="s">
        <v>92</v>
      </c>
      <c r="D135" t="s">
        <v>233</v>
      </c>
      <c r="F135" t="s">
        <v>89</v>
      </c>
      <c r="H135" s="13" t="s">
        <v>841</v>
      </c>
    </row>
    <row r="136" spans="1:8" x14ac:dyDescent="0.2">
      <c r="A136" s="13" t="s">
        <v>441</v>
      </c>
      <c r="B136" s="2">
        <f>(B108/1000)*B120</f>
        <v>170.92499999999998</v>
      </c>
      <c r="C136" t="s">
        <v>95</v>
      </c>
      <c r="D136" t="s">
        <v>233</v>
      </c>
      <c r="F136" t="s">
        <v>89</v>
      </c>
      <c r="H136" s="13" t="s">
        <v>441</v>
      </c>
    </row>
    <row r="137" spans="1:8" x14ac:dyDescent="0.2">
      <c r="B137" s="6"/>
    </row>
    <row r="138" spans="1:8" ht="16" x14ac:dyDescent="0.2">
      <c r="A138" s="10" t="s">
        <v>71</v>
      </c>
      <c r="B138" s="8" t="str">
        <f>B140&amp;", "&amp;B155&amp;" battery, "&amp;B142</f>
        <v>Kick Scooter, electric, &lt;1kW, NMC battery, 2050</v>
      </c>
    </row>
    <row r="139" spans="1:8" x14ac:dyDescent="0.2">
      <c r="A139" t="s">
        <v>72</v>
      </c>
      <c r="B139" t="s">
        <v>37</v>
      </c>
    </row>
    <row r="140" spans="1:8" x14ac:dyDescent="0.2">
      <c r="A140" t="s">
        <v>86</v>
      </c>
      <c r="B140" t="s">
        <v>618</v>
      </c>
    </row>
    <row r="141" spans="1:8" x14ac:dyDescent="0.2">
      <c r="A141" t="s">
        <v>87</v>
      </c>
    </row>
    <row r="142" spans="1:8" x14ac:dyDescent="0.2">
      <c r="A142" t="s">
        <v>88</v>
      </c>
      <c r="B142">
        <v>2050</v>
      </c>
    </row>
    <row r="143" spans="1:8" x14ac:dyDescent="0.2">
      <c r="A143" t="s">
        <v>126</v>
      </c>
      <c r="B143" t="str">
        <f>B140&amp;" - "&amp;B142&amp;" - "&amp;B155&amp;" - "&amp;B139</f>
        <v>Kick Scooter, electric, &lt;1kW - 2050 - NMC - CH</v>
      </c>
    </row>
    <row r="144" spans="1:8" x14ac:dyDescent="0.2">
      <c r="A144" t="s">
        <v>73</v>
      </c>
      <c r="B144" t="str">
        <f>B140</f>
        <v>Kick Scooter, electric, &lt;1kW</v>
      </c>
    </row>
    <row r="145" spans="1:2" x14ac:dyDescent="0.2">
      <c r="A145" t="s">
        <v>74</v>
      </c>
      <c r="B145" t="s">
        <v>75</v>
      </c>
    </row>
    <row r="146" spans="1:2" x14ac:dyDescent="0.2">
      <c r="A146" t="s">
        <v>76</v>
      </c>
      <c r="B146" t="s">
        <v>76</v>
      </c>
    </row>
    <row r="147" spans="1:2" x14ac:dyDescent="0.2">
      <c r="A147" t="s">
        <v>78</v>
      </c>
      <c r="B147" t="s">
        <v>1143</v>
      </c>
    </row>
    <row r="148" spans="1:2" x14ac:dyDescent="0.2">
      <c r="A148" t="s">
        <v>127</v>
      </c>
      <c r="B148">
        <f>INDEX('vehicles specifications'!$B$3:$CW$166,MATCH('lci-kick scooter - NMC'!B143,'vehicles specifications'!$A$3:$A$166,0),MATCH("Lifetime [km]",'vehicles specifications'!$B$2:$CW$2,0))</f>
        <v>1785</v>
      </c>
    </row>
    <row r="149" spans="1:2" x14ac:dyDescent="0.2">
      <c r="A149" t="s">
        <v>128</v>
      </c>
      <c r="B149">
        <f>INDEX('vehicles specifications'!$B$3:$CW$166,MATCH('lci-kick scooter - NMC'!B143,'vehicles specifications'!$A$3:$A$166,0),MATCH("Passengers [unit]",'vehicles specifications'!$B$2:$CW$2,0))</f>
        <v>1</v>
      </c>
    </row>
    <row r="150" spans="1:2" x14ac:dyDescent="0.2">
      <c r="A150" t="s">
        <v>129</v>
      </c>
      <c r="B150">
        <f>INDEX('vehicles specifications'!$B$3:$CW$166,MATCH('lci-kick scooter - NMC'!B143,'vehicles specifications'!$A$3:$A$166,0),MATCH("Servicing [unit]",'vehicles specifications'!$B$2:$CW$2,0))</f>
        <v>0</v>
      </c>
    </row>
    <row r="151" spans="1:2" x14ac:dyDescent="0.2">
      <c r="A151" t="s">
        <v>130</v>
      </c>
      <c r="B151">
        <f>INDEX('vehicles specifications'!$B$3:$CW$166,MATCH('lci-kick scooter - NMC'!B143,'vehicles specifications'!$A$3:$A$166,0),MATCH("Energy battery replacement [unit]",'vehicles specifications'!$B$2:$CW$2,0))</f>
        <v>0</v>
      </c>
    </row>
    <row r="152" spans="1:2" x14ac:dyDescent="0.2">
      <c r="A152" t="s">
        <v>131</v>
      </c>
      <c r="B152">
        <f>INDEX('vehicles specifications'!$B$3:$CW$166,MATCH('lci-kick scooter - NMC'!B143,'vehicles specifications'!$A$3:$A$166,0),MATCH("Annual kilometers [km]",'vehicles specifications'!$B$2:$CW$2,0))</f>
        <v>890</v>
      </c>
    </row>
    <row r="153" spans="1:2" x14ac:dyDescent="0.2">
      <c r="A153" t="s">
        <v>132</v>
      </c>
      <c r="B153">
        <f>INDEX('vehicles specifications'!$B$3:$CW$166,MATCH('lci-kick scooter - NMC'!B143,'vehicles specifications'!$A$3:$A$166,0),MATCH("Curb mass [kg]",'vehicles specifications'!$B$2:$CW$2,0))</f>
        <v>10.510000000000002</v>
      </c>
    </row>
    <row r="154" spans="1:2" x14ac:dyDescent="0.2">
      <c r="A154" t="s">
        <v>133</v>
      </c>
      <c r="B154">
        <f>INDEX('vehicles specifications'!$B$3:$CW$166,MATCH('lci-kick scooter - NMC'!B143,'vehicles specifications'!$A$3:$A$166,0),MATCH("Power [kW]",'vehicles specifications'!$B$2:$CW$2,0))</f>
        <v>0.25</v>
      </c>
    </row>
    <row r="155" spans="1:2" x14ac:dyDescent="0.2">
      <c r="A155" t="s">
        <v>652</v>
      </c>
      <c r="B155" t="s">
        <v>43</v>
      </c>
    </row>
    <row r="156" spans="1:2" x14ac:dyDescent="0.2">
      <c r="A156" t="s">
        <v>134</v>
      </c>
      <c r="B156">
        <f>INDEX('vehicles specifications'!$B$3:$CW$166,MATCH('lci-kick scooter - NMC'!B143,'vehicles specifications'!$A$3:$A$166,0),MATCH("Energy battery mass [kg]",'vehicles specifications'!$B$2:$CW$2,0))</f>
        <v>1.3</v>
      </c>
    </row>
    <row r="157" spans="1:2" x14ac:dyDescent="0.2">
      <c r="A157" t="s">
        <v>135</v>
      </c>
      <c r="B157">
        <f>INDEX('vehicles specifications'!$B$3:$CW$166,MATCH('lci-kick scooter - NMC'!B143,'vehicles specifications'!$A$3:$A$166,0),MATCH("Electric energy stored [kWh]",'vehicles specifications'!$B$2:$CW$2,0))</f>
        <v>0.5</v>
      </c>
    </row>
    <row r="158" spans="1:2" x14ac:dyDescent="0.2">
      <c r="A158" t="s">
        <v>588</v>
      </c>
      <c r="B158">
        <f>INDEX('vehicles specifications'!$B$3:$CW$166,MATCH('lci-kick scooter - NMC'!B143,'vehicles specifications'!$A$3:$A$166,0),MATCH("Electric energy available [kWh]",'vehicles specifications'!$B$2:$CW$2,0))</f>
        <v>0.4</v>
      </c>
    </row>
    <row r="159" spans="1:2" x14ac:dyDescent="0.2">
      <c r="A159" t="s">
        <v>138</v>
      </c>
      <c r="B159">
        <f>INDEX('vehicles specifications'!$B$3:$CW$166,MATCH('lci-kick scooter - NMC'!B143,'vehicles specifications'!$A$3:$A$166,0),MATCH("Oxydation energy stored [kWh]",'vehicles specifications'!$B$2:$CW$2,0))</f>
        <v>0</v>
      </c>
    </row>
    <row r="160" spans="1:2" x14ac:dyDescent="0.2">
      <c r="A160" t="s">
        <v>139</v>
      </c>
      <c r="B160">
        <f>INDEX('vehicles specifications'!$B$3:$CW$166,MATCH('lci-kick scooter - NMC'!B143,'vehicles specifications'!$A$3:$A$166,0),MATCH("Fuel mass [kg]",'vehicles specifications'!$B$2:$CW$2,0))</f>
        <v>0</v>
      </c>
    </row>
    <row r="161" spans="1:8" x14ac:dyDescent="0.2">
      <c r="A161" t="s">
        <v>136</v>
      </c>
      <c r="B161">
        <f>INDEX('vehicles specifications'!$B$3:$CW$166,MATCH('lci-kick scooter - NMC'!B143,'vehicles specifications'!$A$3:$A$166,0),MATCH("Range [km]",'vehicles specifications'!$B$2:$CW$2,0))</f>
        <v>16.719626168224298</v>
      </c>
    </row>
    <row r="162" spans="1:8" x14ac:dyDescent="0.2">
      <c r="A162" t="s">
        <v>137</v>
      </c>
      <c r="B162" t="str">
        <f>INDEX('vehicles specifications'!$B$3:$CW$166,MATCH('lci-kick scooter - NMC'!B143,'vehicles specifications'!$A$3:$A$166,0),MATCH("Emission standard",'vehicles specifications'!$B$2:$CW$2,0))</f>
        <v>None</v>
      </c>
    </row>
    <row r="163" spans="1:8" x14ac:dyDescent="0.2">
      <c r="A163" t="s">
        <v>1174</v>
      </c>
      <c r="B163" s="6">
        <f>INDEX('vehicles specifications'!$B$3:$CW$166,MATCH('lci-kick scooter - NMC'!B143,'vehicles specifications'!$A$3:$A$166,0),MATCH("Lightweighting rate [%]",'vehicles specifications'!$B$2:$CW$2,0))</f>
        <v>7.0000000000000007E-2</v>
      </c>
    </row>
    <row r="164" spans="1:8" x14ac:dyDescent="0.2">
      <c r="A164" t="s">
        <v>485</v>
      </c>
      <c r="B164" s="6" t="s">
        <v>486</v>
      </c>
    </row>
    <row r="165" spans="1:8" x14ac:dyDescent="0.2">
      <c r="A165" t="s">
        <v>487</v>
      </c>
      <c r="B165" s="2">
        <v>15900</v>
      </c>
    </row>
    <row r="166" spans="1:8" x14ac:dyDescent="0.2">
      <c r="A166" t="s">
        <v>488</v>
      </c>
      <c r="B166" s="2">
        <v>1000</v>
      </c>
    </row>
    <row r="167" spans="1:8" x14ac:dyDescent="0.2">
      <c r="A167" t="s">
        <v>83</v>
      </c>
      <c r="B167" t="str">
        <f>"Power: "&amp;B154&amp;" kW. Lifetime: "&amp;B148&amp;" km. Annual kilometers: "&amp;ROUND(B152,0)&amp;" km. Number of passengers: "&amp;ROUND(B149,1)&amp;". Curb mass: "&amp;ROUND(B153,1)&amp;" kg. Lightweighting of glider: "&amp;ROUND(B163*100,0)&amp;"%. Emission standard: "&amp;B162&amp;". Service visits throughout lifetime: "&amp;ROUND(B150,1)&amp;". Range: "&amp;ROUND(B161,0)&amp;" km. Battery capacity: "&amp;ROUND(B157,1)&amp;" kWh. Available battery capacity: "&amp;B158&amp;" kWh. Battery mass: "&amp;ROUND(B156,1)&amp; " kg. Battery replacement throughout lifetime: "&amp;ROUND(B151,1)&amp;". Fuel tank capacity: "&amp;ROUND(B159,1)&amp;" kWh. Fuel mass: "&amp;ROUND(B160,1)&amp;" kg. Origin of manufacture: "&amp;B164&amp;". Shipping distance: "&amp;B165&amp;" km. Lorry distribution distance: "&amp;B166&amp;" km. Documentation: "&amp;Readmefirst!$B$2&amp;", "&amp;Readmefirst!$B$3&amp;". "&amp;'lci-kick scooter - NMC'!B147</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v>
      </c>
    </row>
    <row r="168" spans="1:8" ht="16" x14ac:dyDescent="0.2">
      <c r="A168" s="10" t="s">
        <v>79</v>
      </c>
    </row>
    <row r="169" spans="1:8" x14ac:dyDescent="0.2">
      <c r="A169" t="s">
        <v>80</v>
      </c>
      <c r="B169" t="s">
        <v>81</v>
      </c>
      <c r="C169" t="s">
        <v>72</v>
      </c>
      <c r="D169" t="s">
        <v>76</v>
      </c>
      <c r="E169" t="s">
        <v>82</v>
      </c>
      <c r="F169" t="s">
        <v>74</v>
      </c>
      <c r="G169" t="s">
        <v>83</v>
      </c>
      <c r="H169" t="s">
        <v>73</v>
      </c>
    </row>
    <row r="170" spans="1:8" x14ac:dyDescent="0.2">
      <c r="A170" t="str">
        <f>B138</f>
        <v>Kick Scooter, electric, &lt;1kW, NMC battery, 2050</v>
      </c>
      <c r="B170">
        <v>1</v>
      </c>
      <c r="C170" t="str">
        <f>B139</f>
        <v>CH</v>
      </c>
      <c r="D170" t="str">
        <f>B146</f>
        <v>unit</v>
      </c>
      <c r="F170" t="s">
        <v>84</v>
      </c>
      <c r="G170" t="s">
        <v>85</v>
      </c>
      <c r="H170" t="str">
        <f>B144</f>
        <v>Kick Scooter, electric, &lt;1kW</v>
      </c>
    </row>
    <row r="171" spans="1:8" x14ac:dyDescent="0.2">
      <c r="A171" t="str">
        <f>INDEX('ei names mapping'!$B$4:$R$33,MATCH('lci-kick scooter - NMC'!$B$5,'ei names mapping'!$A$4:$A$33,0),MATCH('lci-kick scooter - NMC'!$G171,'ei names mapping'!$B$3:$R$3,0))</f>
        <v>bicycle production</v>
      </c>
      <c r="B171" s="4">
        <f>INDEX('vehicles specifications'!$B$3:$CW$166,MATCH(B143,'vehicles specifications'!$A$3:$A$166,0),MATCH(G171,'vehicles specifications'!$B$2:$CW$2,0))*INDEX('ei names mapping'!$B$137:$BL$300,MATCH(B143,'ei names mapping'!$A$137:$A$300,0),MATCH(G171,'ei names mapping'!$B$136:$BL$136,0))</f>
        <v>0.41176470588235292</v>
      </c>
      <c r="C171" t="str">
        <f>INDEX('ei names mapping'!$B$38:$R$67,MATCH('lci-kick scooter - NMC'!$B$5,'ei names mapping'!$A$4:$A$33,0),MATCH('lci-kick scooter - NMC'!$G171,'ei names mapping'!$B$3:$R$3,0))</f>
        <v>RER</v>
      </c>
      <c r="D171" t="str">
        <f>INDEX('ei names mapping'!$B$104:$R$133,MATCH('lci-kick scooter - NMC'!$B$5,'ei names mapping'!$A$4:$A$33,0),MATCH('lci-kick scooter - NMC'!$G171,'ei names mapping'!$B$3:$R$3,0))</f>
        <v>unit</v>
      </c>
      <c r="F171" t="s">
        <v>89</v>
      </c>
      <c r="G171" t="s">
        <v>15</v>
      </c>
      <c r="H171" t="str">
        <f>INDEX('ei names mapping'!$B$71:$R$100,MATCH('lci-kick scooter - NMC'!$B$5,'ei names mapping'!$A$4:$A$33,0),MATCH('lci-kick scooter - NMC'!$G171,'ei names mapping'!$B$3:$R$3,0))</f>
        <v>bicycle</v>
      </c>
    </row>
    <row r="172" spans="1:8" x14ac:dyDescent="0.2">
      <c r="A172" t="str">
        <f>INDEX('ei names mapping'!$B$4:$R$33,MATCH('lci-kick scooter - NMC'!$B$5,'ei names mapping'!$A$4:$A$33,0),MATCH('lci-kick scooter - NMC'!$G172,'ei names mapping'!$B$3:$R$3,0))</f>
        <v>market for electric motor, vehicle</v>
      </c>
      <c r="B172" s="4">
        <f>INDEX('vehicles specifications'!$B$3:$CW$166,MATCH(B143,'vehicles specifications'!$A$3:$A$166,0),MATCH(G172,'vehicles specifications'!$B$2:$CW$2,0))*INDEX('ei names mapping'!$B$137:$BL$300,MATCH(B143,'ei names mapping'!$A$137:$A$300,0),MATCH(G172,'ei names mapping'!$B$136:$BL$136,0))</f>
        <v>2.7</v>
      </c>
      <c r="C172" t="str">
        <f>INDEX('ei names mapping'!$B$38:$R$67,MATCH('lci-kick scooter - NMC'!$B$5,'ei names mapping'!$A$4:$A$33,0),MATCH('lci-kick scooter - NMC'!$G172,'ei names mapping'!$B$3:$R$3,0))</f>
        <v>GLO</v>
      </c>
      <c r="D172" t="str">
        <f>INDEX('ei names mapping'!$B$104:$R$133,MATCH('lci-kick scooter - NMC'!$B$5,'ei names mapping'!$A$4:$A$33,0),MATCH('lci-kick scooter - NMC'!$G172,'ei names mapping'!$B$3:$R$3,0))</f>
        <v>kilogram</v>
      </c>
      <c r="F172" t="s">
        <v>89</v>
      </c>
      <c r="G172" t="s">
        <v>501</v>
      </c>
      <c r="H172" t="str">
        <f>INDEX('ei names mapping'!$B$71:$R$100,MATCH('lci-kick scooter - NMC'!$B$5,'ei names mapping'!$A$4:$A$33,0),MATCH('lci-kick scooter - NMC'!$G172,'ei names mapping'!$B$3:$R$3,0))</f>
        <v>electric motor, vehicle</v>
      </c>
    </row>
    <row r="173" spans="1:8" x14ac:dyDescent="0.2">
      <c r="A173" t="str">
        <f>INDEX('ei names mapping'!$B$4:$R$33,MATCH(B140,'ei names mapping'!$A$4:$A$33,0),MATCH(G173,'ei names mapping'!$B$3:$R$3,0))</f>
        <v>Glider lightweighting</v>
      </c>
      <c r="B173" s="11">
        <f>INDEX('vehicles specifications'!$B$3:$CW$166,MATCH(B143,'vehicles specifications'!$A$3:$A$166,0),MATCH(G173,'vehicles specifications'!$B$2:$CW$2,0))*INDEX('ei names mapping'!$B$137:$BL$300,MATCH(B143,'ei names mapping'!$A$137:$A$300,0),MATCH(G173,'ei names mapping'!$B$136:$BL$136,0))</f>
        <v>0.49000000000000005</v>
      </c>
      <c r="C173" t="str">
        <f>INDEX('ei names mapping'!$B$38:$R$67,MATCH(B140,'ei names mapping'!$A$4:$A$33,0),MATCH(G173,'ei names mapping'!$B$3:$R$3,0))</f>
        <v>GLO</v>
      </c>
      <c r="D173" t="str">
        <f>INDEX('ei names mapping'!$B$104:$R$133,MATCH(B140,'ei names mapping'!$A$4:$A$33,0),MATCH(G173,'ei names mapping'!$B$3:$R$3,0))</f>
        <v>kilogram</v>
      </c>
      <c r="F173" t="s">
        <v>89</v>
      </c>
      <c r="G173" t="s">
        <v>14</v>
      </c>
      <c r="H173" t="str">
        <f>INDEX('ei names mapping'!$B$71:$R$100,MATCH(B140,'ei names mapping'!$A$4:$A$33,0),MATCH(G173,'ei names mapping'!$B$3:$R$3,0))</f>
        <v>Glider lightweighting</v>
      </c>
    </row>
    <row r="174" spans="1:8" x14ac:dyDescent="0.2">
      <c r="A174" t="str">
        <f>INDEX('ei names mapping'!$B$4:$R$33,MATCH('lci-kick scooter - NMC'!$B$5,'ei names mapping'!$A$4:$A$33,0),MATCH('lci-kick scooter - NMC'!$G174,'ei names mapping'!$B$3:$R$3,0))</f>
        <v>Battery cell, NMC-622</v>
      </c>
      <c r="B174" s="4">
        <f>INDEX('vehicles specifications'!$B$3:$CW$166,MATCH(B143,'vehicles specifications'!$A$3:$A$166,0),MATCH(G174,'vehicles specifications'!$B$2:$CW$2,0))*INDEX('ei names mapping'!$B$137:$BL$300,MATCH(B143,'ei names mapping'!$A$137:$A$300,0),MATCH(G174,'ei names mapping'!$B$136:$BL$136,0))</f>
        <v>1</v>
      </c>
      <c r="C174" t="str">
        <f>INDEX('ei names mapping'!$B$38:$R$67,MATCH('lci-kick scooter - NMC'!$B$5,'ei names mapping'!$A$4:$A$33,0),MATCH('lci-kick scooter - NMC'!$G174,'ei names mapping'!$B$3:$R$3,0))</f>
        <v>GLO</v>
      </c>
      <c r="D174" t="str">
        <f>INDEX('ei names mapping'!$B$104:$R$133,MATCH('lci-kick scooter - NMC'!$B$5,'ei names mapping'!$A$4:$A$33,0),MATCH('lci-kick scooter - NMC'!$G174,'ei names mapping'!$B$3:$R$3,0))</f>
        <v>kilogram</v>
      </c>
      <c r="F174" t="s">
        <v>89</v>
      </c>
      <c r="G174" t="s">
        <v>19</v>
      </c>
      <c r="H174" t="str">
        <f>INDEX('ei names mapping'!$B$71:$R$100,MATCH('lci-kick scooter - NMC'!$B$5,'ei names mapping'!$A$4:$A$33,0),MATCH('lci-kick scooter - NMC'!$G174,'ei names mapping'!$B$3:$R$3,0))</f>
        <v>Battery cell</v>
      </c>
    </row>
    <row r="175" spans="1:8" x14ac:dyDescent="0.2">
      <c r="A175" t="str">
        <f>INDEX('ei names mapping'!$B$4:$R$33,MATCH('lci-kick scooter - NMC'!$B$5,'ei names mapping'!$A$4:$A$33,0),MATCH('lci-kick scooter - NMC'!$G175,'ei names mapping'!$B$3:$R$3,0))</f>
        <v>Battery BoP</v>
      </c>
      <c r="B175" s="4">
        <f>INDEX('vehicles specifications'!$B$3:$CW$166,MATCH(B143,'vehicles specifications'!$A$3:$A$166,0),MATCH(G175,'vehicles specifications'!$B$2:$CW$2,0))*INDEX('ei names mapping'!$B$137:$BL$300,MATCH(B143,'ei names mapping'!$A$137:$A$300,0),MATCH(G175,'ei names mapping'!$B$136:$BL$136,0))</f>
        <v>0.3</v>
      </c>
      <c r="C175" t="str">
        <f>INDEX('ei names mapping'!$B$38:$R$67,MATCH('lci-kick scooter - NMC'!$B$5,'ei names mapping'!$A$4:$A$33,0),MATCH('lci-kick scooter - NMC'!$G175,'ei names mapping'!$B$3:$R$3,0))</f>
        <v>GLO</v>
      </c>
      <c r="D175" t="str">
        <f>INDEX('ei names mapping'!$B$104:$R$133,MATCH('lci-kick scooter - NMC'!$B$5,'ei names mapping'!$A$4:$A$33,0),MATCH('lci-kick scooter - NMC'!$G175,'ei names mapping'!$B$3:$R$3,0))</f>
        <v>kilogram</v>
      </c>
      <c r="F175" t="s">
        <v>89</v>
      </c>
      <c r="G175" t="s">
        <v>20</v>
      </c>
      <c r="H175" t="str">
        <f>INDEX('ei names mapping'!$B$71:$R$100,MATCH('lci-kick scooter - NMC'!$B$5,'ei names mapping'!$A$4:$A$33,0),MATCH('lci-kick scooter - NMC'!$G175,'ei names mapping'!$B$3:$R$3,0))</f>
        <v>Battery BoP</v>
      </c>
    </row>
    <row r="176" spans="1:8" x14ac:dyDescent="0.2">
      <c r="A176" t="str">
        <f>INDEX('ei names mapping'!$B$4:$R$33,MATCH('lci-kick scooter - NMC'!$B$5,'ei names mapping'!$A$4:$A$33,0),MATCH('lci-kick scooter - NMC'!$G176,'ei names mapping'!$B$3:$R$3,0))</f>
        <v>charging station, 100W</v>
      </c>
      <c r="B176" s="4">
        <f>INDEX('vehicles specifications'!$B$3:$CW$166,MATCH(B143,'vehicles specifications'!$A$3:$A$166,0),MATCH(G176,'vehicles specifications'!$B$2:$CW$2,0))*INDEX('ei names mapping'!$B$137:$BL$300,MATCH(B143,'ei names mapping'!$A$137:$A$300,0),MATCH(G176,'ei names mapping'!$B$136:$BL$136,0))</f>
        <v>1</v>
      </c>
      <c r="C176" t="str">
        <f>INDEX('ei names mapping'!$B$38:$R$67,MATCH('lci-kick scooter - NMC'!$B$5,'ei names mapping'!$A$4:$A$33,0),MATCH('lci-kick scooter - NMC'!$G176,'ei names mapping'!$B$3:$R$3,0))</f>
        <v>GLO</v>
      </c>
      <c r="D176" t="str">
        <f>INDEX('ei names mapping'!$B$104:$R$133,MATCH('lci-kick scooter - NMC'!$B$5,'ei names mapping'!$A$4:$A$33,0),MATCH('lci-kick scooter - NMC'!$G176,'ei names mapping'!$B$3:$R$3,0))</f>
        <v>unit</v>
      </c>
      <c r="F176" t="s">
        <v>89</v>
      </c>
      <c r="G176" t="s">
        <v>52</v>
      </c>
      <c r="H176" t="str">
        <f>INDEX('ei names mapping'!$B$71:$R$100,MATCH('lci-kick scooter - NMC'!$B$5,'ei names mapping'!$A$4:$A$33,0),MATCH('lci-kick scooter - NMC'!$G176,'ei names mapping'!$B$3:$R$3,0))</f>
        <v>charging station, 100W</v>
      </c>
    </row>
    <row r="177" spans="1:8" x14ac:dyDescent="0.2">
      <c r="A177" t="str">
        <f>INDEX('ei names mapping'!$B$4:$R$33,MATCH('lci-kick scooter - NMC'!$B$5,'ei names mapping'!$A$4:$A$33,0),MATCH('lci-kick scooter - NMC'!$G177,'ei names mapping'!$B$3:$R$3,0))</f>
        <v>treatment of used electric bicycle</v>
      </c>
      <c r="B177" s="4">
        <f>INDEX('vehicles specifications'!$B$3:$CW$166,MATCH(B143,'vehicles specifications'!$A$3:$A$166,0),MATCH(G177,'vehicles specifications'!$B$2:$CW$2,0))*INDEX('ei names mapping'!$B$137:$BL$300,MATCH(B143,'ei names mapping'!$A$137:$A$300,0),MATCH(G177,'ei names mapping'!$B$136:$BL$136,0))</f>
        <v>-0.1125</v>
      </c>
      <c r="C177" t="str">
        <f>INDEX('ei names mapping'!$B$38:$R$67,MATCH('lci-kick scooter - NMC'!$B$5,'ei names mapping'!$A$4:$A$33,0),MATCH('lci-kick scooter - NMC'!$G177,'ei names mapping'!$B$3:$R$3,0))</f>
        <v>CH</v>
      </c>
      <c r="D177" t="str">
        <f>INDEX('ei names mapping'!$B$104:$R$133,MATCH('lci-kick scooter - NMC'!$B$5,'ei names mapping'!$A$4:$A$33,0),MATCH('lci-kick scooter - NMC'!$G177,'ei names mapping'!$B$3:$R$3,0))</f>
        <v>unit</v>
      </c>
      <c r="F177" t="s">
        <v>89</v>
      </c>
      <c r="G177" t="s">
        <v>145</v>
      </c>
      <c r="H177" t="str">
        <f>INDEX('ei names mapping'!$B$71:$R$100,MATCH('lci-kick scooter - NMC'!$B$5,'ei names mapping'!$A$4:$A$33,0),MATCH('lci-kick scooter - NMC'!$G177,'ei names mapping'!$B$3:$R$3,0))</f>
        <v>used electric bicycle</v>
      </c>
    </row>
    <row r="178" spans="1:8" x14ac:dyDescent="0.2">
      <c r="A178" t="str">
        <f>INDEX('ei names mapping'!$B$4:$R$33,MATCH('lci-kick scooter - NMC'!$B$5,'ei names mapping'!$A$4:$A$33,0),MATCH('lci-kick scooter - NMC'!$G178,'ei names mapping'!$B$3:$R$3,0))</f>
        <v>treatment of used bicycle</v>
      </c>
      <c r="B178" s="4">
        <f>INDEX('vehicles specifications'!$B$3:$CW$166,MATCH(B143,'vehicles specifications'!$A$3:$A$166,0),MATCH(G178,'vehicles specifications'!$B$2:$CW$2,0))*INDEX('ei names mapping'!$B$137:$BL$300,MATCH(B143,'ei names mapping'!$A$137:$A$300,0),MATCH(G178,'ei names mapping'!$B$136:$BL$136,0))</f>
        <v>-0.38294117647058823</v>
      </c>
      <c r="C178" t="str">
        <f>INDEX('ei names mapping'!$B$38:$R$67,MATCH('lci-kick scooter - NMC'!$B$5,'ei names mapping'!$A$4:$A$33,0),MATCH('lci-kick scooter - NMC'!$G178,'ei names mapping'!$B$3:$R$3,0))</f>
        <v>CH</v>
      </c>
      <c r="D178" t="str">
        <f>INDEX('ei names mapping'!$B$104:$R$133,MATCH('lci-kick scooter - NMC'!$B$5,'ei names mapping'!$A$4:$A$33,0),MATCH('lci-kick scooter - NMC'!$G178,'ei names mapping'!$B$3:$R$3,0))</f>
        <v>unit</v>
      </c>
      <c r="F178" t="s">
        <v>89</v>
      </c>
      <c r="G178" t="s">
        <v>144</v>
      </c>
      <c r="H178" t="str">
        <f>INDEX('ei names mapping'!$B$71:$R$100,MATCH('lci-kick scooter - NMC'!$B$5,'ei names mapping'!$A$4:$A$33,0),MATCH('lci-kick scooter - NMC'!$G178,'ei names mapping'!$B$3:$R$3,0))</f>
        <v>used bicycle</v>
      </c>
    </row>
    <row r="179" spans="1:8" x14ac:dyDescent="0.2">
      <c r="A179" t="str">
        <f>INDEX('ei names mapping'!$B$4:$R$33,MATCH('lci-kick scooter - NMC'!$B$5,'ei names mapping'!$A$4:$A$33,0),MATCH('lci-kick scooter - NMC'!$G179,'ei names mapping'!$B$3:$R$3,0))</f>
        <v>market for used Li-ion battery</v>
      </c>
      <c r="B179" s="4">
        <f>INDEX('vehicles specifications'!$B$3:$CW$166,MATCH(B143,'vehicles specifications'!$A$3:$A$166,0),MATCH(G179,'vehicles specifications'!$B$2:$CW$2,0))*INDEX('ei names mapping'!$B$137:$BL$300,MATCH(B143,'ei names mapping'!$A$137:$A$300,0),MATCH(G179,'ei names mapping'!$B$136:$BL$136,0))</f>
        <v>-1.3</v>
      </c>
      <c r="C179" t="str">
        <f>INDEX('ei names mapping'!$B$38:$R$67,MATCH('lci-kick scooter - NMC'!$B$5,'ei names mapping'!$A$4:$A$33,0),MATCH('lci-kick scooter - NMC'!$G179,'ei names mapping'!$B$3:$R$3,0))</f>
        <v>GLO</v>
      </c>
      <c r="D179" t="str">
        <f>INDEX('ei names mapping'!$B$104:$R$133,MATCH('lci-kick scooter - NMC'!$B$5,'ei names mapping'!$A$4:$A$33,0),MATCH('lci-kick scooter - NMC'!$G179,'ei names mapping'!$B$3:$R$3,0))</f>
        <v>kilogram</v>
      </c>
      <c r="F179" t="s">
        <v>89</v>
      </c>
      <c r="G179" t="s">
        <v>146</v>
      </c>
      <c r="H179" t="str">
        <f>INDEX('ei names mapping'!$B$71:$R$100,MATCH('lci-kick scooter - NMC'!$B$5,'ei names mapping'!$A$4:$A$33,0),MATCH('lci-kick scooter - NMC'!$G179,'ei names mapping'!$B$3:$R$3,0))</f>
        <v>used Li-ion battery</v>
      </c>
    </row>
    <row r="180" spans="1:8" x14ac:dyDescent="0.2">
      <c r="A180" s="13" t="s">
        <v>840</v>
      </c>
      <c r="B180">
        <f>(B153/1000)*B166</f>
        <v>10.510000000000002</v>
      </c>
      <c r="C180" t="s">
        <v>92</v>
      </c>
      <c r="D180" t="s">
        <v>233</v>
      </c>
      <c r="F180" t="s">
        <v>89</v>
      </c>
      <c r="H180" s="13" t="s">
        <v>841</v>
      </c>
    </row>
    <row r="181" spans="1:8" x14ac:dyDescent="0.2">
      <c r="A181" s="13" t="s">
        <v>441</v>
      </c>
      <c r="B181" s="2">
        <f>(B153/1000)*B165</f>
        <v>167.10900000000004</v>
      </c>
      <c r="C181" t="s">
        <v>95</v>
      </c>
      <c r="D181" t="s">
        <v>233</v>
      </c>
      <c r="F181" t="s">
        <v>89</v>
      </c>
      <c r="H181" s="13" t="s">
        <v>441</v>
      </c>
    </row>
    <row r="183" spans="1:8" ht="16" x14ac:dyDescent="0.2">
      <c r="A183" s="10" t="s">
        <v>71</v>
      </c>
      <c r="B183" s="8" t="str">
        <f>"transport, "&amp;B185&amp;", "&amp;B200&amp;" battery, "&amp;B187</f>
        <v>transport, Kick Scooter, electric, &lt;1kW, NMC battery, 2020</v>
      </c>
    </row>
    <row r="184" spans="1:8" x14ac:dyDescent="0.2">
      <c r="A184" t="s">
        <v>72</v>
      </c>
      <c r="B184" t="s">
        <v>37</v>
      </c>
    </row>
    <row r="185" spans="1:8" x14ac:dyDescent="0.2">
      <c r="A185" t="s">
        <v>86</v>
      </c>
      <c r="B185" t="s">
        <v>618</v>
      </c>
    </row>
    <row r="186" spans="1:8" x14ac:dyDescent="0.2">
      <c r="A186" t="s">
        <v>87</v>
      </c>
    </row>
    <row r="187" spans="1:8" x14ac:dyDescent="0.2">
      <c r="A187" t="s">
        <v>88</v>
      </c>
      <c r="B187">
        <v>2020</v>
      </c>
    </row>
    <row r="188" spans="1:8" x14ac:dyDescent="0.2">
      <c r="A188" t="s">
        <v>126</v>
      </c>
      <c r="B188" t="str">
        <f>B185&amp;" - "&amp;B187&amp;" - "&amp;B200&amp;" - "&amp;B184</f>
        <v>Kick Scooter, electric, &lt;1kW - 2020 - NMC - CH</v>
      </c>
    </row>
    <row r="189" spans="1:8" x14ac:dyDescent="0.2">
      <c r="A189" t="s">
        <v>73</v>
      </c>
      <c r="B189" t="str">
        <f>"transport, "&amp;B185</f>
        <v>transport, Kick Scooter, electric, &lt;1kW</v>
      </c>
    </row>
    <row r="190" spans="1:8" x14ac:dyDescent="0.2">
      <c r="A190" t="s">
        <v>74</v>
      </c>
      <c r="B190" t="s">
        <v>75</v>
      </c>
    </row>
    <row r="191" spans="1:8" x14ac:dyDescent="0.2">
      <c r="A191" t="s">
        <v>76</v>
      </c>
      <c r="B191" t="s">
        <v>166</v>
      </c>
    </row>
    <row r="192" spans="1:8" x14ac:dyDescent="0.2">
      <c r="A192" t="s">
        <v>78</v>
      </c>
      <c r="B192" t="s">
        <v>1143</v>
      </c>
    </row>
    <row r="193" spans="1:2" x14ac:dyDescent="0.2">
      <c r="A193" t="s">
        <v>127</v>
      </c>
      <c r="B193">
        <f>INDEX('vehicles specifications'!$B$3:$CW$166,MATCH('lci-kick scooter - NMC'!B188,'vehicles specifications'!$A$3:$A$166,0),MATCH("Lifetime [km]",'vehicles specifications'!$B$2:$CW$2,0))</f>
        <v>1785</v>
      </c>
    </row>
    <row r="194" spans="1:2" x14ac:dyDescent="0.2">
      <c r="A194" t="s">
        <v>128</v>
      </c>
      <c r="B194">
        <f>INDEX('vehicles specifications'!$B$3:$CW$166,MATCH('lci-kick scooter - NMC'!B188,'vehicles specifications'!$A$3:$A$166,0),MATCH("Passengers [unit]",'vehicles specifications'!$B$2:$CW$2,0))</f>
        <v>1</v>
      </c>
    </row>
    <row r="195" spans="1:2" x14ac:dyDescent="0.2">
      <c r="A195" t="s">
        <v>129</v>
      </c>
      <c r="B195">
        <f>INDEX('vehicles specifications'!$B$3:$CW$166,MATCH('lci-kick scooter - NMC'!B188,'vehicles specifications'!$A$3:$A$166,0),MATCH("Servicing [unit]",'vehicles specifications'!$B$2:$CW$2,0))</f>
        <v>0</v>
      </c>
    </row>
    <row r="196" spans="1:2" x14ac:dyDescent="0.2">
      <c r="A196" t="s">
        <v>130</v>
      </c>
      <c r="B196">
        <f>INDEX('vehicles specifications'!$B$3:$CW$166,MATCH('lci-kick scooter - NMC'!B188,'vehicles specifications'!$A$3:$A$166,0),MATCH("Energy battery replacement [unit]",'vehicles specifications'!$B$2:$CW$2,0))</f>
        <v>0</v>
      </c>
    </row>
    <row r="197" spans="1:2" x14ac:dyDescent="0.2">
      <c r="A197" t="s">
        <v>131</v>
      </c>
      <c r="B197">
        <f>INDEX('vehicles specifications'!$B$3:$CW$166,MATCH('lci-kick scooter - NMC'!B188,'vehicles specifications'!$A$3:$A$166,0),MATCH("Annual kilometers [km]",'vehicles specifications'!$B$2:$CW$2,0))</f>
        <v>890</v>
      </c>
    </row>
    <row r="198" spans="1:2" x14ac:dyDescent="0.2">
      <c r="A198" t="s">
        <v>132</v>
      </c>
      <c r="B198">
        <f>INDEX('vehicles specifications'!$B$3:$CW$166,MATCH('lci-kick scooter - NMC'!B188,'vehicles specifications'!$A$3:$A$166,0),MATCH("Curb mass [kg]",'vehicles specifications'!$B$2:$CW$2,0))</f>
        <v>11.625</v>
      </c>
    </row>
    <row r="199" spans="1:2" x14ac:dyDescent="0.2">
      <c r="A199" t="s">
        <v>133</v>
      </c>
      <c r="B199">
        <f>INDEX('vehicles specifications'!$B$3:$CW$166,MATCH('lci-kick scooter - NMC'!B188,'vehicles specifications'!$A$3:$A$166,0),MATCH("Power [kW]",'vehicles specifications'!$B$2:$CW$2,0))</f>
        <v>0.25</v>
      </c>
    </row>
    <row r="200" spans="1:2" x14ac:dyDescent="0.2">
      <c r="A200" t="s">
        <v>652</v>
      </c>
      <c r="B200" t="s">
        <v>43</v>
      </c>
    </row>
    <row r="201" spans="1:2" x14ac:dyDescent="0.2">
      <c r="A201" t="s">
        <v>134</v>
      </c>
      <c r="B201">
        <f>INDEX('vehicles specifications'!$B$3:$CW$166,MATCH('lci-kick scooter - NMC'!B188,'vehicles specifications'!$A$3:$A$166,0),MATCH("Energy battery mass [kg]",'vehicles specifications'!$B$2:$CW$2,0))</f>
        <v>1.625</v>
      </c>
    </row>
    <row r="202" spans="1:2" x14ac:dyDescent="0.2">
      <c r="A202" t="s">
        <v>135</v>
      </c>
      <c r="B202">
        <f>INDEX('vehicles specifications'!$B$3:$CW$166,MATCH('lci-kick scooter - NMC'!B188,'vehicles specifications'!$A$3:$A$166,0),MATCH("Electric energy stored [kWh]",'vehicles specifications'!$B$2:$CW$2,0))</f>
        <v>0.25</v>
      </c>
    </row>
    <row r="203" spans="1:2" x14ac:dyDescent="0.2">
      <c r="A203" t="s">
        <v>588</v>
      </c>
      <c r="B203">
        <f>INDEX('vehicles specifications'!$B$3:$CW$166,MATCH('lci-kick scooter - NMC'!B188,'vehicles specifications'!$A$3:$A$166,0),MATCH("Electric energy available [kWh]",'vehicles specifications'!$B$2:$CW$2,0))</f>
        <v>0.2</v>
      </c>
    </row>
    <row r="204" spans="1:2" x14ac:dyDescent="0.2">
      <c r="A204" t="s">
        <v>138</v>
      </c>
      <c r="B204">
        <f>INDEX('vehicles specifications'!$B$3:$CW$166,MATCH('lci-kick scooter - NMC'!B188,'vehicles specifications'!$A$3:$A$166,0),MATCH("Oxydation energy stored [kWh]",'vehicles specifications'!$B$2:$CW$2,0))</f>
        <v>0</v>
      </c>
    </row>
    <row r="205" spans="1:2" x14ac:dyDescent="0.2">
      <c r="A205" t="s">
        <v>139</v>
      </c>
      <c r="B205">
        <f>INDEX('vehicles specifications'!$B$3:$CW$166,MATCH('lci-kick scooter - NMC'!B188,'vehicles specifications'!$A$3:$A$166,0),MATCH("Fuel mass [kg]",'vehicles specifications'!$B$2:$CW$2,0))</f>
        <v>0</v>
      </c>
    </row>
    <row r="206" spans="1:2" x14ac:dyDescent="0.2">
      <c r="A206" t="s">
        <v>136</v>
      </c>
      <c r="B206">
        <f>INDEX('vehicles specifications'!$B$3:$CW$166,MATCH('lci-kick scooter - NMC'!B188,'vehicles specifications'!$A$3:$A$166,0),MATCH("Range [km]",'vehicles specifications'!$B$2:$CW$2,0))</f>
        <v>8.3598130841121492</v>
      </c>
    </row>
    <row r="207" spans="1:2" x14ac:dyDescent="0.2">
      <c r="A207" t="s">
        <v>137</v>
      </c>
      <c r="B207" t="str">
        <f>INDEX('vehicles specifications'!$B$3:$CW$166,MATCH('lci-kick scooter - NMC'!B188,'vehicles specifications'!$A$3:$A$166,0),MATCH("Emission standard",'vehicles specifications'!$B$2:$CW$2,0))</f>
        <v>None</v>
      </c>
    </row>
    <row r="208" spans="1:2" x14ac:dyDescent="0.2">
      <c r="A208" t="s">
        <v>1174</v>
      </c>
      <c r="B208" s="6">
        <f>INDEX('vehicles specifications'!$B$3:$CW$166,MATCH('lci-kick scooter - NMC'!B188,'vehicles specifications'!$A$3:$A$166,0),MATCH("Lightweighting rate [%]",'vehicles specifications'!$B$2:$CW$2,0))</f>
        <v>0</v>
      </c>
    </row>
    <row r="209" spans="1:8" x14ac:dyDescent="0.2">
      <c r="A209" t="s">
        <v>83</v>
      </c>
      <c r="B209" t="str">
        <f>"Power: "&amp;B199&amp;" kW. Lifetime: "&amp;B193&amp;" km. Annual kilometers: "&amp;B197&amp;" km. Number of passengers: "&amp;B194&amp;". Curb mass: "&amp;ROUND(B198,1)&amp;" kg. Lightweighting of glider: "&amp;ROUND(B208*100,0)&amp;"%. Emission standard: "&amp;B207&amp;". Service visits throughout lifetime: "&amp;ROUND(B195,1)&amp;". Range: "&amp;ROUND(B206,0)&amp;" km. Battery capacity: "&amp;ROUND(B202,1)&amp;" kWh. Available battery capacity: "&amp;B203&amp;" kWh. Battery mass: "&amp;ROUND(B201,1)&amp; " kg. Battery replacement throughout lifetime: "&amp;ROUND(B196,1)&amp;". Fuel tank capacity: "&amp;ROUND(B204,1)&amp;" kWh. Fuel mass: "&amp;ROUND(B205,1)&amp;" kg. Documentation: "&amp;Readmefirst!$B$2&amp;", "&amp;Readmefirst!$B$3&amp;". "&amp;'lci-kick scooter - NMC'!B145</f>
        <v>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Documentation: Life-cycle inventories for on-road vehicles, Sacchi R. (PSI), Bauer C. (PSI), 2021. process</v>
      </c>
    </row>
    <row r="210" spans="1:8" ht="16" x14ac:dyDescent="0.2">
      <c r="A210" s="10" t="s">
        <v>79</v>
      </c>
    </row>
    <row r="211" spans="1:8" x14ac:dyDescent="0.2">
      <c r="A211" t="s">
        <v>80</v>
      </c>
      <c r="B211" t="s">
        <v>81</v>
      </c>
      <c r="C211" t="s">
        <v>72</v>
      </c>
      <c r="D211" t="s">
        <v>76</v>
      </c>
      <c r="E211" t="s">
        <v>82</v>
      </c>
      <c r="F211" t="s">
        <v>74</v>
      </c>
      <c r="G211" t="s">
        <v>83</v>
      </c>
      <c r="H211" t="s">
        <v>73</v>
      </c>
    </row>
    <row r="212" spans="1:8" x14ac:dyDescent="0.2">
      <c r="A212" t="str">
        <f>B183</f>
        <v>transport, Kick Scooter, electric, &lt;1kW, NMC battery, 2020</v>
      </c>
      <c r="B212">
        <v>1</v>
      </c>
      <c r="C212" t="str">
        <f>B184</f>
        <v>CH</v>
      </c>
      <c r="D212" t="s">
        <v>166</v>
      </c>
      <c r="F212" t="s">
        <v>84</v>
      </c>
      <c r="G212" t="s">
        <v>85</v>
      </c>
      <c r="H212" t="str">
        <f>B189</f>
        <v>transport, Kick Scooter, electric, &lt;1kW</v>
      </c>
    </row>
    <row r="213" spans="1:8" x14ac:dyDescent="0.2">
      <c r="A213" t="str">
        <f>RIGHT(A212,LEN(A212)-11)</f>
        <v>Kick Scooter, electric, &lt;1kW, NMC battery, 2020</v>
      </c>
      <c r="B213" s="7">
        <f>1/B193</f>
        <v>5.602240896358543E-4</v>
      </c>
      <c r="C213" t="str">
        <f>B184</f>
        <v>CH</v>
      </c>
      <c r="D213" t="s">
        <v>76</v>
      </c>
      <c r="F213" t="s">
        <v>89</v>
      </c>
      <c r="H213" t="str">
        <f>RIGHT(H212,LEN(H212)-11)</f>
        <v>Kick Scooter, electric, &lt;1kW</v>
      </c>
    </row>
    <row r="214" spans="1:8" x14ac:dyDescent="0.2">
      <c r="A214" t="str">
        <f>INDEX('ei names mapping'!$B$4:$R$33,MATCH('lci-kick scooter - NMC'!$B$5,'ei names mapping'!$A$4:$A$33,0),MATCH('lci-kick scooter - NMC'!$G214,'ei names mapping'!$B$3:$R$3,0))</f>
        <v>market for electricity, low voltage</v>
      </c>
      <c r="B214" s="7">
        <f>INDEX('vehicles specifications'!$B$3:$CW$166,MATCH(B188,'vehicles specifications'!$A$3:$A$166,0),MATCH(G214,'vehicles specifications'!$B$2:$CW$2,0))*INDEX('ei names mapping'!$B$137:$BL$300,MATCH(B188,'ei names mapping'!$A$137:$A$300,0),MATCH(G214,'ei names mapping'!$B$136:$BL$136,0))</f>
        <v>2.6316377864728905E-2</v>
      </c>
      <c r="C214" t="str">
        <f>INDEX('ei names mapping'!$B$38:$R$67,MATCH('lci-kick scooter - NMC'!$B$5,'ei names mapping'!$A$4:$A$33,0),MATCH('lci-kick scooter - NMC'!$G214,'ei names mapping'!$B$3:$R$3,0))</f>
        <v>CH</v>
      </c>
      <c r="D214" t="str">
        <f>INDEX('ei names mapping'!$B$104:$R$133,MATCH('lci-kick scooter - NMC'!$B$5,'ei names mapping'!$A$4:$A$33,0),MATCH('lci-kick scooter - NMC'!$G214,'ei names mapping'!$B$3:$R$3,0))</f>
        <v>kilowatt hour</v>
      </c>
      <c r="F214" t="s">
        <v>89</v>
      </c>
      <c r="G214" t="s">
        <v>28</v>
      </c>
      <c r="H214" t="str">
        <f>INDEX('ei names mapping'!$B$71:$R$100,MATCH('lci-kick scooter - NMC'!$B$5,'ei names mapping'!$A$4:$A$33,0),MATCH('lci-kick scooter - NMC'!$G214,'ei names mapping'!$B$3:$R$3,0))</f>
        <v>electricity, low voltage</v>
      </c>
    </row>
    <row r="215" spans="1:8" x14ac:dyDescent="0.2">
      <c r="A215" t="str">
        <f>INDEX('ei names mapping'!$B$4:$R$33,MATCH(B185,'ei names mapping'!$A$4:$A$33,0),MATCH(G215,'ei names mapping'!$B$3:$R$3,0))</f>
        <v>road construction</v>
      </c>
      <c r="B215" s="7">
        <f>INDEX('vehicles specifications'!$B$3:$CW$166,MATCH(B188,'vehicles specifications'!$A$3:$A$166,0),MATCH(G215,'vehicles specifications'!$B$2:$CW$2,0))*INDEX('ei names mapping'!$B$137:$BL$300,MATCH(B188,'ei names mapping'!$A$137:$A$300,0),MATCH(G215,'ei names mapping'!$B$136:$BL$136,0))</f>
        <v>4.6517624999999998E-5</v>
      </c>
      <c r="C215" t="str">
        <f>INDEX('ei names mapping'!$B$38:$R$67,MATCH(B185,'ei names mapping'!$A$4:$A$33,0),MATCH(G215,'ei names mapping'!$B$3:$R$3,0))</f>
        <v>CH</v>
      </c>
      <c r="D215" t="str">
        <f>INDEX('ei names mapping'!$B$104:$R$133,MATCH(B185,'ei names mapping'!$A$104:$A$133,0),MATCH(G215,'ei names mapping'!$B$3:$R$3,0))</f>
        <v>meter-year</v>
      </c>
      <c r="F215" t="s">
        <v>89</v>
      </c>
      <c r="G215" t="s">
        <v>105</v>
      </c>
      <c r="H215" t="str">
        <f>INDEX('ei names mapping'!$B$71:$R$100,MATCH(B185,'ei names mapping'!$A$4:$A$33,0),MATCH(G215,'ei names mapping'!$B$3:$R$3,0))</f>
        <v>road</v>
      </c>
    </row>
    <row r="216" spans="1:8" x14ac:dyDescent="0.2">
      <c r="A216" t="str">
        <f>INDEX('ei names mapping'!$B$4:$BL$33,MATCH('lci-kick scooter - NMC'!$B$5,'ei names mapping'!$A$4:$A$33,0),MATCH('lci-kick scooter - NMC'!$G216,'ei names mapping'!$B$3:$BL$3,0))</f>
        <v>treatment of road wear emissions, passenger car</v>
      </c>
      <c r="B216" s="7">
        <f>INDEX('vehicles specifications'!$B$3:$CW$166,MATCH(B188,'vehicles specifications'!$A$3:$A$166,0),MATCH(G216,'vehicles specifications'!$B$2:$CW$2,0))*INDEX('ei names mapping'!$B$137:$BL$300,MATCH(B188,'ei names mapping'!$A$137:$A$300,0),MATCH(G216,'ei names mapping'!$B$136:$BL$136,0))</f>
        <v>-3.7713826473806454E-6</v>
      </c>
      <c r="C216" t="str">
        <f>INDEX('ei names mapping'!$B$38:$BL$67,MATCH('lci-kick scooter - NMC'!$B$5,'ei names mapping'!$A$4:$A$33,0),MATCH('lci-kick scooter - NMC'!$G216,'ei names mapping'!$B$3:$BL$3,0))</f>
        <v>RER</v>
      </c>
      <c r="D216" t="str">
        <f>INDEX('ei names mapping'!$B$104:$BL$133,MATCH('lci-kick scooter - NMC'!$B$5,'ei names mapping'!$A$4:$A$33,0),MATCH('lci-kick scooter - NMC'!$G216,'ei names mapping'!$B$3:$BL$3,0))</f>
        <v>kilogram</v>
      </c>
      <c r="F216" t="s">
        <v>89</v>
      </c>
      <c r="G216" t="s">
        <v>29</v>
      </c>
      <c r="H216" t="str">
        <f>INDEX('ei names mapping'!$B$71:$BL$100,MATCH('lci-kick scooter - NMC'!$B$5,'ei names mapping'!$A$4:$A$33,0),MATCH('lci-kick scooter - NMC'!$G216,'ei names mapping'!$B$3:$BL$3,0))</f>
        <v>road wear emissions, passenger car</v>
      </c>
    </row>
    <row r="217" spans="1:8" x14ac:dyDescent="0.2">
      <c r="A217" t="str">
        <f>INDEX('ei names mapping'!$B$4:$BL$33,MATCH('lci-kick scooter - NMC'!$B$5,'ei names mapping'!$A$4:$A$33,0),MATCH('lci-kick scooter - NMC'!$G217,'ei names mapping'!$B$3:$BL$3,0))</f>
        <v>treatment of tyre wear emissions, passenger car</v>
      </c>
      <c r="B217" s="7">
        <f>INDEX('vehicles specifications'!$B$3:$CW$166,MATCH(B188,'vehicles specifications'!$A$3:$A$166,0),MATCH(G217,'vehicles specifications'!$B$2:$CW$2,0))*INDEX('ei names mapping'!$B$137:$BL$300,MATCH(B188,'ei names mapping'!$A$137:$A$300,0),MATCH(G217,'ei names mapping'!$B$136:$BL$136,0))</f>
        <v>-3.6670377940073381E-6</v>
      </c>
      <c r="C217" t="str">
        <f>INDEX('ei names mapping'!$B$38:$BL$67,MATCH('lci-kick scooter - NMC'!$B$5,'ei names mapping'!$A$4:$A$33,0),MATCH('lci-kick scooter - NMC'!$G217,'ei names mapping'!$B$3:$BL$3,0))</f>
        <v>RER</v>
      </c>
      <c r="D217" t="str">
        <f>INDEX('ei names mapping'!$B$104:$BL$133,MATCH('lci-kick scooter - NMC'!$B$5,'ei names mapping'!$A$4:$A$33,0),MATCH('lci-kick scooter - NMC'!$G217,'ei names mapping'!$B$3:$BL$3,0))</f>
        <v>kilogram</v>
      </c>
      <c r="F217" t="s">
        <v>89</v>
      </c>
      <c r="G217" t="s">
        <v>30</v>
      </c>
      <c r="H217" t="str">
        <f>INDEX('ei names mapping'!$B$71:$BL$100,MATCH('lci-kick scooter - NMC'!$B$5,'ei names mapping'!$A$4:$A$33,0),MATCH('lci-kick scooter - NMC'!$G217,'ei names mapping'!$B$3:$BL$3,0))</f>
        <v>tyre wear emissions, passenger car</v>
      </c>
    </row>
    <row r="218" spans="1:8" x14ac:dyDescent="0.2">
      <c r="A218" t="str">
        <f>INDEX('ei names mapping'!$B$4:$BL$33,MATCH('lci-kick scooter - NMC'!$B$5,'ei names mapping'!$A$4:$A$33,0),MATCH('lci-kick scooter - NMC'!$G218,'ei names mapping'!$B$3:$BL$3,0))</f>
        <v>treatment of brake wear emissions, passenger car</v>
      </c>
      <c r="B218" s="7">
        <f>INDEX('vehicles specifications'!$B$3:$CW$166,MATCH(B188,'vehicles specifications'!$A$3:$A$166,0),MATCH(G218,'vehicles specifications'!$B$2:$CW$2,0))*INDEX('ei names mapping'!$B$137:$BL$300,MATCH(B188,'ei names mapping'!$A$137:$A$300,0),MATCH(G218,'ei names mapping'!$B$136:$BL$136,0))</f>
        <v>-3.4384404710387182E-6</v>
      </c>
      <c r="C218" t="str">
        <f>INDEX('ei names mapping'!$B$38:$BL$67,MATCH('lci-kick scooter - NMC'!$B$5,'ei names mapping'!$A$4:$A$33,0),MATCH('lci-kick scooter - NMC'!$G218,'ei names mapping'!$B$3:$BL$3,0))</f>
        <v>RER</v>
      </c>
      <c r="D218" t="str">
        <f>INDEX('ei names mapping'!$B$104:$BL$133,MATCH('lci-kick scooter - NMC'!$B$5,'ei names mapping'!$A$4:$A$33,0),MATCH('lci-kick scooter - NMC'!$G218,'ei names mapping'!$B$3:$BL$3,0))</f>
        <v>kilogram</v>
      </c>
      <c r="F218" t="s">
        <v>89</v>
      </c>
      <c r="G218" t="s">
        <v>31</v>
      </c>
      <c r="H218" t="str">
        <f>INDEX('ei names mapping'!$B$71:$BL$100,MATCH('lci-kick scooter - NMC'!$B$5,'ei names mapping'!$A$4:$A$33,0),MATCH('lci-kick scooter - NMC'!$G218,'ei names mapping'!$B$3:$BL$3,0))</f>
        <v>brake wear emissions, passenger car</v>
      </c>
    </row>
    <row r="220" spans="1:8" ht="16" x14ac:dyDescent="0.2">
      <c r="A220" s="10" t="s">
        <v>71</v>
      </c>
      <c r="B220" s="8" t="str">
        <f>"transport, "&amp;B222&amp;", "&amp;B237&amp;" battery, "&amp;B224</f>
        <v>transport, Kick Scooter, electric, &lt;1kW, NMC battery, 2030</v>
      </c>
    </row>
    <row r="221" spans="1:8" x14ac:dyDescent="0.2">
      <c r="A221" t="s">
        <v>72</v>
      </c>
      <c r="B221" t="s">
        <v>37</v>
      </c>
    </row>
    <row r="222" spans="1:8" x14ac:dyDescent="0.2">
      <c r="A222" t="s">
        <v>86</v>
      </c>
      <c r="B222" t="s">
        <v>618</v>
      </c>
    </row>
    <row r="223" spans="1:8" x14ac:dyDescent="0.2">
      <c r="A223" t="s">
        <v>87</v>
      </c>
    </row>
    <row r="224" spans="1:8" x14ac:dyDescent="0.2">
      <c r="A224" t="s">
        <v>88</v>
      </c>
      <c r="B224">
        <v>2030</v>
      </c>
    </row>
    <row r="225" spans="1:2" x14ac:dyDescent="0.2">
      <c r="A225" t="s">
        <v>126</v>
      </c>
      <c r="B225" t="str">
        <f>B222&amp;" - "&amp;B224&amp;" - "&amp;B237&amp;" - "&amp;B221</f>
        <v>Kick Scooter, electric, &lt;1kW - 2030 - NMC - CH</v>
      </c>
    </row>
    <row r="226" spans="1:2" x14ac:dyDescent="0.2">
      <c r="A226" t="s">
        <v>73</v>
      </c>
      <c r="B226" t="str">
        <f>"transport, "&amp;B222</f>
        <v>transport, Kick Scooter, electric, &lt;1kW</v>
      </c>
    </row>
    <row r="227" spans="1:2" x14ac:dyDescent="0.2">
      <c r="A227" t="s">
        <v>74</v>
      </c>
      <c r="B227" t="s">
        <v>75</v>
      </c>
    </row>
    <row r="228" spans="1:2" x14ac:dyDescent="0.2">
      <c r="A228" t="s">
        <v>76</v>
      </c>
      <c r="B228" t="s">
        <v>166</v>
      </c>
    </row>
    <row r="229" spans="1:2" x14ac:dyDescent="0.2">
      <c r="A229" t="s">
        <v>78</v>
      </c>
      <c r="B229" t="s">
        <v>1143</v>
      </c>
    </row>
    <row r="230" spans="1:2" x14ac:dyDescent="0.2">
      <c r="A230" t="s">
        <v>127</v>
      </c>
      <c r="B230">
        <f>INDEX('vehicles specifications'!$B$3:$CW$166,MATCH('lci-kick scooter - NMC'!B225,'vehicles specifications'!$A$3:$A$166,0),MATCH("Lifetime [km]",'vehicles specifications'!$B$2:$CW$2,0))</f>
        <v>1785</v>
      </c>
    </row>
    <row r="231" spans="1:2" x14ac:dyDescent="0.2">
      <c r="A231" t="s">
        <v>128</v>
      </c>
      <c r="B231">
        <f>INDEX('vehicles specifications'!$B$3:$CW$166,MATCH('lci-kick scooter - NMC'!B225,'vehicles specifications'!$A$3:$A$166,0),MATCH("Passengers [unit]",'vehicles specifications'!$B$2:$CW$2,0))</f>
        <v>1</v>
      </c>
    </row>
    <row r="232" spans="1:2" x14ac:dyDescent="0.2">
      <c r="A232" t="s">
        <v>129</v>
      </c>
      <c r="B232">
        <f>INDEX('vehicles specifications'!$B$3:$CW$166,MATCH('lci-kick scooter - NMC'!B225,'vehicles specifications'!$A$3:$A$166,0),MATCH("Servicing [unit]",'vehicles specifications'!$B$2:$CW$2,0))</f>
        <v>0</v>
      </c>
    </row>
    <row r="233" spans="1:2" x14ac:dyDescent="0.2">
      <c r="A233" t="s">
        <v>130</v>
      </c>
      <c r="B233">
        <f>INDEX('vehicles specifications'!$B$3:$CW$166,MATCH('lci-kick scooter - NMC'!B225,'vehicles specifications'!$A$3:$A$166,0),MATCH("Energy battery replacement [unit]",'vehicles specifications'!$B$2:$CW$2,0))</f>
        <v>0</v>
      </c>
    </row>
    <row r="234" spans="1:2" x14ac:dyDescent="0.2">
      <c r="A234" t="s">
        <v>131</v>
      </c>
      <c r="B234">
        <f>INDEX('vehicles specifications'!$B$3:$CW$166,MATCH('lci-kick scooter - NMC'!B225,'vehicles specifications'!$A$3:$A$166,0),MATCH("Annual kilometers [km]",'vehicles specifications'!$B$2:$CW$2,0))</f>
        <v>890</v>
      </c>
    </row>
    <row r="235" spans="1:2" x14ac:dyDescent="0.2">
      <c r="A235" t="s">
        <v>132</v>
      </c>
      <c r="B235">
        <f>INDEX('vehicles specifications'!$B$3:$CW$166,MATCH('lci-kick scooter - NMC'!B225,'vehicles specifications'!$A$3:$A$166,0),MATCH("Curb mass [kg]",'vehicles specifications'!$B$2:$CW$2,0))</f>
        <v>10.99</v>
      </c>
    </row>
    <row r="236" spans="1:2" x14ac:dyDescent="0.2">
      <c r="A236" t="s">
        <v>133</v>
      </c>
      <c r="B236">
        <f>INDEX('vehicles specifications'!$B$3:$CW$166,MATCH('lci-kick scooter - NMC'!B225,'vehicles specifications'!$A$3:$A$166,0),MATCH("Power [kW]",'vehicles specifications'!$B$2:$CW$2,0))</f>
        <v>0.25</v>
      </c>
    </row>
    <row r="237" spans="1:2" x14ac:dyDescent="0.2">
      <c r="A237" t="s">
        <v>652</v>
      </c>
      <c r="B237" t="s">
        <v>43</v>
      </c>
    </row>
    <row r="238" spans="1:2" x14ac:dyDescent="0.2">
      <c r="A238" t="s">
        <v>134</v>
      </c>
      <c r="B238">
        <f>INDEX('vehicles specifications'!$B$3:$CW$166,MATCH('lci-kick scooter - NMC'!B225,'vehicles specifications'!$A$3:$A$166,0),MATCH("Energy battery mass [kg]",'vehicles specifications'!$B$2:$CW$2,0))</f>
        <v>1.3</v>
      </c>
    </row>
    <row r="239" spans="1:2" x14ac:dyDescent="0.2">
      <c r="A239" t="s">
        <v>135</v>
      </c>
      <c r="B239">
        <f>INDEX('vehicles specifications'!$B$3:$CW$166,MATCH('lci-kick scooter - NMC'!B225,'vehicles specifications'!$A$3:$A$166,0),MATCH("Electric energy stored [kWh]",'vehicles specifications'!$B$2:$CW$2,0))</f>
        <v>0.3</v>
      </c>
    </row>
    <row r="240" spans="1:2" x14ac:dyDescent="0.2">
      <c r="A240" t="s">
        <v>588</v>
      </c>
      <c r="B240">
        <f>INDEX('vehicles specifications'!$B$3:$CW$166,MATCH('lci-kick scooter - NMC'!B225,'vehicles specifications'!$A$3:$A$166,0),MATCH("Electric energy available [kWh]",'vehicles specifications'!$B$2:$CW$2,0))</f>
        <v>0.24</v>
      </c>
    </row>
    <row r="241" spans="1:8" x14ac:dyDescent="0.2">
      <c r="A241" t="s">
        <v>138</v>
      </c>
      <c r="B241">
        <f>INDEX('vehicles specifications'!$B$3:$CW$166,MATCH('lci-kick scooter - NMC'!B225,'vehicles specifications'!$A$3:$A$166,0),MATCH("Oxydation energy stored [kWh]",'vehicles specifications'!$B$2:$CW$2,0))</f>
        <v>0</v>
      </c>
    </row>
    <row r="242" spans="1:8" x14ac:dyDescent="0.2">
      <c r="A242" t="s">
        <v>139</v>
      </c>
      <c r="B242">
        <f>INDEX('vehicles specifications'!$B$3:$CW$166,MATCH('lci-kick scooter - NMC'!B225,'vehicles specifications'!$A$3:$A$166,0),MATCH("Fuel mass [kg]",'vehicles specifications'!$B$2:$CW$2,0))</f>
        <v>0</v>
      </c>
    </row>
    <row r="243" spans="1:8" x14ac:dyDescent="0.2">
      <c r="A243" t="s">
        <v>136</v>
      </c>
      <c r="B243">
        <f>INDEX('vehicles specifications'!$B$3:$CW$166,MATCH('lci-kick scooter - NMC'!B225,'vehicles specifications'!$A$3:$A$166,0),MATCH("Range [km]",'vehicles specifications'!$B$2:$CW$2,0))</f>
        <v>10.031775700934579</v>
      </c>
    </row>
    <row r="244" spans="1:8" x14ac:dyDescent="0.2">
      <c r="A244" t="s">
        <v>137</v>
      </c>
      <c r="B244" t="str">
        <f>INDEX('vehicles specifications'!$B$3:$CW$166,MATCH('lci-kick scooter - NMC'!B225,'vehicles specifications'!$A$3:$A$166,0),MATCH("Emission standard",'vehicles specifications'!$B$2:$CW$2,0))</f>
        <v>None</v>
      </c>
    </row>
    <row r="245" spans="1:8" x14ac:dyDescent="0.2">
      <c r="A245" t="s">
        <v>1174</v>
      </c>
      <c r="B245" s="6">
        <f>INDEX('vehicles specifications'!$B$3:$CW$166,MATCH('lci-kick scooter - NMC'!B225,'vehicles specifications'!$A$3:$A$166,0),MATCH("Lightweighting rate [%]",'vehicles specifications'!$B$2:$CW$2,0))</f>
        <v>0.03</v>
      </c>
    </row>
    <row r="246" spans="1:8" x14ac:dyDescent="0.2">
      <c r="A246" t="s">
        <v>83</v>
      </c>
      <c r="B246" t="str">
        <f>"Power: "&amp;B236&amp;" kW. Lifetime: "&amp;B230&amp;" km. Annual kilometers: "&amp;B234&amp;" km. Number of passengers: "&amp;B231&amp;". Curb mass: "&amp;ROUND(B235,1)&amp;" kg. Lightweighting of glider: "&amp;ROUND(B245*100,0)&amp;"%. Emission standard: "&amp;B244&amp;". Service visits throughout lifetime: "&amp;ROUND(B232,1)&amp;". Range: "&amp;ROUND(B243,0)&amp;" km. Battery capacity: "&amp;ROUND(B239,1)&amp;" kWh. Available battery capacity: "&amp;B240&amp;" kWh. Battery mass: "&amp;ROUND(B238,1)&amp; " kg. Battery replacement throughout lifetime: "&amp;ROUND(B233,1)&amp;". Fuel tank capacity: "&amp;ROUND(B241,1)&amp;" kWh. Fuel mass: "&amp;ROUND(B242,1)&amp;" kg. Documentation: "&amp;Readmefirst!$B$2&amp;", "&amp;Readmefirst!$B$3&amp;". "&amp;'lci-kick scooter - NMC'!B184</f>
        <v>Power: 0.25 kW. Lifetime: 1785 km. Annual kilometers: 890 km. Number of passengers: 1. Curb mass: 11 kg. Lightweighting of glider: 3%. Emission standard: None. Service visits throughout lifetime: 0. Range: 10 km. Battery capacity: 0.3 kWh. Available battery capacity: 0.24 kWh. Battery mass: 1.3 kg. Battery replacement throughout lifetime: 0. Fuel tank capacity: 0 kWh. Fuel mass: 0 kg. Documentation: Life-cycle inventories for on-road vehicles, Sacchi R. (PSI), Bauer C. (PSI), 2021. CH</v>
      </c>
    </row>
    <row r="247" spans="1:8" ht="16" x14ac:dyDescent="0.2">
      <c r="A247" s="10" t="s">
        <v>79</v>
      </c>
    </row>
    <row r="248" spans="1:8" x14ac:dyDescent="0.2">
      <c r="A248" t="s">
        <v>80</v>
      </c>
      <c r="B248" t="s">
        <v>81</v>
      </c>
      <c r="C248" t="s">
        <v>72</v>
      </c>
      <c r="D248" t="s">
        <v>76</v>
      </c>
      <c r="E248" t="s">
        <v>82</v>
      </c>
      <c r="F248" t="s">
        <v>74</v>
      </c>
      <c r="G248" t="s">
        <v>83</v>
      </c>
      <c r="H248" t="s">
        <v>73</v>
      </c>
    </row>
    <row r="249" spans="1:8" x14ac:dyDescent="0.2">
      <c r="A249" t="str">
        <f>B220</f>
        <v>transport, Kick Scooter, electric, &lt;1kW, NMC battery, 2030</v>
      </c>
      <c r="B249">
        <v>1</v>
      </c>
      <c r="C249" t="str">
        <f>B221</f>
        <v>CH</v>
      </c>
      <c r="D249" t="s">
        <v>166</v>
      </c>
      <c r="F249" t="s">
        <v>84</v>
      </c>
      <c r="G249" t="s">
        <v>85</v>
      </c>
      <c r="H249" t="str">
        <f>B226</f>
        <v>transport, Kick Scooter, electric, &lt;1kW</v>
      </c>
    </row>
    <row r="250" spans="1:8" x14ac:dyDescent="0.2">
      <c r="A250" t="str">
        <f>RIGHT(A249,LEN(A249)-11)</f>
        <v>Kick Scooter, electric, &lt;1kW, NMC battery, 2030</v>
      </c>
      <c r="B250" s="7">
        <f>1/B230</f>
        <v>5.602240896358543E-4</v>
      </c>
      <c r="C250" t="str">
        <f>B221</f>
        <v>CH</v>
      </c>
      <c r="D250" t="s">
        <v>76</v>
      </c>
      <c r="F250" t="s">
        <v>89</v>
      </c>
      <c r="H250" t="str">
        <f>RIGHT(H249,LEN(H249)-11)</f>
        <v>Kick Scooter, electric, &lt;1kW</v>
      </c>
    </row>
    <row r="251" spans="1:8" x14ac:dyDescent="0.2">
      <c r="A251" t="str">
        <f>INDEX('ei names mapping'!$B$4:$R$33,MATCH('lci-kick scooter - NMC'!$B$5,'ei names mapping'!$A$4:$A$33,0),MATCH('lci-kick scooter - NMC'!$G251,'ei names mapping'!$B$3:$R$3,0))</f>
        <v>market for electricity, low voltage</v>
      </c>
      <c r="B251" s="7">
        <f>INDEX('vehicles specifications'!$B$3:$CW$166,MATCH(B225,'vehicles specifications'!$A$3:$A$166,0),MATCH(G251,'vehicles specifications'!$B$2:$CW$2,0))*INDEX('ei names mapping'!$B$137:$BL$300,MATCH(B225,'ei names mapping'!$A$137:$A$300,0),MATCH(G251,'ei names mapping'!$B$136:$BL$136,0))</f>
        <v>2.6316377864728905E-2</v>
      </c>
      <c r="C251" t="str">
        <f>INDEX('ei names mapping'!$B$38:$R$67,MATCH('lci-kick scooter - NMC'!$B$5,'ei names mapping'!$A$4:$A$33,0),MATCH('lci-kick scooter - NMC'!$G251,'ei names mapping'!$B$3:$R$3,0))</f>
        <v>CH</v>
      </c>
      <c r="D251" t="str">
        <f>INDEX('ei names mapping'!$B$104:$R$133,MATCH('lci-kick scooter - NMC'!$B$5,'ei names mapping'!$A$4:$A$33,0),MATCH('lci-kick scooter - NMC'!$G251,'ei names mapping'!$B$3:$R$3,0))</f>
        <v>kilowatt hour</v>
      </c>
      <c r="F251" t="s">
        <v>89</v>
      </c>
      <c r="G251" t="s">
        <v>28</v>
      </c>
      <c r="H251" t="str">
        <f>INDEX('ei names mapping'!$B$71:$R$100,MATCH('lci-kick scooter - NMC'!$B$5,'ei names mapping'!$A$4:$A$33,0),MATCH('lci-kick scooter - NMC'!$G251,'ei names mapping'!$B$3:$R$3,0))</f>
        <v>electricity, low voltage</v>
      </c>
    </row>
    <row r="252" spans="1:8" x14ac:dyDescent="0.2">
      <c r="A252" t="str">
        <f>INDEX('ei names mapping'!$B$4:$R$33,MATCH(B222,'ei names mapping'!$A$4:$A$33,0),MATCH(G252,'ei names mapping'!$B$3:$R$3,0))</f>
        <v>road construction</v>
      </c>
      <c r="B252" s="7">
        <f>INDEX('vehicles specifications'!$B$3:$CW$166,MATCH(B225,'vehicles specifications'!$A$3:$A$166,0),MATCH(G252,'vehicles specifications'!$B$2:$CW$2,0))*INDEX('ei names mapping'!$B$137:$BL$300,MATCH(B225,'ei names mapping'!$A$137:$A$300,0),MATCH(G252,'ei names mapping'!$B$136:$BL$136,0))</f>
        <v>4.6176629999999996E-5</v>
      </c>
      <c r="C252" t="str">
        <f>INDEX('ei names mapping'!$B$38:$R$67,MATCH(B222,'ei names mapping'!$A$4:$A$33,0),MATCH(G252,'ei names mapping'!$B$3:$R$3,0))</f>
        <v>CH</v>
      </c>
      <c r="D252" t="str">
        <f>INDEX('ei names mapping'!$B$104:$R$133,MATCH(B222,'ei names mapping'!$A$104:$A$133,0),MATCH(G252,'ei names mapping'!$B$3:$R$3,0))</f>
        <v>meter-year</v>
      </c>
      <c r="F252" t="s">
        <v>89</v>
      </c>
      <c r="G252" t="s">
        <v>105</v>
      </c>
      <c r="H252" t="str">
        <f>INDEX('ei names mapping'!$B$71:$R$100,MATCH(B222,'ei names mapping'!$A$4:$A$33,0),MATCH(G252,'ei names mapping'!$B$3:$R$3,0))</f>
        <v>road</v>
      </c>
    </row>
    <row r="253" spans="1:8" x14ac:dyDescent="0.2">
      <c r="A253" t="str">
        <f>INDEX('ei names mapping'!$B$4:$BL$33,MATCH('lci-kick scooter - NMC'!$B$5,'ei names mapping'!$A$4:$A$33,0),MATCH('lci-kick scooter - NMC'!$G253,'ei names mapping'!$B$3:$BL$3,0))</f>
        <v>treatment of road wear emissions, passenger car</v>
      </c>
      <c r="B253" s="7">
        <f>INDEX('vehicles specifications'!$B$3:$CW$166,MATCH(B225,'vehicles specifications'!$A$3:$A$166,0),MATCH(G253,'vehicles specifications'!$B$2:$CW$2,0))*INDEX('ei names mapping'!$B$137:$BL$300,MATCH(B225,'ei names mapping'!$A$137:$A$300,0),MATCH(G253,'ei names mapping'!$B$136:$BL$136,0))</f>
        <v>-3.7497827751187205E-6</v>
      </c>
      <c r="C253" t="str">
        <f>INDEX('ei names mapping'!$B$38:$BL$67,MATCH('lci-kick scooter - NMC'!$B$5,'ei names mapping'!$A$4:$A$33,0),MATCH('lci-kick scooter - NMC'!$G253,'ei names mapping'!$B$3:$BL$3,0))</f>
        <v>RER</v>
      </c>
      <c r="D253" t="str">
        <f>INDEX('ei names mapping'!$B$104:$BL$133,MATCH('lci-kick scooter - NMC'!$B$5,'ei names mapping'!$A$4:$A$33,0),MATCH('lci-kick scooter - NMC'!$G253,'ei names mapping'!$B$3:$BL$3,0))</f>
        <v>kilogram</v>
      </c>
      <c r="F253" t="s">
        <v>89</v>
      </c>
      <c r="G253" t="s">
        <v>29</v>
      </c>
      <c r="H253" t="str">
        <f>INDEX('ei names mapping'!$B$71:$BL$100,MATCH('lci-kick scooter - NMC'!$B$5,'ei names mapping'!$A$4:$A$33,0),MATCH('lci-kick scooter - NMC'!$G253,'ei names mapping'!$B$3:$BL$3,0))</f>
        <v>road wear emissions, passenger car</v>
      </c>
    </row>
    <row r="254" spans="1:8" x14ac:dyDescent="0.2">
      <c r="A254" t="str">
        <f>INDEX('ei names mapping'!$B$4:$BL$33,MATCH('lci-kick scooter - NMC'!$B$5,'ei names mapping'!$A$4:$A$33,0),MATCH('lci-kick scooter - NMC'!$G254,'ei names mapping'!$B$3:$BL$3,0))</f>
        <v>treatment of tyre wear emissions, passenger car</v>
      </c>
      <c r="B254" s="7">
        <f>INDEX('vehicles specifications'!$B$3:$CW$166,MATCH(B225,'vehicles specifications'!$A$3:$A$166,0),MATCH(G254,'vehicles specifications'!$B$2:$CW$2,0))*INDEX('ei names mapping'!$B$137:$BL$300,MATCH(B225,'ei names mapping'!$A$137:$A$300,0),MATCH(G254,'ei names mapping'!$B$136:$BL$136,0))</f>
        <v>-3.6378224682804953E-6</v>
      </c>
      <c r="C254" t="str">
        <f>INDEX('ei names mapping'!$B$38:$BL$67,MATCH('lci-kick scooter - NMC'!$B$5,'ei names mapping'!$A$4:$A$33,0),MATCH('lci-kick scooter - NMC'!$G254,'ei names mapping'!$B$3:$BL$3,0))</f>
        <v>RER</v>
      </c>
      <c r="D254" t="str">
        <f>INDEX('ei names mapping'!$B$104:$BL$133,MATCH('lci-kick scooter - NMC'!$B$5,'ei names mapping'!$A$4:$A$33,0),MATCH('lci-kick scooter - NMC'!$G254,'ei names mapping'!$B$3:$BL$3,0))</f>
        <v>kilogram</v>
      </c>
      <c r="F254" t="s">
        <v>89</v>
      </c>
      <c r="G254" t="s">
        <v>30</v>
      </c>
      <c r="H254" t="str">
        <f>INDEX('ei names mapping'!$B$71:$BL$100,MATCH('lci-kick scooter - NMC'!$B$5,'ei names mapping'!$A$4:$A$33,0),MATCH('lci-kick scooter - NMC'!$G254,'ei names mapping'!$B$3:$BL$3,0))</f>
        <v>tyre wear emissions, passenger car</v>
      </c>
    </row>
    <row r="255" spans="1:8" x14ac:dyDescent="0.2">
      <c r="A255" t="str">
        <f>INDEX('ei names mapping'!$B$4:$BL$33,MATCH('lci-kick scooter - NMC'!$B$5,'ei names mapping'!$A$4:$A$33,0),MATCH('lci-kick scooter - NMC'!$G255,'ei names mapping'!$B$3:$BL$3,0))</f>
        <v>treatment of brake wear emissions, passenger car</v>
      </c>
      <c r="B255" s="7">
        <f>INDEX('vehicles specifications'!$B$3:$CW$166,MATCH(B225,'vehicles specifications'!$A$3:$A$166,0),MATCH(G255,'vehicles specifications'!$B$2:$CW$2,0))*INDEX('ei names mapping'!$B$137:$BL$300,MATCH(B225,'ei names mapping'!$A$137:$A$300,0),MATCH(G255,'ei names mapping'!$B$136:$BL$136,0))</f>
        <v>-3.4149752509675722E-6</v>
      </c>
      <c r="C255" t="str">
        <f>INDEX('ei names mapping'!$B$38:$BL$67,MATCH('lci-kick scooter - NMC'!$B$5,'ei names mapping'!$A$4:$A$33,0),MATCH('lci-kick scooter - NMC'!$G255,'ei names mapping'!$B$3:$BL$3,0))</f>
        <v>RER</v>
      </c>
      <c r="D255" t="str">
        <f>INDEX('ei names mapping'!$B$104:$BL$133,MATCH('lci-kick scooter - NMC'!$B$5,'ei names mapping'!$A$4:$A$33,0),MATCH('lci-kick scooter - NMC'!$G255,'ei names mapping'!$B$3:$BL$3,0))</f>
        <v>kilogram</v>
      </c>
      <c r="F255" t="s">
        <v>89</v>
      </c>
      <c r="G255" t="s">
        <v>31</v>
      </c>
      <c r="H255" t="str">
        <f>INDEX('ei names mapping'!$B$71:$BL$100,MATCH('lci-kick scooter - NMC'!$B$5,'ei names mapping'!$A$4:$A$33,0),MATCH('lci-kick scooter - NMC'!$G255,'ei names mapping'!$B$3:$BL$3,0))</f>
        <v>brake wear emissions, passenger car</v>
      </c>
    </row>
    <row r="257" spans="1:2" ht="16" x14ac:dyDescent="0.2">
      <c r="A257" s="10" t="s">
        <v>71</v>
      </c>
      <c r="B257" s="8" t="str">
        <f>"transport, "&amp;B259&amp;", "&amp;B274&amp;" battery, "&amp;B261</f>
        <v>transport, Kick Scooter, electric, &lt;1kW, NMC battery, 2040</v>
      </c>
    </row>
    <row r="258" spans="1:2" x14ac:dyDescent="0.2">
      <c r="A258" t="s">
        <v>72</v>
      </c>
      <c r="B258" t="s">
        <v>37</v>
      </c>
    </row>
    <row r="259" spans="1:2" x14ac:dyDescent="0.2">
      <c r="A259" t="s">
        <v>86</v>
      </c>
      <c r="B259" t="s">
        <v>618</v>
      </c>
    </row>
    <row r="260" spans="1:2" x14ac:dyDescent="0.2">
      <c r="A260" t="s">
        <v>87</v>
      </c>
    </row>
    <row r="261" spans="1:2" x14ac:dyDescent="0.2">
      <c r="A261" t="s">
        <v>88</v>
      </c>
      <c r="B261">
        <v>2040</v>
      </c>
    </row>
    <row r="262" spans="1:2" x14ac:dyDescent="0.2">
      <c r="A262" t="s">
        <v>126</v>
      </c>
      <c r="B262" t="str">
        <f>B259&amp;" - "&amp;B261&amp;" - "&amp;B274&amp;" - "&amp;B258</f>
        <v>Kick Scooter, electric, &lt;1kW - 2040 - NMC - CH</v>
      </c>
    </row>
    <row r="263" spans="1:2" x14ac:dyDescent="0.2">
      <c r="A263" t="s">
        <v>73</v>
      </c>
      <c r="B263" t="str">
        <f>"transport, "&amp;B259</f>
        <v>transport, Kick Scooter, electric, &lt;1kW</v>
      </c>
    </row>
    <row r="264" spans="1:2" x14ac:dyDescent="0.2">
      <c r="A264" t="s">
        <v>74</v>
      </c>
      <c r="B264" t="s">
        <v>75</v>
      </c>
    </row>
    <row r="265" spans="1:2" x14ac:dyDescent="0.2">
      <c r="A265" t="s">
        <v>76</v>
      </c>
      <c r="B265" t="s">
        <v>166</v>
      </c>
    </row>
    <row r="266" spans="1:2" x14ac:dyDescent="0.2">
      <c r="A266" t="s">
        <v>78</v>
      </c>
      <c r="B266" t="s">
        <v>1143</v>
      </c>
    </row>
    <row r="267" spans="1:2" x14ac:dyDescent="0.2">
      <c r="A267" t="s">
        <v>127</v>
      </c>
      <c r="B267">
        <f>INDEX('vehicles specifications'!$B$3:$CW$166,MATCH('lci-kick scooter - NMC'!B262,'vehicles specifications'!$A$3:$A$166,0),MATCH("Lifetime [km]",'vehicles specifications'!$B$2:$CW$2,0))</f>
        <v>1785</v>
      </c>
    </row>
    <row r="268" spans="1:2" x14ac:dyDescent="0.2">
      <c r="A268" t="s">
        <v>128</v>
      </c>
      <c r="B268">
        <f>INDEX('vehicles specifications'!$B$3:$CW$166,MATCH('lci-kick scooter - NMC'!B262,'vehicles specifications'!$A$3:$A$166,0),MATCH("Passengers [unit]",'vehicles specifications'!$B$2:$CW$2,0))</f>
        <v>1</v>
      </c>
    </row>
    <row r="269" spans="1:2" x14ac:dyDescent="0.2">
      <c r="A269" t="s">
        <v>129</v>
      </c>
      <c r="B269">
        <f>INDEX('vehicles specifications'!$B$3:$CW$166,MATCH('lci-kick scooter - NMC'!B262,'vehicles specifications'!$A$3:$A$166,0),MATCH("Servicing [unit]",'vehicles specifications'!$B$2:$CW$2,0))</f>
        <v>0</v>
      </c>
    </row>
    <row r="270" spans="1:2" x14ac:dyDescent="0.2">
      <c r="A270" t="s">
        <v>130</v>
      </c>
      <c r="B270">
        <f>INDEX('vehicles specifications'!$B$3:$CW$166,MATCH('lci-kick scooter - NMC'!B262,'vehicles specifications'!$A$3:$A$166,0),MATCH("Energy battery replacement [unit]",'vehicles specifications'!$B$2:$CW$2,0))</f>
        <v>0</v>
      </c>
    </row>
    <row r="271" spans="1:2" x14ac:dyDescent="0.2">
      <c r="A271" t="s">
        <v>131</v>
      </c>
      <c r="B271">
        <f>INDEX('vehicles specifications'!$B$3:$CW$166,MATCH('lci-kick scooter - NMC'!B262,'vehicles specifications'!$A$3:$A$166,0),MATCH("Annual kilometers [km]",'vehicles specifications'!$B$2:$CW$2,0))</f>
        <v>890</v>
      </c>
    </row>
    <row r="272" spans="1:2" x14ac:dyDescent="0.2">
      <c r="A272" t="s">
        <v>132</v>
      </c>
      <c r="B272">
        <f>INDEX('vehicles specifications'!$B$3:$CW$166,MATCH('lci-kick scooter - NMC'!B262,'vehicles specifications'!$A$3:$A$166,0),MATCH("Curb mass [kg]",'vehicles specifications'!$B$2:$CW$2,0))</f>
        <v>10.75</v>
      </c>
    </row>
    <row r="273" spans="1:8" x14ac:dyDescent="0.2">
      <c r="A273" t="s">
        <v>133</v>
      </c>
      <c r="B273">
        <f>INDEX('vehicles specifications'!$B$3:$CW$166,MATCH('lci-kick scooter - NMC'!B262,'vehicles specifications'!$A$3:$A$166,0),MATCH("Power [kW]",'vehicles specifications'!$B$2:$CW$2,0))</f>
        <v>0.25</v>
      </c>
    </row>
    <row r="274" spans="1:8" x14ac:dyDescent="0.2">
      <c r="A274" t="s">
        <v>652</v>
      </c>
      <c r="B274" t="s">
        <v>43</v>
      </c>
    </row>
    <row r="275" spans="1:8" x14ac:dyDescent="0.2">
      <c r="A275" t="s">
        <v>134</v>
      </c>
      <c r="B275">
        <f>INDEX('vehicles specifications'!$B$3:$CW$166,MATCH('lci-kick scooter - NMC'!B262,'vehicles specifications'!$A$3:$A$166,0),MATCH("Energy battery mass [kg]",'vehicles specifications'!$B$2:$CW$2,0))</f>
        <v>1.3</v>
      </c>
    </row>
    <row r="276" spans="1:8" x14ac:dyDescent="0.2">
      <c r="A276" t="s">
        <v>135</v>
      </c>
      <c r="B276">
        <f>INDEX('vehicles specifications'!$B$3:$CW$166,MATCH('lci-kick scooter - NMC'!B262,'vehicles specifications'!$A$3:$A$166,0),MATCH("Electric energy stored [kWh]",'vehicles specifications'!$B$2:$CW$2,0))</f>
        <v>0.4</v>
      </c>
    </row>
    <row r="277" spans="1:8" x14ac:dyDescent="0.2">
      <c r="A277" t="s">
        <v>588</v>
      </c>
      <c r="B277">
        <f>INDEX('vehicles specifications'!$B$3:$CW$166,MATCH('lci-kick scooter - NMC'!B262,'vehicles specifications'!$A$3:$A$166,0),MATCH("Electric energy available [kWh]",'vehicles specifications'!$B$2:$CW$2,0))</f>
        <v>0.32000000000000006</v>
      </c>
    </row>
    <row r="278" spans="1:8" x14ac:dyDescent="0.2">
      <c r="A278" t="s">
        <v>138</v>
      </c>
      <c r="B278">
        <f>INDEX('vehicles specifications'!$B$3:$CW$166,MATCH('lci-kick scooter - NMC'!B262,'vehicles specifications'!$A$3:$A$166,0),MATCH("Oxydation energy stored [kWh]",'vehicles specifications'!$B$2:$CW$2,0))</f>
        <v>0</v>
      </c>
    </row>
    <row r="279" spans="1:8" x14ac:dyDescent="0.2">
      <c r="A279" t="s">
        <v>139</v>
      </c>
      <c r="B279">
        <f>INDEX('vehicles specifications'!$B$3:$CW$166,MATCH('lci-kick scooter - NMC'!B262,'vehicles specifications'!$A$3:$A$166,0),MATCH("Fuel mass [kg]",'vehicles specifications'!$B$2:$CW$2,0))</f>
        <v>0</v>
      </c>
    </row>
    <row r="280" spans="1:8" x14ac:dyDescent="0.2">
      <c r="A280" t="s">
        <v>136</v>
      </c>
      <c r="B280">
        <f>INDEX('vehicles specifications'!$B$3:$CW$166,MATCH('lci-kick scooter - NMC'!B262,'vehicles specifications'!$A$3:$A$166,0),MATCH("Range [km]",'vehicles specifications'!$B$2:$CW$2,0))</f>
        <v>13.375700934579442</v>
      </c>
    </row>
    <row r="281" spans="1:8" x14ac:dyDescent="0.2">
      <c r="A281" t="s">
        <v>137</v>
      </c>
      <c r="B281" t="str">
        <f>INDEX('vehicles specifications'!$B$3:$CW$166,MATCH('lci-kick scooter - NMC'!B262,'vehicles specifications'!$A$3:$A$166,0),MATCH("Emission standard",'vehicles specifications'!$B$2:$CW$2,0))</f>
        <v>None</v>
      </c>
    </row>
    <row r="282" spans="1:8" x14ac:dyDescent="0.2">
      <c r="A282" t="s">
        <v>1174</v>
      </c>
      <c r="B282" s="6">
        <f>INDEX('vehicles specifications'!$B$3:$CW$166,MATCH('lci-kick scooter - NMC'!B262,'vehicles specifications'!$A$3:$A$166,0),MATCH("Lightweighting rate [%]",'vehicles specifications'!$B$2:$CW$2,0))</f>
        <v>0.05</v>
      </c>
    </row>
    <row r="283" spans="1:8" x14ac:dyDescent="0.2">
      <c r="A283" t="s">
        <v>83</v>
      </c>
      <c r="B283" t="str">
        <f>"Power: "&amp;B273&amp;" kW. Lifetime: "&amp;B267&amp;" km. Annual kilometers: "&amp;B271&amp;" km. Number of passengers: "&amp;B268&amp;". Curb mass: "&amp;ROUND(B272,1)&amp;" kg. Lightweighting of glider: "&amp;ROUND(B282*100,0)&amp;"%. Emission standard: "&amp;B281&amp;". Service visits throughout lifetime: "&amp;ROUND(B269,1)&amp;". Range: "&amp;ROUND(B280,0)&amp;" km. Battery capacity: "&amp;ROUND(B276,1)&amp;" kWh. Available battery capacity: "&amp;B277&amp;" kWh. Battery mass: "&amp;ROUND(B275,1)&amp; " kg. Battery replacement throughout lifetime: "&amp;ROUND(B270,1)&amp;". Fuel tank capacity: "&amp;ROUND(B278,1)&amp;" kWh. Fuel mass: "&amp;ROUND(B279,1)&amp;" kg. Documentation: "&amp;Readmefirst!$B$2&amp;", "&amp;Readmefirst!$B$3&amp;". "&amp;'lci-kick scooter - NMC'!B221</f>
        <v>Power: 0.25 kW. Lifetime: 1785 km. Annual kilometers: 890 km. Number of passengers: 1. Curb mass: 10.8 kg. Lightweighting of glider: 5%. Emission standard: None. Service visits throughout lifetime: 0. Range: 13 km. Battery capacity: 0.4 kWh. Available battery capacity: 0.32 kWh. Battery mass: 1.3 kg. Battery replacement throughout lifetime: 0. Fuel tank capacity: 0 kWh. Fuel mass: 0 kg. Documentation: Life-cycle inventories for on-road vehicles, Sacchi R. (PSI), Bauer C. (PSI), 2021. CH</v>
      </c>
    </row>
    <row r="284" spans="1:8" ht="16" x14ac:dyDescent="0.2">
      <c r="A284" s="10" t="s">
        <v>79</v>
      </c>
    </row>
    <row r="285" spans="1:8" x14ac:dyDescent="0.2">
      <c r="A285" t="s">
        <v>80</v>
      </c>
      <c r="B285" t="s">
        <v>81</v>
      </c>
      <c r="C285" t="s">
        <v>72</v>
      </c>
      <c r="D285" t="s">
        <v>76</v>
      </c>
      <c r="E285" t="s">
        <v>82</v>
      </c>
      <c r="F285" t="s">
        <v>74</v>
      </c>
      <c r="G285" t="s">
        <v>83</v>
      </c>
      <c r="H285" t="s">
        <v>73</v>
      </c>
    </row>
    <row r="286" spans="1:8" x14ac:dyDescent="0.2">
      <c r="A286" t="str">
        <f>B257</f>
        <v>transport, Kick Scooter, electric, &lt;1kW, NMC battery, 2040</v>
      </c>
      <c r="B286">
        <v>1</v>
      </c>
      <c r="C286" t="str">
        <f>B258</f>
        <v>CH</v>
      </c>
      <c r="D286" t="s">
        <v>166</v>
      </c>
      <c r="F286" t="s">
        <v>84</v>
      </c>
      <c r="G286" t="s">
        <v>85</v>
      </c>
      <c r="H286" t="str">
        <f>B263</f>
        <v>transport, Kick Scooter, electric, &lt;1kW</v>
      </c>
    </row>
    <row r="287" spans="1:8" x14ac:dyDescent="0.2">
      <c r="A287" t="str">
        <f>RIGHT(A286,LEN(A286)-11)</f>
        <v>Kick Scooter, electric, &lt;1kW, NMC battery, 2040</v>
      </c>
      <c r="B287" s="7">
        <f>1/B267</f>
        <v>5.602240896358543E-4</v>
      </c>
      <c r="C287" t="str">
        <f>B258</f>
        <v>CH</v>
      </c>
      <c r="D287" t="s">
        <v>76</v>
      </c>
      <c r="F287" t="s">
        <v>89</v>
      </c>
      <c r="H287" t="str">
        <f>RIGHT(H286,LEN(H286)-11)</f>
        <v>Kick Scooter, electric, &lt;1kW</v>
      </c>
    </row>
    <row r="288" spans="1:8" x14ac:dyDescent="0.2">
      <c r="A288" t="str">
        <f>INDEX('ei names mapping'!$B$4:$R$33,MATCH('lci-kick scooter - NMC'!$B$5,'ei names mapping'!$A$4:$A$33,0),MATCH('lci-kick scooter - NMC'!$G288,'ei names mapping'!$B$3:$R$3,0))</f>
        <v>market for electricity, low voltage</v>
      </c>
      <c r="B288" s="7">
        <f>INDEX('vehicles specifications'!$B$3:$CW$166,MATCH(B262,'vehicles specifications'!$A$3:$A$166,0),MATCH(G288,'vehicles specifications'!$B$2:$CW$2,0))*INDEX('ei names mapping'!$B$137:$BL$300,MATCH(B262,'ei names mapping'!$A$137:$A$300,0),MATCH(G288,'ei names mapping'!$B$136:$BL$136,0))</f>
        <v>2.6316377864728905E-2</v>
      </c>
      <c r="C288" t="str">
        <f>INDEX('ei names mapping'!$B$38:$R$67,MATCH('lci-kick scooter - NMC'!$B$5,'ei names mapping'!$A$4:$A$33,0),MATCH('lci-kick scooter - NMC'!$G288,'ei names mapping'!$B$3:$R$3,0))</f>
        <v>CH</v>
      </c>
      <c r="D288" t="str">
        <f>INDEX('ei names mapping'!$B$104:$R$133,MATCH('lci-kick scooter - NMC'!$B$5,'ei names mapping'!$A$4:$A$33,0),MATCH('lci-kick scooter - NMC'!$G288,'ei names mapping'!$B$3:$R$3,0))</f>
        <v>kilowatt hour</v>
      </c>
      <c r="F288" t="s">
        <v>89</v>
      </c>
      <c r="G288" t="s">
        <v>28</v>
      </c>
      <c r="H288" t="str">
        <f>INDEX('ei names mapping'!$B$71:$R$100,MATCH('lci-kick scooter - NMC'!$B$5,'ei names mapping'!$A$4:$A$33,0),MATCH('lci-kick scooter - NMC'!$G288,'ei names mapping'!$B$3:$R$3,0))</f>
        <v>electricity, low voltage</v>
      </c>
    </row>
    <row r="289" spans="1:8" x14ac:dyDescent="0.2">
      <c r="A289" t="str">
        <f>INDEX('ei names mapping'!$B$4:$R$33,MATCH(B259,'ei names mapping'!$A$4:$A$33,0),MATCH(G289,'ei names mapping'!$B$3:$R$3,0))</f>
        <v>road construction</v>
      </c>
      <c r="B289" s="7">
        <f>INDEX('vehicles specifications'!$B$3:$CW$166,MATCH(B262,'vehicles specifications'!$A$3:$A$166,0),MATCH(G289,'vehicles specifications'!$B$2:$CW$2,0))*INDEX('ei names mapping'!$B$137:$BL$300,MATCH(B262,'ei names mapping'!$A$137:$A$300,0),MATCH(G289,'ei names mapping'!$B$136:$BL$136,0))</f>
        <v>4.604775E-5</v>
      </c>
      <c r="C289" t="str">
        <f>INDEX('ei names mapping'!$B$38:$R$67,MATCH(B259,'ei names mapping'!$A$4:$A$33,0),MATCH(G289,'ei names mapping'!$B$3:$R$3,0))</f>
        <v>CH</v>
      </c>
      <c r="D289" t="str">
        <f>INDEX('ei names mapping'!$B$104:$R$133,MATCH(B259,'ei names mapping'!$A$104:$A$133,0),MATCH(G289,'ei names mapping'!$B$3:$R$3,0))</f>
        <v>meter-year</v>
      </c>
      <c r="F289" t="s">
        <v>89</v>
      </c>
      <c r="G289" t="s">
        <v>105</v>
      </c>
      <c r="H289" t="str">
        <f>INDEX('ei names mapping'!$B$71:$R$100,MATCH(B259,'ei names mapping'!$A$4:$A$33,0),MATCH(G289,'ei names mapping'!$B$3:$R$3,0))</f>
        <v>road</v>
      </c>
    </row>
    <row r="290" spans="1:8" x14ac:dyDescent="0.2">
      <c r="A290" t="str">
        <f>INDEX('ei names mapping'!$B$4:$BL$33,MATCH('lci-kick scooter - NMC'!$B$5,'ei names mapping'!$A$4:$A$33,0),MATCH('lci-kick scooter - NMC'!$G290,'ei names mapping'!$B$3:$BL$3,0))</f>
        <v>treatment of road wear emissions, passenger car</v>
      </c>
      <c r="B290" s="7">
        <f>INDEX('vehicles specifications'!$B$3:$CW$166,MATCH(B262,'vehicles specifications'!$A$3:$A$166,0),MATCH(G290,'vehicles specifications'!$B$2:$CW$2,0))*INDEX('ei names mapping'!$B$137:$BL$300,MATCH(B262,'ei names mapping'!$A$137:$A$300,0),MATCH(G290,'ei names mapping'!$B$136:$BL$136,0))</f>
        <v>-3.7416107208265778E-6</v>
      </c>
      <c r="C290" t="str">
        <f>INDEX('ei names mapping'!$B$38:$BL$67,MATCH('lci-kick scooter - NMC'!$B$5,'ei names mapping'!$A$4:$A$33,0),MATCH('lci-kick scooter - NMC'!$G290,'ei names mapping'!$B$3:$BL$3,0))</f>
        <v>RER</v>
      </c>
      <c r="D290" t="str">
        <f>INDEX('ei names mapping'!$B$104:$BL$133,MATCH('lci-kick scooter - NMC'!$B$5,'ei names mapping'!$A$4:$A$33,0),MATCH('lci-kick scooter - NMC'!$G290,'ei names mapping'!$B$3:$BL$3,0))</f>
        <v>kilogram</v>
      </c>
      <c r="F290" t="s">
        <v>89</v>
      </c>
      <c r="G290" t="s">
        <v>29</v>
      </c>
      <c r="H290" t="str">
        <f>INDEX('ei names mapping'!$B$71:$BL$100,MATCH('lci-kick scooter - NMC'!$B$5,'ei names mapping'!$A$4:$A$33,0),MATCH('lci-kick scooter - NMC'!$G290,'ei names mapping'!$B$3:$BL$3,0))</f>
        <v>road wear emissions, passenger car</v>
      </c>
    </row>
    <row r="291" spans="1:8" x14ac:dyDescent="0.2">
      <c r="A291" t="str">
        <f>INDEX('ei names mapping'!$B$4:$BL$33,MATCH('lci-kick scooter - NMC'!$B$5,'ei names mapping'!$A$4:$A$33,0),MATCH('lci-kick scooter - NMC'!$G291,'ei names mapping'!$B$3:$BL$3,0))</f>
        <v>treatment of tyre wear emissions, passenger car</v>
      </c>
      <c r="B291" s="7">
        <f>INDEX('vehicles specifications'!$B$3:$CW$166,MATCH(B262,'vehicles specifications'!$A$3:$A$166,0),MATCH(G291,'vehicles specifications'!$B$2:$CW$2,0))*INDEX('ei names mapping'!$B$137:$BL$300,MATCH(B262,'ei names mapping'!$A$137:$A$300,0),MATCH(G291,'ei names mapping'!$B$136:$BL$136,0))</f>
        <v>-3.6265994283366797E-6</v>
      </c>
      <c r="C291" t="str">
        <f>INDEX('ei names mapping'!$B$38:$BL$67,MATCH('lci-kick scooter - NMC'!$B$5,'ei names mapping'!$A$4:$A$33,0),MATCH('lci-kick scooter - NMC'!$G291,'ei names mapping'!$B$3:$BL$3,0))</f>
        <v>RER</v>
      </c>
      <c r="D291" t="str">
        <f>INDEX('ei names mapping'!$B$104:$BL$133,MATCH('lci-kick scooter - NMC'!$B$5,'ei names mapping'!$A$4:$A$33,0),MATCH('lci-kick scooter - NMC'!$G291,'ei names mapping'!$B$3:$BL$3,0))</f>
        <v>kilogram</v>
      </c>
      <c r="F291" t="s">
        <v>89</v>
      </c>
      <c r="G291" t="s">
        <v>30</v>
      </c>
      <c r="H291" t="str">
        <f>INDEX('ei names mapping'!$B$71:$BL$100,MATCH('lci-kick scooter - NMC'!$B$5,'ei names mapping'!$A$4:$A$33,0),MATCH('lci-kick scooter - NMC'!$G291,'ei names mapping'!$B$3:$BL$3,0))</f>
        <v>tyre wear emissions, passenger car</v>
      </c>
    </row>
    <row r="292" spans="1:8" x14ac:dyDescent="0.2">
      <c r="A292" t="str">
        <f>INDEX('ei names mapping'!$B$4:$BL$33,MATCH('lci-kick scooter - NMC'!$B$5,'ei names mapping'!$A$4:$A$33,0),MATCH('lci-kick scooter - NMC'!$G292,'ei names mapping'!$B$3:$BL$3,0))</f>
        <v>treatment of brake wear emissions, passenger car</v>
      </c>
      <c r="B292" s="7">
        <f>INDEX('vehicles specifications'!$B$3:$CW$166,MATCH(B262,'vehicles specifications'!$A$3:$A$166,0),MATCH(G292,'vehicles specifications'!$B$2:$CW$2,0))*INDEX('ei names mapping'!$B$137:$BL$300,MATCH(B262,'ei names mapping'!$A$137:$A$300,0),MATCH(G292,'ei names mapping'!$B$136:$BL$136,0))</f>
        <v>-3.4060125107571902E-6</v>
      </c>
      <c r="C292" t="str">
        <f>INDEX('ei names mapping'!$B$38:$BL$67,MATCH('lci-kick scooter - NMC'!$B$5,'ei names mapping'!$A$4:$A$33,0),MATCH('lci-kick scooter - NMC'!$G292,'ei names mapping'!$B$3:$BL$3,0))</f>
        <v>RER</v>
      </c>
      <c r="D292" t="str">
        <f>INDEX('ei names mapping'!$B$104:$BL$133,MATCH('lci-kick scooter - NMC'!$B$5,'ei names mapping'!$A$4:$A$33,0),MATCH('lci-kick scooter - NMC'!$G292,'ei names mapping'!$B$3:$BL$3,0))</f>
        <v>kilogram</v>
      </c>
      <c r="F292" t="s">
        <v>89</v>
      </c>
      <c r="G292" t="s">
        <v>31</v>
      </c>
      <c r="H292" t="str">
        <f>INDEX('ei names mapping'!$B$71:$BL$100,MATCH('lci-kick scooter - NMC'!$B$5,'ei names mapping'!$A$4:$A$33,0),MATCH('lci-kick scooter - NMC'!$G292,'ei names mapping'!$B$3:$BL$3,0))</f>
        <v>brake wear emissions, passenger car</v>
      </c>
    </row>
    <row r="294" spans="1:8" ht="16" x14ac:dyDescent="0.2">
      <c r="A294" s="10" t="s">
        <v>71</v>
      </c>
      <c r="B294" s="8" t="str">
        <f>"transport, "&amp;B296&amp;", "&amp;B311&amp;" battery, "&amp;B298</f>
        <v>transport, Kick Scooter, electric, &lt;1kW, NMC battery, 2050</v>
      </c>
    </row>
    <row r="295" spans="1:8" x14ac:dyDescent="0.2">
      <c r="A295" t="s">
        <v>72</v>
      </c>
      <c r="B295" t="s">
        <v>37</v>
      </c>
    </row>
    <row r="296" spans="1:8" x14ac:dyDescent="0.2">
      <c r="A296" t="s">
        <v>86</v>
      </c>
      <c r="B296" t="s">
        <v>618</v>
      </c>
    </row>
    <row r="297" spans="1:8" x14ac:dyDescent="0.2">
      <c r="A297" t="s">
        <v>87</v>
      </c>
    </row>
    <row r="298" spans="1:8" x14ac:dyDescent="0.2">
      <c r="A298" t="s">
        <v>88</v>
      </c>
      <c r="B298">
        <v>2050</v>
      </c>
    </row>
    <row r="299" spans="1:8" x14ac:dyDescent="0.2">
      <c r="A299" t="s">
        <v>126</v>
      </c>
      <c r="B299" t="str">
        <f>B296&amp;" - "&amp;B298&amp;" - "&amp;B311&amp;" - "&amp;B295</f>
        <v>Kick Scooter, electric, &lt;1kW - 2050 - NMC - CH</v>
      </c>
    </row>
    <row r="300" spans="1:8" x14ac:dyDescent="0.2">
      <c r="A300" t="s">
        <v>73</v>
      </c>
      <c r="B300" t="str">
        <f>"transport, "&amp;B296</f>
        <v>transport, Kick Scooter, electric, &lt;1kW</v>
      </c>
    </row>
    <row r="301" spans="1:8" x14ac:dyDescent="0.2">
      <c r="A301" t="s">
        <v>74</v>
      </c>
      <c r="B301" t="s">
        <v>75</v>
      </c>
    </row>
    <row r="302" spans="1:8" x14ac:dyDescent="0.2">
      <c r="A302" t="s">
        <v>76</v>
      </c>
      <c r="B302" t="s">
        <v>166</v>
      </c>
    </row>
    <row r="303" spans="1:8" x14ac:dyDescent="0.2">
      <c r="A303" t="s">
        <v>78</v>
      </c>
      <c r="B303" t="s">
        <v>1143</v>
      </c>
    </row>
    <row r="304" spans="1:8" x14ac:dyDescent="0.2">
      <c r="A304" t="s">
        <v>127</v>
      </c>
      <c r="B304">
        <f>INDEX('vehicles specifications'!$B$3:$CW$166,MATCH('lci-kick scooter - NMC'!B299,'vehicles specifications'!$A$3:$A$166,0),MATCH("Lifetime [km]",'vehicles specifications'!$B$2:$CW$2,0))</f>
        <v>1785</v>
      </c>
    </row>
    <row r="305" spans="1:2" x14ac:dyDescent="0.2">
      <c r="A305" t="s">
        <v>128</v>
      </c>
      <c r="B305">
        <f>INDEX('vehicles specifications'!$B$3:$CW$166,MATCH('lci-kick scooter - NMC'!B299,'vehicles specifications'!$A$3:$A$166,0),MATCH("Passengers [unit]",'vehicles specifications'!$B$2:$CW$2,0))</f>
        <v>1</v>
      </c>
    </row>
    <row r="306" spans="1:2" x14ac:dyDescent="0.2">
      <c r="A306" t="s">
        <v>129</v>
      </c>
      <c r="B306">
        <f>INDEX('vehicles specifications'!$B$3:$CW$166,MATCH('lci-kick scooter - NMC'!B299,'vehicles specifications'!$A$3:$A$166,0),MATCH("Servicing [unit]",'vehicles specifications'!$B$2:$CW$2,0))</f>
        <v>0</v>
      </c>
    </row>
    <row r="307" spans="1:2" x14ac:dyDescent="0.2">
      <c r="A307" t="s">
        <v>130</v>
      </c>
      <c r="B307">
        <f>INDEX('vehicles specifications'!$B$3:$CW$166,MATCH('lci-kick scooter - NMC'!B299,'vehicles specifications'!$A$3:$A$166,0),MATCH("Energy battery replacement [unit]",'vehicles specifications'!$B$2:$CW$2,0))</f>
        <v>0</v>
      </c>
    </row>
    <row r="308" spans="1:2" x14ac:dyDescent="0.2">
      <c r="A308" t="s">
        <v>131</v>
      </c>
      <c r="B308">
        <f>INDEX('vehicles specifications'!$B$3:$CW$166,MATCH('lci-kick scooter - NMC'!B299,'vehicles specifications'!$A$3:$A$166,0),MATCH("Annual kilometers [km]",'vehicles specifications'!$B$2:$CW$2,0))</f>
        <v>890</v>
      </c>
    </row>
    <row r="309" spans="1:2" x14ac:dyDescent="0.2">
      <c r="A309" t="s">
        <v>132</v>
      </c>
      <c r="B309">
        <f>INDEX('vehicles specifications'!$B$3:$CW$166,MATCH('lci-kick scooter - NMC'!B299,'vehicles specifications'!$A$3:$A$166,0),MATCH("Curb mass [kg]",'vehicles specifications'!$B$2:$CW$2,0))</f>
        <v>10.510000000000002</v>
      </c>
    </row>
    <row r="310" spans="1:2" x14ac:dyDescent="0.2">
      <c r="A310" t="s">
        <v>133</v>
      </c>
      <c r="B310">
        <f>INDEX('vehicles specifications'!$B$3:$CW$166,MATCH('lci-kick scooter - NMC'!B299,'vehicles specifications'!$A$3:$A$166,0),MATCH("Power [kW]",'vehicles specifications'!$B$2:$CW$2,0))</f>
        <v>0.25</v>
      </c>
    </row>
    <row r="311" spans="1:2" x14ac:dyDescent="0.2">
      <c r="A311" t="s">
        <v>652</v>
      </c>
      <c r="B311" t="s">
        <v>43</v>
      </c>
    </row>
    <row r="312" spans="1:2" x14ac:dyDescent="0.2">
      <c r="A312" t="s">
        <v>134</v>
      </c>
      <c r="B312">
        <f>INDEX('vehicles specifications'!$B$3:$CW$166,MATCH('lci-kick scooter - NMC'!B299,'vehicles specifications'!$A$3:$A$166,0),MATCH("Energy battery mass [kg]",'vehicles specifications'!$B$2:$CW$2,0))</f>
        <v>1.3</v>
      </c>
    </row>
    <row r="313" spans="1:2" x14ac:dyDescent="0.2">
      <c r="A313" t="s">
        <v>135</v>
      </c>
      <c r="B313">
        <f>INDEX('vehicles specifications'!$B$3:$CW$166,MATCH('lci-kick scooter - NMC'!B299,'vehicles specifications'!$A$3:$A$166,0),MATCH("Electric energy stored [kWh]",'vehicles specifications'!$B$2:$CW$2,0))</f>
        <v>0.5</v>
      </c>
    </row>
    <row r="314" spans="1:2" x14ac:dyDescent="0.2">
      <c r="A314" t="s">
        <v>588</v>
      </c>
      <c r="B314">
        <f>INDEX('vehicles specifications'!$B$3:$CW$166,MATCH('lci-kick scooter - NMC'!B299,'vehicles specifications'!$A$3:$A$166,0),MATCH("Electric energy available [kWh]",'vehicles specifications'!$B$2:$CW$2,0))</f>
        <v>0.4</v>
      </c>
    </row>
    <row r="315" spans="1:2" x14ac:dyDescent="0.2">
      <c r="A315" t="s">
        <v>138</v>
      </c>
      <c r="B315">
        <f>INDEX('vehicles specifications'!$B$3:$CW$166,MATCH('lci-kick scooter - NMC'!B299,'vehicles specifications'!$A$3:$A$166,0),MATCH("Oxydation energy stored [kWh]",'vehicles specifications'!$B$2:$CW$2,0))</f>
        <v>0</v>
      </c>
    </row>
    <row r="316" spans="1:2" x14ac:dyDescent="0.2">
      <c r="A316" t="s">
        <v>139</v>
      </c>
      <c r="B316">
        <f>INDEX('vehicles specifications'!$B$3:$CW$166,MATCH('lci-kick scooter - NMC'!B299,'vehicles specifications'!$A$3:$A$166,0),MATCH("Fuel mass [kg]",'vehicles specifications'!$B$2:$CW$2,0))</f>
        <v>0</v>
      </c>
    </row>
    <row r="317" spans="1:2" x14ac:dyDescent="0.2">
      <c r="A317" t="s">
        <v>136</v>
      </c>
      <c r="B317">
        <f>INDEX('vehicles specifications'!$B$3:$CW$166,MATCH('lci-kick scooter - NMC'!B299,'vehicles specifications'!$A$3:$A$166,0),MATCH("Range [km]",'vehicles specifications'!$B$2:$CW$2,0))</f>
        <v>16.719626168224298</v>
      </c>
    </row>
    <row r="318" spans="1:2" x14ac:dyDescent="0.2">
      <c r="A318" t="s">
        <v>137</v>
      </c>
      <c r="B318" t="str">
        <f>INDEX('vehicles specifications'!$B$3:$CW$166,MATCH('lci-kick scooter - NMC'!B299,'vehicles specifications'!$A$3:$A$166,0),MATCH("Emission standard",'vehicles specifications'!$B$2:$CW$2,0))</f>
        <v>None</v>
      </c>
    </row>
    <row r="319" spans="1:2" x14ac:dyDescent="0.2">
      <c r="A319" t="s">
        <v>1174</v>
      </c>
      <c r="B319" s="6">
        <f>INDEX('vehicles specifications'!$B$3:$CW$166,MATCH('lci-kick scooter - NMC'!B299,'vehicles specifications'!$A$3:$A$166,0),MATCH("Lightweighting rate [%]",'vehicles specifications'!$B$2:$CW$2,0))</f>
        <v>7.0000000000000007E-2</v>
      </c>
    </row>
    <row r="320" spans="1:2" x14ac:dyDescent="0.2">
      <c r="A320" t="s">
        <v>83</v>
      </c>
      <c r="B320" t="str">
        <f>"Power: "&amp;B310&amp;" kW. Lifetime: "&amp;B304&amp;" km. Annual kilometers: "&amp;B308&amp;" km. Number of passengers: "&amp;B305&amp;". Curb mass: "&amp;ROUND(B309,1)&amp;" kg. Lightweighting of glider: "&amp;ROUND(B319*100,0)&amp;"%. Emission standard: "&amp;B318&amp;". Service visits throughout lifetime: "&amp;ROUND(B306,1)&amp;". Range: "&amp;ROUND(B317,0)&amp;" km. Battery capacity: "&amp;ROUND(B313,1)&amp;" kWh. Available battery capacity: "&amp;B314&amp;" kWh. Battery mass: "&amp;ROUND(B312,1)&amp; " kg. Battery replacement throughout lifetime: "&amp;ROUND(B307,1)&amp;". Fuel tank capacity: "&amp;ROUND(B315,1)&amp;" kWh. Fuel mass: "&amp;ROUND(B316,1)&amp;" kg. Documentation: "&amp;Readmefirst!$B$2&amp;", "&amp;Readmefirst!$B$3&amp;". "&amp;'lci-kick scooter - NMC'!B258</f>
        <v>Power: 0.25 kW. Lifetime: 1785 km. Annual kilometers: 890 km. Number of passengers: 1. Curb mass: 10.5 kg. Lightweighting of glider: 7%. Emission standard: None. Service visits throughout lifetime: 0. Range: 17 km. Battery capacity: 0.5 kWh. Available battery capacity: 0.4 kWh. Battery mass: 1.3 kg. Battery replacement throughout lifetime: 0. Fuel tank capacity: 0 kWh. Fuel mass: 0 kg. Documentation: Life-cycle inventories for on-road vehicles, Sacchi R. (PSI), Bauer C. (PSI), 2021. CH</v>
      </c>
    </row>
    <row r="321" spans="1:8" ht="16" x14ac:dyDescent="0.2">
      <c r="A321" s="10" t="s">
        <v>79</v>
      </c>
    </row>
    <row r="322" spans="1:8" x14ac:dyDescent="0.2">
      <c r="A322" t="s">
        <v>80</v>
      </c>
      <c r="B322" t="s">
        <v>81</v>
      </c>
      <c r="C322" t="s">
        <v>72</v>
      </c>
      <c r="D322" t="s">
        <v>76</v>
      </c>
      <c r="E322" t="s">
        <v>82</v>
      </c>
      <c r="F322" t="s">
        <v>74</v>
      </c>
      <c r="G322" t="s">
        <v>83</v>
      </c>
      <c r="H322" t="s">
        <v>73</v>
      </c>
    </row>
    <row r="323" spans="1:8" x14ac:dyDescent="0.2">
      <c r="A323" t="str">
        <f>B294</f>
        <v>transport, Kick Scooter, electric, &lt;1kW, NMC battery, 2050</v>
      </c>
      <c r="B323">
        <v>1</v>
      </c>
      <c r="C323" t="str">
        <f>B295</f>
        <v>CH</v>
      </c>
      <c r="D323" t="s">
        <v>166</v>
      </c>
      <c r="F323" t="s">
        <v>84</v>
      </c>
      <c r="G323" t="s">
        <v>85</v>
      </c>
      <c r="H323" t="str">
        <f>B300</f>
        <v>transport, Kick Scooter, electric, &lt;1kW</v>
      </c>
    </row>
    <row r="324" spans="1:8" x14ac:dyDescent="0.2">
      <c r="A324" t="str">
        <f>RIGHT(A323,LEN(A323)-11)</f>
        <v>Kick Scooter, electric, &lt;1kW, NMC battery, 2050</v>
      </c>
      <c r="B324" s="7">
        <f>1/B304</f>
        <v>5.602240896358543E-4</v>
      </c>
      <c r="C324" t="str">
        <f>B295</f>
        <v>CH</v>
      </c>
      <c r="D324" t="s">
        <v>76</v>
      </c>
      <c r="F324" t="s">
        <v>89</v>
      </c>
      <c r="H324" t="str">
        <f>RIGHT(H323,LEN(H323)-11)</f>
        <v>Kick Scooter, electric, &lt;1kW</v>
      </c>
    </row>
    <row r="325" spans="1:8" x14ac:dyDescent="0.2">
      <c r="A325" t="str">
        <f>INDEX('ei names mapping'!$B$4:$R$33,MATCH('lci-kick scooter - NMC'!$B$5,'ei names mapping'!$A$4:$A$33,0),MATCH('lci-kick scooter - NMC'!$G325,'ei names mapping'!$B$3:$R$3,0))</f>
        <v>market for electricity, low voltage</v>
      </c>
      <c r="B325" s="7">
        <f>INDEX('vehicles specifications'!$B$3:$CW$166,MATCH(B299,'vehicles specifications'!$A$3:$A$166,0),MATCH(G325,'vehicles specifications'!$B$2:$CW$2,0))*INDEX('ei names mapping'!$B$137:$BL$300,MATCH(B299,'ei names mapping'!$A$137:$A$300,0),MATCH(G325,'ei names mapping'!$B$136:$BL$136,0))</f>
        <v>2.6316377864728905E-2</v>
      </c>
      <c r="C325" t="str">
        <f>INDEX('ei names mapping'!$B$38:$R$67,MATCH('lci-kick scooter - NMC'!$B$5,'ei names mapping'!$A$4:$A$33,0),MATCH('lci-kick scooter - NMC'!$G325,'ei names mapping'!$B$3:$R$3,0))</f>
        <v>CH</v>
      </c>
      <c r="D325" t="str">
        <f>INDEX('ei names mapping'!$B$104:$R$133,MATCH('lci-kick scooter - NMC'!$B$5,'ei names mapping'!$A$4:$A$33,0),MATCH('lci-kick scooter - NMC'!$G325,'ei names mapping'!$B$3:$R$3,0))</f>
        <v>kilowatt hour</v>
      </c>
      <c r="F325" t="s">
        <v>89</v>
      </c>
      <c r="G325" t="s">
        <v>28</v>
      </c>
      <c r="H325" t="str">
        <f>INDEX('ei names mapping'!$B$71:$R$100,MATCH('lci-kick scooter - NMC'!$B$5,'ei names mapping'!$A$4:$A$33,0),MATCH('lci-kick scooter - NMC'!$G325,'ei names mapping'!$B$3:$R$3,0))</f>
        <v>electricity, low voltage</v>
      </c>
    </row>
    <row r="326" spans="1:8" x14ac:dyDescent="0.2">
      <c r="A326" t="str">
        <f>INDEX('ei names mapping'!$B$4:$R$33,MATCH(B296,'ei names mapping'!$A$4:$A$33,0),MATCH(G326,'ei names mapping'!$B$3:$R$3,0))</f>
        <v>road construction</v>
      </c>
      <c r="B326" s="7">
        <f>INDEX('vehicles specifications'!$B$3:$CW$166,MATCH(B299,'vehicles specifications'!$A$3:$A$166,0),MATCH(G326,'vehicles specifications'!$B$2:$CW$2,0))*INDEX('ei names mapping'!$B$137:$BL$300,MATCH(B299,'ei names mapping'!$A$137:$A$300,0),MATCH(G326,'ei names mapping'!$B$136:$BL$136,0))</f>
        <v>4.5918870000000003E-5</v>
      </c>
      <c r="C326" t="str">
        <f>INDEX('ei names mapping'!$B$38:$R$67,MATCH(B296,'ei names mapping'!$A$4:$A$33,0),MATCH(G326,'ei names mapping'!$B$3:$R$3,0))</f>
        <v>CH</v>
      </c>
      <c r="D326" t="str">
        <f>INDEX('ei names mapping'!$B$104:$R$133,MATCH(B296,'ei names mapping'!$A$104:$A$133,0),MATCH(G326,'ei names mapping'!$B$3:$R$3,0))</f>
        <v>meter-year</v>
      </c>
      <c r="F326" t="s">
        <v>89</v>
      </c>
      <c r="G326" t="s">
        <v>105</v>
      </c>
      <c r="H326" t="str">
        <f>INDEX('ei names mapping'!$B$71:$R$100,MATCH(B296,'ei names mapping'!$A$4:$A$33,0),MATCH(G326,'ei names mapping'!$B$3:$R$3,0))</f>
        <v>road</v>
      </c>
    </row>
    <row r="327" spans="1:8" x14ac:dyDescent="0.2">
      <c r="A327" t="str">
        <f>INDEX('ei names mapping'!$B$4:$BL$33,MATCH('lci-kick scooter - NMC'!$B$5,'ei names mapping'!$A$4:$A$33,0),MATCH('lci-kick scooter - NMC'!$G327,'ei names mapping'!$B$3:$BL$3,0))</f>
        <v>treatment of road wear emissions, passenger car</v>
      </c>
      <c r="B327" s="7">
        <f>INDEX('vehicles specifications'!$B$3:$CW$166,MATCH(B299,'vehicles specifications'!$A$3:$A$166,0),MATCH(G327,'vehicles specifications'!$B$2:$CW$2,0))*INDEX('ei names mapping'!$B$137:$BL$300,MATCH(B299,'ei names mapping'!$A$137:$A$300,0),MATCH(G327,'ei names mapping'!$B$136:$BL$136,0))</f>
        <v>-3.733434075561425E-6</v>
      </c>
      <c r="C327" t="str">
        <f>INDEX('ei names mapping'!$B$38:$BL$67,MATCH('lci-kick scooter - NMC'!$B$5,'ei names mapping'!$A$4:$A$33,0),MATCH('lci-kick scooter - NMC'!$G327,'ei names mapping'!$B$3:$BL$3,0))</f>
        <v>RER</v>
      </c>
      <c r="D327" t="str">
        <f>INDEX('ei names mapping'!$B$104:$BL$133,MATCH('lci-kick scooter - NMC'!$B$5,'ei names mapping'!$A$4:$A$33,0),MATCH('lci-kick scooter - NMC'!$G327,'ei names mapping'!$B$3:$BL$3,0))</f>
        <v>kilogram</v>
      </c>
      <c r="F327" t="s">
        <v>89</v>
      </c>
      <c r="G327" t="s">
        <v>29</v>
      </c>
      <c r="H327" t="str">
        <f>INDEX('ei names mapping'!$B$71:$BL$100,MATCH('lci-kick scooter - NMC'!$B$5,'ei names mapping'!$A$4:$A$33,0),MATCH('lci-kick scooter - NMC'!$G327,'ei names mapping'!$B$3:$BL$3,0))</f>
        <v>road wear emissions, passenger car</v>
      </c>
    </row>
    <row r="328" spans="1:8" x14ac:dyDescent="0.2">
      <c r="A328" t="str">
        <f>INDEX('ei names mapping'!$B$4:$BL$33,MATCH('lci-kick scooter - NMC'!$B$5,'ei names mapping'!$A$4:$A$33,0),MATCH('lci-kick scooter - NMC'!$G328,'ei names mapping'!$B$3:$BL$3,0))</f>
        <v>treatment of tyre wear emissions, passenger car</v>
      </c>
      <c r="B328" s="7">
        <f>INDEX('vehicles specifications'!$B$3:$CW$166,MATCH(B299,'vehicles specifications'!$A$3:$A$166,0),MATCH(G328,'vehicles specifications'!$B$2:$CW$2,0))*INDEX('ei names mapping'!$B$137:$BL$300,MATCH(B299,'ei names mapping'!$A$137:$A$300,0),MATCH(G328,'ei names mapping'!$B$136:$BL$136,0))</f>
        <v>-3.6152719516232798E-6</v>
      </c>
      <c r="C328" t="str">
        <f>INDEX('ei names mapping'!$B$38:$BL$67,MATCH('lci-kick scooter - NMC'!$B$5,'ei names mapping'!$A$4:$A$33,0),MATCH('lci-kick scooter - NMC'!$G328,'ei names mapping'!$B$3:$BL$3,0))</f>
        <v>RER</v>
      </c>
      <c r="D328" t="str">
        <f>INDEX('ei names mapping'!$B$104:$BL$133,MATCH('lci-kick scooter - NMC'!$B$5,'ei names mapping'!$A$4:$A$33,0),MATCH('lci-kick scooter - NMC'!$G328,'ei names mapping'!$B$3:$BL$3,0))</f>
        <v>kilogram</v>
      </c>
      <c r="F328" t="s">
        <v>89</v>
      </c>
      <c r="G328" t="s">
        <v>30</v>
      </c>
      <c r="H328" t="str">
        <f>INDEX('ei names mapping'!$B$71:$BL$100,MATCH('lci-kick scooter - NMC'!$B$5,'ei names mapping'!$A$4:$A$33,0),MATCH('lci-kick scooter - NMC'!$G328,'ei names mapping'!$B$3:$BL$3,0))</f>
        <v>tyre wear emissions, passenger car</v>
      </c>
    </row>
    <row r="329" spans="1:8" x14ac:dyDescent="0.2">
      <c r="A329" t="str">
        <f>INDEX('ei names mapping'!$B$4:$BL$33,MATCH('lci-kick scooter - NMC'!$B$5,'ei names mapping'!$A$4:$A$33,0),MATCH('lci-kick scooter - NMC'!$G329,'ei names mapping'!$B$3:$BL$3,0))</f>
        <v>treatment of brake wear emissions, passenger car</v>
      </c>
      <c r="B329" s="7">
        <f>INDEX('vehicles specifications'!$B$3:$CW$166,MATCH(B299,'vehicles specifications'!$A$3:$A$166,0),MATCH(G329,'vehicles specifications'!$B$2:$CW$2,0))*INDEX('ei names mapping'!$B$137:$BL$300,MATCH(B299,'ei names mapping'!$A$137:$A$300,0),MATCH(G329,'ei names mapping'!$B$136:$BL$136,0))</f>
        <v>-3.3969958388919805E-6</v>
      </c>
      <c r="C329" t="str">
        <f>INDEX('ei names mapping'!$B$38:$BL$67,MATCH('lci-kick scooter - NMC'!$B$5,'ei names mapping'!$A$4:$A$33,0),MATCH('lci-kick scooter - NMC'!$G329,'ei names mapping'!$B$3:$BL$3,0))</f>
        <v>RER</v>
      </c>
      <c r="D329" t="str">
        <f>INDEX('ei names mapping'!$B$104:$BL$133,MATCH('lci-kick scooter - NMC'!$B$5,'ei names mapping'!$A$4:$A$33,0),MATCH('lci-kick scooter - NMC'!$G329,'ei names mapping'!$B$3:$BL$3,0))</f>
        <v>kilogram</v>
      </c>
      <c r="F329" t="s">
        <v>89</v>
      </c>
      <c r="G329" t="s">
        <v>31</v>
      </c>
      <c r="H329" t="str">
        <f>INDEX('ei names mapping'!$B$71:$BL$100,MATCH('lci-kick scooter - NMC'!$B$5,'ei names mapping'!$A$4:$A$33,0),MATCH('lci-kick scooter - NMC'!$G329,'ei names mapping'!$B$3:$BL$3,0))</f>
        <v>brake wear emissions, passenger car</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47</vt:i4>
      </vt:variant>
    </vt:vector>
  </HeadingPairs>
  <TitlesOfParts>
    <vt:vector size="4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lci-kick scooter - LFP</vt:lpstr>
      <vt:lpstr>lci-kick scooter - NCA</vt:lpstr>
      <vt:lpstr>lci-motorbikes&lt;4kW - NMC</vt:lpstr>
      <vt:lpstr>lci-motorbikes&lt;4kW - LFP</vt:lpstr>
      <vt:lpstr>lci-motorbikes&lt;4kW - NCA</vt:lpstr>
      <vt:lpstr>lci-motorbikes-4-11kW - NMC</vt:lpstr>
      <vt:lpstr>lci-motorbikes-4-11kW - LFP</vt:lpstr>
      <vt:lpstr>lci-motorbikes-4-11kW - NCA</vt:lpstr>
      <vt:lpstr>lci-motorbikes-11-35kW - NMC</vt:lpstr>
      <vt:lpstr>lci-motorbikes-11-35kW - LFP</vt:lpstr>
      <vt:lpstr>lci-motorbikes-11-35kW - NCA</vt:lpstr>
      <vt:lpstr>lci-motorbikes&gt;35kW - NMC</vt:lpstr>
      <vt:lpstr>lci-motorbikes&gt;35kW - LFP</vt:lpstr>
      <vt:lpstr>lci-motorbikes&gt;35kW - NCA</vt:lpstr>
      <vt:lpstr>lci-motorbikes-gas-4-11kW</vt:lpstr>
      <vt:lpstr>lci-motorbikes-gas-11-35kW</vt:lpstr>
      <vt:lpstr>lci-motorbikes-gas-&gt;35kW</vt:lpstr>
      <vt:lpstr>lci-scooter&lt;4kW</vt:lpstr>
      <vt:lpstr>lci-scooter-4-11kW</vt:lpstr>
      <vt:lpstr>lci-scooter-electric&lt;4kW - NMC</vt:lpstr>
      <vt:lpstr>lci-scooter-electric&lt;4kW -  LFP</vt:lpstr>
      <vt:lpstr>lci-scooter-electric&lt;4kW -  NCA</vt:lpstr>
      <vt:lpstr>lci-scooter-elec-4-11kW - NMC</vt:lpstr>
      <vt:lpstr>lci-scooter-elec-4-11kW - LFP</vt:lpstr>
      <vt:lpstr>lci-scooter-elec-4-11kW - NCA</vt:lpstr>
      <vt:lpstr>lci-moped</vt:lpstr>
      <vt:lpstr>lci-bicycle</vt:lpstr>
      <vt:lpstr>lci-elec-bicycle-25kmh - NMC</vt:lpstr>
      <vt:lpstr>lci-elec-bicycle-25kmh - LFP</vt:lpstr>
      <vt:lpstr>lci-elec-bicycle-25kmh - NCA</vt:lpstr>
      <vt:lpstr>lci-elec-bicycle-45kmh - NMC</vt:lpstr>
      <vt:lpstr>lci-elec-bicycle-45kmh - LFP</vt:lpstr>
      <vt:lpstr>lci-elec-bicycle-45kmh - NCA</vt:lpstr>
      <vt:lpstr>lci-elec-bicycle-cargo - NMC</vt:lpstr>
      <vt:lpstr>lci-elec-bicycle-cargo - LFP</vt:lpstr>
      <vt:lpstr>lci-elec-bicycle-cargo - NCA</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2021-02-01T10:08:21Z</dcterms:created>
  <dcterms:modified xsi:type="dcterms:W3CDTF">2022-12-22T14:00:37Z</dcterms:modified>
</cp:coreProperties>
</file>