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6D9F34F7-9269-5147-A33D-BED90132DFD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lci" sheetId="1" r:id="rId1"/>
    <sheet name="Final specifications" sheetId="3" r:id="rId2"/>
    <sheet name="Manufacturers' data" sheetId="2" r:id="rId3"/>
  </sheets>
  <definedNames>
    <definedName name="_xlnm._FilterDatabase" localSheetId="0" hidden="1">lci!$A$1:$T$499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66" i="1" l="1"/>
  <c r="B366" i="1"/>
  <c r="J366" i="1" s="1"/>
  <c r="R365" i="1"/>
  <c r="B365" i="1"/>
  <c r="J365" i="1" s="1"/>
  <c r="R364" i="1"/>
  <c r="B364" i="1"/>
  <c r="J364" i="1" s="1"/>
  <c r="R345" i="1"/>
  <c r="B345" i="1"/>
  <c r="J345" i="1" s="1"/>
  <c r="R344" i="1"/>
  <c r="B344" i="1"/>
  <c r="J344" i="1" s="1"/>
  <c r="R343" i="1"/>
  <c r="B343" i="1"/>
  <c r="J343" i="1" s="1"/>
  <c r="R205" i="1"/>
  <c r="B205" i="1"/>
  <c r="J205" i="1" s="1"/>
  <c r="R204" i="1"/>
  <c r="B204" i="1"/>
  <c r="J204" i="1" s="1"/>
  <c r="R203" i="1"/>
  <c r="B203" i="1"/>
  <c r="J203" i="1" s="1"/>
  <c r="R22" i="1"/>
  <c r="B22" i="1"/>
  <c r="J22" i="1" s="1"/>
  <c r="R21" i="1"/>
  <c r="B21" i="1"/>
  <c r="J21" i="1" s="1"/>
  <c r="R20" i="1"/>
  <c r="B20" i="1"/>
  <c r="J20" i="1" s="1"/>
  <c r="B335" i="1" l="1"/>
  <c r="B195" i="1"/>
  <c r="B13" i="1"/>
  <c r="B357" i="1"/>
  <c r="B359" i="1" s="1"/>
  <c r="B356" i="1"/>
  <c r="B358" i="1" s="1"/>
  <c r="D355" i="1"/>
  <c r="C355" i="1"/>
  <c r="P97" i="2"/>
  <c r="P96" i="2"/>
  <c r="P95" i="2"/>
  <c r="P94" i="2"/>
  <c r="P92" i="2"/>
  <c r="T91" i="2"/>
  <c r="Y90" i="2"/>
  <c r="T90" i="2"/>
  <c r="Q90" i="2"/>
  <c r="P89" i="2"/>
  <c r="P87" i="2"/>
  <c r="P86" i="2"/>
  <c r="P85" i="2"/>
  <c r="P84" i="2"/>
  <c r="P83" i="2"/>
  <c r="P82" i="2"/>
  <c r="P80" i="2"/>
  <c r="T80" i="2" s="1"/>
  <c r="P79" i="2"/>
  <c r="P77" i="2"/>
  <c r="P76" i="2"/>
  <c r="P75" i="2"/>
  <c r="P74" i="2"/>
  <c r="P73" i="2"/>
  <c r="P72" i="2"/>
  <c r="P71" i="2"/>
  <c r="P68" i="2"/>
  <c r="P66" i="2"/>
  <c r="AC65" i="2"/>
  <c r="T65" i="2"/>
  <c r="Q65" i="2"/>
  <c r="AC64" i="2"/>
  <c r="T64" i="2"/>
  <c r="P63" i="2"/>
  <c r="P62" i="2"/>
  <c r="P60" i="2"/>
  <c r="P59" i="2"/>
  <c r="P58" i="2"/>
  <c r="P57" i="2"/>
  <c r="P56" i="2"/>
  <c r="P55" i="2"/>
  <c r="P53" i="2"/>
  <c r="P52" i="2"/>
  <c r="P49" i="2"/>
  <c r="P48" i="2"/>
  <c r="P47" i="2"/>
  <c r="P46" i="2"/>
  <c r="P44" i="2"/>
  <c r="P41" i="2"/>
  <c r="P39" i="2"/>
  <c r="P38" i="2"/>
  <c r="P37" i="2"/>
  <c r="P36" i="2"/>
  <c r="P35" i="2"/>
  <c r="P34" i="2"/>
  <c r="P33" i="2"/>
  <c r="P32" i="2"/>
  <c r="P30" i="2"/>
  <c r="P29" i="2"/>
  <c r="P28" i="2"/>
  <c r="P27" i="2"/>
  <c r="P25" i="2"/>
  <c r="P24" i="2"/>
  <c r="P23" i="2"/>
  <c r="P22" i="2"/>
  <c r="P21" i="2"/>
  <c r="P19" i="2"/>
  <c r="P16" i="2"/>
  <c r="P15" i="2"/>
  <c r="P12" i="2"/>
  <c r="P11" i="2"/>
  <c r="P10" i="2"/>
  <c r="P6" i="2"/>
  <c r="P5" i="2"/>
  <c r="P4" i="2"/>
  <c r="B336" i="1"/>
  <c r="B338" i="1" s="1"/>
  <c r="B196" i="1"/>
  <c r="B14" i="1"/>
  <c r="G487" i="1"/>
  <c r="D487" i="1"/>
  <c r="A487" i="1"/>
  <c r="G402" i="1"/>
  <c r="D402" i="1"/>
  <c r="A402" i="1"/>
  <c r="G313" i="1"/>
  <c r="D313" i="1"/>
  <c r="A313" i="1"/>
  <c r="G232" i="1"/>
  <c r="D232" i="1"/>
  <c r="A232" i="1"/>
  <c r="B131" i="1"/>
  <c r="G130" i="1"/>
  <c r="D130" i="1"/>
  <c r="A130" i="1"/>
  <c r="B62" i="1"/>
  <c r="B61" i="1"/>
  <c r="B60" i="1"/>
  <c r="B59" i="1"/>
  <c r="B58" i="1"/>
  <c r="G57" i="1"/>
  <c r="D57" i="1"/>
  <c r="A57" i="1"/>
  <c r="B337" i="1" l="1"/>
  <c r="B197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0" i="1"/>
  <c r="B439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G413" i="1"/>
  <c r="A413" i="1"/>
  <c r="B386" i="1"/>
  <c r="B385" i="1"/>
  <c r="G376" i="1"/>
  <c r="D376" i="1"/>
  <c r="A376" i="1"/>
  <c r="A336" i="1"/>
  <c r="A335" i="1"/>
  <c r="D334" i="1"/>
  <c r="C334" i="1"/>
  <c r="G244" i="1"/>
  <c r="A244" i="1"/>
  <c r="G215" i="1"/>
  <c r="D215" i="1"/>
  <c r="A215" i="1"/>
  <c r="A196" i="1"/>
  <c r="A195" i="1"/>
  <c r="D194" i="1"/>
  <c r="C194" i="1"/>
  <c r="G152" i="1"/>
  <c r="A152" i="1"/>
  <c r="G72" i="1"/>
  <c r="A72" i="1"/>
  <c r="G32" i="1"/>
  <c r="D32" i="1"/>
  <c r="A32" i="1"/>
  <c r="A14" i="1"/>
  <c r="A13" i="1"/>
  <c r="D12" i="1"/>
  <c r="C12" i="1"/>
  <c r="B198" i="1" l="1"/>
  <c r="B16" i="1"/>
  <c r="B15" i="1"/>
</calcChain>
</file>

<file path=xl/sharedStrings.xml><?xml version="1.0" encoding="utf-8"?>
<sst xmlns="http://schemas.openxmlformats.org/spreadsheetml/2006/main" count="2828" uniqueCount="525">
  <si>
    <t>Database</t>
  </si>
  <si>
    <t>Activity</t>
  </si>
  <si>
    <t>location</t>
  </si>
  <si>
    <t>production amount</t>
  </si>
  <si>
    <t>reference product</t>
  </si>
  <si>
    <t>type</t>
  </si>
  <si>
    <t>unit</t>
  </si>
  <si>
    <t>Exchanges</t>
  </si>
  <si>
    <t>name</t>
  </si>
  <si>
    <t>amount</t>
  </si>
  <si>
    <t>categories</t>
  </si>
  <si>
    <t>comment</t>
  </si>
  <si>
    <t>technosphere</t>
  </si>
  <si>
    <t>kilogram</t>
  </si>
  <si>
    <t>cutoff</t>
  </si>
  <si>
    <t>biosphere</t>
  </si>
  <si>
    <t>steel, chromium steel 18/8, hot rolled</t>
  </si>
  <si>
    <t>production</t>
  </si>
  <si>
    <t>GLO</t>
  </si>
  <si>
    <t>market for aluminium, wrought alloy</t>
  </si>
  <si>
    <t>aluminium, wrought alloy</t>
  </si>
  <si>
    <t>market for steel, chromium steel 18/8, hot rolled</t>
  </si>
  <si>
    <t>market for tetrafluoroethylene</t>
  </si>
  <si>
    <t>tetrafluoroethylene</t>
  </si>
  <si>
    <t>market for platinum</t>
  </si>
  <si>
    <t>platinum</t>
  </si>
  <si>
    <t>natural resource::in ground</t>
  </si>
  <si>
    <t>market for steel, low-alloyed</t>
  </si>
  <si>
    <t>steel, low-alloyed</t>
  </si>
  <si>
    <t>market for polypropylene, granulate</t>
  </si>
  <si>
    <t>polypropylene, granulate</t>
  </si>
  <si>
    <t>electronics, for control units</t>
  </si>
  <si>
    <t>market for electronics, for control units</t>
  </si>
  <si>
    <t>cubic meter</t>
  </si>
  <si>
    <t>h2_pem</t>
  </si>
  <si>
    <t>market group for electricity, low voltage</t>
  </si>
  <si>
    <t>RER</t>
  </si>
  <si>
    <t>kilowatt hour</t>
  </si>
  <si>
    <t>electricity, low voltage</t>
  </si>
  <si>
    <t>market for water, deionised</t>
  </si>
  <si>
    <t>Europe without Switzerland</t>
  </si>
  <si>
    <t>water, deionised</t>
  </si>
  <si>
    <t>Oxygen</t>
  </si>
  <si>
    <t>air</t>
  </si>
  <si>
    <t>reinforcing steel</t>
  </si>
  <si>
    <t>sheet rolling, aluminium</t>
  </si>
  <si>
    <t>sheet rolling, steel</t>
  </si>
  <si>
    <t>tube insulation, elastomere</t>
  </si>
  <si>
    <t>wire drawing, copper</t>
  </si>
  <si>
    <t>CH</t>
  </si>
  <si>
    <t>negative</t>
  </si>
  <si>
    <t>simapro category</t>
  </si>
  <si>
    <t>electrolyzer, 1MWe, PEM, Stack</t>
  </si>
  <si>
    <t>Stack, 7 years lifetime.</t>
  </si>
  <si>
    <t>electrolyzer, 1MWe, PEM, Balance of Plant</t>
  </si>
  <si>
    <t>BoP, 20 years lifetime.</t>
  </si>
  <si>
    <t>market for electricity, low voltage</t>
  </si>
  <si>
    <t>market for heat, from steam, in chemical industry</t>
  </si>
  <si>
    <t>megajoule</t>
  </si>
  <si>
    <t>heat, from steam, in chemical industry</t>
  </si>
  <si>
    <t xml:space="preserve">A perfect reaction of H2O results in 1 kg H2 and 8 kg O2, and needs 9 kg H2O, however, considering some losses we assume 14 kg H2O (Simoes et al., 2021). </t>
  </si>
  <si>
    <t>electrolyzer production, 1MWe, PEM, Stack</t>
  </si>
  <si>
    <t>1 MW PEM electrolyzer based on Niklas Gerloff, Comparative Life-Cycle-Assessment analysis of three major water electrolysis technologies while applying various energy scenarios for a greener hydrogen production, Journal of Energy Storage, Volume 43, 2021, https://doi.org/10.1016/j.est.2021.102759. Lifetime of 7-8 years per single stack, @ 8000 hours/year. Iridium mining process is NOT from ecoinvent. Produced amount of H2 over 20 years: 2964315.35 kg. According to a study called IndWEDe, it is assumed that the stacks are replaced 3 times during the 20 years lifespan, based on the 2030’s scenario for 1 MW systems which predicts a lifetime of 50,000 h or more for the stacks of the different water electrolysis technologies. In comparison to AEC electrolyzers, PEMEC electrolyzers are less mature. Furthermore, the PEMEC technology is commercially available and operates with a similar system efficiency as the AEC technology. However, the current density and the gas purity are higher with values in between 0.6–2.0 A/cm2 and &gt; 99.99%, respectively. Besides this, the operating pressure (below 200 bar) is significantly higher in comparison to AEC systems, while the operating temperature (50 °C to 80 °C) and the system energy (4.2–6.6 kWh/m3H2) are similar to AEC systems. The PEMEC BoP and stack components data stem from Bareiß et al. and correspond to a 1 MW system. Moreover, some further BoP components like water purifier &amp; feed tank, buffer tank, and heat exchanger have been added, derived from a 300 kW AEC system, under the assumption that the components are also suitable for a PEMEC system. The values have been scaled up from 300 kW to 1 MW. Values have already been multiplied by 3 to reflect 2 stack replacements over 20 years of use.</t>
  </si>
  <si>
    <t>Material/Fuels/Synthetic/Infrastructure</t>
  </si>
  <si>
    <t>end plate</t>
  </si>
  <si>
    <t>market for sheet rolling, aluminium</t>
  </si>
  <si>
    <t>market for titanium</t>
  </si>
  <si>
    <t>titanium</t>
  </si>
  <si>
    <t>bipolar plate</t>
  </si>
  <si>
    <t>membrane polymer</t>
  </si>
  <si>
    <t>market for carbon black</t>
  </si>
  <si>
    <t>carbon black</t>
  </si>
  <si>
    <t>electrocatalyst anode</t>
  </si>
  <si>
    <t>iridium production</t>
  </si>
  <si>
    <t>iridium</t>
  </si>
  <si>
    <t>electrocatalyst cathode</t>
  </si>
  <si>
    <t>market for copper, cathode</t>
  </si>
  <si>
    <t>copper, cathode</t>
  </si>
  <si>
    <t>current collector</t>
  </si>
  <si>
    <t>market for sheet rolling, copper</t>
  </si>
  <si>
    <t>sheet rolling, copper</t>
  </si>
  <si>
    <t>market for sheet rolling, chromium steel</t>
  </si>
  <si>
    <t>sheet rolling, chromium steel</t>
  </si>
  <si>
    <t>bolts and screws</t>
  </si>
  <si>
    <t>market for synthetic rubber</t>
  </si>
  <si>
    <t>synthetic rubber</t>
  </si>
  <si>
    <t>gasket</t>
  </si>
  <si>
    <t>assembly energy</t>
  </si>
  <si>
    <t>Iridium</t>
  </si>
  <si>
    <t>electrolyzer production, 1MWe, PEM, Balance of Plant</t>
  </si>
  <si>
    <t>power electronics (rectifier, voltage adaption)</t>
  </si>
  <si>
    <t>market for reinforcing steel</t>
  </si>
  <si>
    <t>market for sheet rolling, steel</t>
  </si>
  <si>
    <t>market for tube insulation, elastomere</t>
  </si>
  <si>
    <t>market for wire drawing, copper</t>
  </si>
  <si>
    <t>control panels/electronics</t>
  </si>
  <si>
    <t>tubing and pump</t>
  </si>
  <si>
    <t>steel construction element</t>
  </si>
  <si>
    <t>Purification (De-Oxo) &amp; water treatment</t>
  </si>
  <si>
    <t>water-gas separator</t>
  </si>
  <si>
    <t>valve</t>
  </si>
  <si>
    <t>market for injection moulding</t>
  </si>
  <si>
    <t>injection moulding</t>
  </si>
  <si>
    <t>market for lubricating oil</t>
  </si>
  <si>
    <t>lubricating oil</t>
  </si>
  <si>
    <t>back-pressure regulator</t>
  </si>
  <si>
    <t>market for zeolite, powder</t>
  </si>
  <si>
    <t>zeolite, powder</t>
  </si>
  <si>
    <t>ion exchanger</t>
  </si>
  <si>
    <t>heat exchanger</t>
  </si>
  <si>
    <t>market for extrusion, plastic pipes</t>
  </si>
  <si>
    <t>extrusion, plastic pipes</t>
  </si>
  <si>
    <t>water purifier and feed tank</t>
  </si>
  <si>
    <t>market for polyethylene, low density, granulate</t>
  </si>
  <si>
    <t>polyethylene, low density, granulate</t>
  </si>
  <si>
    <t>frequency converter, diaphragm compressor</t>
  </si>
  <si>
    <t>market for cast iron</t>
  </si>
  <si>
    <t>cast iron</t>
  </si>
  <si>
    <t>diaphragm for diaphragm compressor</t>
  </si>
  <si>
    <t>market for ethylene glycol</t>
  </si>
  <si>
    <t>ethylene glycol</t>
  </si>
  <si>
    <t>container with pipes and fittings for compressor</t>
  </si>
  <si>
    <t>buffer tank</t>
  </si>
  <si>
    <t>market for welding, arc, steel</t>
  </si>
  <si>
    <t>meter</t>
  </si>
  <si>
    <t>welding, arc, steel</t>
  </si>
  <si>
    <t>container</t>
  </si>
  <si>
    <t>market for concrete, normal strength</t>
  </si>
  <si>
    <t>concrete, normal strength</t>
  </si>
  <si>
    <t>foundation concrete</t>
  </si>
  <si>
    <t>This is an aggregated inventory and cannot be considered transparent! 1 ton of iridium, mined. System area: Ore production to iridium in regional deposits. Geographical reference: Europe. Chronological reference: 2000-2004. Other information: Associated with platinum: approx. 0.3 to 0.4 g/10 g platinum ; share in total PGM prod.: approx. 37/542. The provision of investment goods is not considered in the data set. General information on mining and production: Type of mining: underground and open pit.
Crude ore production: South Africa 90%, Russia, Zimbabwe. Crude metal production: Germany 40% (Heraeus). Yearly production: 37 tons/year.
Source: ifeu - Institut für Energie- und Umweltforschung Heidelberg. Umweltprofile (UBA 2012). Accessible via: https://www.probas.umweltbundesamt.de/php/prozessdetails.php?id={BBAD218F-E439-42D6-9C26-14C774287F3C}</t>
  </si>
  <si>
    <t>Methane, non-fossil</t>
  </si>
  <si>
    <t>Methane, fossil</t>
  </si>
  <si>
    <t>Hydrocarbons, chlorinated</t>
  </si>
  <si>
    <t>Chromium III</t>
  </si>
  <si>
    <t>Carbon monoxide, fossil</t>
  </si>
  <si>
    <t>Carbon dioxide, fossil</t>
  </si>
  <si>
    <t>Carbon dioxide, non-fossil</t>
  </si>
  <si>
    <t>Methane, dichloro-, HCC-30</t>
  </si>
  <si>
    <t>Dioxins, measured as 2,3,7,8-tetrachlorodibenzo-p-dioxin</t>
  </si>
  <si>
    <t>Ethane</t>
  </si>
  <si>
    <t>Particulate Matter, &gt; 2.5 um and &lt; 10um</t>
  </si>
  <si>
    <t>Formaldehyde</t>
  </si>
  <si>
    <t>Hydrogen sulfide</t>
  </si>
  <si>
    <t>Hydrochloric acid</t>
  </si>
  <si>
    <t>Benzene, hexachloro-</t>
  </si>
  <si>
    <t>Hydrogen fluoride</t>
  </si>
  <si>
    <t>Ethane, 1,1,1,2-tetrafluoro-, HFC-134a</t>
  </si>
  <si>
    <t>Copper ion</t>
  </si>
  <si>
    <t>Dinitrogen monoxide</t>
  </si>
  <si>
    <t>Ammonia</t>
  </si>
  <si>
    <t>Nickel II</t>
  </si>
  <si>
    <t>NMVOC, non-methane volatile organic compounds</t>
  </si>
  <si>
    <t>Nitrogen oxides</t>
  </si>
  <si>
    <t>Polychlorinated biphenyls</t>
  </si>
  <si>
    <t>Phenol, pentachloro-</t>
  </si>
  <si>
    <t>Perfluoropentane</t>
  </si>
  <si>
    <t>PAH, polycyclic aromatic hydrocarbons</t>
  </si>
  <si>
    <t>Mercury II</t>
  </si>
  <si>
    <t>Sulfur hexafluoride</t>
  </si>
  <si>
    <t>Sulfur dioxide</t>
  </si>
  <si>
    <t>Methane, tetrachloro-, R-10</t>
  </si>
  <si>
    <t>Zinc II</t>
  </si>
  <si>
    <t>hydrogen, gaseous, 30 bar</t>
  </si>
  <si>
    <t>electrolyzer, 1MWe, AEC, Stack</t>
  </si>
  <si>
    <t>electrolyzer, 1MWe, AEC, Balance of Plant</t>
  </si>
  <si>
    <t>market for potassium hydroxide</t>
  </si>
  <si>
    <t>potassium hydroxide</t>
  </si>
  <si>
    <t>KOH input</t>
  </si>
  <si>
    <t>electrolyzer production, 1MWe, AEC, Stack</t>
  </si>
  <si>
    <t>anode and cathode with frame</t>
  </si>
  <si>
    <t>market for nickel, class 1</t>
  </si>
  <si>
    <t>nickel, class 1</t>
  </si>
  <si>
    <t>market for polysulfone</t>
  </si>
  <si>
    <t>polysulfone</t>
  </si>
  <si>
    <t>diaphragm, zirfon</t>
  </si>
  <si>
    <t>market for zirconium oxide</t>
  </si>
  <si>
    <t>zirconium oxide</t>
  </si>
  <si>
    <t>electrolyzer production, 1MWe, AEC, Balance of Plant</t>
  </si>
  <si>
    <t>market for glass fibre</t>
  </si>
  <si>
    <t>glass fibre</t>
  </si>
  <si>
    <t>hydrogen dryer and de-oxidizer</t>
  </si>
  <si>
    <t>tubing and cables</t>
  </si>
  <si>
    <t>water cooling plant for electrolyzer</t>
  </si>
  <si>
    <t>pumps and coolers</t>
  </si>
  <si>
    <t>gas separator</t>
  </si>
  <si>
    <t>steel tank for KOH</t>
  </si>
  <si>
    <t>alkali-resistant rotary pump</t>
  </si>
  <si>
    <t>storage tank</t>
  </si>
  <si>
    <t>electrolyzer, 1MWe, SOEC, Stack</t>
  </si>
  <si>
    <t>electrolyzer, 1MWe, SOEC, Balance of Plant</t>
  </si>
  <si>
    <t>5.24 kWh heat needed/kg H2</t>
  </si>
  <si>
    <t>electrolyzer production, 1MWe, SOEC, Stack</t>
  </si>
  <si>
    <t>air electrode</t>
  </si>
  <si>
    <t>market for praseodymium oxide</t>
  </si>
  <si>
    <t>praseodymium oxide</t>
  </si>
  <si>
    <t>screen printing</t>
  </si>
  <si>
    <t>blocking layer</t>
  </si>
  <si>
    <t>market for samarium-europium-gadolinium oxide</t>
  </si>
  <si>
    <t>samarium-europium-gadolinium oxide</t>
  </si>
  <si>
    <t>market for cerium oxide</t>
  </si>
  <si>
    <t>cerium oxide</t>
  </si>
  <si>
    <t>market for lanthanum oxide</t>
  </si>
  <si>
    <t>lanthanum oxide</t>
  </si>
  <si>
    <t>electrolyte - to check</t>
  </si>
  <si>
    <t>market for strontium carbonate</t>
  </si>
  <si>
    <t>strontium carbonate</t>
  </si>
  <si>
    <t>market for aluminium oxide, metallurgical</t>
  </si>
  <si>
    <t>IAI Area, EU27 &amp; EFTA</t>
  </si>
  <si>
    <t>aluminium oxide, metallurgical</t>
  </si>
  <si>
    <t>electrolyte + H2 electrode</t>
  </si>
  <si>
    <t>market for boric oxide</t>
  </si>
  <si>
    <t>boric oxide</t>
  </si>
  <si>
    <t>market for barium oxide</t>
  </si>
  <si>
    <t>barium oxide</t>
  </si>
  <si>
    <t>market for silicone product</t>
  </si>
  <si>
    <t>silicone product</t>
  </si>
  <si>
    <t>firing of cell</t>
  </si>
  <si>
    <t>electrolyzer production, 1MWe, SOEC, Balance of Plant</t>
  </si>
  <si>
    <t>heat exchangers</t>
  </si>
  <si>
    <t>frequency converters</t>
  </si>
  <si>
    <t>diaphragm compressor</t>
  </si>
  <si>
    <t>container with pipes and fittings for diaphragm compressor</t>
  </si>
  <si>
    <t>power electronics (rectifier, voltage adaptation)</t>
  </si>
  <si>
    <t>control electronics</t>
  </si>
  <si>
    <t>mixer</t>
  </si>
  <si>
    <t>splitter</t>
  </si>
  <si>
    <t>flange</t>
  </si>
  <si>
    <t>vessel</t>
  </si>
  <si>
    <t>market for acrylonitrile-butadiene-styrene copolymer</t>
  </si>
  <si>
    <t>acrylonitrile-butadiene-styrene copolymer</t>
  </si>
  <si>
    <t>control panel</t>
  </si>
  <si>
    <t>skid component</t>
  </si>
  <si>
    <t>separator</t>
  </si>
  <si>
    <t>water pump</t>
  </si>
  <si>
    <t>frequency converter -water pump</t>
  </si>
  <si>
    <t xml:space="preserve"> reinforcing steel</t>
  </si>
  <si>
    <t>tubing</t>
  </si>
  <si>
    <t>water purifier &amp; feed tank</t>
  </si>
  <si>
    <t>market for steel, low-alloyed, hot rolled</t>
  </si>
  <si>
    <t>steel, low-alloyed, hot rolled</t>
  </si>
  <si>
    <t>foundation</t>
  </si>
  <si>
    <t>treatment of fuel cell stack, 1MWe, PEM</t>
  </si>
  <si>
    <t>market for scrap steel</t>
  </si>
  <si>
    <t>scrap steel</t>
  </si>
  <si>
    <t>market for scrap aluminium</t>
  </si>
  <si>
    <t>scrap aluminium</t>
  </si>
  <si>
    <t>market for scrap copper</t>
  </si>
  <si>
    <t>scrap copper</t>
  </si>
  <si>
    <t>market for waste plastic, mixture</t>
  </si>
  <si>
    <t>waste plastic, mixture</t>
  </si>
  <si>
    <t>DE</t>
  </si>
  <si>
    <t>market for waste rubber, unspecified</t>
  </si>
  <si>
    <t>waste rubber, unspecified</t>
  </si>
  <si>
    <t>used fuel cell stack, 1MWe, PEM</t>
  </si>
  <si>
    <t>Stack EoL</t>
  </si>
  <si>
    <t>treatment of fuel cell balance of plant, 1MWe, PEM</t>
  </si>
  <si>
    <t>used fuel cell balance of plant, 1MWe, PEM</t>
  </si>
  <si>
    <t>waste reinforcement steel</t>
  </si>
  <si>
    <t>RoW</t>
  </si>
  <si>
    <t>treatment of scrap printed wiring boards, shredding and separation</t>
  </si>
  <si>
    <t>treatment of used cable</t>
  </si>
  <si>
    <t>used cable</t>
  </si>
  <si>
    <t>treatment of waste polyethylene/polypropylene product, collection for final disposal</t>
  </si>
  <si>
    <t>waste bulk iron, excluding reinforcement</t>
  </si>
  <si>
    <t>waste concrete, not reinforced</t>
  </si>
  <si>
    <t>treatment of waste zeolite, inert material landfill</t>
  </si>
  <si>
    <t>BoP EoL</t>
  </si>
  <si>
    <t>treatment of fuel cell stack, 1MWe, AEC</t>
  </si>
  <si>
    <t>used fuel cell stack, 1MWe, AEC</t>
  </si>
  <si>
    <t>treatment of fuel cell balance of plant, 1MWe, AEC</t>
  </si>
  <si>
    <t>used fuel cell balance of plant, 1MWe, AEC</t>
  </si>
  <si>
    <t>market for waste plastic, industrial electronics</t>
  </si>
  <si>
    <t>waste plastic, industrial electronics</t>
  </si>
  <si>
    <t>treatment of fuel cell stack, 1MWe, SOEC</t>
  </si>
  <si>
    <t>used fuel cell stack, 1MWe, SOEC</t>
  </si>
  <si>
    <t>treatment of fuel cell balance of plant, 1MWe, SOEC</t>
  </si>
  <si>
    <t>used fuel cell balance of plant, 1MWe, SOEC</t>
  </si>
  <si>
    <t>Manufacturer</t>
  </si>
  <si>
    <t>Model</t>
  </si>
  <si>
    <t>Electrolysis type</t>
  </si>
  <si>
    <t>Minimum power consumption [kW]</t>
  </si>
  <si>
    <t>Rated power [kW]</t>
  </si>
  <si>
    <t>Maximum power consumption [kW]</t>
  </si>
  <si>
    <t>Voltage consumption [V]</t>
  </si>
  <si>
    <t>Type of current [V]</t>
  </si>
  <si>
    <t>Space requirement [m²/kW]</t>
  </si>
  <si>
    <t>Start-up dynamics [s]</t>
  </si>
  <si>
    <t>Water treatment [s]</t>
  </si>
  <si>
    <t>Max. system availability [hours/year]</t>
  </si>
  <si>
    <t>Min. ambient temperature [°C]</t>
  </si>
  <si>
    <t>Max. Ambient temperature [°C]</t>
  </si>
  <si>
    <t>Spec. electricity demand [kWh/Nm³H2]</t>
  </si>
  <si>
    <t>Spec. electricity demand [kWh/kgH2]</t>
  </si>
  <si>
    <t>Spec. Heat demand [MJ/kgH2]</t>
  </si>
  <si>
    <t>Useful heat output [kW/kW]</t>
  </si>
  <si>
    <t>Temperature of useful heat [°C]</t>
  </si>
  <si>
    <t>Electrical efficiency [%, LHV]</t>
  </si>
  <si>
    <t>Total efficiency [%]</t>
  </si>
  <si>
    <t>Minimum stack temperature [°C]</t>
  </si>
  <si>
    <t>Maximum stack temperature [°C]</t>
  </si>
  <si>
    <t>Required water quality [µS/cm]</t>
  </si>
  <si>
    <t>Stack life [h]</t>
  </si>
  <si>
    <t>Maintenance interval [h]</t>
  </si>
  <si>
    <t>H2 quality</t>
  </si>
  <si>
    <t>H2 pressure level [bar]</t>
  </si>
  <si>
    <t>H2 quantity [kg/h]</t>
  </si>
  <si>
    <t>H2 quantity [Nm³/h]</t>
  </si>
  <si>
    <t>Gas treatment</t>
  </si>
  <si>
    <t>H2 quality after treatment</t>
  </si>
  <si>
    <t>Maximum H2 pressure level [bar]</t>
  </si>
  <si>
    <t>Hoeller Electrolyzer_x000D_GmbH</t>
  </si>
  <si>
    <t>Prometheus L_x000D_Stack</t>
  </si>
  <si>
    <t>PEM</t>
  </si>
  <si>
    <t>DC</t>
  </si>
  <si>
    <t>Yes</t>
  </si>
  <si>
    <t>Optional</t>
  </si>
  <si>
    <t>HIAT gGmbH</t>
  </si>
  <si>
    <t>PURIFIER</t>
  </si>
  <si>
    <t>Enapter</t>
  </si>
  <si>
    <t>EL 2.1</t>
  </si>
  <si>
    <t>AEC</t>
  </si>
  <si>
    <t>AC</t>
  </si>
  <si>
    <t>McPhy Energy S.A.</t>
  </si>
  <si>
    <t>Piel Baby</t>
  </si>
  <si>
    <t>ostermeier H2ydrogen_x000D_Solutions GmbH</t>
  </si>
  <si>
    <t>EO.05</t>
  </si>
  <si>
    <t>Piel P</t>
  </si>
  <si>
    <t>H2 Core Systems GmbH</t>
  </si>
  <si>
    <t>HydroCab_x000D_Indoor 2.0_x000D_Nm3/h</t>
  </si>
  <si>
    <t>AC/_x000D_DC</t>
  </si>
  <si>
    <t>HydroCab_x000D_Outdoor 2.0_x000D_Nm3/h</t>
  </si>
  <si>
    <t>CUSTOMIZER</t>
  </si>
  <si>
    <t>EO.10</t>
  </si>
  <si>
    <t>EO.15</t>
  </si>
  <si>
    <t>HydroCab_x000D_Indoor 4.5_x000D_Nm3/h</t>
  </si>
  <si>
    <t>HydroCab_x000D_Outdoor 4.5_x000D_Nm3/h</t>
  </si>
  <si>
    <t>Piel M</t>
  </si>
  <si>
    <t>EO.20</t>
  </si>
  <si>
    <t>AVX/KUMATEC Hydrogen_x000D_GmbH &amp; Co. KG</t>
  </si>
  <si>
    <t>PEM-100-25</t>
  </si>
  <si>
    <t>EO.25</t>
  </si>
  <si>
    <t>SUPPLIER</t>
  </si>
  <si>
    <t>HydroCab_x000D_Indoor 9.0_x000D_Nm3/h</t>
  </si>
  <si>
    <t>HydroCab_x000D_Outdoor 9.0_x000D_Nm3/h</t>
  </si>
  <si>
    <t>McLyzer 10-30</t>
  </si>
  <si>
    <t>Kyros Hydrogen_x000D_Solutions GmbH</t>
  </si>
  <si>
    <t>Kyros_x000D_Electrolyzer 50</t>
  </si>
  <si>
    <t>Piel H</t>
  </si>
  <si>
    <t>HydroCab_x000D_Indoor 18.0_x000D_Nm3/h</t>
  </si>
  <si>
    <t>HydroCab_x000D_Outdoor 18.0_x000D_Nm3/h</t>
  </si>
  <si>
    <t>McLyzer 20-30</t>
  </si>
  <si>
    <t>STORAGER</t>
  </si>
  <si>
    <t>iph Hähn Gmbh</t>
  </si>
  <si>
    <t>EL20</t>
  </si>
  <si>
    <t>PEM-40-100</t>
  </si>
  <si>
    <t>Hydrogenics_x000D_(Cummins Inc.)*</t>
  </si>
  <si>
    <t>HySTAT 10</t>
  </si>
  <si>
    <t>Kyros_x000D_Electrolyzer 100</t>
  </si>
  <si>
    <t>Prometheus S_x000D_Stack</t>
  </si>
  <si>
    <t>HySTAT 15</t>
  </si>
  <si>
    <t>HydroCab_x000D_Indoor 36.0_x000D_Nm3/h</t>
  </si>
  <si>
    <t>HydroCab_x000D_Outdoor 36.0_x000D_Nm3/h</t>
  </si>
  <si>
    <t>Kyros_x000D_Electrolyzer 150</t>
  </si>
  <si>
    <t>EL40</t>
  </si>
  <si>
    <t>Kyros_x000D_Electrolyzer 200</t>
  </si>
  <si>
    <t>Hydrogenics</t>
  </si>
  <si>
    <t>HySTAT 30</t>
  </si>
  <si>
    <t>H-TEC SYSTEMS GmbH</t>
  </si>
  <si>
    <t>ME100/350</t>
  </si>
  <si>
    <t>Kyros_x000D_Electrolyzer 300</t>
  </si>
  <si>
    <t>EL80</t>
  </si>
  <si>
    <t>McLyzer 100-30</t>
  </si>
  <si>
    <t>Multicore MC_x000D_225/450</t>
  </si>
  <si>
    <t>Kyros_x000D_Electrolyzer 450</t>
  </si>
  <si>
    <t>HySTAT 60</t>
  </si>
  <si>
    <t>HySTAT 70</t>
  </si>
  <si>
    <t>ITMPower</t>
  </si>
  <si>
    <t>HGAS1SP</t>
  </si>
  <si>
    <t>Kyros_x000D_Electrolyzer 600</t>
  </si>
  <si>
    <t>HyLyzer 200</t>
  </si>
  <si>
    <t>HySTAT 100</t>
  </si>
  <si>
    <t>Kyros_x000D_Electrolyzer 750</t>
  </si>
  <si>
    <t>McLyzer 200-30</t>
  </si>
  <si>
    <t>Ecoclean GmbH</t>
  </si>
  <si>
    <t>EcoLyzer P200</t>
  </si>
  <si>
    <t>Multicore_x000D_MC450</t>
  </si>
  <si>
    <t>HyLyzer 250</t>
  </si>
  <si>
    <t>PlugPower Inc.</t>
  </si>
  <si>
    <t>1MW_x000D_ELECTROLYZER</t>
  </si>
  <si>
    <t>ME450</t>
  </si>
  <si>
    <t>elogen</t>
  </si>
  <si>
    <t>E200</t>
  </si>
  <si>
    <t>AEM Multicore</t>
  </si>
  <si>
    <t>Fuel Cell Energy</t>
  </si>
  <si>
    <t>Solid Oxide Electrolyzer</t>
  </si>
  <si>
    <t>SOEC</t>
  </si>
  <si>
    <t>SOEC + steam</t>
  </si>
  <si>
    <t>PEM-40-1000</t>
  </si>
  <si>
    <t>EL220</t>
  </si>
  <si>
    <t>Kyros_x000D_Electrolyzer 1000</t>
  </si>
  <si>
    <t>HGAS2SP</t>
  </si>
  <si>
    <t>ME450/1400</t>
  </si>
  <si>
    <t>EcoLyzer A300</t>
  </si>
  <si>
    <t>HyLyzer 400</t>
  </si>
  <si>
    <t>Kyros_x000D_Electrolyzer 1500</t>
  </si>
  <si>
    <t>HyLyzer 500</t>
  </si>
  <si>
    <t>green-H2-systems</t>
  </si>
  <si>
    <t>green_x000D_Electrolyzer_x000D_gEL400</t>
  </si>
  <si>
    <t>McLyzer 400-30</t>
  </si>
  <si>
    <t>EcoLyzer P400</t>
  </si>
  <si>
    <t>HGAS3SP</t>
  </si>
  <si>
    <t>Kyros_x000D_Electrolyzer 2000</t>
  </si>
  <si>
    <t>Sunfire GmbH</t>
  </si>
  <si>
    <t>Sunfire-HyLink_x000D_SOEC</t>
  </si>
  <si>
    <t>E500</t>
  </si>
  <si>
    <t>EcoLyzer A600</t>
  </si>
  <si>
    <t>green_x000D_Electrolyzer_x000D_gEL600</t>
  </si>
  <si>
    <t>green_x000D_Electrolyzer_x000D_gEL800</t>
  </si>
  <si>
    <t>McLyzer 800-30</t>
  </si>
  <si>
    <t>green_x000D_Electrolyzer_x000D_gEL1000</t>
  </si>
  <si>
    <t>E1000</t>
  </si>
  <si>
    <t>5MW_x000D_ELECTROLYZER</t>
  </si>
  <si>
    <t>HyLyzer 1000</t>
  </si>
  <si>
    <t>Bloom</t>
  </si>
  <si>
    <t>Electrolyzer + steam</t>
  </si>
  <si>
    <t>Electrolyzer</t>
  </si>
  <si>
    <t>E2000</t>
  </si>
  <si>
    <t>HGASXMW</t>
  </si>
  <si>
    <t>Sunfire GmbH*</t>
  </si>
  <si>
    <t>Sunfire-HyLink_x000D_Alkaline</t>
  </si>
  <si>
    <t>E3000</t>
  </si>
  <si>
    <t>thyssenkrupp Uhde_x000D_Chlorine Engineers*</t>
  </si>
  <si>
    <t>20 MW module</t>
  </si>
  <si>
    <t>E4000</t>
  </si>
  <si>
    <t>Indoor</t>
  </si>
  <si>
    <t>ALLAGASH ELECTROLYZER STACK 50</t>
  </si>
  <si>
    <t>ALLAGASH ELECTROLYZER STACK 200</t>
  </si>
  <si>
    <t>MERRIMACK ELECTROLYZER STACK 10</t>
  </si>
  <si>
    <t>MERRIMACK ELECTROLYZER STACK 30</t>
  </si>
  <si>
    <t>Siemens Energy</t>
  </si>
  <si>
    <t>Silyzer 300 Minimalbeispiel</t>
  </si>
  <si>
    <t>Silyzer 300 Maximalbeispiel</t>
  </si>
  <si>
    <t>PEMC</t>
  </si>
  <si>
    <t>Source</t>
  </si>
  <si>
    <t>20’000</t>
  </si>
  <si>
    <t>IndWEDe</t>
  </si>
  <si>
    <r>
      <t xml:space="preserve">IndWEDe, </t>
    </r>
    <r>
      <rPr>
        <sz val="10"/>
        <color rgb="FF000000"/>
        <rFont val="Arial"/>
        <family val="2"/>
      </rPr>
      <t>based on the lower estimate of 8,000 hours per year, from manufacturers’ data.</t>
    </r>
  </si>
  <si>
    <t>Balance of Plant lifetime [years]</t>
  </si>
  <si>
    <t>Same as system.</t>
  </si>
  <si>
    <t>From row below.</t>
  </si>
  <si>
    <t>System lifetime [years]</t>
  </si>
  <si>
    <t>Stack replacement over system’s lifetime, excluding initial unit [unit]</t>
  </si>
  <si>
    <t>Calculated.</t>
  </si>
  <si>
    <r>
      <t>Water demand [kg water/kg H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]</t>
    </r>
  </si>
  <si>
    <t>(Simoes et al. 2021)</t>
  </si>
  <si>
    <r>
      <t>Electricity demand [kWh/kg H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]</t>
    </r>
  </si>
  <si>
    <t>IndWEDe for all cases, except SOEC + steam, which is based on manufacturers’ data.</t>
  </si>
  <si>
    <t>From row above.</t>
  </si>
  <si>
    <r>
      <t>Steam demand [kWh/kg H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]</t>
    </r>
  </si>
  <si>
    <t>Manufacturers’ data.</t>
  </si>
  <si>
    <r>
      <t>Productivity [kg H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/hour]</t>
    </r>
  </si>
  <si>
    <r>
      <t>KOH [kg/kg H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]</t>
    </r>
  </si>
  <si>
    <t>(Gerloff 2021a)</t>
  </si>
  <si>
    <t>Operating temperature [°C]</t>
  </si>
  <si>
    <t>60-80</t>
  </si>
  <si>
    <t>50-80</t>
  </si>
  <si>
    <t>650-1000</t>
  </si>
  <si>
    <t>Operating pressure [bar]</t>
  </si>
  <si>
    <t>~20</t>
  </si>
  <si>
    <t>~30</t>
  </si>
  <si>
    <t>~1</t>
  </si>
  <si>
    <r>
      <t>Produced amount over system’s lifetime years [kg H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]</t>
    </r>
  </si>
  <si>
    <t>4,259,200</t>
  </si>
  <si>
    <t>2,963,200</t>
  </si>
  <si>
    <t>3,776,000</t>
  </si>
  <si>
    <t>Calculated based on the system’s lifetime (fourth row), and 8,000 hours stack operation per year (from manufacturers’ data) and hourly productivity.</t>
  </si>
  <si>
    <t>Stack lifetime [hours]</t>
  </si>
  <si>
    <t xml:space="preserve">55’000 </t>
  </si>
  <si>
    <t>Stack lifetime [years]</t>
  </si>
  <si>
    <t>45’000</t>
  </si>
  <si>
    <t>8.9, corrected to 14 to represent “real world” operation.</t>
  </si>
  <si>
    <r>
      <t xml:space="preserve">Electrical Efficiency </t>
    </r>
    <r>
      <rPr>
        <b/>
        <sz val="10"/>
        <color rgb="FF000000"/>
        <rFont val="Arial"/>
        <family val="2"/>
      </rPr>
      <t>[%, based on H</t>
    </r>
    <r>
      <rPr>
        <b/>
        <vertAlign val="subscript"/>
        <sz val="10"/>
        <color rgb="FF000000"/>
        <rFont val="Arial"/>
        <family val="2"/>
      </rPr>
      <t>2</t>
    </r>
    <r>
      <rPr>
        <b/>
        <sz val="10"/>
        <color rgb="FF000000"/>
        <rFont val="Arial"/>
        <family val="2"/>
      </rPr>
      <t xml:space="preserve"> LHV]</t>
    </r>
  </si>
  <si>
    <t>Manufacturers’ data, also matching with (Gerloff 2021a).</t>
  </si>
  <si>
    <t>skip</t>
  </si>
  <si>
    <t>1 kg H2 produced using a PEM electrolyzer. Original source: 1 MW PEM electrolyzer based on Niklas Gerloff, Comparative Life-Cycle-Assessment analysis of three major water electrolysis technologies while applying various energy scenarios for a greener hydrogen production, Journal of Energy Storage, Volume 43, 2021, https://doi.org/10.1016/j.est.2021.102759.
Further refined (with respect to stack and system lifetime and water use, notably) from data from manufacturer's specifications (see tab "Manufacturers' data") and IndWEDe project report (https://www.now-gmbh.de/wp-content/uploads/2020/09/181127_bro_a4_indwede-studie_kurzfassung_de_v03.pdf). For further secifications (e.g., efficiency, lifetime, etc.), see tab "Final specifications".</t>
  </si>
  <si>
    <t>1 kg H2 produced using a AEC electrolyzer. Original source: 1 MW AEC electrolyzer based on Niklas Gerloff, Comparative Life-Cycle-Assessment analysis of three major water electrolysis technologies while applying various energy scenarios for a greener hydrogen production, Journal of Energy Storage, Volume 43, 2021, https://doi.org/10.1016/j.est.2021.102759.
Further refined (with respect to stack and system lifetime and water use, notably) from data from manufacturer's specifications (see tab "Manufacturers' data") and IndWEDe project report (https://www.now-gmbh.de/wp-content/uploads/2020/09/181127_bro_a4_indwede-studie_kurzfassung_de_v03.pdf). For further secifications (e.g., efficiency, lifetime, etc.), see tab "Final specifications".</t>
  </si>
  <si>
    <t>1 kg H2 produced using a SOEC electrolyzer. Original source: 1 MW SOEC electrolyzer based on Niklas Gerloff, Comparative Life-Cycle-Assessment analysis of three major water electrolysis technologies while applying various energy scenarios for a greener hydrogen production, Journal of Energy Storage, Volume 43, 2021, https://doi.org/10.1016/j.est.2021.102759.
Further refined (with respect to stack and system lifetime and water use, notably) from data from manufacturer's specifications (see tab "Manufacturers' data") and IndWEDe project report (https://www.now-gmbh.de/wp-content/uploads/2020/09/181127_bro_a4_indwede-studie_kurzfassung_de_v03.pdf). For further secifications (e.g., efficiency, lifetime, etc.), see tab "Final specifications".</t>
  </si>
  <si>
    <t>hydrogen production, gaseous, 30 bar, from PEM electrolysis, from grid electricity</t>
  </si>
  <si>
    <t>hydrogen production, gaseous, 20 bar, from AEC electrolysis, from grid electricity</t>
  </si>
  <si>
    <t>hydrogen, gaseous, 20 bar</t>
  </si>
  <si>
    <t>hydrogen production, gaseous, 1 bar, from SOEC electrolysis, from grid electricity</t>
  </si>
  <si>
    <t>hydrogen, gaseous, 1 bar</t>
  </si>
  <si>
    <t>Stack, 5.5 years lifetime.</t>
  </si>
  <si>
    <t>BoP, 27.5 years lifetime.</t>
  </si>
  <si>
    <t>Stack, 2.5 years lifetime.</t>
  </si>
  <si>
    <t>Electricity consumption with 61.7% eff.</t>
  </si>
  <si>
    <t>Electricity consumption with 64.5% eff.</t>
  </si>
  <si>
    <t>Electricity consumption with 85% eff if steam input, otherwise, 78.7%.</t>
  </si>
  <si>
    <t>hydrogen production, gaseous, 1 bar, from SOEC electrolysis, with steam input, from grid electricity</t>
  </si>
  <si>
    <t>5.24 kWh heat needed/kg H2. Can also be excess heat.</t>
  </si>
  <si>
    <t>waste zeolite</t>
  </si>
  <si>
    <t>market for waste concrete, not reinforced</t>
  </si>
  <si>
    <t>treatment of waste reinforcement steel, sorting plant</t>
  </si>
  <si>
    <t>used printed wiring boards</t>
  </si>
  <si>
    <t>treatment of waste bulk iron, excluding reinforcement, sorting plant</t>
  </si>
  <si>
    <t>waste polyethylene/polypropylene product</t>
  </si>
  <si>
    <t>square meter-year</t>
  </si>
  <si>
    <t>natural resource::land</t>
  </si>
  <si>
    <t>Occupation, industrial area</t>
  </si>
  <si>
    <t>Electrolyser land footprint: (0.09 [m2/kW]*1000[kW/MW])/(2963200[kg H2 per lifetime]/20[years])</t>
  </si>
  <si>
    <t>Transformation, from industrial area</t>
  </si>
  <si>
    <t>square meter</t>
  </si>
  <si>
    <t>Electrolyser land transformation: (0.09 [m2/kW]*1000 [kW/MW])/2963200 [kg H2]</t>
  </si>
  <si>
    <t>Transformation, to industrial area</t>
  </si>
  <si>
    <t>Electrolyser land footprint: (0.12 [m2/kW]*1000[kW/MW])/(4259200[kg H2 per lifetime]/27.5[years])</t>
  </si>
  <si>
    <t>Electrolyser land transformation: (0.12 [m2/kW]*1000 [kW/MW])/4259200 [kg H2]</t>
  </si>
  <si>
    <t>Electrolyser land footprint: (0.02 [m2/kW]*1000[kW/MW])/(3776000[kg H2 per lifetime]/20[years])</t>
  </si>
  <si>
    <t>Electrolyser land transformation: (0.02 [m2/kW]*1000 [kW/MW])/3776000 [kg H2]</t>
  </si>
  <si>
    <t>1 MW PEM electrolyzer based on Niklas Gerloff, Comparative Life-Cycle-Assessment analysis of three major water electrolysis technologies while applying various energy scenarios for a greener hydrogen production, Journal of Energy Storage, Volume 43, 2021, https://doi.org/10.1016/j.est.2021.102759. Lifetime of 5.5 years per single stack, @ 8000 hours/year (see second tab). Iridium mining process is NOT from ecoinvent. Produced amount of H2 over 20 years: 2964315.35 kg. According to a study called IndWEDe, it is assumed that the stacks are replaced 3 times during the 20 years lifespan, based on the 2030’s scenario for 1 MW systems which predicts a lifetime of 50,000 h or more for the stacks of the different water electrolysis technologies. In comparison to AEC electrolyzers, PEMEC electrolyzers are less mature. Furthermore, the PEMEC technology is commercially available and operates with a similar system efficiency as the AEC technology. However, the current density and the gas purity are higher with values in between 0.6–2.0 A/cm2 and &gt; 99.99%, respectively. Besides this, the operating pressure (below 200 bar) is significantly higher in comparison to AEC systems, while the operating temperature (50 °C to 80 °C) and the system energy (4.2–6.6 kWh/m3H2) are similar to AEC systems. The PEMEC BoP and stack components data stem from Bareiß et al. and correspond to a 1 MW system. Moreover, some further BoP components like water purifier &amp; feed tank, buffer tank, and heat exchanger have been added, derived from a 300 kW AEC system, under the assumption that the components are also suitable for a PEMEC system. The values have been scaled up from 300 kW to 1 MW.</t>
  </si>
  <si>
    <t>1 MW PEM electrolyzer based on Niklas Gerloff, Comparative Life-Cycle-Assessment analysis of three major water electrolysis technologies while applying various energy scenarios for a greener hydrogen production, Journal of Energy Storage, Volume 43, 2021, https://doi.org/10.1016/j.est.2021.102759. BoP with a lifetime of 20 years (no replacement). Iridium mining process is NOT from ecoinvent. Produced amount of H2 over 20 years: 2964315.35 kg. According to a study called IndWEDe, it is assumed that the stacks are replaced 3 times during the 20 years lifespan but not the BoP, based on the 2030’s scenario for 1 MW systems which predicts a lifetime of 50,000 h or more for the stacks of the different water electrolysis technologies. In comparison to AEC electrolyzers, PEMEC electrolyzers are less mature. Furthermore, the PEMEC technology is commercially available and operates with a similar system efficiency as the AEC technology. However, the current density and the gas purity are higher with values in between 0.6-2.0 A/cm2 and &gt; 99.99%, respectively. Besides this, the operating pressure (below 200 bar) is significantly higher in comparison to AEC systems, while the operating temperature (50 °C to 80 °C) and the system energy (4.2-6.6 kWh/m3H2) are similar to AEC systems. The PEMEC BoP and stack components data stem from Bareiß et al. and correspond to a 1 MW system. Moreover, some further BoP components like water purifier &amp; feed tank, buffer tank, and heat exchanger have been added, derived from a 300 kW AEC system, under the assumption that the components are also suitable for a PEMEC system. The values have been scaled up from 300 kW to 1 MW.</t>
  </si>
  <si>
    <t>1 MWe Alkaline electrolyzer based on Niklas Gerloff, Comparative Life-Cycle-Assessment analysis of three major water electrolysis technologies while applying various energy scenarios for a greener hydrogen production, Journal of Energy Storage, Volume 43, 2021, https://doi.org/10.1016/j.est.2021.102759. Single stack lifetime of 7 years @ 8000 hours/year, hence 3 replacements over 20 years (see seoncd tab for more info). Produced amount of H2 over 20 years: 3085961.12 kg. The technology is available for large plant sizes and operates with a stack efficiency of up to 67 % (based on the lower heating value (LHV) of the generated H2). The operating temperature is in between 60–80 °C, and the current density is around 0.2–0.4 A/cm2. Moreover, the system energy –including the stack and periphery energy– is in the range of 4.4–6.6 kWh/m3H2, while the gas purity is higher than 99.5%, and the operating pressure is below 30 bar. While the LCI data of the BoP components either originate from Zhang et al., based on a 300-kW system and, therefore, scaled-up to 1 MW by a factor of 0.7, the LCI data of the other BoP components originate from manufacturer offers or have been estimated by own calculations using additional information by the producers.</t>
  </si>
  <si>
    <t>1 MWe Alkaline electrolyzer based on Niklas Gerloff, Comparative Life-Cycle-Assessment analysis of three major water electrolysis technologies while applying various energy scenarios for a greener hydrogen production, Journal of Energy Storage, Volume 43, 2021, https://doi.org/10.1016/j.est.2021.102759. BoP with a lifetime of 20 years (hence no replacement). Produced amount of H2 over 20 years: 3085961.12 kg. The technology is available for large plant sizes and operates with a stack efficiency of up to 67 % (based on the lower heating value (LHV) of the generated H2). The operating temperature is in between 60–80 °C, and the current density is around 0.2–0.4 A/cm2. Moreover, the system energy –including the stack and periphery energy– is in the range of 4.4–6.6 kWh/m3H2, while the gas purity is higher than 99.5%, and the operating pressure is below 30 bar. While the LCI data of the BoP components either originate from Zhang et al., based on a 300-kW system and, therefore, scaled-up to 1 MW by a factor of 0.7, the LCI data of the other BoP components originate from manufacturer offers or have been estimated by own calculations using additional information by the producers.</t>
  </si>
  <si>
    <t xml:space="preserve">1 MWe Solid Oxide electrolyzer based on Niklas Gerloff, Comparative Life-Cycle-Assessment analysis of three major water electrolysis technologies while applying various energy scenarios for a greener hydrogen production, Journal of Energy Storage, Volume 43, 2021, https://doi.org/10.1016/j.est.2021.102759. Lifetime of 2.5 years (see second tab for more info). Produced amount of H2 over 20 years: 3779894.18 kg. Amounts of lanthanum oxide and strontium carbonate are unsure. </t>
  </si>
  <si>
    <t>1 MWe Solid Oxide electrolyzer BoP based on Niklas Gerloff, Comparative Life-Cycle-Assessment analysis of three major water electrolysis technologies while applying various energy scenarios for a greener hydrogen production, Journal of Energy Storage, Volume 43, 2021, https://doi.org/10.1016/j.est.2021.102759. Lifetime of 20 years (hence, no replacement). Produced amount of H2 over 20 years: 3779894.18 kg.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</si>
</sst>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 (Body)"/>
    </font>
    <font>
      <sz val="12"/>
      <name val="Calibri (Body)"/>
    </font>
    <font>
      <sz val="12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vertAlign val="subscript"/>
      <sz val="10"/>
      <color theme="1"/>
      <name val="Arial"/>
      <family val="2"/>
    </font>
    <font>
      <b/>
      <sz val="10"/>
      <color rgb="FF000000"/>
      <name val="Arial"/>
      <family val="2"/>
    </font>
    <font>
      <b/>
      <vertAlign val="subscript"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/>
      <top style="thick">
        <color rgb="FF666666"/>
      </top>
      <bottom style="medium">
        <color rgb="FF999999"/>
      </bottom>
      <diagonal/>
    </border>
    <border>
      <left/>
      <right style="medium">
        <color rgb="FF999999"/>
      </right>
      <top style="thick">
        <color rgb="FF666666"/>
      </top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/>
      <right/>
      <top style="medium">
        <color rgb="FF999999"/>
      </top>
      <bottom style="medium">
        <color rgb="FF999999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0" applyFont="1"/>
    <xf numFmtId="11" fontId="0" fillId="0" borderId="0" xfId="0" applyNumberFormat="1"/>
    <xf numFmtId="0" fontId="0" fillId="0" borderId="1" xfId="0" applyBorder="1"/>
    <xf numFmtId="0" fontId="1" fillId="0" borderId="1" xfId="1" applyBorder="1"/>
    <xf numFmtId="11" fontId="2" fillId="0" borderId="0" xfId="1" applyNumberFormat="1" applyFont="1"/>
    <xf numFmtId="0" fontId="5" fillId="0" borderId="0" xfId="0" applyFont="1"/>
    <xf numFmtId="0" fontId="6" fillId="0" borderId="0" xfId="1" applyFont="1"/>
    <xf numFmtId="11" fontId="6" fillId="0" borderId="0" xfId="0" applyNumberFormat="1" applyFont="1"/>
    <xf numFmtId="0" fontId="7" fillId="0" borderId="0" xfId="2" applyFont="1"/>
    <xf numFmtId="0" fontId="7" fillId="0" borderId="0" xfId="0" applyFont="1"/>
    <xf numFmtId="2" fontId="7" fillId="0" borderId="0" xfId="0" applyNumberFormat="1" applyFont="1"/>
    <xf numFmtId="0" fontId="7" fillId="0" borderId="0" xfId="1" applyFont="1"/>
    <xf numFmtId="11" fontId="7" fillId="0" borderId="0" xfId="1" applyNumberFormat="1" applyFont="1" applyAlignment="1">
      <alignment horizontal="left"/>
    </xf>
    <xf numFmtId="11" fontId="7" fillId="0" borderId="0" xfId="4" applyNumberFormat="1" applyFont="1" applyFill="1"/>
    <xf numFmtId="11" fontId="7" fillId="0" borderId="0" xfId="0" applyNumberFormat="1" applyFont="1"/>
    <xf numFmtId="0" fontId="6" fillId="0" borderId="0" xfId="0" applyFont="1"/>
    <xf numFmtId="2" fontId="5" fillId="0" borderId="0" xfId="0" applyNumberFormat="1" applyFont="1"/>
    <xf numFmtId="2" fontId="0" fillId="0" borderId="0" xfId="0" applyNumberFormat="1"/>
    <xf numFmtId="0" fontId="8" fillId="0" borderId="0" xfId="0" applyFont="1"/>
    <xf numFmtId="0" fontId="7" fillId="0" borderId="0" xfId="4" applyFont="1" applyFill="1"/>
    <xf numFmtId="0" fontId="7" fillId="0" borderId="0" xfId="4" applyFont="1" applyFill="1" applyBorder="1"/>
    <xf numFmtId="0" fontId="6" fillId="0" borderId="0" xfId="2" applyFont="1"/>
    <xf numFmtId="2" fontId="7" fillId="0" borderId="0" xfId="1" applyNumberFormat="1" applyFont="1" applyAlignment="1">
      <alignment wrapText="1"/>
    </xf>
    <xf numFmtId="2" fontId="7" fillId="0" borderId="0" xfId="2" quotePrefix="1" applyNumberFormat="1" applyFont="1"/>
    <xf numFmtId="2" fontId="7" fillId="0" borderId="0" xfId="2" applyNumberFormat="1" applyFont="1"/>
    <xf numFmtId="0" fontId="7" fillId="0" borderId="1" xfId="2" applyFont="1" applyBorder="1"/>
    <xf numFmtId="0" fontId="7" fillId="0" borderId="0" xfId="0" applyFont="1" applyAlignment="1">
      <alignment horizontal="left" vertical="center"/>
    </xf>
    <xf numFmtId="11" fontId="7" fillId="0" borderId="0" xfId="2" applyNumberFormat="1" applyFont="1"/>
    <xf numFmtId="0" fontId="5" fillId="0" borderId="0" xfId="0" applyFont="1" applyAlignment="1">
      <alignment horizontal="left"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5" applyNumberFormat="1" applyFont="1"/>
    <xf numFmtId="0" fontId="9" fillId="0" borderId="2" xfId="0" applyFont="1" applyBorder="1" applyAlignment="1">
      <alignment vertical="top"/>
    </xf>
    <xf numFmtId="0" fontId="10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 wrapText="1"/>
    </xf>
    <xf numFmtId="0" fontId="10" fillId="0" borderId="4" xfId="0" applyFont="1" applyBorder="1" applyAlignment="1">
      <alignment vertical="center"/>
    </xf>
    <xf numFmtId="10" fontId="3" fillId="0" borderId="5" xfId="0" applyNumberFormat="1" applyFont="1" applyBorder="1" applyAlignment="1">
      <alignment vertical="center"/>
    </xf>
    <xf numFmtId="9" fontId="11" fillId="0" borderId="5" xfId="0" applyNumberFormat="1" applyFont="1" applyBorder="1" applyAlignment="1">
      <alignment vertical="center" wrapText="1"/>
    </xf>
    <xf numFmtId="0" fontId="11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0" fillId="0" borderId="4" xfId="0" applyFont="1" applyBorder="1" applyAlignment="1">
      <alignment vertical="center" wrapText="1"/>
    </xf>
    <xf numFmtId="0" fontId="7" fillId="0" borderId="0" xfId="4" applyFont="1" applyFill="1" applyAlignment="1"/>
    <xf numFmtId="11" fontId="7" fillId="0" borderId="0" xfId="4" applyNumberFormat="1" applyFont="1" applyFill="1" applyAlignment="1"/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</cellXfs>
  <cellStyles count="6">
    <cellStyle name="Neutral" xfId="4" builtinId="28"/>
    <cellStyle name="Normal" xfId="0" builtinId="0"/>
    <cellStyle name="Normal 11 3" xfId="1" xr:uid="{00000000-0005-0000-0000-000002000000}"/>
    <cellStyle name="Normal 2" xfId="2" xr:uid="{00000000-0005-0000-0000-000003000000}"/>
    <cellStyle name="Normal 3" xfId="3" xr:uid="{00000000-0005-0000-0000-000004000000}"/>
    <cellStyle name="Per 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9"/>
  <sheetViews>
    <sheetView tabSelected="1" topLeftCell="A53" zoomScaleNormal="100" workbookViewId="0">
      <selection activeCell="B512" sqref="B512"/>
    </sheetView>
  </sheetViews>
  <sheetFormatPr baseColWidth="10" defaultColWidth="8.83203125" defaultRowHeight="15" x14ac:dyDescent="0.2"/>
  <cols>
    <col min="1" max="1" width="41.1640625" customWidth="1"/>
    <col min="2" max="2" width="40.83203125" style="4" customWidth="1"/>
    <col min="3" max="3" width="17.1640625" customWidth="1"/>
    <col min="4" max="4" width="24.33203125" bestFit="1" customWidth="1"/>
    <col min="5" max="5" width="26.5" customWidth="1"/>
    <col min="6" max="6" width="14.83203125" bestFit="1" customWidth="1"/>
    <col min="7" max="7" width="33.5" bestFit="1" customWidth="1"/>
    <col min="8" max="8" width="56.5" customWidth="1"/>
    <col min="9" max="9" width="99.1640625" style="5" customWidth="1"/>
    <col min="10" max="10" width="31" customWidth="1"/>
  </cols>
  <sheetData>
    <row r="1" spans="1:20" x14ac:dyDescent="0.2">
      <c r="A1" t="s">
        <v>14</v>
      </c>
      <c r="B1">
        <v>9</v>
      </c>
    </row>
    <row r="2" spans="1:20" x14ac:dyDescent="0.2">
      <c r="A2" s="1" t="s">
        <v>0</v>
      </c>
      <c r="B2" s="7" t="s">
        <v>34</v>
      </c>
      <c r="C2" s="2"/>
      <c r="D2" s="2"/>
      <c r="E2" s="2"/>
      <c r="F2" s="2"/>
      <c r="G2" s="2"/>
      <c r="H2" s="2"/>
      <c r="I2" s="6"/>
      <c r="K2" s="3"/>
    </row>
    <row r="3" spans="1:20" x14ac:dyDescent="0.2">
      <c r="A3" s="1"/>
      <c r="B3" s="7"/>
      <c r="C3" s="2"/>
      <c r="D3" s="2"/>
      <c r="E3" s="2"/>
      <c r="F3" s="2"/>
      <c r="G3" s="2"/>
      <c r="H3" s="2"/>
      <c r="I3" s="6"/>
      <c r="K3" s="3"/>
    </row>
    <row r="4" spans="1:20" s="12" customFormat="1" ht="16" x14ac:dyDescent="0.2">
      <c r="A4" s="9" t="s">
        <v>1</v>
      </c>
      <c r="B4" s="10" t="s">
        <v>488</v>
      </c>
      <c r="C4" s="11"/>
      <c r="K4" s="13"/>
      <c r="L4" s="13"/>
      <c r="M4" s="13"/>
      <c r="N4" s="13"/>
      <c r="O4" s="13"/>
      <c r="P4" s="13"/>
    </row>
    <row r="5" spans="1:20" s="12" customFormat="1" ht="16" x14ac:dyDescent="0.2">
      <c r="A5" s="14" t="s">
        <v>3</v>
      </c>
      <c r="B5" s="15">
        <v>1</v>
      </c>
      <c r="K5" s="13"/>
      <c r="L5" s="13"/>
      <c r="M5" s="13"/>
      <c r="N5" s="13"/>
      <c r="O5" s="13"/>
      <c r="P5" s="13"/>
    </row>
    <row r="6" spans="1:20" s="12" customFormat="1" ht="16" x14ac:dyDescent="0.2">
      <c r="A6" s="14" t="s">
        <v>11</v>
      </c>
      <c r="B6" s="15" t="s">
        <v>485</v>
      </c>
      <c r="K6" s="13"/>
      <c r="L6" s="13"/>
      <c r="M6" s="13"/>
      <c r="N6" s="13"/>
      <c r="O6" s="13"/>
      <c r="P6" s="13"/>
    </row>
    <row r="7" spans="1:20" s="12" customFormat="1" ht="16" x14ac:dyDescent="0.2">
      <c r="A7" s="14" t="s">
        <v>4</v>
      </c>
      <c r="B7" s="16" t="s">
        <v>163</v>
      </c>
      <c r="K7" s="13"/>
      <c r="L7" s="13"/>
      <c r="M7" s="13"/>
      <c r="N7" s="13"/>
      <c r="O7" s="13"/>
      <c r="P7" s="13"/>
    </row>
    <row r="8" spans="1:20" s="12" customFormat="1" ht="16" x14ac:dyDescent="0.2">
      <c r="A8" s="14" t="s">
        <v>2</v>
      </c>
      <c r="B8" s="15" t="s">
        <v>36</v>
      </c>
      <c r="K8" s="13"/>
      <c r="L8" s="13"/>
      <c r="M8" s="13"/>
      <c r="N8" s="13"/>
      <c r="O8" s="13"/>
      <c r="P8" s="13"/>
    </row>
    <row r="9" spans="1:20" s="12" customFormat="1" ht="16" x14ac:dyDescent="0.2">
      <c r="A9" s="14" t="s">
        <v>6</v>
      </c>
      <c r="B9" s="17" t="s">
        <v>13</v>
      </c>
      <c r="H9" s="18"/>
      <c r="I9" s="18"/>
      <c r="J9" s="18"/>
      <c r="K9" s="13"/>
      <c r="L9" s="13"/>
      <c r="M9" s="13"/>
      <c r="N9" s="13"/>
      <c r="O9" s="13"/>
      <c r="P9" s="13"/>
    </row>
    <row r="10" spans="1:20" s="12" customFormat="1" ht="16" x14ac:dyDescent="0.2">
      <c r="A10" s="18" t="s">
        <v>7</v>
      </c>
      <c r="B10" s="10"/>
      <c r="C10" s="18"/>
      <c r="D10" s="18"/>
      <c r="E10" s="18"/>
      <c r="F10" s="18"/>
      <c r="G10" s="18"/>
      <c r="H10" s="11"/>
      <c r="I10" s="11"/>
      <c r="J10" s="11"/>
      <c r="K10" s="13"/>
      <c r="L10" s="13"/>
      <c r="M10" s="13"/>
      <c r="N10" s="13"/>
      <c r="O10" s="13"/>
      <c r="P10" s="13"/>
    </row>
    <row r="11" spans="1:20" s="12" customFormat="1" ht="16" x14ac:dyDescent="0.2">
      <c r="A11" s="18" t="s">
        <v>8</v>
      </c>
      <c r="B11" s="18" t="s">
        <v>9</v>
      </c>
      <c r="C11" s="18" t="s">
        <v>2</v>
      </c>
      <c r="D11" s="18" t="s">
        <v>6</v>
      </c>
      <c r="E11" s="18" t="s">
        <v>10</v>
      </c>
      <c r="F11" s="18" t="s">
        <v>5</v>
      </c>
      <c r="G11" s="18" t="s">
        <v>4</v>
      </c>
      <c r="H11" s="18" t="s">
        <v>11</v>
      </c>
      <c r="I11" s="18"/>
      <c r="J11" s="8"/>
      <c r="K11" s="19"/>
      <c r="L11" s="19"/>
      <c r="M11" s="19"/>
      <c r="N11" s="19"/>
      <c r="O11" s="19"/>
      <c r="P11" s="19"/>
      <c r="Q11" s="8"/>
      <c r="R11" s="8"/>
      <c r="S11" s="18"/>
      <c r="T11" s="8"/>
    </row>
    <row r="12" spans="1:20" s="12" customFormat="1" ht="16" x14ac:dyDescent="0.2">
      <c r="A12" s="17" t="s">
        <v>488</v>
      </c>
      <c r="B12" s="17">
        <v>1</v>
      </c>
      <c r="C12" s="12" t="str">
        <f>B8</f>
        <v>RER</v>
      </c>
      <c r="D12" s="12" t="str">
        <f>B9</f>
        <v>kilogram</v>
      </c>
      <c r="E12" s="11"/>
      <c r="F12" s="12" t="s">
        <v>17</v>
      </c>
      <c r="G12" s="12" t="s">
        <v>163</v>
      </c>
      <c r="H12" s="11"/>
      <c r="I12" s="11"/>
      <c r="K12" s="13"/>
      <c r="L12" s="13"/>
      <c r="M12" s="13"/>
      <c r="N12" s="13"/>
      <c r="O12" s="13"/>
      <c r="P12" s="13"/>
      <c r="T12"/>
    </row>
    <row r="13" spans="1:20" s="12" customFormat="1" ht="16" x14ac:dyDescent="0.2">
      <c r="A13" s="17" t="str">
        <f>B24</f>
        <v>electrolyzer production, 1MWe, PEM, Stack</v>
      </c>
      <c r="B13" s="12">
        <f>(1/2963200)*4</f>
        <v>1.3498920086393089E-6</v>
      </c>
      <c r="C13" s="12" t="s">
        <v>36</v>
      </c>
      <c r="D13" s="12" t="s">
        <v>6</v>
      </c>
      <c r="F13" s="12" t="s">
        <v>12</v>
      </c>
      <c r="G13" s="12" t="s">
        <v>52</v>
      </c>
      <c r="H13" s="12" t="s">
        <v>493</v>
      </c>
      <c r="J13"/>
      <c r="K13" s="20"/>
      <c r="L13" s="20"/>
      <c r="M13" s="20"/>
      <c r="N13" s="20"/>
      <c r="O13" s="20"/>
      <c r="P13" s="20"/>
      <c r="Q13"/>
      <c r="R13"/>
    </row>
    <row r="14" spans="1:20" s="12" customFormat="1" ht="16" x14ac:dyDescent="0.2">
      <c r="A14" s="17" t="str">
        <f>B64</f>
        <v>electrolyzer production, 1MWe, PEM, Balance of Plant</v>
      </c>
      <c r="B14" s="12">
        <f>1/2963200</f>
        <v>3.3747300215982723E-7</v>
      </c>
      <c r="C14" s="12" t="s">
        <v>36</v>
      </c>
      <c r="D14" s="12" t="s">
        <v>6</v>
      </c>
      <c r="F14" s="12" t="s">
        <v>12</v>
      </c>
      <c r="G14" s="12" t="s">
        <v>54</v>
      </c>
      <c r="H14" s="12" t="s">
        <v>55</v>
      </c>
      <c r="J14"/>
      <c r="K14" s="20"/>
      <c r="L14" s="20"/>
      <c r="M14" s="20"/>
      <c r="N14" s="20"/>
      <c r="O14" s="20"/>
      <c r="P14" s="20"/>
      <c r="Q14"/>
      <c r="R14"/>
    </row>
    <row r="15" spans="1:20" s="12" customFormat="1" ht="16" x14ac:dyDescent="0.2">
      <c r="A15" s="17" t="s">
        <v>242</v>
      </c>
      <c r="B15" s="12">
        <f>B13*-1</f>
        <v>-1.3498920086393089E-6</v>
      </c>
      <c r="C15" s="12" t="s">
        <v>36</v>
      </c>
      <c r="D15" s="12" t="s">
        <v>6</v>
      </c>
      <c r="F15" s="12" t="s">
        <v>12</v>
      </c>
      <c r="G15" s="12" t="s">
        <v>254</v>
      </c>
      <c r="H15" s="12" t="s">
        <v>255</v>
      </c>
      <c r="J15"/>
      <c r="K15" s="20"/>
      <c r="L15" s="20"/>
      <c r="M15" s="20"/>
      <c r="N15" s="20"/>
      <c r="O15" s="20"/>
      <c r="P15" s="20"/>
      <c r="Q15"/>
      <c r="R15"/>
    </row>
    <row r="16" spans="1:20" s="12" customFormat="1" ht="16" x14ac:dyDescent="0.2">
      <c r="A16" s="17" t="s">
        <v>256</v>
      </c>
      <c r="B16" s="12">
        <f>-1*B14</f>
        <v>-3.3747300215982723E-7</v>
      </c>
      <c r="C16" s="12" t="s">
        <v>36</v>
      </c>
      <c r="D16" s="12" t="s">
        <v>6</v>
      </c>
      <c r="F16" s="12" t="s">
        <v>12</v>
      </c>
      <c r="G16" s="12" t="s">
        <v>257</v>
      </c>
      <c r="H16" s="12" t="s">
        <v>267</v>
      </c>
      <c r="J16"/>
      <c r="K16" s="20"/>
      <c r="L16" s="20"/>
      <c r="M16" s="20"/>
      <c r="N16" s="20"/>
      <c r="O16" s="20"/>
      <c r="P16" s="20"/>
      <c r="Q16"/>
      <c r="R16"/>
    </row>
    <row r="17" spans="1:20" s="12" customFormat="1" ht="16" x14ac:dyDescent="0.2">
      <c r="A17" s="14" t="s">
        <v>35</v>
      </c>
      <c r="B17" s="17">
        <v>54</v>
      </c>
      <c r="C17" s="12" t="s">
        <v>36</v>
      </c>
      <c r="D17" s="12" t="s">
        <v>37</v>
      </c>
      <c r="E17" s="11"/>
      <c r="F17" s="12" t="s">
        <v>12</v>
      </c>
      <c r="G17" s="12" t="s">
        <v>38</v>
      </c>
      <c r="H17" s="11" t="s">
        <v>496</v>
      </c>
      <c r="J17"/>
      <c r="K17" s="20"/>
      <c r="L17" s="20"/>
      <c r="M17" s="20"/>
      <c r="N17" s="20"/>
      <c r="O17" s="20"/>
      <c r="P17" s="20"/>
      <c r="Q17"/>
      <c r="R17"/>
    </row>
    <row r="18" spans="1:20" s="12" customFormat="1" ht="16" x14ac:dyDescent="0.2">
      <c r="A18" s="14" t="s">
        <v>39</v>
      </c>
      <c r="B18" s="17">
        <v>14</v>
      </c>
      <c r="C18" s="12" t="s">
        <v>40</v>
      </c>
      <c r="D18" s="12" t="s">
        <v>13</v>
      </c>
      <c r="F18" s="12" t="s">
        <v>12</v>
      </c>
      <c r="G18" s="12" t="s">
        <v>41</v>
      </c>
      <c r="H18" s="21" t="s">
        <v>60</v>
      </c>
      <c r="J18"/>
      <c r="K18" s="20"/>
      <c r="L18" s="20"/>
      <c r="M18" s="20"/>
      <c r="N18" s="20"/>
      <c r="O18" s="20"/>
      <c r="P18" s="20"/>
      <c r="Q18"/>
      <c r="R18"/>
    </row>
    <row r="19" spans="1:20" s="12" customFormat="1" ht="16" x14ac:dyDescent="0.2">
      <c r="A19" s="22" t="s">
        <v>42</v>
      </c>
      <c r="B19" s="16">
        <v>8</v>
      </c>
      <c r="C19" s="22"/>
      <c r="D19" s="22" t="s">
        <v>13</v>
      </c>
      <c r="E19" s="22" t="s">
        <v>43</v>
      </c>
      <c r="F19" s="22" t="s">
        <v>15</v>
      </c>
      <c r="G19" s="22"/>
      <c r="H19" s="23"/>
      <c r="J19"/>
      <c r="K19" s="20"/>
      <c r="L19" s="20"/>
      <c r="M19" s="20"/>
      <c r="N19" s="20"/>
      <c r="O19" s="20"/>
      <c r="P19" s="20"/>
      <c r="Q19" s="20"/>
      <c r="R19"/>
    </row>
    <row r="20" spans="1:20" s="12" customFormat="1" ht="16" x14ac:dyDescent="0.2">
      <c r="A20" s="48" t="s">
        <v>509</v>
      </c>
      <c r="B20" s="49">
        <f>(0.09*1000)/(2963200/20)</f>
        <v>6.0745140388768898E-4</v>
      </c>
      <c r="C20" s="48"/>
      <c r="D20" s="48" t="s">
        <v>507</v>
      </c>
      <c r="E20" s="48" t="s">
        <v>508</v>
      </c>
      <c r="F20" s="48" t="s">
        <v>15</v>
      </c>
      <c r="H20" s="48" t="s">
        <v>510</v>
      </c>
      <c r="I20" s="12">
        <v>2</v>
      </c>
      <c r="J20">
        <f t="shared" ref="J20:J22" si="0">LN(B20)</f>
        <v>-7.4062383795497411</v>
      </c>
      <c r="K20" s="20">
        <v>1.05</v>
      </c>
      <c r="L20" s="20">
        <v>1.1000000000000001</v>
      </c>
      <c r="M20" s="20">
        <v>1</v>
      </c>
      <c r="N20" s="20">
        <v>1.02</v>
      </c>
      <c r="O20" s="20">
        <v>1.2</v>
      </c>
      <c r="P20" s="20">
        <v>1.2</v>
      </c>
      <c r="Q20" s="20">
        <v>1.5</v>
      </c>
      <c r="R20">
        <f t="shared" ref="R20:R22" si="1">LN(SQRT(EXP(
SQRT(
+POWER(LN(K20),2)
+POWER(LN(L20),2)
+POWER(LN(M20),2)
+POWER(LN(N20),2)
+POWER(LN(O20),2)
+POWER(LN(P20),2)
+POWER(LN(Q20),2)
)
)))</f>
        <v>0.24634371748562628</v>
      </c>
    </row>
    <row r="21" spans="1:20" s="12" customFormat="1" ht="16" x14ac:dyDescent="0.2">
      <c r="A21" s="48" t="s">
        <v>511</v>
      </c>
      <c r="B21" s="49">
        <f>(0.09*1000)/2963200</f>
        <v>3.0372570194384448E-5</v>
      </c>
      <c r="C21" s="48"/>
      <c r="D21" s="48" t="s">
        <v>512</v>
      </c>
      <c r="E21" s="48" t="s">
        <v>508</v>
      </c>
      <c r="F21" s="48" t="s">
        <v>15</v>
      </c>
      <c r="H21" s="48" t="s">
        <v>513</v>
      </c>
      <c r="I21" s="12">
        <v>2</v>
      </c>
      <c r="J21">
        <f t="shared" si="0"/>
        <v>-10.401970653103731</v>
      </c>
      <c r="K21" s="20">
        <v>1.05</v>
      </c>
      <c r="L21" s="20">
        <v>1.1000000000000001</v>
      </c>
      <c r="M21" s="20">
        <v>1</v>
      </c>
      <c r="N21" s="20">
        <v>1.02</v>
      </c>
      <c r="O21" s="20">
        <v>1.2</v>
      </c>
      <c r="P21" s="20">
        <v>1.2</v>
      </c>
      <c r="Q21" s="20">
        <v>1.5</v>
      </c>
      <c r="R21">
        <f t="shared" si="1"/>
        <v>0.24634371748562628</v>
      </c>
    </row>
    <row r="22" spans="1:20" s="12" customFormat="1" ht="16" x14ac:dyDescent="0.2">
      <c r="A22" s="48" t="s">
        <v>514</v>
      </c>
      <c r="B22" s="49">
        <f>(0.09*1000)/2963200</f>
        <v>3.0372570194384448E-5</v>
      </c>
      <c r="C22" s="48"/>
      <c r="D22" s="48" t="s">
        <v>512</v>
      </c>
      <c r="E22" s="48" t="s">
        <v>508</v>
      </c>
      <c r="F22" s="48" t="s">
        <v>15</v>
      </c>
      <c r="H22" s="48" t="s">
        <v>513</v>
      </c>
      <c r="I22" s="12">
        <v>2</v>
      </c>
      <c r="J22">
        <f t="shared" si="0"/>
        <v>-10.401970653103731</v>
      </c>
      <c r="K22" s="20">
        <v>1.05</v>
      </c>
      <c r="L22" s="20">
        <v>1.1000000000000001</v>
      </c>
      <c r="M22" s="20">
        <v>1</v>
      </c>
      <c r="N22" s="20">
        <v>1.02</v>
      </c>
      <c r="O22" s="20">
        <v>1.2</v>
      </c>
      <c r="P22" s="20">
        <v>1.2</v>
      </c>
      <c r="Q22" s="20">
        <v>1.5</v>
      </c>
      <c r="R22">
        <f t="shared" si="1"/>
        <v>0.24634371748562628</v>
      </c>
    </row>
    <row r="23" spans="1:20" s="12" customFormat="1" ht="16" x14ac:dyDescent="0.2">
      <c r="K23" s="13"/>
      <c r="L23" s="13"/>
      <c r="M23" s="13"/>
      <c r="N23" s="13"/>
      <c r="O23" s="13"/>
      <c r="P23" s="13"/>
    </row>
    <row r="24" spans="1:20" s="12" customFormat="1" ht="16" x14ac:dyDescent="0.2">
      <c r="A24" s="9" t="s">
        <v>1</v>
      </c>
      <c r="B24" s="10" t="s">
        <v>61</v>
      </c>
      <c r="K24" s="13"/>
      <c r="L24" s="13"/>
      <c r="M24" s="13"/>
      <c r="N24" s="13"/>
      <c r="O24" s="13"/>
      <c r="P24" s="13"/>
    </row>
    <row r="25" spans="1:20" s="12" customFormat="1" ht="16" x14ac:dyDescent="0.2">
      <c r="A25" s="14" t="s">
        <v>3</v>
      </c>
      <c r="B25" s="15">
        <v>1</v>
      </c>
      <c r="K25" s="13"/>
      <c r="L25" s="13"/>
      <c r="M25" s="13"/>
      <c r="N25" s="13"/>
      <c r="O25" s="13"/>
      <c r="P25" s="13"/>
    </row>
    <row r="26" spans="1:20" s="12" customFormat="1" ht="16" x14ac:dyDescent="0.2">
      <c r="A26" s="14" t="s">
        <v>11</v>
      </c>
      <c r="B26" s="15" t="s">
        <v>519</v>
      </c>
      <c r="K26" s="13"/>
      <c r="L26" s="13"/>
      <c r="M26" s="13"/>
      <c r="N26" s="13"/>
      <c r="O26" s="13"/>
      <c r="P26" s="13"/>
    </row>
    <row r="27" spans="1:20" s="12" customFormat="1" ht="16" x14ac:dyDescent="0.2">
      <c r="A27" s="14" t="s">
        <v>4</v>
      </c>
      <c r="B27" s="17" t="s">
        <v>52</v>
      </c>
      <c r="K27" s="13"/>
      <c r="L27" s="13"/>
      <c r="M27" s="13"/>
      <c r="N27" s="13"/>
      <c r="O27" s="13"/>
      <c r="P27" s="13"/>
    </row>
    <row r="28" spans="1:20" s="12" customFormat="1" ht="16" x14ac:dyDescent="0.2">
      <c r="A28" s="14" t="s">
        <v>2</v>
      </c>
      <c r="B28" s="15" t="s">
        <v>36</v>
      </c>
      <c r="K28" s="13"/>
      <c r="L28" s="13"/>
      <c r="M28" s="13"/>
      <c r="N28" s="13"/>
      <c r="O28" s="13"/>
      <c r="P28" s="13"/>
    </row>
    <row r="29" spans="1:20" s="12" customFormat="1" ht="16" x14ac:dyDescent="0.2">
      <c r="A29" s="14" t="s">
        <v>6</v>
      </c>
      <c r="B29" s="17" t="s">
        <v>6</v>
      </c>
      <c r="K29" s="13"/>
      <c r="L29" s="13"/>
      <c r="M29" s="13"/>
      <c r="N29" s="13"/>
      <c r="O29" s="13"/>
      <c r="P29" s="13"/>
    </row>
    <row r="30" spans="1:20" s="12" customFormat="1" ht="16" x14ac:dyDescent="0.2">
      <c r="A30" s="18" t="s">
        <v>7</v>
      </c>
      <c r="B30" s="10"/>
      <c r="C30" s="18"/>
      <c r="D30" s="18"/>
      <c r="E30" s="18"/>
      <c r="F30" s="18"/>
      <c r="G30" s="18"/>
      <c r="H30" s="18"/>
      <c r="I30" s="18"/>
      <c r="J30" s="18"/>
      <c r="K30" s="13"/>
      <c r="L30" s="13"/>
      <c r="M30" s="13"/>
      <c r="N30" s="13"/>
      <c r="O30" s="13"/>
      <c r="P30" s="13"/>
    </row>
    <row r="31" spans="1:20" s="12" customFormat="1" ht="16" x14ac:dyDescent="0.2">
      <c r="A31" s="18" t="s">
        <v>8</v>
      </c>
      <c r="B31" s="10" t="s">
        <v>9</v>
      </c>
      <c r="C31" s="18" t="s">
        <v>2</v>
      </c>
      <c r="D31" s="18" t="s">
        <v>6</v>
      </c>
      <c r="E31" s="24" t="s">
        <v>10</v>
      </c>
      <c r="F31" s="18" t="s">
        <v>5</v>
      </c>
      <c r="G31" s="18" t="s">
        <v>4</v>
      </c>
      <c r="H31" s="24" t="s">
        <v>11</v>
      </c>
      <c r="I31" s="18"/>
      <c r="J31" s="8"/>
      <c r="K31" s="19"/>
      <c r="L31" s="19"/>
      <c r="M31" s="19"/>
      <c r="N31" s="19"/>
      <c r="O31" s="19"/>
      <c r="P31" s="19"/>
      <c r="Q31" s="8"/>
      <c r="R31" s="8"/>
      <c r="S31" s="18"/>
      <c r="T31" s="8"/>
    </row>
    <row r="32" spans="1:20" s="12" customFormat="1" ht="16" x14ac:dyDescent="0.2">
      <c r="A32" s="17" t="str">
        <f>B24</f>
        <v>electrolyzer production, 1MWe, PEM, Stack</v>
      </c>
      <c r="B32" s="13">
        <v>1</v>
      </c>
      <c r="C32" s="12" t="s">
        <v>36</v>
      </c>
      <c r="D32" s="12" t="str">
        <f>B29</f>
        <v>unit</v>
      </c>
      <c r="F32" s="12" t="s">
        <v>17</v>
      </c>
      <c r="G32" s="12" t="str">
        <f>B27</f>
        <v>electrolyzer, 1MWe, PEM, Stack</v>
      </c>
      <c r="K32" s="13"/>
      <c r="L32" s="13"/>
      <c r="M32" s="13"/>
      <c r="N32" s="13"/>
      <c r="O32" s="13"/>
      <c r="P32" s="13"/>
    </row>
    <row r="33" spans="1:18" s="12" customFormat="1" ht="16" x14ac:dyDescent="0.2">
      <c r="A33" s="12" t="s">
        <v>19</v>
      </c>
      <c r="B33" s="13">
        <v>27</v>
      </c>
      <c r="C33" s="12" t="s">
        <v>18</v>
      </c>
      <c r="D33" s="12" t="s">
        <v>13</v>
      </c>
      <c r="F33" s="12" t="s">
        <v>12</v>
      </c>
      <c r="G33" s="12" t="s">
        <v>20</v>
      </c>
      <c r="H33" s="12" t="s">
        <v>64</v>
      </c>
      <c r="J33"/>
      <c r="K33" s="20"/>
      <c r="L33" s="20"/>
      <c r="M33" s="20"/>
      <c r="N33" s="20"/>
      <c r="O33" s="20"/>
      <c r="P33" s="20"/>
      <c r="Q33"/>
      <c r="R33"/>
    </row>
    <row r="34" spans="1:18" s="12" customFormat="1" ht="16" x14ac:dyDescent="0.2">
      <c r="A34" s="12" t="s">
        <v>65</v>
      </c>
      <c r="B34" s="13">
        <v>27</v>
      </c>
      <c r="C34" s="12" t="s">
        <v>18</v>
      </c>
      <c r="D34" s="12" t="s">
        <v>13</v>
      </c>
      <c r="F34" s="12" t="s">
        <v>12</v>
      </c>
      <c r="G34" s="12" t="s">
        <v>45</v>
      </c>
      <c r="H34" s="12" t="s">
        <v>64</v>
      </c>
      <c r="J34"/>
      <c r="K34" s="20"/>
      <c r="L34" s="20"/>
      <c r="M34" s="20"/>
      <c r="N34" s="20"/>
      <c r="O34" s="20"/>
      <c r="P34" s="20"/>
      <c r="Q34"/>
      <c r="R34"/>
    </row>
    <row r="35" spans="1:18" s="12" customFormat="1" ht="16" x14ac:dyDescent="0.2">
      <c r="A35" s="12" t="s">
        <v>66</v>
      </c>
      <c r="B35" s="13">
        <v>528</v>
      </c>
      <c r="C35" s="12" t="s">
        <v>18</v>
      </c>
      <c r="D35" s="12" t="s">
        <v>13</v>
      </c>
      <c r="F35" s="12" t="s">
        <v>12</v>
      </c>
      <c r="G35" s="12" t="s">
        <v>67</v>
      </c>
      <c r="H35" s="12" t="s">
        <v>68</v>
      </c>
      <c r="J35"/>
      <c r="K35" s="20"/>
      <c r="L35" s="20"/>
      <c r="M35" s="20"/>
      <c r="N35" s="20"/>
      <c r="O35" s="20"/>
      <c r="P35" s="20"/>
      <c r="Q35"/>
      <c r="R35"/>
    </row>
    <row r="36" spans="1:18" s="12" customFormat="1" ht="16" x14ac:dyDescent="0.2">
      <c r="A36" s="12" t="s">
        <v>22</v>
      </c>
      <c r="B36" s="13">
        <v>16</v>
      </c>
      <c r="C36" s="12" t="s">
        <v>18</v>
      </c>
      <c r="D36" s="12" t="s">
        <v>13</v>
      </c>
      <c r="F36" s="12" t="s">
        <v>12</v>
      </c>
      <c r="G36" s="12" t="s">
        <v>23</v>
      </c>
      <c r="H36" s="12" t="s">
        <v>69</v>
      </c>
      <c r="J36"/>
      <c r="K36" s="20"/>
      <c r="L36" s="20"/>
      <c r="M36" s="20"/>
      <c r="N36" s="20"/>
      <c r="O36" s="20"/>
      <c r="P36" s="20"/>
      <c r="Q36"/>
      <c r="R36"/>
    </row>
    <row r="37" spans="1:18" s="12" customFormat="1" ht="16" x14ac:dyDescent="0.2">
      <c r="A37" s="12" t="s">
        <v>70</v>
      </c>
      <c r="B37" s="13">
        <v>4.5</v>
      </c>
      <c r="C37" s="12" t="s">
        <v>18</v>
      </c>
      <c r="D37" s="12" t="s">
        <v>13</v>
      </c>
      <c r="F37" s="12" t="s">
        <v>12</v>
      </c>
      <c r="G37" s="12" t="s">
        <v>71</v>
      </c>
      <c r="H37" s="12" t="s">
        <v>72</v>
      </c>
      <c r="J37"/>
      <c r="K37" s="20"/>
      <c r="L37" s="20"/>
      <c r="M37" s="20"/>
      <c r="N37" s="20"/>
      <c r="O37" s="20"/>
      <c r="P37" s="20"/>
      <c r="Q37"/>
      <c r="R37"/>
    </row>
    <row r="38" spans="1:18" s="12" customFormat="1" ht="16" x14ac:dyDescent="0.2">
      <c r="A38" s="12" t="s">
        <v>73</v>
      </c>
      <c r="B38" s="13">
        <v>0.8</v>
      </c>
      <c r="C38" s="12" t="s">
        <v>18</v>
      </c>
      <c r="D38" s="12" t="s">
        <v>13</v>
      </c>
      <c r="F38" s="12" t="s">
        <v>12</v>
      </c>
      <c r="G38" s="12" t="s">
        <v>74</v>
      </c>
      <c r="H38" s="12" t="s">
        <v>72</v>
      </c>
      <c r="J38"/>
      <c r="K38" s="20"/>
      <c r="L38" s="20"/>
      <c r="M38" s="20"/>
      <c r="N38" s="20"/>
      <c r="O38" s="20"/>
      <c r="P38" s="20"/>
      <c r="Q38"/>
      <c r="R38"/>
    </row>
    <row r="39" spans="1:18" s="12" customFormat="1" ht="16" x14ac:dyDescent="0.2">
      <c r="A39" s="12" t="s">
        <v>24</v>
      </c>
      <c r="B39" s="13">
        <v>7.4999999999999997E-2</v>
      </c>
      <c r="C39" s="12" t="s">
        <v>18</v>
      </c>
      <c r="D39" s="12" t="s">
        <v>13</v>
      </c>
      <c r="E39" s="11"/>
      <c r="F39" s="12" t="s">
        <v>12</v>
      </c>
      <c r="G39" s="12" t="s">
        <v>25</v>
      </c>
      <c r="H39" s="11" t="s">
        <v>75</v>
      </c>
      <c r="J39"/>
      <c r="K39" s="20"/>
      <c r="L39" s="20"/>
      <c r="M39" s="20"/>
      <c r="N39" s="20"/>
      <c r="O39" s="20"/>
      <c r="P39" s="20"/>
      <c r="Q39"/>
      <c r="R39"/>
    </row>
    <row r="40" spans="1:18" s="12" customFormat="1" ht="16" x14ac:dyDescent="0.2">
      <c r="A40" s="12" t="s">
        <v>70</v>
      </c>
      <c r="B40" s="13">
        <v>4.5</v>
      </c>
      <c r="C40" s="12" t="s">
        <v>18</v>
      </c>
      <c r="D40" s="12" t="s">
        <v>13</v>
      </c>
      <c r="F40" s="12" t="s">
        <v>12</v>
      </c>
      <c r="G40" s="12" t="s">
        <v>71</v>
      </c>
      <c r="H40" s="11" t="s">
        <v>75</v>
      </c>
      <c r="J40"/>
      <c r="K40" s="20"/>
      <c r="L40" s="20"/>
      <c r="M40" s="20"/>
      <c r="N40" s="20"/>
      <c r="O40" s="20"/>
      <c r="P40" s="20"/>
      <c r="Q40"/>
      <c r="R40"/>
    </row>
    <row r="41" spans="1:18" s="12" customFormat="1" ht="16" x14ac:dyDescent="0.2">
      <c r="A41" s="12" t="s">
        <v>76</v>
      </c>
      <c r="B41" s="13">
        <v>4.5</v>
      </c>
      <c r="C41" s="12" t="s">
        <v>18</v>
      </c>
      <c r="D41" s="12" t="s">
        <v>13</v>
      </c>
      <c r="F41" s="12" t="s">
        <v>12</v>
      </c>
      <c r="G41" s="12" t="s">
        <v>77</v>
      </c>
      <c r="H41" s="12" t="s">
        <v>78</v>
      </c>
      <c r="J41"/>
      <c r="K41" s="20"/>
      <c r="L41" s="20"/>
      <c r="M41" s="20"/>
      <c r="N41" s="20"/>
      <c r="O41" s="20"/>
      <c r="P41" s="20"/>
      <c r="Q41"/>
      <c r="R41"/>
    </row>
    <row r="42" spans="1:18" s="12" customFormat="1" ht="16" x14ac:dyDescent="0.2">
      <c r="A42" s="12" t="s">
        <v>79</v>
      </c>
      <c r="B42" s="13">
        <v>4.5</v>
      </c>
      <c r="C42" s="12" t="s">
        <v>18</v>
      </c>
      <c r="D42" s="12" t="s">
        <v>13</v>
      </c>
      <c r="F42" s="12" t="s">
        <v>12</v>
      </c>
      <c r="G42" s="12" t="s">
        <v>80</v>
      </c>
      <c r="H42" s="12" t="s">
        <v>78</v>
      </c>
      <c r="J42"/>
      <c r="K42" s="20"/>
      <c r="L42" s="20"/>
      <c r="M42" s="20"/>
      <c r="N42" s="20"/>
      <c r="O42" s="20"/>
      <c r="P42" s="20"/>
      <c r="Q42"/>
      <c r="R42"/>
    </row>
    <row r="43" spans="1:18" s="12" customFormat="1" ht="16" x14ac:dyDescent="0.2">
      <c r="A43" s="12" t="s">
        <v>81</v>
      </c>
      <c r="B43" s="13">
        <v>100</v>
      </c>
      <c r="C43" s="12" t="s">
        <v>18</v>
      </c>
      <c r="D43" s="12" t="s">
        <v>13</v>
      </c>
      <c r="F43" s="12" t="s">
        <v>12</v>
      </c>
      <c r="G43" s="12" t="s">
        <v>82</v>
      </c>
      <c r="H43" s="12" t="s">
        <v>83</v>
      </c>
      <c r="J43"/>
      <c r="K43" s="20"/>
      <c r="L43" s="20"/>
      <c r="M43" s="20"/>
      <c r="N43" s="20"/>
      <c r="O43" s="20"/>
      <c r="P43" s="20"/>
      <c r="Q43"/>
      <c r="R43"/>
    </row>
    <row r="44" spans="1:18" s="12" customFormat="1" ht="16" x14ac:dyDescent="0.2">
      <c r="A44" s="12" t="s">
        <v>21</v>
      </c>
      <c r="B44" s="13">
        <v>100</v>
      </c>
      <c r="C44" s="12" t="s">
        <v>18</v>
      </c>
      <c r="D44" s="12" t="s">
        <v>13</v>
      </c>
      <c r="F44" s="12" t="s">
        <v>12</v>
      </c>
      <c r="G44" s="12" t="s">
        <v>16</v>
      </c>
      <c r="H44" s="12" t="s">
        <v>83</v>
      </c>
      <c r="J44"/>
      <c r="K44" s="20"/>
      <c r="L44" s="20"/>
      <c r="M44" s="20"/>
      <c r="N44" s="20"/>
      <c r="O44" s="20"/>
      <c r="P44" s="20"/>
      <c r="Q44"/>
      <c r="R44"/>
    </row>
    <row r="45" spans="1:18" s="12" customFormat="1" ht="16" x14ac:dyDescent="0.2">
      <c r="A45" s="12" t="s">
        <v>84</v>
      </c>
      <c r="B45" s="13">
        <v>4.8</v>
      </c>
      <c r="C45" s="12" t="s">
        <v>18</v>
      </c>
      <c r="D45" s="12" t="s">
        <v>13</v>
      </c>
      <c r="F45" s="12" t="s">
        <v>12</v>
      </c>
      <c r="G45" s="12" t="s">
        <v>85</v>
      </c>
      <c r="H45" s="12" t="s">
        <v>86</v>
      </c>
      <c r="J45"/>
      <c r="K45" s="20"/>
      <c r="L45" s="20"/>
      <c r="M45" s="20"/>
      <c r="N45" s="20"/>
      <c r="O45" s="20"/>
      <c r="P45" s="20"/>
      <c r="Q45"/>
      <c r="R45"/>
    </row>
    <row r="46" spans="1:18" s="12" customFormat="1" ht="16" x14ac:dyDescent="0.2">
      <c r="A46" s="12" t="s">
        <v>35</v>
      </c>
      <c r="B46" s="13">
        <v>103890.7681</v>
      </c>
      <c r="C46" s="12" t="s">
        <v>18</v>
      </c>
      <c r="D46" s="12" t="s">
        <v>37</v>
      </c>
      <c r="E46" s="11"/>
      <c r="F46" s="12" t="s">
        <v>12</v>
      </c>
      <c r="G46" s="11" t="s">
        <v>38</v>
      </c>
      <c r="H46" s="12" t="s">
        <v>87</v>
      </c>
      <c r="J46"/>
      <c r="K46" s="20"/>
      <c r="L46" s="20"/>
      <c r="M46" s="20"/>
      <c r="N46" s="20"/>
      <c r="O46" s="20"/>
      <c r="P46" s="20"/>
      <c r="Q46"/>
      <c r="R46"/>
    </row>
    <row r="47" spans="1:18" s="12" customFormat="1" ht="16" x14ac:dyDescent="0.2">
      <c r="A47" s="12" t="s">
        <v>88</v>
      </c>
      <c r="B47" s="13">
        <v>0.8</v>
      </c>
      <c r="D47" s="12" t="s">
        <v>13</v>
      </c>
      <c r="E47" s="11" t="s">
        <v>26</v>
      </c>
      <c r="F47" s="12" t="s">
        <v>15</v>
      </c>
      <c r="G47" s="11"/>
      <c r="J47"/>
      <c r="K47" s="20"/>
      <c r="L47" s="20"/>
      <c r="M47" s="20"/>
      <c r="N47" s="20"/>
      <c r="O47" s="20"/>
      <c r="P47" s="20"/>
      <c r="Q47" s="20"/>
      <c r="R47"/>
    </row>
    <row r="48" spans="1:18" s="12" customFormat="1" ht="16" x14ac:dyDescent="0.2">
      <c r="B48" s="17"/>
      <c r="K48" s="13"/>
      <c r="L48" s="13"/>
      <c r="M48" s="13"/>
      <c r="N48" s="13"/>
      <c r="O48" s="13"/>
      <c r="P48" s="13"/>
    </row>
    <row r="49" spans="1:20" s="12" customFormat="1" ht="16" x14ac:dyDescent="0.2">
      <c r="A49" s="9" t="s">
        <v>1</v>
      </c>
      <c r="B49" s="10" t="s">
        <v>242</v>
      </c>
      <c r="K49" s="13"/>
      <c r="L49" s="13"/>
      <c r="M49" s="13"/>
      <c r="N49" s="13"/>
      <c r="O49" s="13"/>
      <c r="P49" s="13"/>
    </row>
    <row r="50" spans="1:20" s="12" customFormat="1" ht="16" x14ac:dyDescent="0.2">
      <c r="A50" s="14" t="s">
        <v>3</v>
      </c>
      <c r="B50" s="15">
        <v>1</v>
      </c>
      <c r="K50" s="13"/>
      <c r="L50" s="13"/>
      <c r="M50" s="13"/>
      <c r="N50" s="13"/>
      <c r="O50" s="13"/>
      <c r="P50" s="13"/>
    </row>
    <row r="51" spans="1:20" s="12" customFormat="1" ht="16" x14ac:dyDescent="0.2">
      <c r="A51" s="14" t="s">
        <v>11</v>
      </c>
      <c r="B51" s="15" t="s">
        <v>62</v>
      </c>
      <c r="K51" s="13"/>
      <c r="L51" s="13"/>
      <c r="M51" s="13"/>
      <c r="N51" s="13"/>
      <c r="O51" s="13"/>
      <c r="P51" s="13"/>
    </row>
    <row r="52" spans="1:20" s="12" customFormat="1" ht="16" x14ac:dyDescent="0.2">
      <c r="A52" s="14" t="s">
        <v>4</v>
      </c>
      <c r="B52" s="17" t="s">
        <v>254</v>
      </c>
      <c r="K52" s="13"/>
      <c r="L52" s="13"/>
      <c r="M52" s="13"/>
      <c r="N52" s="13"/>
      <c r="O52" s="13"/>
      <c r="P52" s="13"/>
    </row>
    <row r="53" spans="1:20" s="12" customFormat="1" ht="16" x14ac:dyDescent="0.2">
      <c r="A53" s="14" t="s">
        <v>2</v>
      </c>
      <c r="B53" s="15" t="s">
        <v>36</v>
      </c>
      <c r="K53" s="13"/>
      <c r="L53" s="13"/>
      <c r="M53" s="13"/>
      <c r="N53" s="13"/>
      <c r="O53" s="13"/>
      <c r="P53" s="13"/>
    </row>
    <row r="54" spans="1:20" s="12" customFormat="1" ht="16" x14ac:dyDescent="0.2">
      <c r="A54" s="14" t="s">
        <v>6</v>
      </c>
      <c r="B54" s="17" t="s">
        <v>6</v>
      </c>
      <c r="K54" s="13"/>
      <c r="L54" s="13"/>
      <c r="M54" s="13"/>
      <c r="N54" s="13"/>
      <c r="O54" s="13"/>
      <c r="P54" s="13"/>
    </row>
    <row r="55" spans="1:20" s="12" customFormat="1" ht="16" x14ac:dyDescent="0.2">
      <c r="A55" s="18" t="s">
        <v>7</v>
      </c>
      <c r="B55" s="10"/>
      <c r="C55" s="18"/>
      <c r="D55" s="18"/>
      <c r="E55" s="18"/>
      <c r="F55" s="18"/>
      <c r="G55" s="18"/>
      <c r="H55" s="18"/>
      <c r="I55" s="18"/>
      <c r="J55" s="18"/>
      <c r="K55" s="13"/>
      <c r="L55" s="13"/>
      <c r="M55" s="13"/>
      <c r="N55" s="13"/>
      <c r="O55" s="13"/>
      <c r="P55" s="13"/>
    </row>
    <row r="56" spans="1:20" s="12" customFormat="1" ht="16" x14ac:dyDescent="0.2">
      <c r="A56" s="18" t="s">
        <v>8</v>
      </c>
      <c r="B56" s="10" t="s">
        <v>9</v>
      </c>
      <c r="C56" s="18" t="s">
        <v>2</v>
      </c>
      <c r="D56" s="18" t="s">
        <v>6</v>
      </c>
      <c r="E56" s="24" t="s">
        <v>10</v>
      </c>
      <c r="F56" s="18" t="s">
        <v>5</v>
      </c>
      <c r="G56" s="18" t="s">
        <v>4</v>
      </c>
      <c r="H56" s="24" t="s">
        <v>11</v>
      </c>
      <c r="I56" s="18"/>
      <c r="J56" s="8"/>
      <c r="K56" s="19"/>
      <c r="L56" s="19"/>
      <c r="M56" s="19"/>
      <c r="N56" s="19"/>
      <c r="O56" s="19"/>
      <c r="P56" s="19"/>
      <c r="Q56" s="8"/>
      <c r="R56" s="8"/>
      <c r="S56" s="18"/>
      <c r="T56" s="8"/>
    </row>
    <row r="57" spans="1:20" s="12" customFormat="1" ht="16" x14ac:dyDescent="0.2">
      <c r="A57" s="17" t="str">
        <f>B49</f>
        <v>treatment of fuel cell stack, 1MWe, PEM</v>
      </c>
      <c r="B57" s="13">
        <v>-1</v>
      </c>
      <c r="C57" s="12" t="s">
        <v>36</v>
      </c>
      <c r="D57" s="12" t="str">
        <f>B54</f>
        <v>unit</v>
      </c>
      <c r="F57" s="12" t="s">
        <v>17</v>
      </c>
      <c r="G57" s="12" t="str">
        <f>B52</f>
        <v>used fuel cell stack, 1MWe, PEM</v>
      </c>
      <c r="K57" s="13"/>
      <c r="L57" s="13"/>
      <c r="M57" s="13"/>
      <c r="N57" s="13"/>
      <c r="O57" s="13"/>
      <c r="P57" s="13"/>
    </row>
    <row r="58" spans="1:20" s="12" customFormat="1" ht="16" x14ac:dyDescent="0.2">
      <c r="A58" s="17" t="s">
        <v>243</v>
      </c>
      <c r="B58" s="12">
        <f>-1*B43</f>
        <v>-100</v>
      </c>
      <c r="C58" s="12" t="s">
        <v>40</v>
      </c>
      <c r="D58" s="12" t="s">
        <v>13</v>
      </c>
      <c r="F58" s="12" t="s">
        <v>12</v>
      </c>
      <c r="G58" s="12" t="s">
        <v>244</v>
      </c>
      <c r="J58"/>
      <c r="K58" s="20"/>
      <c r="L58" s="20"/>
      <c r="M58" s="20"/>
      <c r="N58" s="20"/>
      <c r="O58" s="20"/>
      <c r="P58" s="20"/>
      <c r="Q58"/>
      <c r="R58"/>
    </row>
    <row r="59" spans="1:20" s="12" customFormat="1" ht="16" x14ac:dyDescent="0.2">
      <c r="A59" s="12" t="s">
        <v>245</v>
      </c>
      <c r="B59" s="12">
        <f>-1*B33</f>
        <v>-27</v>
      </c>
      <c r="C59" s="12" t="s">
        <v>40</v>
      </c>
      <c r="D59" s="12" t="s">
        <v>13</v>
      </c>
      <c r="F59" s="12" t="s">
        <v>12</v>
      </c>
      <c r="G59" s="12" t="s">
        <v>246</v>
      </c>
      <c r="J59"/>
      <c r="K59" s="20"/>
      <c r="L59" s="20"/>
      <c r="M59" s="20"/>
      <c r="N59" s="20"/>
      <c r="O59" s="20"/>
      <c r="P59" s="20"/>
      <c r="Q59"/>
      <c r="R59"/>
    </row>
    <row r="60" spans="1:20" s="12" customFormat="1" ht="16" x14ac:dyDescent="0.2">
      <c r="A60" s="12" t="s">
        <v>247</v>
      </c>
      <c r="B60" s="12">
        <f>-1*B41</f>
        <v>-4.5</v>
      </c>
      <c r="C60" s="12" t="s">
        <v>40</v>
      </c>
      <c r="D60" s="12" t="s">
        <v>13</v>
      </c>
      <c r="F60" s="12" t="s">
        <v>12</v>
      </c>
      <c r="G60" s="12" t="s">
        <v>248</v>
      </c>
      <c r="J60"/>
      <c r="K60" s="20"/>
      <c r="L60" s="20"/>
      <c r="M60" s="20"/>
      <c r="N60" s="20"/>
      <c r="O60" s="20"/>
      <c r="P60" s="20"/>
      <c r="Q60"/>
      <c r="R60"/>
    </row>
    <row r="61" spans="1:20" s="12" customFormat="1" ht="16" x14ac:dyDescent="0.2">
      <c r="A61" s="12" t="s">
        <v>249</v>
      </c>
      <c r="B61" s="12">
        <f>-1*B36</f>
        <v>-16</v>
      </c>
      <c r="C61" s="12" t="s">
        <v>251</v>
      </c>
      <c r="D61" s="12" t="s">
        <v>13</v>
      </c>
      <c r="F61" s="12" t="s">
        <v>12</v>
      </c>
      <c r="G61" s="12" t="s">
        <v>250</v>
      </c>
      <c r="J61"/>
      <c r="K61" s="20"/>
      <c r="L61" s="20"/>
      <c r="M61" s="20"/>
      <c r="N61" s="20"/>
      <c r="O61" s="20"/>
      <c r="P61" s="20"/>
      <c r="Q61"/>
      <c r="R61"/>
    </row>
    <row r="62" spans="1:20" s="12" customFormat="1" ht="16" x14ac:dyDescent="0.2">
      <c r="A62" s="12" t="s">
        <v>252</v>
      </c>
      <c r="B62" s="12">
        <f>-1*B45</f>
        <v>-4.8</v>
      </c>
      <c r="C62" s="12" t="s">
        <v>40</v>
      </c>
      <c r="D62" s="12" t="s">
        <v>13</v>
      </c>
      <c r="F62" s="12" t="s">
        <v>12</v>
      </c>
      <c r="G62" s="12" t="s">
        <v>253</v>
      </c>
      <c r="J62"/>
      <c r="K62" s="20"/>
      <c r="L62" s="20"/>
      <c r="M62" s="20"/>
      <c r="N62" s="20"/>
      <c r="O62" s="20"/>
      <c r="P62" s="20"/>
      <c r="Q62"/>
      <c r="R62"/>
    </row>
    <row r="63" spans="1:20" s="12" customFormat="1" ht="16" x14ac:dyDescent="0.2">
      <c r="B63" s="17"/>
      <c r="K63" s="13"/>
      <c r="L63" s="13"/>
      <c r="M63" s="13"/>
      <c r="N63" s="13"/>
      <c r="O63" s="13"/>
      <c r="P63" s="13"/>
    </row>
    <row r="64" spans="1:20" s="12" customFormat="1" ht="16" x14ac:dyDescent="0.2">
      <c r="A64" s="9" t="s">
        <v>1</v>
      </c>
      <c r="B64" s="10" t="s">
        <v>89</v>
      </c>
      <c r="K64" s="25"/>
      <c r="L64" s="26"/>
      <c r="M64" s="13"/>
      <c r="N64" s="13"/>
      <c r="O64" s="13"/>
      <c r="P64" s="13"/>
    </row>
    <row r="65" spans="1:20" s="12" customFormat="1" ht="16" x14ac:dyDescent="0.2">
      <c r="A65" s="14" t="s">
        <v>3</v>
      </c>
      <c r="B65" s="15">
        <v>1</v>
      </c>
      <c r="K65" s="27"/>
      <c r="L65" s="26"/>
      <c r="M65" s="13"/>
      <c r="N65" s="13"/>
      <c r="O65" s="13"/>
      <c r="P65" s="13"/>
    </row>
    <row r="66" spans="1:20" s="12" customFormat="1" ht="16" x14ac:dyDescent="0.2">
      <c r="A66" s="14" t="s">
        <v>11</v>
      </c>
      <c r="B66" s="15" t="s">
        <v>520</v>
      </c>
      <c r="K66" s="13"/>
      <c r="L66" s="26"/>
      <c r="M66" s="13"/>
      <c r="N66" s="13"/>
      <c r="O66" s="13"/>
      <c r="P66" s="13"/>
    </row>
    <row r="67" spans="1:20" s="12" customFormat="1" ht="16" x14ac:dyDescent="0.2">
      <c r="A67" s="14" t="s">
        <v>4</v>
      </c>
      <c r="B67" s="17" t="s">
        <v>54</v>
      </c>
      <c r="K67" s="13"/>
      <c r="L67" s="13"/>
      <c r="M67" s="13"/>
      <c r="N67" s="13"/>
      <c r="O67" s="13"/>
      <c r="P67" s="13"/>
    </row>
    <row r="68" spans="1:20" s="12" customFormat="1" ht="16.25" customHeight="1" x14ac:dyDescent="0.2">
      <c r="A68" s="14" t="s">
        <v>2</v>
      </c>
      <c r="B68" s="15" t="s">
        <v>36</v>
      </c>
      <c r="K68" s="13"/>
      <c r="L68" s="13"/>
      <c r="M68" s="13"/>
      <c r="N68" s="13"/>
      <c r="O68" s="13"/>
      <c r="P68" s="13"/>
    </row>
    <row r="69" spans="1:20" s="12" customFormat="1" ht="16" x14ac:dyDescent="0.2">
      <c r="A69" s="14" t="s">
        <v>6</v>
      </c>
      <c r="B69" s="17" t="s">
        <v>6</v>
      </c>
      <c r="H69" s="18"/>
      <c r="I69" s="18"/>
      <c r="K69" s="13"/>
      <c r="L69" s="13"/>
      <c r="M69" s="13"/>
      <c r="N69" s="13"/>
      <c r="O69" s="13"/>
      <c r="P69" s="13"/>
    </row>
    <row r="70" spans="1:20" s="12" customFormat="1" ht="16" x14ac:dyDescent="0.2">
      <c r="A70" s="18" t="s">
        <v>7</v>
      </c>
      <c r="B70" s="10"/>
      <c r="C70" s="18"/>
      <c r="D70" s="18"/>
      <c r="E70" s="18"/>
      <c r="F70" s="18"/>
      <c r="G70" s="18"/>
      <c r="H70" s="11"/>
      <c r="I70" s="11"/>
      <c r="K70" s="13"/>
      <c r="L70" s="13"/>
      <c r="M70" s="13"/>
      <c r="N70" s="13"/>
      <c r="O70" s="13"/>
      <c r="P70" s="13"/>
    </row>
    <row r="71" spans="1:20" s="12" customFormat="1" ht="16" x14ac:dyDescent="0.2">
      <c r="A71" s="18" t="s">
        <v>8</v>
      </c>
      <c r="B71" s="10" t="s">
        <v>9</v>
      </c>
      <c r="C71" s="18" t="s">
        <v>2</v>
      </c>
      <c r="D71" s="18" t="s">
        <v>6</v>
      </c>
      <c r="E71" s="24" t="s">
        <v>10</v>
      </c>
      <c r="F71" s="18" t="s">
        <v>5</v>
      </c>
      <c r="G71" s="18" t="s">
        <v>4</v>
      </c>
      <c r="H71" s="24" t="s">
        <v>11</v>
      </c>
      <c r="I71" s="18"/>
      <c r="J71" s="8"/>
      <c r="K71" s="19"/>
      <c r="L71" s="19"/>
      <c r="M71" s="19"/>
      <c r="N71" s="19"/>
      <c r="O71" s="19"/>
      <c r="P71" s="19"/>
      <c r="Q71" s="8"/>
      <c r="R71" s="8"/>
      <c r="S71" s="18" t="s">
        <v>50</v>
      </c>
      <c r="T71" s="8" t="s">
        <v>51</v>
      </c>
    </row>
    <row r="72" spans="1:20" s="12" customFormat="1" ht="16" x14ac:dyDescent="0.2">
      <c r="A72" s="17" t="str">
        <f>B64</f>
        <v>electrolyzer production, 1MWe, PEM, Balance of Plant</v>
      </c>
      <c r="B72" s="17">
        <v>1</v>
      </c>
      <c r="C72" s="12" t="s">
        <v>36</v>
      </c>
      <c r="D72" s="12" t="s">
        <v>6</v>
      </c>
      <c r="F72" s="12" t="s">
        <v>17</v>
      </c>
      <c r="G72" s="17" t="str">
        <f>B67</f>
        <v>electrolyzer, 1MWe, PEM, Balance of Plant</v>
      </c>
      <c r="H72" s="11"/>
      <c r="I72" s="11"/>
      <c r="K72" s="13"/>
      <c r="L72" s="13"/>
      <c r="M72" s="13"/>
      <c r="N72" s="13"/>
      <c r="O72" s="13"/>
      <c r="P72" s="27"/>
      <c r="T72" s="12" t="s">
        <v>63</v>
      </c>
    </row>
    <row r="73" spans="1:20" s="12" customFormat="1" ht="16" x14ac:dyDescent="0.2">
      <c r="A73" s="12" t="s">
        <v>19</v>
      </c>
      <c r="B73" s="17">
        <v>100</v>
      </c>
      <c r="C73" s="12" t="s">
        <v>18</v>
      </c>
      <c r="D73" s="12" t="s">
        <v>13</v>
      </c>
      <c r="F73" s="12" t="s">
        <v>12</v>
      </c>
      <c r="G73" s="12" t="s">
        <v>20</v>
      </c>
      <c r="H73" s="28" t="s">
        <v>90</v>
      </c>
      <c r="J73"/>
      <c r="K73" s="20"/>
      <c r="L73" s="20"/>
      <c r="M73" s="20"/>
      <c r="N73" s="20"/>
      <c r="O73" s="20"/>
      <c r="P73" s="20"/>
      <c r="Q73"/>
      <c r="R73"/>
    </row>
    <row r="74" spans="1:20" s="12" customFormat="1" ht="16" x14ac:dyDescent="0.2">
      <c r="A74" s="12" t="s">
        <v>76</v>
      </c>
      <c r="B74" s="17">
        <v>200</v>
      </c>
      <c r="C74" s="12" t="s">
        <v>18</v>
      </c>
      <c r="D74" s="12" t="s">
        <v>13</v>
      </c>
      <c r="F74" s="12" t="s">
        <v>12</v>
      </c>
      <c r="G74" s="12" t="s">
        <v>77</v>
      </c>
      <c r="H74" s="28" t="s">
        <v>90</v>
      </c>
      <c r="J74"/>
      <c r="K74" s="20"/>
      <c r="L74" s="20"/>
      <c r="M74" s="20"/>
      <c r="N74" s="20"/>
      <c r="O74" s="20"/>
      <c r="P74" s="20"/>
      <c r="Q74"/>
      <c r="R74"/>
    </row>
    <row r="75" spans="1:20" s="12" customFormat="1" ht="16" x14ac:dyDescent="0.2">
      <c r="A75" s="12" t="s">
        <v>91</v>
      </c>
      <c r="B75" s="17">
        <v>600</v>
      </c>
      <c r="C75" s="12" t="s">
        <v>18</v>
      </c>
      <c r="D75" s="12" t="s">
        <v>13</v>
      </c>
      <c r="F75" s="12" t="s">
        <v>12</v>
      </c>
      <c r="G75" s="12" t="s">
        <v>44</v>
      </c>
      <c r="H75" s="28" t="s">
        <v>90</v>
      </c>
      <c r="J75"/>
      <c r="K75" s="20"/>
      <c r="L75" s="20"/>
      <c r="M75" s="20"/>
      <c r="N75" s="20"/>
      <c r="O75" s="20"/>
      <c r="P75" s="20"/>
      <c r="Q75"/>
      <c r="R75"/>
    </row>
    <row r="76" spans="1:20" s="12" customFormat="1" ht="16" x14ac:dyDescent="0.2">
      <c r="A76" s="12" t="s">
        <v>65</v>
      </c>
      <c r="B76" s="17">
        <v>100</v>
      </c>
      <c r="C76" s="12" t="s">
        <v>18</v>
      </c>
      <c r="D76" s="12" t="s">
        <v>13</v>
      </c>
      <c r="F76" s="12" t="s">
        <v>12</v>
      </c>
      <c r="G76" s="12" t="s">
        <v>45</v>
      </c>
      <c r="H76" s="28" t="s">
        <v>90</v>
      </c>
      <c r="J76"/>
      <c r="K76" s="20"/>
      <c r="L76" s="20"/>
      <c r="M76" s="20"/>
      <c r="N76" s="20"/>
      <c r="O76" s="20"/>
      <c r="P76" s="20"/>
      <c r="Q76"/>
      <c r="R76"/>
    </row>
    <row r="77" spans="1:20" s="12" customFormat="1" ht="16" x14ac:dyDescent="0.2">
      <c r="A77" s="12" t="s">
        <v>92</v>
      </c>
      <c r="B77" s="17">
        <v>600</v>
      </c>
      <c r="C77" s="12" t="s">
        <v>18</v>
      </c>
      <c r="D77" s="12" t="s">
        <v>13</v>
      </c>
      <c r="F77" s="12" t="s">
        <v>12</v>
      </c>
      <c r="G77" s="12" t="s">
        <v>46</v>
      </c>
      <c r="H77" s="28" t="s">
        <v>90</v>
      </c>
      <c r="J77"/>
      <c r="K77" s="20"/>
      <c r="L77" s="20"/>
      <c r="M77" s="20"/>
      <c r="N77" s="20"/>
      <c r="O77" s="20"/>
      <c r="P77" s="20"/>
      <c r="Q77"/>
      <c r="R77"/>
    </row>
    <row r="78" spans="1:20" s="12" customFormat="1" ht="16" x14ac:dyDescent="0.2">
      <c r="A78" s="12" t="s">
        <v>93</v>
      </c>
      <c r="B78" s="17">
        <v>100</v>
      </c>
      <c r="C78" s="12" t="s">
        <v>18</v>
      </c>
      <c r="D78" s="12" t="s">
        <v>13</v>
      </c>
      <c r="F78" s="12" t="s">
        <v>12</v>
      </c>
      <c r="G78" s="12" t="s">
        <v>47</v>
      </c>
      <c r="H78" s="28" t="s">
        <v>90</v>
      </c>
      <c r="J78"/>
      <c r="K78" s="20"/>
      <c r="L78" s="20"/>
      <c r="M78" s="20"/>
      <c r="N78" s="20"/>
      <c r="O78" s="20"/>
      <c r="P78" s="20"/>
      <c r="Q78"/>
      <c r="R78"/>
    </row>
    <row r="79" spans="1:20" s="12" customFormat="1" ht="16" x14ac:dyDescent="0.2">
      <c r="A79" s="12" t="s">
        <v>94</v>
      </c>
      <c r="B79" s="17">
        <v>200</v>
      </c>
      <c r="C79" s="12" t="s">
        <v>18</v>
      </c>
      <c r="D79" s="12" t="s">
        <v>13</v>
      </c>
      <c r="F79" s="12" t="s">
        <v>12</v>
      </c>
      <c r="G79" s="12" t="s">
        <v>48</v>
      </c>
      <c r="H79" s="28" t="s">
        <v>90</v>
      </c>
      <c r="J79"/>
      <c r="K79" s="20"/>
      <c r="L79" s="20"/>
      <c r="M79" s="20"/>
      <c r="N79" s="20"/>
      <c r="O79" s="20"/>
      <c r="P79" s="20"/>
      <c r="Q79"/>
      <c r="R79"/>
    </row>
    <row r="80" spans="1:20" s="12" customFormat="1" ht="16" x14ac:dyDescent="0.2">
      <c r="A80" s="12" t="s">
        <v>32</v>
      </c>
      <c r="B80" s="17">
        <v>100</v>
      </c>
      <c r="C80" s="12" t="s">
        <v>18</v>
      </c>
      <c r="D80" s="12" t="s">
        <v>13</v>
      </c>
      <c r="F80" s="12" t="s">
        <v>12</v>
      </c>
      <c r="G80" s="12" t="s">
        <v>31</v>
      </c>
      <c r="H80" s="11" t="s">
        <v>95</v>
      </c>
      <c r="J80"/>
      <c r="K80" s="20"/>
      <c r="L80" s="20"/>
      <c r="M80" s="20"/>
      <c r="N80" s="20"/>
      <c r="O80" s="20"/>
      <c r="P80" s="20"/>
      <c r="Q80"/>
      <c r="R80"/>
    </row>
    <row r="81" spans="1:18" s="12" customFormat="1" ht="16" x14ac:dyDescent="0.2">
      <c r="A81" s="12" t="s">
        <v>27</v>
      </c>
      <c r="B81" s="17">
        <v>900</v>
      </c>
      <c r="C81" s="12" t="s">
        <v>18</v>
      </c>
      <c r="D81" s="12" t="s">
        <v>13</v>
      </c>
      <c r="F81" s="12" t="s">
        <v>12</v>
      </c>
      <c r="G81" s="12" t="s">
        <v>28</v>
      </c>
      <c r="H81" s="11" t="s">
        <v>96</v>
      </c>
      <c r="J81"/>
      <c r="K81" s="20"/>
      <c r="L81" s="20"/>
      <c r="M81" s="20"/>
      <c r="N81" s="20"/>
      <c r="O81" s="20"/>
      <c r="P81" s="20"/>
      <c r="Q81"/>
      <c r="R81"/>
    </row>
    <row r="82" spans="1:18" s="12" customFormat="1" ht="16" x14ac:dyDescent="0.2">
      <c r="A82" s="12" t="s">
        <v>92</v>
      </c>
      <c r="B82" s="17">
        <v>900</v>
      </c>
      <c r="C82" s="12" t="s">
        <v>18</v>
      </c>
      <c r="D82" s="12" t="s">
        <v>13</v>
      </c>
      <c r="F82" s="12" t="s">
        <v>12</v>
      </c>
      <c r="G82" s="12" t="s">
        <v>46</v>
      </c>
      <c r="H82" s="11" t="s">
        <v>96</v>
      </c>
      <c r="J82"/>
      <c r="K82" s="20"/>
      <c r="L82" s="20"/>
      <c r="M82" s="20"/>
      <c r="N82" s="20"/>
      <c r="O82" s="20"/>
      <c r="P82" s="20"/>
      <c r="Q82"/>
      <c r="R82"/>
    </row>
    <row r="83" spans="1:18" s="12" customFormat="1" ht="16" x14ac:dyDescent="0.2">
      <c r="A83" s="12" t="s">
        <v>81</v>
      </c>
      <c r="B83" s="17">
        <v>750</v>
      </c>
      <c r="C83" s="12" t="s">
        <v>18</v>
      </c>
      <c r="D83" s="12" t="s">
        <v>13</v>
      </c>
      <c r="F83" s="12" t="s">
        <v>12</v>
      </c>
      <c r="G83" s="12" t="s">
        <v>82</v>
      </c>
      <c r="H83" s="11" t="s">
        <v>97</v>
      </c>
      <c r="J83"/>
      <c r="K83" s="20"/>
      <c r="L83" s="20"/>
      <c r="M83" s="20"/>
      <c r="N83" s="20"/>
      <c r="O83" s="20"/>
      <c r="P83" s="20"/>
      <c r="Q83"/>
      <c r="R83"/>
    </row>
    <row r="84" spans="1:18" s="12" customFormat="1" ht="16" x14ac:dyDescent="0.2">
      <c r="A84" s="12" t="s">
        <v>21</v>
      </c>
      <c r="B84" s="17">
        <v>750</v>
      </c>
      <c r="C84" s="12" t="s">
        <v>18</v>
      </c>
      <c r="D84" s="12" t="s">
        <v>13</v>
      </c>
      <c r="F84" s="12" t="s">
        <v>12</v>
      </c>
      <c r="G84" s="12" t="s">
        <v>16</v>
      </c>
      <c r="H84" s="11" t="s">
        <v>97</v>
      </c>
      <c r="J84"/>
      <c r="K84" s="20"/>
      <c r="L84" s="20"/>
      <c r="M84" s="20"/>
      <c r="N84" s="20"/>
      <c r="O84" s="20"/>
      <c r="P84" s="20"/>
      <c r="Q84"/>
      <c r="R84"/>
    </row>
    <row r="85" spans="1:18" s="12" customFormat="1" ht="16" x14ac:dyDescent="0.2">
      <c r="A85" s="12" t="s">
        <v>19</v>
      </c>
      <c r="B85" s="17">
        <v>100</v>
      </c>
      <c r="C85" s="12" t="s">
        <v>18</v>
      </c>
      <c r="D85" s="12" t="s">
        <v>13</v>
      </c>
      <c r="F85" s="12" t="s">
        <v>12</v>
      </c>
      <c r="G85" s="12" t="s">
        <v>20</v>
      </c>
      <c r="H85" s="11" t="s">
        <v>98</v>
      </c>
      <c r="J85"/>
      <c r="K85" s="20"/>
      <c r="L85" s="20"/>
      <c r="M85" s="20"/>
      <c r="N85" s="20"/>
      <c r="O85" s="20"/>
      <c r="P85" s="20"/>
      <c r="Q85"/>
      <c r="R85"/>
    </row>
    <row r="86" spans="1:18" s="12" customFormat="1" ht="16" x14ac:dyDescent="0.2">
      <c r="A86" s="12" t="s">
        <v>65</v>
      </c>
      <c r="B86" s="17">
        <v>100</v>
      </c>
      <c r="C86" s="12" t="s">
        <v>18</v>
      </c>
      <c r="D86" s="12" t="s">
        <v>13</v>
      </c>
      <c r="F86" s="12" t="s">
        <v>12</v>
      </c>
      <c r="G86" s="12" t="s">
        <v>45</v>
      </c>
      <c r="H86" s="11" t="s">
        <v>98</v>
      </c>
      <c r="J86"/>
      <c r="K86" s="20"/>
      <c r="L86" s="20"/>
      <c r="M86" s="20"/>
      <c r="N86" s="20"/>
      <c r="O86" s="20"/>
      <c r="P86" s="20"/>
      <c r="Q86"/>
      <c r="R86"/>
    </row>
    <row r="87" spans="1:18" s="12" customFormat="1" ht="16" x14ac:dyDescent="0.2">
      <c r="A87" s="12" t="s">
        <v>76</v>
      </c>
      <c r="B87" s="17">
        <v>100</v>
      </c>
      <c r="C87" s="12" t="s">
        <v>18</v>
      </c>
      <c r="D87" s="12" t="s">
        <v>13</v>
      </c>
      <c r="F87" s="12" t="s">
        <v>12</v>
      </c>
      <c r="G87" s="12" t="s">
        <v>77</v>
      </c>
      <c r="H87" s="11" t="s">
        <v>99</v>
      </c>
      <c r="J87"/>
      <c r="K87" s="20"/>
      <c r="L87" s="20"/>
      <c r="M87" s="20"/>
      <c r="N87" s="20"/>
      <c r="O87" s="20"/>
      <c r="P87" s="20"/>
      <c r="Q87"/>
      <c r="R87"/>
    </row>
    <row r="88" spans="1:18" s="12" customFormat="1" ht="16" x14ac:dyDescent="0.2">
      <c r="A88" s="12" t="s">
        <v>79</v>
      </c>
      <c r="B88" s="17">
        <v>100</v>
      </c>
      <c r="C88" s="12" t="s">
        <v>18</v>
      </c>
      <c r="D88" s="12" t="s">
        <v>13</v>
      </c>
      <c r="F88" s="12" t="s">
        <v>12</v>
      </c>
      <c r="G88" s="12" t="s">
        <v>80</v>
      </c>
      <c r="H88" s="11" t="s">
        <v>99</v>
      </c>
      <c r="J88"/>
      <c r="K88" s="20"/>
      <c r="L88" s="20"/>
      <c r="M88" s="20"/>
      <c r="N88" s="20"/>
      <c r="O88" s="20"/>
      <c r="P88" s="20"/>
      <c r="Q88"/>
      <c r="R88"/>
    </row>
    <row r="89" spans="1:18" s="12" customFormat="1" ht="16" x14ac:dyDescent="0.2">
      <c r="A89" s="12" t="s">
        <v>29</v>
      </c>
      <c r="B89" s="17">
        <v>300</v>
      </c>
      <c r="C89" s="12" t="s">
        <v>18</v>
      </c>
      <c r="D89" s="12" t="s">
        <v>13</v>
      </c>
      <c r="F89" s="12" t="s">
        <v>12</v>
      </c>
      <c r="G89" s="12" t="s">
        <v>30</v>
      </c>
      <c r="H89" s="11" t="s">
        <v>100</v>
      </c>
      <c r="J89"/>
      <c r="K89" s="20"/>
      <c r="L89" s="20"/>
      <c r="M89" s="20"/>
      <c r="N89" s="20"/>
      <c r="O89" s="20"/>
      <c r="P89" s="20"/>
      <c r="Q89"/>
      <c r="R89"/>
    </row>
    <row r="90" spans="1:18" s="12" customFormat="1" ht="16" x14ac:dyDescent="0.2">
      <c r="A90" s="12" t="s">
        <v>101</v>
      </c>
      <c r="B90" s="17">
        <v>300</v>
      </c>
      <c r="C90" s="12" t="s">
        <v>18</v>
      </c>
      <c r="D90" s="12" t="s">
        <v>13</v>
      </c>
      <c r="F90" s="12" t="s">
        <v>12</v>
      </c>
      <c r="G90" s="12" t="s">
        <v>102</v>
      </c>
      <c r="H90" s="11" t="s">
        <v>100</v>
      </c>
      <c r="J90"/>
      <c r="K90" s="20"/>
      <c r="L90" s="20"/>
      <c r="M90" s="20"/>
      <c r="N90" s="20"/>
      <c r="O90" s="20"/>
      <c r="P90" s="20"/>
      <c r="Q90"/>
      <c r="R90"/>
    </row>
    <row r="91" spans="1:18" s="12" customFormat="1" ht="16" x14ac:dyDescent="0.2">
      <c r="A91" s="12" t="s">
        <v>103</v>
      </c>
      <c r="B91" s="17">
        <v>100</v>
      </c>
      <c r="C91" s="12" t="s">
        <v>36</v>
      </c>
      <c r="D91" s="12" t="s">
        <v>13</v>
      </c>
      <c r="F91" s="12" t="s">
        <v>12</v>
      </c>
      <c r="G91" s="12" t="s">
        <v>104</v>
      </c>
      <c r="H91" s="11" t="s">
        <v>105</v>
      </c>
      <c r="J91"/>
      <c r="K91" s="20"/>
      <c r="L91" s="20"/>
      <c r="M91" s="20"/>
      <c r="N91" s="20"/>
      <c r="O91" s="20"/>
      <c r="P91" s="20"/>
      <c r="Q91"/>
      <c r="R91"/>
    </row>
    <row r="92" spans="1:18" s="12" customFormat="1" ht="16" x14ac:dyDescent="0.2">
      <c r="A92" s="12" t="s">
        <v>106</v>
      </c>
      <c r="B92" s="17">
        <v>100</v>
      </c>
      <c r="C92" s="12" t="s">
        <v>18</v>
      </c>
      <c r="D92" s="12" t="s">
        <v>13</v>
      </c>
      <c r="F92" s="12" t="s">
        <v>12</v>
      </c>
      <c r="G92" s="12" t="s">
        <v>107</v>
      </c>
      <c r="H92" s="11" t="s">
        <v>108</v>
      </c>
      <c r="J92"/>
      <c r="K92" s="20"/>
      <c r="L92" s="20"/>
      <c r="M92" s="20"/>
      <c r="N92" s="20"/>
      <c r="O92" s="20"/>
      <c r="P92" s="20"/>
      <c r="Q92"/>
      <c r="R92"/>
    </row>
    <row r="93" spans="1:18" s="12" customFormat="1" ht="16" x14ac:dyDescent="0.2">
      <c r="A93" s="12" t="s">
        <v>81</v>
      </c>
      <c r="B93" s="17">
        <v>1161</v>
      </c>
      <c r="C93" s="12" t="s">
        <v>18</v>
      </c>
      <c r="D93" s="12" t="s">
        <v>13</v>
      </c>
      <c r="F93" s="12" t="s">
        <v>12</v>
      </c>
      <c r="G93" s="12" t="s">
        <v>82</v>
      </c>
      <c r="H93" s="11" t="s">
        <v>109</v>
      </c>
      <c r="J93"/>
      <c r="K93" s="20"/>
      <c r="L93" s="20"/>
      <c r="M93" s="20"/>
      <c r="N93" s="20"/>
      <c r="O93" s="20"/>
      <c r="P93" s="20"/>
      <c r="Q93"/>
      <c r="R93"/>
    </row>
    <row r="94" spans="1:18" s="12" customFormat="1" ht="16" x14ac:dyDescent="0.2">
      <c r="A94" s="12" t="s">
        <v>21</v>
      </c>
      <c r="B94" s="17">
        <v>1161</v>
      </c>
      <c r="C94" s="12" t="s">
        <v>18</v>
      </c>
      <c r="D94" s="12" t="s">
        <v>13</v>
      </c>
      <c r="F94" s="12" t="s">
        <v>12</v>
      </c>
      <c r="G94" s="12" t="s">
        <v>16</v>
      </c>
      <c r="H94" s="11" t="s">
        <v>109</v>
      </c>
      <c r="J94"/>
      <c r="K94" s="20"/>
      <c r="L94" s="20"/>
      <c r="M94" s="20"/>
      <c r="N94" s="20"/>
      <c r="O94" s="20"/>
      <c r="P94" s="20"/>
      <c r="Q94"/>
      <c r="R94"/>
    </row>
    <row r="95" spans="1:18" s="12" customFormat="1" ht="16" x14ac:dyDescent="0.2">
      <c r="A95" s="12" t="s">
        <v>110</v>
      </c>
      <c r="B95" s="17">
        <v>464.6</v>
      </c>
      <c r="C95" s="12" t="s">
        <v>18</v>
      </c>
      <c r="D95" s="12" t="s">
        <v>13</v>
      </c>
      <c r="F95" s="12" t="s">
        <v>12</v>
      </c>
      <c r="G95" s="12" t="s">
        <v>111</v>
      </c>
      <c r="H95" s="11" t="s">
        <v>112</v>
      </c>
      <c r="J95"/>
      <c r="K95" s="20"/>
      <c r="L95" s="20"/>
      <c r="M95" s="20"/>
      <c r="N95" s="20"/>
      <c r="O95" s="20"/>
      <c r="P95" s="20"/>
      <c r="Q95"/>
      <c r="R95"/>
    </row>
    <row r="96" spans="1:18" s="12" customFormat="1" ht="16" x14ac:dyDescent="0.2">
      <c r="A96" s="12" t="s">
        <v>113</v>
      </c>
      <c r="B96" s="17">
        <v>464.6</v>
      </c>
      <c r="C96" s="12" t="s">
        <v>18</v>
      </c>
      <c r="D96" s="12" t="s">
        <v>13</v>
      </c>
      <c r="F96" s="12" t="s">
        <v>12</v>
      </c>
      <c r="G96" s="12" t="s">
        <v>114</v>
      </c>
      <c r="H96" s="11" t="s">
        <v>112</v>
      </c>
      <c r="J96"/>
      <c r="K96" s="20"/>
      <c r="L96" s="20"/>
      <c r="M96" s="20"/>
      <c r="N96" s="20"/>
      <c r="O96" s="20"/>
      <c r="P96" s="20"/>
      <c r="Q96"/>
      <c r="R96"/>
    </row>
    <row r="97" spans="1:18" s="12" customFormat="1" ht="16" x14ac:dyDescent="0.2">
      <c r="A97" s="12" t="s">
        <v>91</v>
      </c>
      <c r="B97" s="17">
        <v>232.3</v>
      </c>
      <c r="C97" s="12" t="s">
        <v>18</v>
      </c>
      <c r="D97" s="12" t="s">
        <v>13</v>
      </c>
      <c r="F97" s="12" t="s">
        <v>12</v>
      </c>
      <c r="G97" s="12" t="s">
        <v>44</v>
      </c>
      <c r="H97" s="11" t="s">
        <v>112</v>
      </c>
      <c r="J97"/>
      <c r="K97" s="20"/>
      <c r="L97" s="20"/>
      <c r="M97" s="20"/>
      <c r="N97" s="20"/>
      <c r="O97" s="20"/>
      <c r="P97" s="20"/>
      <c r="Q97"/>
      <c r="R97"/>
    </row>
    <row r="98" spans="1:18" s="12" customFormat="1" ht="16" x14ac:dyDescent="0.2">
      <c r="A98" s="12" t="s">
        <v>92</v>
      </c>
      <c r="B98" s="17">
        <v>232.3</v>
      </c>
      <c r="C98" s="12" t="s">
        <v>18</v>
      </c>
      <c r="D98" s="12" t="s">
        <v>13</v>
      </c>
      <c r="F98" s="12" t="s">
        <v>12</v>
      </c>
      <c r="G98" s="12" t="s">
        <v>46</v>
      </c>
      <c r="H98" s="11" t="s">
        <v>112</v>
      </c>
      <c r="J98"/>
      <c r="K98" s="20"/>
      <c r="L98" s="20"/>
      <c r="M98" s="20"/>
      <c r="N98" s="20"/>
      <c r="O98" s="20"/>
      <c r="P98" s="20"/>
      <c r="Q98"/>
      <c r="R98"/>
    </row>
    <row r="99" spans="1:18" s="12" customFormat="1" ht="16" x14ac:dyDescent="0.2">
      <c r="A99" s="12" t="s">
        <v>19</v>
      </c>
      <c r="B99" s="17">
        <v>60</v>
      </c>
      <c r="C99" s="12" t="s">
        <v>18</v>
      </c>
      <c r="D99" s="12" t="s">
        <v>13</v>
      </c>
      <c r="F99" s="12" t="s">
        <v>12</v>
      </c>
      <c r="G99" s="12" t="s">
        <v>20</v>
      </c>
      <c r="H99" s="11" t="s">
        <v>115</v>
      </c>
      <c r="J99"/>
      <c r="K99" s="20"/>
      <c r="L99" s="20"/>
      <c r="M99" s="20"/>
      <c r="N99" s="20"/>
      <c r="O99" s="20"/>
      <c r="P99" s="20"/>
      <c r="Q99"/>
      <c r="R99"/>
    </row>
    <row r="100" spans="1:18" s="12" customFormat="1" ht="16" x14ac:dyDescent="0.2">
      <c r="A100" s="12" t="s">
        <v>76</v>
      </c>
      <c r="B100" s="17">
        <v>45</v>
      </c>
      <c r="C100" s="12" t="s">
        <v>18</v>
      </c>
      <c r="D100" s="12" t="s">
        <v>13</v>
      </c>
      <c r="F100" s="12" t="s">
        <v>12</v>
      </c>
      <c r="G100" s="12" t="s">
        <v>77</v>
      </c>
      <c r="H100" s="11" t="s">
        <v>115</v>
      </c>
      <c r="J100"/>
      <c r="K100" s="20"/>
      <c r="L100" s="20"/>
      <c r="M100" s="20"/>
      <c r="N100" s="20"/>
      <c r="O100" s="20"/>
      <c r="P100" s="20"/>
      <c r="Q100"/>
      <c r="R100"/>
    </row>
    <row r="101" spans="1:18" s="12" customFormat="1" ht="16" x14ac:dyDescent="0.2">
      <c r="A101" s="12" t="s">
        <v>91</v>
      </c>
      <c r="B101" s="17">
        <v>180</v>
      </c>
      <c r="C101" s="12" t="s">
        <v>18</v>
      </c>
      <c r="D101" s="12" t="s">
        <v>13</v>
      </c>
      <c r="F101" s="12" t="s">
        <v>12</v>
      </c>
      <c r="G101" s="12" t="s">
        <v>44</v>
      </c>
      <c r="H101" s="11" t="s">
        <v>115</v>
      </c>
      <c r="J101"/>
      <c r="K101" s="20"/>
      <c r="L101" s="20"/>
      <c r="M101" s="20"/>
      <c r="N101" s="20"/>
      <c r="O101" s="20"/>
      <c r="P101" s="20"/>
      <c r="Q101"/>
      <c r="R101"/>
    </row>
    <row r="102" spans="1:18" s="12" customFormat="1" ht="16" x14ac:dyDescent="0.2">
      <c r="A102" s="12" t="s">
        <v>93</v>
      </c>
      <c r="B102" s="17">
        <v>15</v>
      </c>
      <c r="C102" s="12" t="s">
        <v>18</v>
      </c>
      <c r="D102" s="12" t="s">
        <v>13</v>
      </c>
      <c r="F102" s="12" t="s">
        <v>12</v>
      </c>
      <c r="G102" s="12" t="s">
        <v>47</v>
      </c>
      <c r="H102" s="11" t="s">
        <v>115</v>
      </c>
      <c r="J102"/>
      <c r="K102" s="20"/>
      <c r="L102" s="20"/>
      <c r="M102" s="20"/>
      <c r="N102" s="20"/>
      <c r="O102" s="20"/>
      <c r="P102" s="20"/>
      <c r="Q102"/>
      <c r="R102"/>
    </row>
    <row r="103" spans="1:18" s="12" customFormat="1" ht="16" x14ac:dyDescent="0.2">
      <c r="A103" s="12" t="s">
        <v>94</v>
      </c>
      <c r="B103" s="17">
        <v>45</v>
      </c>
      <c r="C103" s="12" t="s">
        <v>18</v>
      </c>
      <c r="D103" s="12" t="s">
        <v>13</v>
      </c>
      <c r="F103" s="12" t="s">
        <v>12</v>
      </c>
      <c r="G103" s="12" t="s">
        <v>48</v>
      </c>
      <c r="H103" s="11" t="s">
        <v>115</v>
      </c>
      <c r="J103"/>
      <c r="K103" s="20"/>
      <c r="L103" s="20"/>
      <c r="M103" s="20"/>
      <c r="N103" s="20"/>
      <c r="O103" s="20"/>
      <c r="P103" s="20"/>
      <c r="Q103"/>
      <c r="R103"/>
    </row>
    <row r="104" spans="1:18" s="12" customFormat="1" ht="16" x14ac:dyDescent="0.2">
      <c r="A104" s="12" t="s">
        <v>116</v>
      </c>
      <c r="B104" s="17">
        <v>600</v>
      </c>
      <c r="C104" s="12" t="s">
        <v>18</v>
      </c>
      <c r="D104" s="12" t="s">
        <v>13</v>
      </c>
      <c r="F104" s="12" t="s">
        <v>12</v>
      </c>
      <c r="G104" s="12" t="s">
        <v>117</v>
      </c>
      <c r="H104" s="11" t="s">
        <v>118</v>
      </c>
      <c r="J104"/>
      <c r="K104" s="20"/>
      <c r="L104" s="20"/>
      <c r="M104" s="20"/>
      <c r="N104" s="20"/>
      <c r="O104" s="20"/>
      <c r="P104" s="20"/>
      <c r="Q104"/>
      <c r="R104"/>
    </row>
    <row r="105" spans="1:18" s="12" customFormat="1" ht="16" x14ac:dyDescent="0.2">
      <c r="A105" s="12" t="s">
        <v>119</v>
      </c>
      <c r="B105" s="17">
        <v>7</v>
      </c>
      <c r="C105" s="12" t="s">
        <v>18</v>
      </c>
      <c r="D105" s="12" t="s">
        <v>13</v>
      </c>
      <c r="F105" s="12" t="s">
        <v>12</v>
      </c>
      <c r="G105" s="12" t="s">
        <v>120</v>
      </c>
      <c r="H105" s="11" t="s">
        <v>118</v>
      </c>
      <c r="J105"/>
      <c r="K105" s="20"/>
      <c r="L105" s="20"/>
      <c r="M105" s="20"/>
      <c r="N105" s="20"/>
      <c r="O105" s="20"/>
      <c r="P105" s="20"/>
      <c r="Q105"/>
      <c r="R105"/>
    </row>
    <row r="106" spans="1:18" s="12" customFormat="1" ht="16" x14ac:dyDescent="0.2">
      <c r="A106" s="12" t="s">
        <v>91</v>
      </c>
      <c r="B106" s="17">
        <v>1300</v>
      </c>
      <c r="C106" s="12" t="s">
        <v>18</v>
      </c>
      <c r="D106" s="12" t="s">
        <v>13</v>
      </c>
      <c r="F106" s="12" t="s">
        <v>12</v>
      </c>
      <c r="G106" s="12" t="s">
        <v>44</v>
      </c>
      <c r="H106" s="11" t="s">
        <v>118</v>
      </c>
      <c r="J106"/>
      <c r="K106" s="20"/>
      <c r="L106" s="20"/>
      <c r="M106" s="20"/>
      <c r="N106" s="20"/>
      <c r="O106" s="20"/>
      <c r="P106" s="20"/>
      <c r="Q106"/>
      <c r="R106"/>
    </row>
    <row r="107" spans="1:18" s="12" customFormat="1" ht="16" x14ac:dyDescent="0.2">
      <c r="A107" s="12" t="s">
        <v>81</v>
      </c>
      <c r="B107" s="17">
        <v>405</v>
      </c>
      <c r="C107" s="12" t="s">
        <v>18</v>
      </c>
      <c r="D107" s="12" t="s">
        <v>13</v>
      </c>
      <c r="F107" s="12" t="s">
        <v>12</v>
      </c>
      <c r="G107" s="12" t="s">
        <v>82</v>
      </c>
      <c r="H107" s="11" t="s">
        <v>118</v>
      </c>
      <c r="J107"/>
      <c r="K107" s="20"/>
      <c r="L107" s="20"/>
      <c r="M107" s="20"/>
      <c r="N107" s="20"/>
      <c r="O107" s="20"/>
      <c r="P107" s="20"/>
      <c r="Q107"/>
      <c r="R107"/>
    </row>
    <row r="108" spans="1:18" s="12" customFormat="1" ht="16" x14ac:dyDescent="0.2">
      <c r="A108" s="12" t="s">
        <v>92</v>
      </c>
      <c r="B108" s="17">
        <v>400</v>
      </c>
      <c r="C108" s="12" t="s">
        <v>18</v>
      </c>
      <c r="D108" s="12" t="s">
        <v>13</v>
      </c>
      <c r="F108" s="12" t="s">
        <v>12</v>
      </c>
      <c r="G108" s="12" t="s">
        <v>46</v>
      </c>
      <c r="H108" s="11" t="s">
        <v>118</v>
      </c>
      <c r="J108"/>
      <c r="K108" s="20"/>
      <c r="L108" s="20"/>
      <c r="M108" s="20"/>
      <c r="N108" s="20"/>
      <c r="O108" s="20"/>
      <c r="P108" s="20"/>
      <c r="Q108"/>
      <c r="R108"/>
    </row>
    <row r="109" spans="1:18" s="12" customFormat="1" ht="16" x14ac:dyDescent="0.2">
      <c r="A109" s="12" t="s">
        <v>21</v>
      </c>
      <c r="B109" s="17">
        <v>405</v>
      </c>
      <c r="C109" s="12" t="s">
        <v>18</v>
      </c>
      <c r="D109" s="12" t="s">
        <v>13</v>
      </c>
      <c r="F109" s="12" t="s">
        <v>12</v>
      </c>
      <c r="G109" s="12" t="s">
        <v>16</v>
      </c>
      <c r="H109" s="11" t="s">
        <v>118</v>
      </c>
      <c r="J109"/>
      <c r="K109" s="20"/>
      <c r="L109" s="20"/>
      <c r="M109" s="20"/>
      <c r="N109" s="20"/>
      <c r="O109" s="20"/>
      <c r="P109" s="20"/>
      <c r="Q109"/>
      <c r="R109"/>
    </row>
    <row r="110" spans="1:18" s="12" customFormat="1" ht="16" x14ac:dyDescent="0.2">
      <c r="A110" s="12" t="s">
        <v>91</v>
      </c>
      <c r="B110" s="17">
        <v>1000</v>
      </c>
      <c r="C110" s="12" t="s">
        <v>18</v>
      </c>
      <c r="D110" s="12" t="s">
        <v>13</v>
      </c>
      <c r="F110" s="12" t="s">
        <v>12</v>
      </c>
      <c r="G110" s="12" t="s">
        <v>44</v>
      </c>
      <c r="H110" s="11" t="s">
        <v>121</v>
      </c>
      <c r="J110"/>
      <c r="K110" s="20"/>
      <c r="L110" s="20"/>
      <c r="M110" s="20"/>
      <c r="N110" s="20"/>
      <c r="O110" s="20"/>
      <c r="P110" s="20"/>
      <c r="Q110"/>
      <c r="R110"/>
    </row>
    <row r="111" spans="1:18" s="12" customFormat="1" ht="16" x14ac:dyDescent="0.2">
      <c r="A111" s="12" t="s">
        <v>81</v>
      </c>
      <c r="B111" s="17">
        <v>1500</v>
      </c>
      <c r="C111" s="12" t="s">
        <v>18</v>
      </c>
      <c r="D111" s="12" t="s">
        <v>13</v>
      </c>
      <c r="F111" s="12" t="s">
        <v>12</v>
      </c>
      <c r="G111" s="12" t="s">
        <v>82</v>
      </c>
      <c r="H111" s="11" t="s">
        <v>121</v>
      </c>
      <c r="J111"/>
      <c r="K111" s="20"/>
      <c r="L111" s="20"/>
      <c r="M111" s="20"/>
      <c r="N111" s="20"/>
      <c r="O111" s="20"/>
      <c r="P111" s="20"/>
      <c r="Q111"/>
      <c r="R111"/>
    </row>
    <row r="112" spans="1:18" s="12" customFormat="1" ht="16" x14ac:dyDescent="0.2">
      <c r="A112" s="12" t="s">
        <v>92</v>
      </c>
      <c r="B112" s="17">
        <v>1000</v>
      </c>
      <c r="C112" s="12" t="s">
        <v>18</v>
      </c>
      <c r="D112" s="12" t="s">
        <v>13</v>
      </c>
      <c r="F112" s="12" t="s">
        <v>12</v>
      </c>
      <c r="G112" s="12" t="s">
        <v>46</v>
      </c>
      <c r="H112" s="11" t="s">
        <v>121</v>
      </c>
      <c r="J112"/>
      <c r="K112" s="20"/>
      <c r="L112" s="20"/>
      <c r="M112" s="20"/>
      <c r="N112" s="20"/>
      <c r="O112" s="20"/>
      <c r="P112" s="20"/>
      <c r="Q112"/>
      <c r="R112"/>
    </row>
    <row r="113" spans="1:18" s="12" customFormat="1" ht="16" x14ac:dyDescent="0.2">
      <c r="A113" s="12" t="s">
        <v>21</v>
      </c>
      <c r="B113" s="17">
        <v>1500</v>
      </c>
      <c r="C113" s="12" t="s">
        <v>18</v>
      </c>
      <c r="D113" s="12" t="s">
        <v>13</v>
      </c>
      <c r="F113" s="12" t="s">
        <v>12</v>
      </c>
      <c r="G113" s="12" t="s">
        <v>16</v>
      </c>
      <c r="H113" s="11" t="s">
        <v>121</v>
      </c>
      <c r="J113"/>
      <c r="K113" s="20"/>
      <c r="L113" s="20"/>
      <c r="M113" s="20"/>
      <c r="N113" s="20"/>
      <c r="O113" s="20"/>
      <c r="P113" s="20"/>
      <c r="Q113"/>
      <c r="R113"/>
    </row>
    <row r="114" spans="1:18" s="12" customFormat="1" ht="16" x14ac:dyDescent="0.2">
      <c r="A114" s="12" t="s">
        <v>81</v>
      </c>
      <c r="B114" s="17">
        <v>511</v>
      </c>
      <c r="C114" s="12" t="s">
        <v>18</v>
      </c>
      <c r="D114" s="12" t="s">
        <v>13</v>
      </c>
      <c r="F114" s="12" t="s">
        <v>12</v>
      </c>
      <c r="G114" s="12" t="s">
        <v>82</v>
      </c>
      <c r="H114" s="11" t="s">
        <v>122</v>
      </c>
      <c r="J114"/>
      <c r="K114" s="20"/>
      <c r="L114" s="20"/>
      <c r="M114" s="20"/>
      <c r="N114" s="20"/>
      <c r="O114" s="20"/>
      <c r="P114" s="20"/>
      <c r="Q114"/>
      <c r="R114"/>
    </row>
    <row r="115" spans="1:18" s="12" customFormat="1" ht="16" x14ac:dyDescent="0.2">
      <c r="A115" s="12" t="s">
        <v>21</v>
      </c>
      <c r="B115" s="17">
        <v>511</v>
      </c>
      <c r="C115" s="12" t="s">
        <v>18</v>
      </c>
      <c r="D115" s="12" t="s">
        <v>13</v>
      </c>
      <c r="F115" s="12" t="s">
        <v>12</v>
      </c>
      <c r="G115" s="12" t="s">
        <v>16</v>
      </c>
      <c r="H115" s="11" t="s">
        <v>122</v>
      </c>
      <c r="J115"/>
      <c r="K115" s="20"/>
      <c r="L115" s="20"/>
      <c r="M115" s="20"/>
      <c r="N115" s="20"/>
      <c r="O115" s="20"/>
      <c r="P115" s="20"/>
      <c r="Q115"/>
      <c r="R115"/>
    </row>
    <row r="116" spans="1:18" s="12" customFormat="1" ht="16" x14ac:dyDescent="0.2">
      <c r="A116" s="12" t="s">
        <v>123</v>
      </c>
      <c r="B116" s="17">
        <v>29</v>
      </c>
      <c r="C116" s="12" t="s">
        <v>18</v>
      </c>
      <c r="D116" s="12" t="s">
        <v>124</v>
      </c>
      <c r="F116" s="12" t="s">
        <v>12</v>
      </c>
      <c r="G116" s="12" t="s">
        <v>125</v>
      </c>
      <c r="H116" s="11" t="s">
        <v>122</v>
      </c>
      <c r="J116"/>
      <c r="K116" s="20"/>
      <c r="L116" s="20"/>
      <c r="M116" s="20"/>
      <c r="N116" s="20"/>
      <c r="O116" s="20"/>
      <c r="P116" s="20"/>
      <c r="Q116"/>
      <c r="R116"/>
    </row>
    <row r="117" spans="1:18" s="12" customFormat="1" ht="16" x14ac:dyDescent="0.2">
      <c r="A117" s="12" t="s">
        <v>92</v>
      </c>
      <c r="B117" s="17">
        <v>2250</v>
      </c>
      <c r="C117" s="12" t="s">
        <v>18</v>
      </c>
      <c r="D117" s="12" t="s">
        <v>13</v>
      </c>
      <c r="F117" s="12" t="s">
        <v>12</v>
      </c>
      <c r="G117" s="12" t="s">
        <v>46</v>
      </c>
      <c r="H117" s="11" t="s">
        <v>126</v>
      </c>
      <c r="J117"/>
      <c r="K117" s="20"/>
      <c r="L117" s="20"/>
      <c r="M117" s="20"/>
      <c r="N117" s="20"/>
      <c r="O117" s="20"/>
      <c r="P117" s="20"/>
      <c r="Q117"/>
      <c r="R117"/>
    </row>
    <row r="118" spans="1:18" s="12" customFormat="1" ht="15.5" customHeight="1" x14ac:dyDescent="0.2">
      <c r="A118" s="29" t="s">
        <v>27</v>
      </c>
      <c r="B118" s="30">
        <v>2250</v>
      </c>
      <c r="C118" s="12" t="s">
        <v>18</v>
      </c>
      <c r="D118" s="12" t="s">
        <v>13</v>
      </c>
      <c r="F118" s="12" t="s">
        <v>12</v>
      </c>
      <c r="G118" s="11" t="s">
        <v>28</v>
      </c>
      <c r="H118" s="11" t="s">
        <v>126</v>
      </c>
      <c r="J118"/>
      <c r="K118" s="20"/>
      <c r="L118" s="20"/>
      <c r="M118" s="20"/>
      <c r="N118" s="20"/>
      <c r="O118" s="20"/>
      <c r="P118" s="20"/>
      <c r="Q118"/>
      <c r="R118"/>
    </row>
    <row r="119" spans="1:18" s="12" customFormat="1" ht="16" x14ac:dyDescent="0.2">
      <c r="A119" s="12" t="s">
        <v>127</v>
      </c>
      <c r="B119" s="30">
        <v>2.2999999999999998</v>
      </c>
      <c r="C119" s="12" t="s">
        <v>49</v>
      </c>
      <c r="D119" s="11" t="s">
        <v>33</v>
      </c>
      <c r="F119" s="12" t="s">
        <v>12</v>
      </c>
      <c r="G119" s="11" t="s">
        <v>128</v>
      </c>
      <c r="H119" s="11" t="s">
        <v>129</v>
      </c>
      <c r="J119"/>
      <c r="K119" s="20"/>
      <c r="L119" s="20"/>
      <c r="M119" s="20"/>
      <c r="N119" s="20"/>
      <c r="O119" s="20"/>
      <c r="P119" s="20"/>
      <c r="Q119"/>
      <c r="R119"/>
    </row>
    <row r="120" spans="1:18" s="12" customFormat="1" ht="16" x14ac:dyDescent="0.2">
      <c r="A120" s="12" t="s">
        <v>35</v>
      </c>
      <c r="B120" s="17">
        <v>50000</v>
      </c>
      <c r="C120" s="12" t="s">
        <v>18</v>
      </c>
      <c r="D120" s="12" t="s">
        <v>37</v>
      </c>
      <c r="F120" s="12" t="s">
        <v>12</v>
      </c>
      <c r="G120" s="11" t="s">
        <v>38</v>
      </c>
      <c r="H120" s="12" t="s">
        <v>87</v>
      </c>
      <c r="J120"/>
      <c r="K120" s="20"/>
      <c r="L120" s="20"/>
      <c r="M120" s="20"/>
      <c r="N120" s="20"/>
      <c r="O120" s="20"/>
      <c r="P120" s="20"/>
      <c r="Q120"/>
      <c r="R120"/>
    </row>
    <row r="121" spans="1:18" s="12" customFormat="1" ht="16" x14ac:dyDescent="0.2">
      <c r="B121" s="17"/>
      <c r="K121" s="13"/>
      <c r="L121" s="13"/>
      <c r="M121" s="13"/>
      <c r="N121" s="13"/>
      <c r="O121" s="13"/>
      <c r="P121" s="13"/>
    </row>
    <row r="122" spans="1:18" s="12" customFormat="1" ht="16" x14ac:dyDescent="0.2">
      <c r="A122" s="9" t="s">
        <v>1</v>
      </c>
      <c r="B122" s="10" t="s">
        <v>256</v>
      </c>
      <c r="K122" s="13"/>
      <c r="L122" s="13"/>
      <c r="M122" s="13"/>
      <c r="N122" s="13"/>
      <c r="O122" s="13"/>
      <c r="P122" s="13"/>
    </row>
    <row r="123" spans="1:18" s="12" customFormat="1" ht="16" x14ac:dyDescent="0.2">
      <c r="A123" s="14" t="s">
        <v>3</v>
      </c>
      <c r="B123" s="15">
        <v>1</v>
      </c>
      <c r="K123" s="13"/>
      <c r="L123" s="13"/>
      <c r="M123" s="13"/>
      <c r="N123" s="13"/>
      <c r="O123" s="13"/>
      <c r="P123" s="13"/>
    </row>
    <row r="124" spans="1:18" s="12" customFormat="1" ht="16" x14ac:dyDescent="0.2">
      <c r="A124" s="14" t="s">
        <v>11</v>
      </c>
      <c r="B124" s="15" t="s">
        <v>520</v>
      </c>
      <c r="K124" s="13"/>
      <c r="L124" s="13"/>
      <c r="M124" s="13"/>
      <c r="N124" s="13"/>
      <c r="O124" s="13"/>
      <c r="P124" s="13"/>
    </row>
    <row r="125" spans="1:18" s="12" customFormat="1" ht="16" x14ac:dyDescent="0.2">
      <c r="A125" s="14" t="s">
        <v>4</v>
      </c>
      <c r="B125" s="17" t="s">
        <v>257</v>
      </c>
      <c r="K125" s="13"/>
      <c r="L125" s="13"/>
      <c r="M125" s="13"/>
      <c r="N125" s="13"/>
      <c r="O125" s="13"/>
      <c r="P125" s="13"/>
    </row>
    <row r="126" spans="1:18" s="12" customFormat="1" ht="16" x14ac:dyDescent="0.2">
      <c r="A126" s="14" t="s">
        <v>2</v>
      </c>
      <c r="B126" s="15" t="s">
        <v>36</v>
      </c>
      <c r="K126" s="13"/>
      <c r="L126" s="13"/>
      <c r="M126" s="13"/>
      <c r="N126" s="13"/>
      <c r="O126" s="13"/>
      <c r="P126" s="13"/>
    </row>
    <row r="127" spans="1:18" s="12" customFormat="1" ht="16" x14ac:dyDescent="0.2">
      <c r="A127" s="14" t="s">
        <v>6</v>
      </c>
      <c r="B127" s="17" t="s">
        <v>6</v>
      </c>
      <c r="K127" s="13"/>
      <c r="L127" s="13"/>
      <c r="M127" s="13"/>
      <c r="N127" s="13"/>
      <c r="O127" s="13"/>
      <c r="P127" s="13"/>
    </row>
    <row r="128" spans="1:18" s="12" customFormat="1" ht="16" x14ac:dyDescent="0.2">
      <c r="A128" s="18" t="s">
        <v>7</v>
      </c>
      <c r="B128" s="10"/>
      <c r="C128" s="18"/>
      <c r="D128" s="18"/>
      <c r="E128" s="18"/>
      <c r="F128" s="18"/>
      <c r="G128" s="18"/>
      <c r="H128" s="18"/>
      <c r="I128" s="18"/>
      <c r="J128" s="18"/>
      <c r="K128" s="13"/>
      <c r="L128" s="13"/>
      <c r="M128" s="13"/>
      <c r="N128" s="13"/>
      <c r="O128" s="13"/>
      <c r="P128" s="13"/>
    </row>
    <row r="129" spans="1:20" s="12" customFormat="1" ht="16" x14ac:dyDescent="0.2">
      <c r="A129" s="18" t="s">
        <v>8</v>
      </c>
      <c r="B129" s="10" t="s">
        <v>9</v>
      </c>
      <c r="C129" s="18" t="s">
        <v>2</v>
      </c>
      <c r="D129" s="18" t="s">
        <v>6</v>
      </c>
      <c r="E129" s="24" t="s">
        <v>10</v>
      </c>
      <c r="F129" s="18" t="s">
        <v>5</v>
      </c>
      <c r="G129" s="18" t="s">
        <v>4</v>
      </c>
      <c r="H129" s="24" t="s">
        <v>11</v>
      </c>
      <c r="I129" s="18"/>
      <c r="J129" s="8"/>
      <c r="K129" s="19"/>
      <c r="L129" s="19"/>
      <c r="M129" s="19"/>
      <c r="N129" s="19"/>
      <c r="O129" s="19"/>
      <c r="P129" s="19"/>
      <c r="Q129" s="8"/>
      <c r="R129" s="8"/>
      <c r="S129" s="18"/>
      <c r="T129" s="8"/>
    </row>
    <row r="130" spans="1:20" s="12" customFormat="1" ht="16" x14ac:dyDescent="0.2">
      <c r="A130" s="17" t="str">
        <f>B122</f>
        <v>treatment of fuel cell balance of plant, 1MWe, PEM</v>
      </c>
      <c r="B130" s="13">
        <v>-1</v>
      </c>
      <c r="C130" s="12" t="s">
        <v>36</v>
      </c>
      <c r="D130" s="12" t="str">
        <f>B127</f>
        <v>unit</v>
      </c>
      <c r="F130" s="12" t="s">
        <v>17</v>
      </c>
      <c r="G130" s="12" t="str">
        <f>B125</f>
        <v>used fuel cell balance of plant, 1MWe, PEM</v>
      </c>
      <c r="K130" s="13"/>
      <c r="L130" s="13"/>
      <c r="M130" s="13"/>
      <c r="N130" s="13"/>
      <c r="O130" s="13"/>
      <c r="P130" s="13"/>
    </row>
    <row r="131" spans="1:20" s="12" customFormat="1" ht="16" x14ac:dyDescent="0.2">
      <c r="A131" s="17" t="s">
        <v>243</v>
      </c>
      <c r="B131" s="12">
        <f>7523*-1</f>
        <v>-7523</v>
      </c>
      <c r="C131" s="12" t="s">
        <v>40</v>
      </c>
      <c r="D131" s="12" t="s">
        <v>13</v>
      </c>
      <c r="F131" s="12" t="s">
        <v>12</v>
      </c>
      <c r="G131" s="12" t="s">
        <v>244</v>
      </c>
      <c r="J131"/>
      <c r="K131" s="20"/>
      <c r="L131" s="20"/>
      <c r="M131" s="20"/>
      <c r="N131" s="20"/>
      <c r="O131" s="20"/>
      <c r="P131" s="20"/>
      <c r="Q131"/>
      <c r="R131"/>
    </row>
    <row r="132" spans="1:20" s="12" customFormat="1" ht="16" x14ac:dyDescent="0.2">
      <c r="A132" s="17" t="s">
        <v>503</v>
      </c>
      <c r="B132" s="12">
        <v>-3312</v>
      </c>
      <c r="C132" s="12" t="s">
        <v>259</v>
      </c>
      <c r="D132" s="12" t="s">
        <v>13</v>
      </c>
      <c r="F132" s="12" t="s">
        <v>12</v>
      </c>
      <c r="G132" s="17" t="s">
        <v>258</v>
      </c>
      <c r="J132"/>
      <c r="K132" s="20"/>
      <c r="L132" s="20"/>
      <c r="M132" s="20"/>
      <c r="N132" s="20"/>
      <c r="O132" s="20"/>
      <c r="P132" s="20"/>
      <c r="Q132"/>
      <c r="R132"/>
    </row>
    <row r="133" spans="1:20" s="12" customFormat="1" ht="16" x14ac:dyDescent="0.2">
      <c r="A133" s="12" t="s">
        <v>245</v>
      </c>
      <c r="B133" s="12">
        <v>-260</v>
      </c>
      <c r="C133" s="12" t="s">
        <v>40</v>
      </c>
      <c r="D133" s="12" t="s">
        <v>13</v>
      </c>
      <c r="F133" s="12" t="s">
        <v>12</v>
      </c>
      <c r="G133" s="12" t="s">
        <v>246</v>
      </c>
      <c r="J133"/>
      <c r="K133" s="20"/>
      <c r="L133" s="20"/>
      <c r="M133" s="20"/>
      <c r="N133" s="20"/>
      <c r="O133" s="20"/>
      <c r="P133" s="20"/>
      <c r="Q133"/>
      <c r="R133"/>
    </row>
    <row r="134" spans="1:20" s="12" customFormat="1" ht="16" x14ac:dyDescent="0.2">
      <c r="A134" s="12" t="s">
        <v>272</v>
      </c>
      <c r="B134" s="12">
        <v>-32</v>
      </c>
      <c r="C134" s="12" t="s">
        <v>259</v>
      </c>
      <c r="D134" s="12" t="s">
        <v>13</v>
      </c>
      <c r="F134" s="12" t="s">
        <v>12</v>
      </c>
      <c r="G134" s="12" t="s">
        <v>273</v>
      </c>
      <c r="J134"/>
      <c r="K134" s="20"/>
      <c r="L134" s="20"/>
      <c r="M134" s="20"/>
      <c r="N134" s="20"/>
      <c r="O134" s="20"/>
      <c r="P134" s="20"/>
      <c r="Q134"/>
      <c r="R134"/>
    </row>
    <row r="135" spans="1:20" s="12" customFormat="1" ht="16" x14ac:dyDescent="0.2">
      <c r="A135" s="12" t="s">
        <v>260</v>
      </c>
      <c r="B135" s="12">
        <v>-14</v>
      </c>
      <c r="C135" s="12" t="s">
        <v>259</v>
      </c>
      <c r="D135" s="12" t="s">
        <v>13</v>
      </c>
      <c r="F135" s="12" t="s">
        <v>12</v>
      </c>
      <c r="G135" s="12" t="s">
        <v>504</v>
      </c>
      <c r="J135"/>
      <c r="K135" s="20"/>
      <c r="L135" s="20"/>
      <c r="M135" s="20"/>
      <c r="N135" s="20"/>
      <c r="O135" s="20"/>
      <c r="P135" s="20"/>
      <c r="Q135"/>
      <c r="R135"/>
    </row>
    <row r="136" spans="1:20" s="12" customFormat="1" ht="16" x14ac:dyDescent="0.2">
      <c r="A136" s="12" t="s">
        <v>261</v>
      </c>
      <c r="B136" s="12">
        <v>-8</v>
      </c>
      <c r="C136" s="12" t="s">
        <v>18</v>
      </c>
      <c r="D136" s="12" t="s">
        <v>13</v>
      </c>
      <c r="F136" s="12" t="s">
        <v>12</v>
      </c>
      <c r="G136" s="12" t="s">
        <v>262</v>
      </c>
      <c r="J136"/>
      <c r="K136" s="20"/>
      <c r="L136" s="20"/>
      <c r="M136" s="20"/>
      <c r="N136" s="20"/>
      <c r="O136" s="20"/>
      <c r="P136" s="20"/>
      <c r="Q136"/>
      <c r="R136"/>
    </row>
    <row r="137" spans="1:20" s="12" customFormat="1" ht="16" x14ac:dyDescent="0.2">
      <c r="A137" s="12" t="s">
        <v>263</v>
      </c>
      <c r="B137" s="12">
        <v>-764.6</v>
      </c>
      <c r="C137" s="12" t="s">
        <v>40</v>
      </c>
      <c r="D137" s="12" t="s">
        <v>13</v>
      </c>
      <c r="F137" s="12" t="s">
        <v>12</v>
      </c>
      <c r="G137" s="12" t="s">
        <v>506</v>
      </c>
      <c r="J137"/>
      <c r="K137" s="20"/>
      <c r="L137" s="20"/>
      <c r="M137" s="20"/>
      <c r="N137" s="20"/>
      <c r="O137" s="20"/>
      <c r="P137" s="20"/>
      <c r="Q137"/>
      <c r="R137"/>
    </row>
    <row r="138" spans="1:20" s="12" customFormat="1" ht="16" x14ac:dyDescent="0.2">
      <c r="A138" s="12" t="s">
        <v>505</v>
      </c>
      <c r="B138" s="12">
        <v>-600</v>
      </c>
      <c r="C138" s="12" t="s">
        <v>40</v>
      </c>
      <c r="D138" s="12" t="s">
        <v>13</v>
      </c>
      <c r="F138" s="12" t="s">
        <v>12</v>
      </c>
      <c r="G138" s="12" t="s">
        <v>264</v>
      </c>
      <c r="J138"/>
      <c r="K138" s="20"/>
      <c r="L138" s="20"/>
      <c r="M138" s="20"/>
      <c r="N138" s="20"/>
      <c r="O138" s="20"/>
      <c r="P138" s="20"/>
      <c r="Q138"/>
      <c r="R138"/>
    </row>
    <row r="139" spans="1:20" s="12" customFormat="1" ht="16" x14ac:dyDescent="0.2">
      <c r="A139" s="12" t="s">
        <v>247</v>
      </c>
      <c r="B139" s="12">
        <v>-345</v>
      </c>
      <c r="C139" s="12" t="s">
        <v>40</v>
      </c>
      <c r="D139" s="12" t="s">
        <v>13</v>
      </c>
      <c r="F139" s="12" t="s">
        <v>12</v>
      </c>
      <c r="G139" s="12" t="s">
        <v>248</v>
      </c>
      <c r="J139"/>
      <c r="K139" s="20"/>
      <c r="L139" s="20"/>
      <c r="M139" s="20"/>
      <c r="N139" s="20"/>
      <c r="O139" s="20"/>
      <c r="P139" s="20"/>
      <c r="Q139"/>
      <c r="R139"/>
    </row>
    <row r="140" spans="1:20" s="12" customFormat="1" ht="16" x14ac:dyDescent="0.2">
      <c r="A140" s="12" t="s">
        <v>249</v>
      </c>
      <c r="B140" s="12">
        <v>-147</v>
      </c>
      <c r="C140" s="12" t="s">
        <v>251</v>
      </c>
      <c r="D140" s="12" t="s">
        <v>13</v>
      </c>
      <c r="F140" s="12" t="s">
        <v>12</v>
      </c>
      <c r="G140" s="12" t="s">
        <v>250</v>
      </c>
      <c r="J140"/>
      <c r="K140" s="20"/>
      <c r="L140" s="20"/>
      <c r="M140" s="20"/>
      <c r="N140" s="20"/>
      <c r="O140" s="20"/>
      <c r="P140" s="20"/>
      <c r="Q140"/>
      <c r="R140"/>
    </row>
    <row r="141" spans="1:20" s="12" customFormat="1" ht="16" x14ac:dyDescent="0.2">
      <c r="A141" s="12" t="s">
        <v>502</v>
      </c>
      <c r="B141" s="12">
        <v>-5600</v>
      </c>
      <c r="C141" s="12" t="s">
        <v>40</v>
      </c>
      <c r="D141" s="12" t="s">
        <v>13</v>
      </c>
      <c r="F141" s="12" t="s">
        <v>12</v>
      </c>
      <c r="G141" s="12" t="s">
        <v>265</v>
      </c>
      <c r="J141"/>
      <c r="K141" s="20"/>
      <c r="L141" s="20"/>
      <c r="M141" s="20"/>
      <c r="N141" s="20"/>
      <c r="O141" s="20"/>
      <c r="P141" s="20"/>
      <c r="Q141"/>
      <c r="R141"/>
    </row>
    <row r="142" spans="1:20" s="12" customFormat="1" ht="16" x14ac:dyDescent="0.2">
      <c r="A142" s="12" t="s">
        <v>266</v>
      </c>
      <c r="B142" s="12">
        <v>-100</v>
      </c>
      <c r="C142" s="12" t="s">
        <v>259</v>
      </c>
      <c r="D142" s="12" t="s">
        <v>13</v>
      </c>
      <c r="F142" s="12" t="s">
        <v>12</v>
      </c>
      <c r="G142" s="12" t="s">
        <v>501</v>
      </c>
      <c r="J142"/>
      <c r="K142" s="20"/>
      <c r="L142" s="20"/>
      <c r="M142" s="20"/>
      <c r="N142" s="20"/>
      <c r="O142" s="20"/>
      <c r="P142" s="20"/>
      <c r="Q142"/>
      <c r="R142"/>
    </row>
    <row r="143" spans="1:20" s="12" customFormat="1" ht="16" x14ac:dyDescent="0.2">
      <c r="B143" s="17"/>
      <c r="K143" s="13"/>
      <c r="L143" s="13"/>
      <c r="M143" s="13"/>
      <c r="N143" s="13"/>
      <c r="O143" s="13"/>
      <c r="P143" s="13"/>
    </row>
    <row r="144" spans="1:20" s="12" customFormat="1" ht="16" x14ac:dyDescent="0.2">
      <c r="A144" s="9" t="s">
        <v>1</v>
      </c>
      <c r="B144" s="10" t="s">
        <v>73</v>
      </c>
      <c r="K144" s="25"/>
      <c r="L144" s="26"/>
      <c r="M144" s="13"/>
      <c r="N144" s="13"/>
      <c r="O144" s="13"/>
      <c r="P144" s="13"/>
    </row>
    <row r="145" spans="1:20" s="12" customFormat="1" ht="16" x14ac:dyDescent="0.2">
      <c r="A145" s="14" t="s">
        <v>3</v>
      </c>
      <c r="B145" s="15">
        <v>1</v>
      </c>
      <c r="K145" s="27"/>
      <c r="L145" s="26"/>
      <c r="M145" s="13"/>
      <c r="N145" s="13"/>
      <c r="O145" s="13"/>
      <c r="P145" s="13"/>
    </row>
    <row r="146" spans="1:20" s="12" customFormat="1" ht="16" x14ac:dyDescent="0.2">
      <c r="A146" s="14" t="s">
        <v>11</v>
      </c>
      <c r="B146" s="15" t="s">
        <v>130</v>
      </c>
      <c r="K146" s="13"/>
      <c r="L146" s="26"/>
      <c r="M146" s="13"/>
      <c r="N146" s="13"/>
      <c r="O146" s="13"/>
      <c r="P146" s="13"/>
    </row>
    <row r="147" spans="1:20" s="12" customFormat="1" ht="16" x14ac:dyDescent="0.2">
      <c r="A147" s="14" t="s">
        <v>4</v>
      </c>
      <c r="B147" s="17" t="s">
        <v>74</v>
      </c>
      <c r="K147" s="13"/>
      <c r="L147" s="13"/>
      <c r="M147" s="13"/>
      <c r="N147" s="13"/>
      <c r="O147" s="13"/>
      <c r="P147" s="13"/>
    </row>
    <row r="148" spans="1:20" s="12" customFormat="1" ht="16.25" customHeight="1" x14ac:dyDescent="0.2">
      <c r="A148" s="14" t="s">
        <v>2</v>
      </c>
      <c r="B148" s="15" t="s">
        <v>18</v>
      </c>
      <c r="K148" s="13"/>
      <c r="L148" s="13"/>
      <c r="M148" s="13"/>
      <c r="N148" s="13"/>
      <c r="O148" s="13"/>
      <c r="P148" s="13"/>
    </row>
    <row r="149" spans="1:20" s="12" customFormat="1" ht="16" x14ac:dyDescent="0.2">
      <c r="A149" s="14" t="s">
        <v>6</v>
      </c>
      <c r="B149" s="17" t="s">
        <v>13</v>
      </c>
      <c r="H149" s="18"/>
      <c r="I149" s="18"/>
      <c r="K149" s="13"/>
      <c r="L149" s="13"/>
      <c r="M149" s="13"/>
      <c r="N149" s="13"/>
      <c r="O149" s="13"/>
      <c r="P149" s="13"/>
    </row>
    <row r="150" spans="1:20" s="12" customFormat="1" ht="16" x14ac:dyDescent="0.2">
      <c r="A150" s="18" t="s">
        <v>7</v>
      </c>
      <c r="B150" s="10"/>
      <c r="C150" s="18"/>
      <c r="D150" s="18"/>
      <c r="E150" s="18"/>
      <c r="F150" s="18"/>
      <c r="G150" s="18"/>
      <c r="H150" s="11"/>
      <c r="I150" s="11"/>
      <c r="K150" s="13"/>
      <c r="L150" s="13"/>
      <c r="M150" s="13"/>
      <c r="N150" s="13"/>
      <c r="O150" s="13"/>
      <c r="P150" s="13"/>
    </row>
    <row r="151" spans="1:20" s="12" customFormat="1" ht="16" x14ac:dyDescent="0.2">
      <c r="A151" s="18" t="s">
        <v>8</v>
      </c>
      <c r="B151" s="10" t="s">
        <v>9</v>
      </c>
      <c r="C151" s="18" t="s">
        <v>2</v>
      </c>
      <c r="D151" s="18" t="s">
        <v>6</v>
      </c>
      <c r="E151" s="24" t="s">
        <v>10</v>
      </c>
      <c r="F151" s="18" t="s">
        <v>5</v>
      </c>
      <c r="G151" s="18" t="s">
        <v>4</v>
      </c>
      <c r="H151" s="24" t="s">
        <v>11</v>
      </c>
      <c r="I151" s="18"/>
      <c r="J151" s="8"/>
      <c r="K151" s="19"/>
      <c r="L151" s="19"/>
      <c r="M151" s="19"/>
      <c r="N151" s="19"/>
      <c r="O151" s="19"/>
      <c r="P151" s="19"/>
      <c r="Q151" s="8"/>
      <c r="R151" s="8"/>
      <c r="S151" s="18"/>
      <c r="T151" s="8"/>
    </row>
    <row r="152" spans="1:20" s="12" customFormat="1" ht="16" x14ac:dyDescent="0.2">
      <c r="A152" s="17" t="str">
        <f>B144</f>
        <v>iridium production</v>
      </c>
      <c r="B152" s="17">
        <v>1</v>
      </c>
      <c r="C152" s="12" t="s">
        <v>18</v>
      </c>
      <c r="D152" s="12" t="s">
        <v>13</v>
      </c>
      <c r="E152" s="11"/>
      <c r="F152" s="12" t="s">
        <v>17</v>
      </c>
      <c r="G152" s="17" t="str">
        <f>B147</f>
        <v>iridium</v>
      </c>
      <c r="H152" s="11"/>
      <c r="I152" s="11"/>
      <c r="J152" s="11"/>
      <c r="K152" s="13"/>
      <c r="L152" s="13"/>
      <c r="M152" s="13"/>
      <c r="N152" s="13"/>
      <c r="O152" s="13"/>
      <c r="P152" s="13"/>
    </row>
    <row r="153" spans="1:20" s="12" customFormat="1" ht="16" x14ac:dyDescent="0.2">
      <c r="A153" s="12" t="s">
        <v>131</v>
      </c>
      <c r="B153" s="17">
        <v>7.8099999999999989E-2</v>
      </c>
      <c r="D153" s="12" t="s">
        <v>13</v>
      </c>
      <c r="E153" s="12" t="s">
        <v>43</v>
      </c>
      <c r="F153" s="12" t="s">
        <v>15</v>
      </c>
      <c r="J153"/>
      <c r="K153" s="20"/>
      <c r="L153" s="20"/>
      <c r="M153" s="20"/>
      <c r="N153" s="20"/>
      <c r="O153" s="20"/>
      <c r="P153" s="20"/>
      <c r="Q153" s="20"/>
      <c r="R153"/>
    </row>
    <row r="154" spans="1:20" s="12" customFormat="1" ht="16" x14ac:dyDescent="0.2">
      <c r="A154" s="12" t="s">
        <v>132</v>
      </c>
      <c r="B154" s="17">
        <v>19.13</v>
      </c>
      <c r="D154" s="12" t="s">
        <v>13</v>
      </c>
      <c r="E154" s="12" t="s">
        <v>43</v>
      </c>
      <c r="F154" s="12" t="s">
        <v>15</v>
      </c>
      <c r="J154"/>
      <c r="K154" s="20"/>
      <c r="L154" s="20"/>
      <c r="M154" s="20"/>
      <c r="N154" s="20"/>
      <c r="O154" s="20"/>
      <c r="P154" s="20"/>
      <c r="Q154" s="20"/>
      <c r="R154"/>
    </row>
    <row r="155" spans="1:20" s="12" customFormat="1" ht="16" x14ac:dyDescent="0.2">
      <c r="A155" s="12" t="s">
        <v>133</v>
      </c>
      <c r="B155" s="17">
        <v>8.1000000000000006E-4</v>
      </c>
      <c r="D155" s="12" t="s">
        <v>13</v>
      </c>
      <c r="E155" s="12" t="s">
        <v>43</v>
      </c>
      <c r="F155" s="12" t="s">
        <v>15</v>
      </c>
      <c r="J155"/>
      <c r="K155" s="20"/>
      <c r="L155" s="20"/>
      <c r="M155" s="20"/>
      <c r="N155" s="20"/>
      <c r="O155" s="20"/>
      <c r="P155" s="20"/>
      <c r="Q155" s="20"/>
      <c r="R155"/>
    </row>
    <row r="156" spans="1:20" s="12" customFormat="1" ht="16" x14ac:dyDescent="0.2">
      <c r="A156" s="12" t="s">
        <v>134</v>
      </c>
      <c r="B156" s="17">
        <v>6.9299999999999995E-3</v>
      </c>
      <c r="D156" s="12" t="s">
        <v>13</v>
      </c>
      <c r="E156" s="12" t="s">
        <v>43</v>
      </c>
      <c r="F156" s="12" t="s">
        <v>15</v>
      </c>
      <c r="J156"/>
      <c r="K156" s="20"/>
      <c r="L156" s="20"/>
      <c r="M156" s="20"/>
      <c r="N156" s="20"/>
      <c r="O156" s="20"/>
      <c r="P156" s="20"/>
      <c r="Q156" s="20"/>
      <c r="R156"/>
    </row>
    <row r="157" spans="1:20" s="12" customFormat="1" ht="16" x14ac:dyDescent="0.2">
      <c r="A157" s="12" t="s">
        <v>135</v>
      </c>
      <c r="B157" s="17">
        <v>7.1589999999999998</v>
      </c>
      <c r="D157" s="12" t="s">
        <v>13</v>
      </c>
      <c r="E157" s="12" t="s">
        <v>43</v>
      </c>
      <c r="F157" s="12" t="s">
        <v>15</v>
      </c>
      <c r="J157"/>
      <c r="K157" s="20"/>
      <c r="L157" s="20"/>
      <c r="M157" s="20"/>
      <c r="N157" s="20"/>
      <c r="O157" s="20"/>
      <c r="P157" s="20"/>
      <c r="Q157" s="20"/>
      <c r="R157"/>
    </row>
    <row r="158" spans="1:20" s="12" customFormat="1" ht="16" x14ac:dyDescent="0.2">
      <c r="A158" s="12" t="s">
        <v>136</v>
      </c>
      <c r="B158" s="17">
        <v>11146.616</v>
      </c>
      <c r="D158" s="12" t="s">
        <v>13</v>
      </c>
      <c r="E158" s="12" t="s">
        <v>43</v>
      </c>
      <c r="F158" s="12" t="s">
        <v>15</v>
      </c>
      <c r="J158"/>
      <c r="K158" s="20"/>
      <c r="L158" s="20"/>
      <c r="M158" s="20"/>
      <c r="N158" s="20"/>
      <c r="O158" s="20"/>
      <c r="P158" s="20"/>
      <c r="Q158" s="20"/>
      <c r="R158"/>
    </row>
    <row r="159" spans="1:20" s="12" customFormat="1" ht="16" x14ac:dyDescent="0.2">
      <c r="A159" s="12" t="s">
        <v>137</v>
      </c>
      <c r="B159" s="17">
        <v>412.19600000000003</v>
      </c>
      <c r="D159" s="12" t="s">
        <v>13</v>
      </c>
      <c r="E159" s="12" t="s">
        <v>43</v>
      </c>
      <c r="F159" s="12" t="s">
        <v>15</v>
      </c>
      <c r="J159"/>
      <c r="K159" s="20"/>
      <c r="L159" s="20"/>
      <c r="M159" s="20"/>
      <c r="N159" s="20"/>
      <c r="O159" s="20"/>
      <c r="P159" s="20"/>
      <c r="Q159" s="20"/>
      <c r="R159"/>
    </row>
    <row r="160" spans="1:20" s="12" customFormat="1" ht="16" x14ac:dyDescent="0.2">
      <c r="A160" s="12" t="s">
        <v>138</v>
      </c>
      <c r="B160" s="17">
        <v>8.7600000000000004E-8</v>
      </c>
      <c r="D160" s="12" t="s">
        <v>13</v>
      </c>
      <c r="E160" s="12" t="s">
        <v>43</v>
      </c>
      <c r="F160" s="12" t="s">
        <v>15</v>
      </c>
      <c r="J160"/>
      <c r="K160" s="20"/>
      <c r="L160" s="20"/>
      <c r="M160" s="20"/>
      <c r="N160" s="20"/>
      <c r="O160" s="20"/>
      <c r="P160" s="20"/>
      <c r="Q160" s="20"/>
      <c r="R160"/>
    </row>
    <row r="161" spans="1:18" s="12" customFormat="1" ht="16" x14ac:dyDescent="0.2">
      <c r="A161" s="12" t="s">
        <v>139</v>
      </c>
      <c r="B161" s="17">
        <v>5.7299999999999999E-9</v>
      </c>
      <c r="D161" s="12" t="s">
        <v>13</v>
      </c>
      <c r="E161" s="12" t="s">
        <v>43</v>
      </c>
      <c r="F161" s="12" t="s">
        <v>15</v>
      </c>
      <c r="J161"/>
      <c r="K161" s="20"/>
      <c r="L161" s="20"/>
      <c r="M161" s="20"/>
      <c r="N161" s="20"/>
      <c r="O161" s="20"/>
      <c r="P161" s="20"/>
      <c r="Q161" s="20"/>
      <c r="R161"/>
    </row>
    <row r="162" spans="1:18" s="12" customFormat="1" ht="16" x14ac:dyDescent="0.2">
      <c r="A162" s="12" t="s">
        <v>140</v>
      </c>
      <c r="B162" s="17">
        <v>5.5599999999999998E-3</v>
      </c>
      <c r="D162" s="12" t="s">
        <v>13</v>
      </c>
      <c r="E162" s="12" t="s">
        <v>43</v>
      </c>
      <c r="F162" s="12" t="s">
        <v>15</v>
      </c>
      <c r="J162"/>
      <c r="K162" s="20"/>
      <c r="L162" s="20"/>
      <c r="M162" s="20"/>
      <c r="N162" s="20"/>
      <c r="O162" s="20"/>
      <c r="P162" s="20"/>
      <c r="Q162" s="20"/>
      <c r="R162"/>
    </row>
    <row r="163" spans="1:18" s="12" customFormat="1" ht="16" x14ac:dyDescent="0.2">
      <c r="A163" s="12" t="s">
        <v>141</v>
      </c>
      <c r="B163" s="17">
        <v>36.700000000000003</v>
      </c>
      <c r="D163" s="12" t="s">
        <v>13</v>
      </c>
      <c r="E163" s="12" t="s">
        <v>43</v>
      </c>
      <c r="F163" s="12" t="s">
        <v>15</v>
      </c>
      <c r="J163"/>
      <c r="K163" s="20"/>
      <c r="L163" s="20"/>
      <c r="M163" s="20"/>
      <c r="N163" s="20"/>
      <c r="O163" s="20"/>
      <c r="P163" s="20"/>
      <c r="Q163" s="20"/>
      <c r="R163"/>
    </row>
    <row r="164" spans="1:18" s="12" customFormat="1" ht="16" x14ac:dyDescent="0.2">
      <c r="A164" s="12" t="s">
        <v>142</v>
      </c>
      <c r="B164" s="17">
        <v>4.8600000000000004E-2</v>
      </c>
      <c r="D164" s="12" t="s">
        <v>13</v>
      </c>
      <c r="E164" s="12" t="s">
        <v>43</v>
      </c>
      <c r="F164" s="12" t="s">
        <v>15</v>
      </c>
      <c r="J164"/>
      <c r="K164" s="20"/>
      <c r="L164" s="20"/>
      <c r="M164" s="20"/>
      <c r="N164" s="20"/>
      <c r="O164" s="20"/>
      <c r="P164" s="20"/>
      <c r="Q164" s="20"/>
      <c r="R164"/>
    </row>
    <row r="165" spans="1:18" s="12" customFormat="1" ht="16" x14ac:dyDescent="0.2">
      <c r="A165" s="12" t="s">
        <v>143</v>
      </c>
      <c r="B165" s="17">
        <v>1.9100000000000002E-2</v>
      </c>
      <c r="D165" s="12" t="s">
        <v>13</v>
      </c>
      <c r="E165" s="12" t="s">
        <v>43</v>
      </c>
      <c r="F165" s="12" t="s">
        <v>15</v>
      </c>
      <c r="J165"/>
      <c r="K165" s="20"/>
      <c r="L165" s="20"/>
      <c r="M165" s="20"/>
      <c r="N165" s="20"/>
      <c r="O165" s="20"/>
      <c r="P165" s="20"/>
      <c r="Q165" s="20"/>
      <c r="R165"/>
    </row>
    <row r="166" spans="1:18" s="12" customFormat="1" ht="16" x14ac:dyDescent="0.2">
      <c r="A166" s="12" t="s">
        <v>144</v>
      </c>
      <c r="B166" s="17">
        <v>0.499</v>
      </c>
      <c r="D166" s="12" t="s">
        <v>13</v>
      </c>
      <c r="E166" s="12" t="s">
        <v>43</v>
      </c>
      <c r="F166" s="12" t="s">
        <v>15</v>
      </c>
      <c r="J166"/>
      <c r="K166" s="20"/>
      <c r="L166" s="20"/>
      <c r="M166" s="20"/>
      <c r="N166" s="20"/>
      <c r="O166" s="20"/>
      <c r="P166" s="20"/>
      <c r="Q166" s="20"/>
      <c r="R166"/>
    </row>
    <row r="167" spans="1:18" s="12" customFormat="1" ht="16" x14ac:dyDescent="0.2">
      <c r="A167" s="12" t="s">
        <v>145</v>
      </c>
      <c r="B167" s="17">
        <v>4.6999999999999999E-9</v>
      </c>
      <c r="D167" s="12" t="s">
        <v>13</v>
      </c>
      <c r="E167" s="12" t="s">
        <v>43</v>
      </c>
      <c r="F167" s="12" t="s">
        <v>15</v>
      </c>
      <c r="J167"/>
      <c r="K167" s="20"/>
      <c r="L167" s="20"/>
      <c r="M167" s="20"/>
      <c r="N167" s="20"/>
      <c r="O167" s="20"/>
      <c r="P167" s="20"/>
      <c r="Q167" s="20"/>
      <c r="R167"/>
    </row>
    <row r="168" spans="1:18" s="12" customFormat="1" ht="16" x14ac:dyDescent="0.2">
      <c r="A168" s="12" t="s">
        <v>146</v>
      </c>
      <c r="B168" s="17">
        <v>4.87E-2</v>
      </c>
      <c r="D168" s="12" t="s">
        <v>13</v>
      </c>
      <c r="E168" s="12" t="s">
        <v>43</v>
      </c>
      <c r="F168" s="12" t="s">
        <v>15</v>
      </c>
      <c r="J168"/>
      <c r="K168" s="20"/>
      <c r="L168" s="20"/>
      <c r="M168" s="20"/>
      <c r="N168" s="20"/>
      <c r="O168" s="20"/>
      <c r="P168" s="20"/>
      <c r="Q168" s="20"/>
      <c r="R168"/>
    </row>
    <row r="169" spans="1:18" s="12" customFormat="1" ht="16" x14ac:dyDescent="0.2">
      <c r="A169" s="12" t="s">
        <v>147</v>
      </c>
      <c r="B169" s="17">
        <v>2.1E-7</v>
      </c>
      <c r="D169" s="12" t="s">
        <v>13</v>
      </c>
      <c r="E169" s="12" t="s">
        <v>43</v>
      </c>
      <c r="F169" s="12" t="s">
        <v>15</v>
      </c>
      <c r="J169"/>
      <c r="K169" s="20"/>
      <c r="L169" s="20"/>
      <c r="M169" s="20"/>
      <c r="N169" s="20"/>
      <c r="O169" s="20"/>
      <c r="P169" s="20"/>
      <c r="Q169" s="20"/>
      <c r="R169"/>
    </row>
    <row r="170" spans="1:18" s="12" customFormat="1" ht="16" x14ac:dyDescent="0.2">
      <c r="A170" s="12" t="s">
        <v>148</v>
      </c>
      <c r="B170" s="17">
        <v>2.5600000000000001E-2</v>
      </c>
      <c r="D170" s="12" t="s">
        <v>13</v>
      </c>
      <c r="E170" s="12" t="s">
        <v>43</v>
      </c>
      <c r="F170" s="12" t="s">
        <v>15</v>
      </c>
      <c r="J170"/>
      <c r="K170" s="20"/>
      <c r="L170" s="20"/>
      <c r="M170" s="20"/>
      <c r="N170" s="20"/>
      <c r="O170" s="20"/>
      <c r="P170" s="20"/>
      <c r="Q170" s="20"/>
      <c r="R170"/>
    </row>
    <row r="171" spans="1:18" s="12" customFormat="1" ht="16" x14ac:dyDescent="0.2">
      <c r="A171" s="12" t="s">
        <v>149</v>
      </c>
      <c r="B171" s="17">
        <v>1.06</v>
      </c>
      <c r="D171" s="12" t="s">
        <v>13</v>
      </c>
      <c r="E171" s="12" t="s">
        <v>43</v>
      </c>
      <c r="F171" s="12" t="s">
        <v>15</v>
      </c>
      <c r="J171"/>
      <c r="K171" s="20"/>
      <c r="L171" s="20"/>
      <c r="M171" s="20"/>
      <c r="N171" s="20"/>
      <c r="O171" s="20"/>
      <c r="P171" s="20"/>
      <c r="Q171" s="20"/>
      <c r="R171"/>
    </row>
    <row r="172" spans="1:18" s="12" customFormat="1" ht="16" x14ac:dyDescent="0.2">
      <c r="A172" s="12" t="s">
        <v>150</v>
      </c>
      <c r="B172" s="17">
        <v>0.35199999999999998</v>
      </c>
      <c r="D172" s="12" t="s">
        <v>13</v>
      </c>
      <c r="E172" s="12" t="s">
        <v>43</v>
      </c>
      <c r="F172" s="12" t="s">
        <v>15</v>
      </c>
      <c r="J172"/>
      <c r="K172" s="20"/>
      <c r="L172" s="20"/>
      <c r="M172" s="20"/>
      <c r="N172" s="20"/>
      <c r="O172" s="20"/>
      <c r="P172" s="20"/>
      <c r="Q172" s="20"/>
      <c r="R172"/>
    </row>
    <row r="173" spans="1:18" s="12" customFormat="1" ht="16" x14ac:dyDescent="0.2">
      <c r="A173" s="12" t="s">
        <v>151</v>
      </c>
      <c r="B173" s="17">
        <v>2.69E-2</v>
      </c>
      <c r="D173" s="12" t="s">
        <v>13</v>
      </c>
      <c r="E173" s="12" t="s">
        <v>43</v>
      </c>
      <c r="F173" s="12" t="s">
        <v>15</v>
      </c>
      <c r="J173"/>
      <c r="K173" s="20"/>
      <c r="L173" s="20"/>
      <c r="M173" s="20"/>
      <c r="N173" s="20"/>
      <c r="O173" s="20"/>
      <c r="P173" s="20"/>
      <c r="Q173" s="20"/>
      <c r="R173"/>
    </row>
    <row r="174" spans="1:18" s="12" customFormat="1" ht="16" x14ac:dyDescent="0.2">
      <c r="A174" s="12" t="s">
        <v>152</v>
      </c>
      <c r="B174" s="17">
        <v>26.859000000000002</v>
      </c>
      <c r="D174" s="12" t="s">
        <v>13</v>
      </c>
      <c r="E174" s="12" t="s">
        <v>43</v>
      </c>
      <c r="F174" s="12" t="s">
        <v>15</v>
      </c>
      <c r="J174"/>
      <c r="K174" s="20"/>
      <c r="L174" s="20"/>
      <c r="M174" s="20"/>
      <c r="N174" s="20"/>
      <c r="O174" s="20"/>
      <c r="P174" s="20"/>
      <c r="Q174" s="20"/>
      <c r="R174"/>
    </row>
    <row r="175" spans="1:18" s="12" customFormat="1" ht="16" x14ac:dyDescent="0.2">
      <c r="A175" s="12" t="s">
        <v>153</v>
      </c>
      <c r="B175" s="17">
        <v>30.635000000000002</v>
      </c>
      <c r="D175" s="12" t="s">
        <v>13</v>
      </c>
      <c r="E175" s="12" t="s">
        <v>43</v>
      </c>
      <c r="F175" s="12" t="s">
        <v>15</v>
      </c>
      <c r="J175"/>
      <c r="K175" s="20"/>
      <c r="L175" s="20"/>
      <c r="M175" s="20"/>
      <c r="N175" s="20"/>
      <c r="O175" s="20"/>
      <c r="P175" s="20"/>
      <c r="Q175" s="20"/>
      <c r="R175"/>
    </row>
    <row r="176" spans="1:18" s="12" customFormat="1" ht="16" x14ac:dyDescent="0.2">
      <c r="A176" s="12" t="s">
        <v>154</v>
      </c>
      <c r="B176" s="17">
        <v>9.5200000000000002E-10</v>
      </c>
      <c r="D176" s="12" t="s">
        <v>13</v>
      </c>
      <c r="E176" s="12" t="s">
        <v>43</v>
      </c>
      <c r="F176" s="12" t="s">
        <v>15</v>
      </c>
      <c r="J176"/>
      <c r="K176" s="20"/>
      <c r="L176" s="20"/>
      <c r="M176" s="20"/>
      <c r="N176" s="20"/>
      <c r="O176" s="20"/>
      <c r="P176" s="20"/>
      <c r="Q176" s="20"/>
      <c r="R176"/>
    </row>
    <row r="177" spans="1:18" s="12" customFormat="1" ht="16" x14ac:dyDescent="0.2">
      <c r="A177" s="12" t="s">
        <v>155</v>
      </c>
      <c r="B177" s="17">
        <v>2.4599999999999997E-6</v>
      </c>
      <c r="D177" s="12" t="s">
        <v>13</v>
      </c>
      <c r="E177" s="12" t="s">
        <v>43</v>
      </c>
      <c r="F177" s="12" t="s">
        <v>15</v>
      </c>
      <c r="J177"/>
      <c r="K177" s="20"/>
      <c r="L177" s="20"/>
      <c r="M177" s="20"/>
      <c r="N177" s="20"/>
      <c r="O177" s="20"/>
      <c r="P177" s="20"/>
      <c r="Q177" s="20"/>
      <c r="R177"/>
    </row>
    <row r="178" spans="1:18" s="12" customFormat="1" ht="16" x14ac:dyDescent="0.2">
      <c r="A178" s="12" t="s">
        <v>156</v>
      </c>
      <c r="B178" s="17">
        <v>3.4299999999999998E-6</v>
      </c>
      <c r="D178" s="12" t="s">
        <v>13</v>
      </c>
      <c r="E178" s="12" t="s">
        <v>43</v>
      </c>
      <c r="F178" s="12" t="s">
        <v>15</v>
      </c>
      <c r="J178"/>
      <c r="K178" s="20"/>
      <c r="L178" s="20"/>
      <c r="M178" s="20"/>
      <c r="N178" s="20"/>
      <c r="O178" s="20"/>
      <c r="P178" s="20"/>
      <c r="Q178" s="20"/>
      <c r="R178"/>
    </row>
    <row r="179" spans="1:18" s="12" customFormat="1" ht="16" x14ac:dyDescent="0.2">
      <c r="A179" s="12" t="s">
        <v>157</v>
      </c>
      <c r="B179" s="17">
        <v>1.5E-3</v>
      </c>
      <c r="D179" s="12" t="s">
        <v>13</v>
      </c>
      <c r="E179" s="12" t="s">
        <v>43</v>
      </c>
      <c r="F179" s="12" t="s">
        <v>15</v>
      </c>
      <c r="J179"/>
      <c r="K179" s="20"/>
      <c r="L179" s="20"/>
      <c r="M179" s="20"/>
      <c r="N179" s="20"/>
      <c r="O179" s="20"/>
      <c r="P179" s="20"/>
      <c r="Q179" s="20"/>
      <c r="R179"/>
    </row>
    <row r="180" spans="1:18" s="12" customFormat="1" ht="16" x14ac:dyDescent="0.2">
      <c r="A180" s="12" t="s">
        <v>158</v>
      </c>
      <c r="B180" s="17">
        <v>2.6200000000000003E-4</v>
      </c>
      <c r="D180" s="12" t="s">
        <v>13</v>
      </c>
      <c r="E180" s="12" t="s">
        <v>43</v>
      </c>
      <c r="F180" s="12" t="s">
        <v>15</v>
      </c>
      <c r="J180"/>
      <c r="K180" s="20"/>
      <c r="L180" s="20"/>
      <c r="M180" s="20"/>
      <c r="N180" s="20"/>
      <c r="O180" s="20"/>
      <c r="P180" s="20"/>
      <c r="Q180" s="20"/>
      <c r="R180"/>
    </row>
    <row r="181" spans="1:18" s="12" customFormat="1" ht="16" x14ac:dyDescent="0.2">
      <c r="A181" s="12" t="s">
        <v>159</v>
      </c>
      <c r="B181" s="17">
        <v>4.4299999999999999E-5</v>
      </c>
      <c r="D181" s="12" t="s">
        <v>13</v>
      </c>
      <c r="E181" s="12" t="s">
        <v>43</v>
      </c>
      <c r="F181" s="12" t="s">
        <v>15</v>
      </c>
      <c r="J181"/>
      <c r="K181" s="20"/>
      <c r="L181" s="20"/>
      <c r="M181" s="20"/>
      <c r="N181" s="20"/>
      <c r="O181" s="20"/>
      <c r="P181" s="20"/>
      <c r="Q181" s="20"/>
      <c r="R181"/>
    </row>
    <row r="182" spans="1:18" s="12" customFormat="1" ht="16" x14ac:dyDescent="0.2">
      <c r="A182" s="12" t="s">
        <v>160</v>
      </c>
      <c r="B182" s="17">
        <v>2172.2550000000001</v>
      </c>
      <c r="D182" s="12" t="s">
        <v>13</v>
      </c>
      <c r="E182" s="12" t="s">
        <v>43</v>
      </c>
      <c r="F182" s="12" t="s">
        <v>15</v>
      </c>
      <c r="J182"/>
      <c r="K182" s="20"/>
      <c r="L182" s="20"/>
      <c r="M182" s="20"/>
      <c r="N182" s="20"/>
      <c r="O182" s="20"/>
      <c r="P182" s="20"/>
      <c r="Q182" s="20"/>
      <c r="R182"/>
    </row>
    <row r="183" spans="1:18" s="12" customFormat="1" ht="16" x14ac:dyDescent="0.2">
      <c r="A183" s="12" t="s">
        <v>161</v>
      </c>
      <c r="B183" s="17">
        <v>1.02E-4</v>
      </c>
      <c r="D183" s="12" t="s">
        <v>13</v>
      </c>
      <c r="E183" s="12" t="s">
        <v>43</v>
      </c>
      <c r="F183" s="12" t="s">
        <v>15</v>
      </c>
      <c r="J183"/>
      <c r="K183" s="20"/>
      <c r="L183" s="20"/>
      <c r="M183" s="20"/>
      <c r="N183" s="20"/>
      <c r="O183" s="20"/>
      <c r="P183" s="20"/>
      <c r="Q183" s="20"/>
      <c r="R183"/>
    </row>
    <row r="184" spans="1:18" s="12" customFormat="1" ht="16" x14ac:dyDescent="0.2">
      <c r="A184" s="12" t="s">
        <v>162</v>
      </c>
      <c r="B184" s="17">
        <v>6.7900000000000002E-2</v>
      </c>
      <c r="D184" s="12" t="s">
        <v>13</v>
      </c>
      <c r="E184" s="12" t="s">
        <v>43</v>
      </c>
      <c r="F184" s="12" t="s">
        <v>15</v>
      </c>
      <c r="J184"/>
      <c r="K184" s="20"/>
      <c r="L184" s="20"/>
      <c r="M184" s="20"/>
      <c r="N184" s="20"/>
      <c r="O184" s="20"/>
      <c r="P184" s="20"/>
      <c r="Q184" s="20"/>
      <c r="R184"/>
    </row>
    <row r="185" spans="1:18" s="12" customFormat="1" ht="16" x14ac:dyDescent="0.2">
      <c r="B185" s="17"/>
      <c r="K185" s="13"/>
      <c r="L185" s="13"/>
      <c r="M185" s="13"/>
      <c r="N185" s="13"/>
      <c r="O185" s="13"/>
      <c r="P185" s="13"/>
    </row>
    <row r="186" spans="1:18" s="12" customFormat="1" ht="16" x14ac:dyDescent="0.2">
      <c r="A186" s="9" t="s">
        <v>1</v>
      </c>
      <c r="B186" s="10" t="s">
        <v>489</v>
      </c>
      <c r="C186" s="11"/>
      <c r="K186" s="13"/>
      <c r="L186" s="13"/>
      <c r="M186" s="13"/>
      <c r="N186" s="13"/>
      <c r="O186" s="13"/>
      <c r="P186" s="13"/>
    </row>
    <row r="187" spans="1:18" s="12" customFormat="1" ht="16" x14ac:dyDescent="0.2">
      <c r="A187" s="14" t="s">
        <v>3</v>
      </c>
      <c r="B187" s="15">
        <v>1</v>
      </c>
      <c r="K187" s="13"/>
      <c r="L187" s="13"/>
      <c r="M187" s="13"/>
      <c r="N187" s="13"/>
      <c r="O187" s="13"/>
      <c r="P187" s="13"/>
    </row>
    <row r="188" spans="1:18" s="12" customFormat="1" ht="16" x14ac:dyDescent="0.2">
      <c r="A188" s="14" t="s">
        <v>11</v>
      </c>
      <c r="B188" s="15" t="s">
        <v>486</v>
      </c>
      <c r="K188" s="13"/>
      <c r="L188" s="13"/>
      <c r="M188" s="13"/>
      <c r="N188" s="13"/>
      <c r="O188" s="13"/>
      <c r="P188" s="13"/>
    </row>
    <row r="189" spans="1:18" s="12" customFormat="1" ht="16" x14ac:dyDescent="0.2">
      <c r="A189" s="14" t="s">
        <v>4</v>
      </c>
      <c r="B189" s="16" t="s">
        <v>490</v>
      </c>
      <c r="K189" s="13"/>
      <c r="L189" s="13"/>
      <c r="M189" s="13"/>
      <c r="N189" s="13"/>
      <c r="O189" s="13"/>
      <c r="P189" s="13"/>
    </row>
    <row r="190" spans="1:18" s="12" customFormat="1" ht="16" x14ac:dyDescent="0.2">
      <c r="A190" s="14" t="s">
        <v>2</v>
      </c>
      <c r="B190" s="15" t="s">
        <v>49</v>
      </c>
      <c r="K190" s="13"/>
      <c r="L190" s="13"/>
      <c r="M190" s="13"/>
      <c r="N190" s="13"/>
      <c r="O190" s="13"/>
      <c r="P190" s="13"/>
    </row>
    <row r="191" spans="1:18" s="12" customFormat="1" ht="16" x14ac:dyDescent="0.2">
      <c r="A191" s="14" t="s">
        <v>6</v>
      </c>
      <c r="B191" s="17" t="s">
        <v>13</v>
      </c>
      <c r="H191" s="18"/>
      <c r="I191" s="18"/>
      <c r="J191" s="18"/>
      <c r="K191" s="13"/>
      <c r="L191" s="13"/>
      <c r="M191" s="13"/>
      <c r="N191" s="13"/>
      <c r="O191" s="13"/>
      <c r="P191" s="13"/>
    </row>
    <row r="192" spans="1:18" s="12" customFormat="1" ht="16" x14ac:dyDescent="0.2">
      <c r="A192" s="18" t="s">
        <v>7</v>
      </c>
      <c r="B192" s="10"/>
      <c r="C192" s="18"/>
      <c r="D192" s="18"/>
      <c r="E192" s="18"/>
      <c r="F192" s="18"/>
      <c r="G192" s="18"/>
      <c r="H192" s="11"/>
      <c r="I192" s="11"/>
      <c r="J192" s="11"/>
      <c r="K192" s="13"/>
      <c r="L192" s="13"/>
      <c r="M192" s="13"/>
      <c r="N192" s="13"/>
      <c r="O192" s="13"/>
      <c r="P192" s="13"/>
    </row>
    <row r="193" spans="1:20" s="12" customFormat="1" ht="16" x14ac:dyDescent="0.2">
      <c r="A193" s="18" t="s">
        <v>8</v>
      </c>
      <c r="B193" s="10" t="s">
        <v>9</v>
      </c>
      <c r="C193" s="18" t="s">
        <v>2</v>
      </c>
      <c r="D193" s="18" t="s">
        <v>6</v>
      </c>
      <c r="E193" s="18" t="s">
        <v>10</v>
      </c>
      <c r="F193" s="18" t="s">
        <v>5</v>
      </c>
      <c r="G193" s="18" t="s">
        <v>4</v>
      </c>
      <c r="H193" s="24" t="s">
        <v>11</v>
      </c>
      <c r="I193" s="18"/>
      <c r="J193" s="8"/>
      <c r="K193" s="19"/>
      <c r="L193" s="19"/>
      <c r="M193" s="19"/>
      <c r="N193" s="19"/>
      <c r="O193" s="19"/>
      <c r="P193" s="19"/>
      <c r="Q193" s="8"/>
      <c r="R193" s="8"/>
      <c r="S193" s="18"/>
      <c r="T193" s="8"/>
    </row>
    <row r="194" spans="1:20" s="12" customFormat="1" ht="16" x14ac:dyDescent="0.2">
      <c r="A194" s="17" t="s">
        <v>489</v>
      </c>
      <c r="B194" s="17">
        <v>1</v>
      </c>
      <c r="C194" s="12" t="str">
        <f>B190</f>
        <v>CH</v>
      </c>
      <c r="D194" s="12" t="str">
        <f>B191</f>
        <v>kilogram</v>
      </c>
      <c r="E194" s="11"/>
      <c r="F194" s="12" t="s">
        <v>17</v>
      </c>
      <c r="G194" s="12" t="s">
        <v>490</v>
      </c>
      <c r="H194" s="11"/>
      <c r="I194" s="11"/>
      <c r="K194" s="13"/>
      <c r="L194" s="13"/>
      <c r="M194" s="13"/>
      <c r="N194" s="13"/>
      <c r="O194" s="13"/>
      <c r="P194" s="13"/>
      <c r="T194"/>
    </row>
    <row r="195" spans="1:20" s="12" customFormat="1" ht="16" x14ac:dyDescent="0.2">
      <c r="A195" s="17" t="str">
        <f>B207</f>
        <v>electrolyzer production, 1MWe, AEC, Stack</v>
      </c>
      <c r="B195" s="17">
        <f>(1/4259200)*4</f>
        <v>9.3914350112697222E-7</v>
      </c>
      <c r="C195" s="12" t="s">
        <v>36</v>
      </c>
      <c r="D195" s="12" t="s">
        <v>6</v>
      </c>
      <c r="F195" s="12" t="s">
        <v>12</v>
      </c>
      <c r="G195" s="12" t="s">
        <v>164</v>
      </c>
      <c r="H195" s="12" t="s">
        <v>53</v>
      </c>
      <c r="J195"/>
      <c r="K195" s="20"/>
      <c r="L195" s="20"/>
      <c r="M195" s="20"/>
      <c r="N195" s="20"/>
      <c r="O195" s="20"/>
      <c r="P195" s="20"/>
      <c r="Q195"/>
      <c r="R195"/>
    </row>
    <row r="196" spans="1:20" s="12" customFormat="1" ht="16" x14ac:dyDescent="0.2">
      <c r="A196" s="17" t="str">
        <f>B236</f>
        <v>electrolyzer production, 1MWe, AEC, Balance of Plant</v>
      </c>
      <c r="B196" s="17">
        <f>1/4259200</f>
        <v>2.3478587528174306E-7</v>
      </c>
      <c r="C196" s="12" t="s">
        <v>36</v>
      </c>
      <c r="D196" s="12" t="s">
        <v>6</v>
      </c>
      <c r="F196" s="12" t="s">
        <v>12</v>
      </c>
      <c r="G196" s="12" t="s">
        <v>165</v>
      </c>
      <c r="H196" s="12" t="s">
        <v>494</v>
      </c>
      <c r="J196"/>
      <c r="K196" s="20"/>
      <c r="L196" s="20"/>
      <c r="M196" s="20"/>
      <c r="N196" s="20"/>
      <c r="O196" s="20"/>
      <c r="P196" s="20"/>
      <c r="Q196"/>
      <c r="R196"/>
    </row>
    <row r="197" spans="1:20" s="12" customFormat="1" ht="16" x14ac:dyDescent="0.2">
      <c r="A197" s="17" t="s">
        <v>268</v>
      </c>
      <c r="B197" s="17">
        <f>-1*B195</f>
        <v>-9.3914350112697222E-7</v>
      </c>
      <c r="C197" s="12" t="s">
        <v>36</v>
      </c>
      <c r="D197" s="12" t="s">
        <v>6</v>
      </c>
      <c r="F197" s="12" t="s">
        <v>12</v>
      </c>
      <c r="G197" s="12" t="s">
        <v>269</v>
      </c>
      <c r="H197" s="12" t="s">
        <v>255</v>
      </c>
      <c r="J197"/>
      <c r="K197" s="20"/>
      <c r="L197" s="20"/>
      <c r="M197" s="20"/>
      <c r="N197" s="20"/>
      <c r="O197" s="20"/>
      <c r="P197" s="20"/>
      <c r="Q197"/>
      <c r="R197"/>
    </row>
    <row r="198" spans="1:20" s="12" customFormat="1" ht="16" x14ac:dyDescent="0.2">
      <c r="A198" s="17" t="s">
        <v>270</v>
      </c>
      <c r="B198" s="17">
        <f>-1*B196</f>
        <v>-2.3478587528174306E-7</v>
      </c>
      <c r="C198" s="12" t="s">
        <v>36</v>
      </c>
      <c r="D198" s="12" t="s">
        <v>6</v>
      </c>
      <c r="F198" s="12" t="s">
        <v>12</v>
      </c>
      <c r="G198" s="12" t="s">
        <v>271</v>
      </c>
      <c r="H198" s="12" t="s">
        <v>267</v>
      </c>
      <c r="J198"/>
      <c r="K198" s="20"/>
      <c r="L198" s="20"/>
      <c r="M198" s="20"/>
      <c r="N198" s="20"/>
      <c r="O198" s="20"/>
      <c r="P198" s="20"/>
      <c r="Q198"/>
      <c r="R198"/>
    </row>
    <row r="199" spans="1:20" s="12" customFormat="1" ht="16" x14ac:dyDescent="0.2">
      <c r="A199" s="14" t="s">
        <v>56</v>
      </c>
      <c r="B199" s="17">
        <v>51.8</v>
      </c>
      <c r="C199" s="12" t="s">
        <v>49</v>
      </c>
      <c r="D199" s="12" t="s">
        <v>37</v>
      </c>
      <c r="E199" s="11"/>
      <c r="F199" s="12" t="s">
        <v>12</v>
      </c>
      <c r="G199" s="12" t="s">
        <v>38</v>
      </c>
      <c r="H199" s="11" t="s">
        <v>497</v>
      </c>
      <c r="J199"/>
      <c r="K199" s="20"/>
      <c r="L199" s="20"/>
      <c r="M199" s="20"/>
      <c r="N199" s="20"/>
      <c r="O199" s="20"/>
      <c r="P199" s="20"/>
      <c r="Q199"/>
      <c r="R199"/>
    </row>
    <row r="200" spans="1:20" s="12" customFormat="1" ht="16" x14ac:dyDescent="0.2">
      <c r="A200" s="14" t="s">
        <v>166</v>
      </c>
      <c r="B200" s="17">
        <v>3.7000000000000002E-3</v>
      </c>
      <c r="C200" s="12" t="s">
        <v>18</v>
      </c>
      <c r="D200" s="12" t="s">
        <v>13</v>
      </c>
      <c r="E200" s="11"/>
      <c r="F200" s="12" t="s">
        <v>12</v>
      </c>
      <c r="G200" s="14" t="s">
        <v>167</v>
      </c>
      <c r="H200" s="11" t="s">
        <v>168</v>
      </c>
      <c r="J200"/>
      <c r="K200" s="20"/>
      <c r="L200" s="20"/>
      <c r="M200" s="20"/>
      <c r="N200" s="20"/>
      <c r="O200" s="20"/>
      <c r="P200" s="20"/>
      <c r="Q200"/>
      <c r="R200"/>
    </row>
    <row r="201" spans="1:20" s="12" customFormat="1" ht="16" x14ac:dyDescent="0.2">
      <c r="A201" s="14" t="s">
        <v>39</v>
      </c>
      <c r="B201" s="17">
        <v>14</v>
      </c>
      <c r="C201" s="12" t="s">
        <v>40</v>
      </c>
      <c r="D201" s="12" t="s">
        <v>13</v>
      </c>
      <c r="F201" s="12" t="s">
        <v>12</v>
      </c>
      <c r="G201" s="12" t="s">
        <v>41</v>
      </c>
      <c r="H201" s="21" t="s">
        <v>60</v>
      </c>
      <c r="J201"/>
      <c r="K201" s="20"/>
      <c r="L201" s="20"/>
      <c r="M201" s="20"/>
      <c r="N201" s="20"/>
      <c r="O201" s="20"/>
      <c r="P201" s="20"/>
      <c r="Q201"/>
      <c r="R201"/>
    </row>
    <row r="202" spans="1:20" s="12" customFormat="1" ht="16" x14ac:dyDescent="0.2">
      <c r="A202" s="22" t="s">
        <v>42</v>
      </c>
      <c r="B202" s="16">
        <v>8</v>
      </c>
      <c r="C202" s="22"/>
      <c r="D202" s="22" t="s">
        <v>13</v>
      </c>
      <c r="E202" s="22" t="s">
        <v>43</v>
      </c>
      <c r="F202" s="22" t="s">
        <v>15</v>
      </c>
      <c r="G202" s="22"/>
      <c r="H202" s="23"/>
      <c r="J202"/>
      <c r="K202" s="20"/>
      <c r="L202" s="20"/>
      <c r="M202" s="20"/>
      <c r="N202" s="20"/>
      <c r="O202" s="20"/>
      <c r="P202" s="20"/>
      <c r="Q202" s="20"/>
      <c r="R202"/>
    </row>
    <row r="203" spans="1:20" s="12" customFormat="1" ht="16" x14ac:dyDescent="0.2">
      <c r="A203" s="48" t="s">
        <v>509</v>
      </c>
      <c r="B203" s="49">
        <f>(0.12*1000)/(4259200/27.5)</f>
        <v>7.7479338842975209E-4</v>
      </c>
      <c r="C203" s="48"/>
      <c r="D203" s="48" t="s">
        <v>507</v>
      </c>
      <c r="E203" s="48" t="s">
        <v>508</v>
      </c>
      <c r="F203" s="48" t="s">
        <v>15</v>
      </c>
      <c r="H203" s="48" t="s">
        <v>515</v>
      </c>
      <c r="I203" s="12">
        <v>2</v>
      </c>
      <c r="J203">
        <f t="shared" ref="J203:J205" si="2">LN(B203)</f>
        <v>-7.1629141597283583</v>
      </c>
      <c r="K203" s="20">
        <v>1.05</v>
      </c>
      <c r="L203" s="20">
        <v>1.1000000000000001</v>
      </c>
      <c r="M203" s="20">
        <v>1</v>
      </c>
      <c r="N203" s="20">
        <v>1.02</v>
      </c>
      <c r="O203" s="20">
        <v>1.2</v>
      </c>
      <c r="P203" s="20">
        <v>1.2</v>
      </c>
      <c r="Q203" s="20">
        <v>1.5</v>
      </c>
      <c r="R203">
        <f t="shared" ref="R203:R205" si="3">LN(SQRT(EXP(
SQRT(
+POWER(LN(K203),2)
+POWER(LN(L203),2)
+POWER(LN(M203),2)
+POWER(LN(N203),2)
+POWER(LN(O203),2)
+POWER(LN(P203),2)
+POWER(LN(Q203),2)
)
)))</f>
        <v>0.24634371748562628</v>
      </c>
    </row>
    <row r="204" spans="1:20" s="12" customFormat="1" ht="16" x14ac:dyDescent="0.2">
      <c r="A204" s="48" t="s">
        <v>511</v>
      </c>
      <c r="B204" s="49">
        <f>(0.12*1000)/4259200</f>
        <v>2.8174305033809167E-5</v>
      </c>
      <c r="C204" s="48"/>
      <c r="D204" s="48" t="s">
        <v>512</v>
      </c>
      <c r="E204" s="48" t="s">
        <v>508</v>
      </c>
      <c r="F204" s="48" t="s">
        <v>15</v>
      </c>
      <c r="H204" s="48" t="s">
        <v>516</v>
      </c>
      <c r="I204" s="12">
        <v>2</v>
      </c>
      <c r="J204">
        <f t="shared" si="2"/>
        <v>-10.477100164400884</v>
      </c>
      <c r="K204" s="20">
        <v>1.05</v>
      </c>
      <c r="L204" s="20">
        <v>1.1000000000000001</v>
      </c>
      <c r="M204" s="20">
        <v>1</v>
      </c>
      <c r="N204" s="20">
        <v>1.02</v>
      </c>
      <c r="O204" s="20">
        <v>1.2</v>
      </c>
      <c r="P204" s="20">
        <v>1.2</v>
      </c>
      <c r="Q204" s="20">
        <v>1.5</v>
      </c>
      <c r="R204">
        <f t="shared" si="3"/>
        <v>0.24634371748562628</v>
      </c>
    </row>
    <row r="205" spans="1:20" s="12" customFormat="1" ht="16" x14ac:dyDescent="0.2">
      <c r="A205" s="48" t="s">
        <v>514</v>
      </c>
      <c r="B205" s="49">
        <f>(0.12*1000)/4259200</f>
        <v>2.8174305033809167E-5</v>
      </c>
      <c r="C205" s="48"/>
      <c r="D205" s="48" t="s">
        <v>512</v>
      </c>
      <c r="E205" s="48" t="s">
        <v>508</v>
      </c>
      <c r="F205" s="48" t="s">
        <v>15</v>
      </c>
      <c r="H205" s="48" t="s">
        <v>516</v>
      </c>
      <c r="I205" s="12">
        <v>2</v>
      </c>
      <c r="J205">
        <f t="shared" si="2"/>
        <v>-10.477100164400884</v>
      </c>
      <c r="K205" s="20">
        <v>1.05</v>
      </c>
      <c r="L205" s="20">
        <v>1.1000000000000001</v>
      </c>
      <c r="M205" s="20">
        <v>1</v>
      </c>
      <c r="N205" s="20">
        <v>1.02</v>
      </c>
      <c r="O205" s="20">
        <v>1.2</v>
      </c>
      <c r="P205" s="20">
        <v>1.2</v>
      </c>
      <c r="Q205" s="20">
        <v>1.5</v>
      </c>
      <c r="R205">
        <f t="shared" si="3"/>
        <v>0.24634371748562628</v>
      </c>
    </row>
    <row r="206" spans="1:20" s="12" customFormat="1" ht="16" x14ac:dyDescent="0.2">
      <c r="B206" s="17"/>
      <c r="K206" s="13"/>
      <c r="L206" s="13"/>
      <c r="M206" s="13"/>
      <c r="N206" s="13"/>
      <c r="O206" s="13"/>
      <c r="P206" s="13"/>
    </row>
    <row r="207" spans="1:20" s="12" customFormat="1" ht="16" x14ac:dyDescent="0.2">
      <c r="A207" s="9" t="s">
        <v>1</v>
      </c>
      <c r="B207" s="10" t="s">
        <v>169</v>
      </c>
      <c r="K207" s="13"/>
      <c r="L207" s="13"/>
      <c r="M207" s="13"/>
      <c r="N207" s="13"/>
      <c r="O207" s="13"/>
      <c r="P207" s="13"/>
    </row>
    <row r="208" spans="1:20" s="12" customFormat="1" ht="16" x14ac:dyDescent="0.2">
      <c r="A208" s="14" t="s">
        <v>3</v>
      </c>
      <c r="B208" s="15">
        <v>1</v>
      </c>
      <c r="K208" s="13"/>
      <c r="L208" s="13"/>
      <c r="M208" s="13"/>
      <c r="N208" s="13"/>
      <c r="O208" s="13"/>
      <c r="P208" s="13"/>
    </row>
    <row r="209" spans="1:20" s="12" customFormat="1" ht="16" x14ac:dyDescent="0.2">
      <c r="A209" s="14" t="s">
        <v>11</v>
      </c>
      <c r="B209" s="15" t="s">
        <v>521</v>
      </c>
      <c r="K209" s="13"/>
      <c r="L209" s="13"/>
      <c r="M209" s="13"/>
      <c r="N209" s="13"/>
      <c r="O209" s="13"/>
      <c r="P209" s="13"/>
    </row>
    <row r="210" spans="1:20" s="12" customFormat="1" ht="16" x14ac:dyDescent="0.2">
      <c r="A210" s="14" t="s">
        <v>4</v>
      </c>
      <c r="B210" s="17" t="s">
        <v>164</v>
      </c>
      <c r="K210" s="13"/>
      <c r="L210" s="13"/>
      <c r="M210" s="13"/>
      <c r="N210" s="13"/>
      <c r="O210" s="13"/>
      <c r="P210" s="13"/>
    </row>
    <row r="211" spans="1:20" s="12" customFormat="1" ht="16" x14ac:dyDescent="0.2">
      <c r="A211" s="14" t="s">
        <v>2</v>
      </c>
      <c r="B211" s="15" t="s">
        <v>36</v>
      </c>
      <c r="K211" s="13"/>
      <c r="L211" s="13"/>
      <c r="M211" s="13"/>
      <c r="N211" s="13"/>
      <c r="O211" s="13"/>
      <c r="P211" s="13"/>
    </row>
    <row r="212" spans="1:20" s="12" customFormat="1" ht="16" x14ac:dyDescent="0.2">
      <c r="A212" s="14" t="s">
        <v>6</v>
      </c>
      <c r="B212" s="17" t="s">
        <v>6</v>
      </c>
      <c r="K212" s="13"/>
      <c r="L212" s="13"/>
      <c r="M212" s="13"/>
      <c r="N212" s="13"/>
      <c r="O212" s="13"/>
      <c r="P212" s="13"/>
    </row>
    <row r="213" spans="1:20" s="12" customFormat="1" ht="16" x14ac:dyDescent="0.2">
      <c r="A213" s="18" t="s">
        <v>7</v>
      </c>
      <c r="B213" s="10"/>
      <c r="C213" s="18"/>
      <c r="D213" s="18"/>
      <c r="E213" s="18"/>
      <c r="F213" s="18"/>
      <c r="G213" s="18"/>
      <c r="H213" s="18"/>
      <c r="I213" s="18"/>
      <c r="J213" s="18"/>
      <c r="K213" s="13"/>
      <c r="L213" s="13"/>
      <c r="M213" s="13"/>
      <c r="N213" s="13"/>
      <c r="O213" s="13"/>
      <c r="P213" s="13"/>
    </row>
    <row r="214" spans="1:20" s="12" customFormat="1" ht="16" x14ac:dyDescent="0.2">
      <c r="A214" s="18" t="s">
        <v>8</v>
      </c>
      <c r="B214" s="10" t="s">
        <v>9</v>
      </c>
      <c r="C214" s="18" t="s">
        <v>2</v>
      </c>
      <c r="D214" s="18" t="s">
        <v>6</v>
      </c>
      <c r="E214" s="24" t="s">
        <v>10</v>
      </c>
      <c r="F214" s="18" t="s">
        <v>5</v>
      </c>
      <c r="G214" s="18" t="s">
        <v>4</v>
      </c>
      <c r="H214" s="24" t="s">
        <v>11</v>
      </c>
      <c r="I214" s="18"/>
      <c r="J214" s="8"/>
      <c r="K214" s="19"/>
      <c r="L214" s="19"/>
      <c r="M214" s="19"/>
      <c r="N214" s="19"/>
      <c r="O214" s="19"/>
      <c r="P214" s="19"/>
      <c r="Q214" s="8"/>
      <c r="R214" s="8"/>
      <c r="S214" s="18"/>
      <c r="T214" s="8"/>
    </row>
    <row r="215" spans="1:20" s="12" customFormat="1" ht="16" x14ac:dyDescent="0.2">
      <c r="A215" s="17" t="str">
        <f>B207</f>
        <v>electrolyzer production, 1MWe, AEC, Stack</v>
      </c>
      <c r="B215" s="17">
        <v>1</v>
      </c>
      <c r="C215" s="12" t="s">
        <v>36</v>
      </c>
      <c r="D215" s="12" t="str">
        <f>B212</f>
        <v>unit</v>
      </c>
      <c r="F215" s="12" t="s">
        <v>17</v>
      </c>
      <c r="G215" s="12" t="str">
        <f>B210</f>
        <v>electrolyzer, 1MWe, AEC, Stack</v>
      </c>
      <c r="K215" s="13"/>
      <c r="L215" s="13"/>
      <c r="M215" s="13"/>
      <c r="N215" s="13"/>
      <c r="O215" s="13"/>
      <c r="P215" s="13"/>
    </row>
    <row r="216" spans="1:20" s="12" customFormat="1" ht="16" x14ac:dyDescent="0.2">
      <c r="A216" s="12" t="s">
        <v>22</v>
      </c>
      <c r="B216" s="13">
        <v>144.19999999999999</v>
      </c>
      <c r="C216" s="12" t="s">
        <v>18</v>
      </c>
      <c r="D216" s="12" t="s">
        <v>13</v>
      </c>
      <c r="F216" s="12" t="s">
        <v>12</v>
      </c>
      <c r="G216" s="12" t="s">
        <v>23</v>
      </c>
      <c r="H216" s="12" t="s">
        <v>86</v>
      </c>
      <c r="J216"/>
      <c r="K216" s="20"/>
      <c r="L216" s="20"/>
      <c r="M216" s="20"/>
      <c r="N216" s="20"/>
      <c r="O216" s="20"/>
      <c r="P216" s="20"/>
      <c r="Q216"/>
      <c r="R216"/>
    </row>
    <row r="217" spans="1:20" s="12" customFormat="1" ht="16" x14ac:dyDescent="0.2">
      <c r="A217" s="12" t="s">
        <v>81</v>
      </c>
      <c r="B217" s="13">
        <v>20194.400000000001</v>
      </c>
      <c r="C217" s="12" t="s">
        <v>18</v>
      </c>
      <c r="D217" s="12" t="s">
        <v>13</v>
      </c>
      <c r="F217" s="12" t="s">
        <v>12</v>
      </c>
      <c r="G217" s="12" t="s">
        <v>82</v>
      </c>
      <c r="H217" s="12" t="s">
        <v>170</v>
      </c>
      <c r="J217"/>
      <c r="K217" s="20"/>
      <c r="L217" s="20"/>
      <c r="M217" s="20"/>
      <c r="N217" s="20"/>
      <c r="O217" s="20"/>
      <c r="P217" s="20"/>
      <c r="Q217"/>
      <c r="R217"/>
    </row>
    <row r="218" spans="1:20" s="12" customFormat="1" ht="16" x14ac:dyDescent="0.2">
      <c r="A218" s="12" t="s">
        <v>21</v>
      </c>
      <c r="B218" s="13">
        <v>20194.400000000001</v>
      </c>
      <c r="C218" s="12" t="s">
        <v>18</v>
      </c>
      <c r="D218" s="12" t="s">
        <v>13</v>
      </c>
      <c r="F218" s="12" t="s">
        <v>12</v>
      </c>
      <c r="G218" s="12" t="s">
        <v>16</v>
      </c>
      <c r="H218" s="12" t="s">
        <v>170</v>
      </c>
      <c r="J218"/>
      <c r="K218" s="20"/>
      <c r="L218" s="20"/>
      <c r="M218" s="20"/>
      <c r="N218" s="20"/>
      <c r="O218" s="20"/>
      <c r="P218" s="20"/>
      <c r="Q218"/>
      <c r="R218"/>
    </row>
    <row r="219" spans="1:20" s="12" customFormat="1" ht="16" x14ac:dyDescent="0.2">
      <c r="A219" s="12" t="s">
        <v>171</v>
      </c>
      <c r="B219" s="13">
        <v>2884.9</v>
      </c>
      <c r="C219" s="12" t="s">
        <v>18</v>
      </c>
      <c r="D219" s="12" t="s">
        <v>13</v>
      </c>
      <c r="F219" s="12" t="s">
        <v>12</v>
      </c>
      <c r="G219" s="12" t="s">
        <v>172</v>
      </c>
      <c r="H219" s="12" t="s">
        <v>170</v>
      </c>
      <c r="J219"/>
      <c r="K219" s="20"/>
      <c r="L219" s="20"/>
      <c r="M219" s="20"/>
      <c r="N219" s="20"/>
      <c r="O219" s="20"/>
      <c r="P219" s="20"/>
      <c r="Q219"/>
      <c r="R219"/>
    </row>
    <row r="220" spans="1:20" s="12" customFormat="1" ht="16" x14ac:dyDescent="0.2">
      <c r="A220" s="12" t="s">
        <v>173</v>
      </c>
      <c r="B220" s="13">
        <v>48.8</v>
      </c>
      <c r="C220" s="12" t="s">
        <v>18</v>
      </c>
      <c r="D220" s="12" t="s">
        <v>13</v>
      </c>
      <c r="E220" s="11"/>
      <c r="F220" s="12" t="s">
        <v>12</v>
      </c>
      <c r="G220" s="11" t="s">
        <v>174</v>
      </c>
      <c r="H220" s="12" t="s">
        <v>175</v>
      </c>
      <c r="J220"/>
      <c r="K220" s="20"/>
      <c r="L220" s="20"/>
      <c r="M220" s="20"/>
      <c r="N220" s="20"/>
      <c r="O220" s="20"/>
      <c r="P220" s="20"/>
      <c r="Q220"/>
      <c r="R220"/>
    </row>
    <row r="221" spans="1:20" s="12" customFormat="1" ht="16" x14ac:dyDescent="0.2">
      <c r="A221" s="12" t="s">
        <v>176</v>
      </c>
      <c r="B221" s="13">
        <v>73</v>
      </c>
      <c r="C221" s="12" t="s">
        <v>18</v>
      </c>
      <c r="D221" s="12" t="s">
        <v>13</v>
      </c>
      <c r="E221" s="11"/>
      <c r="F221" s="12" t="s">
        <v>12</v>
      </c>
      <c r="G221" s="11" t="s">
        <v>177</v>
      </c>
      <c r="H221" s="12" t="s">
        <v>175</v>
      </c>
      <c r="J221"/>
      <c r="K221" s="20"/>
      <c r="L221" s="20"/>
      <c r="M221" s="20"/>
      <c r="N221" s="20"/>
      <c r="O221" s="20"/>
      <c r="P221" s="20"/>
      <c r="Q221"/>
      <c r="R221"/>
    </row>
    <row r="222" spans="1:20" s="12" customFormat="1" ht="16" x14ac:dyDescent="0.2">
      <c r="A222" s="12" t="s">
        <v>35</v>
      </c>
      <c r="B222" s="13">
        <v>95553.31568</v>
      </c>
      <c r="C222" s="12" t="s">
        <v>18</v>
      </c>
      <c r="D222" s="12" t="s">
        <v>37</v>
      </c>
      <c r="E222" s="11"/>
      <c r="F222" s="12" t="s">
        <v>12</v>
      </c>
      <c r="G222" s="11" t="s">
        <v>38</v>
      </c>
      <c r="H222" s="12" t="s">
        <v>87</v>
      </c>
      <c r="J222"/>
      <c r="K222" s="20"/>
      <c r="L222" s="20"/>
      <c r="M222" s="20"/>
      <c r="N222" s="20"/>
      <c r="O222" s="20"/>
      <c r="P222" s="20"/>
      <c r="Q222"/>
      <c r="R222"/>
    </row>
    <row r="223" spans="1:20" s="12" customFormat="1" ht="16" x14ac:dyDescent="0.2">
      <c r="B223" s="17"/>
      <c r="F223" s="11"/>
      <c r="G223" s="11"/>
      <c r="K223" s="13"/>
      <c r="L223" s="13"/>
      <c r="M223" s="13"/>
      <c r="N223" s="13"/>
      <c r="O223" s="13"/>
      <c r="P223" s="13"/>
    </row>
    <row r="224" spans="1:20" s="12" customFormat="1" ht="16" x14ac:dyDescent="0.2">
      <c r="A224" s="9" t="s">
        <v>1</v>
      </c>
      <c r="B224" s="10" t="s">
        <v>268</v>
      </c>
      <c r="K224" s="13"/>
      <c r="L224" s="13"/>
      <c r="M224" s="13"/>
      <c r="N224" s="13"/>
      <c r="O224" s="13"/>
      <c r="P224" s="13"/>
    </row>
    <row r="225" spans="1:20" s="12" customFormat="1" ht="16" x14ac:dyDescent="0.2">
      <c r="A225" s="14" t="s">
        <v>3</v>
      </c>
      <c r="B225" s="15">
        <v>1</v>
      </c>
      <c r="K225" s="13"/>
      <c r="L225" s="13"/>
      <c r="M225" s="13"/>
      <c r="N225" s="13"/>
      <c r="O225" s="13"/>
      <c r="P225" s="13"/>
    </row>
    <row r="226" spans="1:20" s="12" customFormat="1" ht="16" x14ac:dyDescent="0.2">
      <c r="A226" s="14" t="s">
        <v>11</v>
      </c>
      <c r="B226" s="15" t="s">
        <v>521</v>
      </c>
      <c r="K226" s="13"/>
      <c r="L226" s="13"/>
      <c r="M226" s="13"/>
      <c r="N226" s="13"/>
      <c r="O226" s="13"/>
      <c r="P226" s="13"/>
    </row>
    <row r="227" spans="1:20" s="12" customFormat="1" ht="16" x14ac:dyDescent="0.2">
      <c r="A227" s="14" t="s">
        <v>4</v>
      </c>
      <c r="B227" s="17" t="s">
        <v>269</v>
      </c>
      <c r="K227" s="13"/>
      <c r="L227" s="13"/>
      <c r="M227" s="13"/>
      <c r="N227" s="13"/>
      <c r="O227" s="13"/>
      <c r="P227" s="13"/>
    </row>
    <row r="228" spans="1:20" s="12" customFormat="1" ht="16" x14ac:dyDescent="0.2">
      <c r="A228" s="14" t="s">
        <v>2</v>
      </c>
      <c r="B228" s="15" t="s">
        <v>36</v>
      </c>
      <c r="K228" s="13"/>
      <c r="L228" s="13"/>
      <c r="M228" s="13"/>
      <c r="N228" s="13"/>
      <c r="O228" s="13"/>
      <c r="P228" s="13"/>
    </row>
    <row r="229" spans="1:20" s="12" customFormat="1" ht="16" x14ac:dyDescent="0.2">
      <c r="A229" s="14" t="s">
        <v>6</v>
      </c>
      <c r="B229" s="17" t="s">
        <v>6</v>
      </c>
      <c r="K229" s="13"/>
      <c r="L229" s="13"/>
      <c r="M229" s="13"/>
      <c r="N229" s="13"/>
      <c r="O229" s="13"/>
      <c r="P229" s="13"/>
    </row>
    <row r="230" spans="1:20" s="12" customFormat="1" ht="16" x14ac:dyDescent="0.2">
      <c r="A230" s="18" t="s">
        <v>7</v>
      </c>
      <c r="B230" s="10"/>
      <c r="C230" s="18"/>
      <c r="D230" s="18"/>
      <c r="E230" s="18"/>
      <c r="F230" s="18"/>
      <c r="G230" s="18"/>
      <c r="H230" s="18"/>
      <c r="I230" s="18"/>
      <c r="J230" s="18"/>
      <c r="K230" s="13"/>
      <c r="L230" s="13"/>
      <c r="M230" s="13"/>
      <c r="N230" s="13"/>
      <c r="O230" s="13"/>
      <c r="P230" s="13"/>
    </row>
    <row r="231" spans="1:20" s="12" customFormat="1" ht="16" x14ac:dyDescent="0.2">
      <c r="A231" s="18" t="s">
        <v>8</v>
      </c>
      <c r="B231" s="10" t="s">
        <v>9</v>
      </c>
      <c r="C231" s="18" t="s">
        <v>2</v>
      </c>
      <c r="D231" s="18" t="s">
        <v>6</v>
      </c>
      <c r="E231" s="24" t="s">
        <v>10</v>
      </c>
      <c r="F231" s="18" t="s">
        <v>5</v>
      </c>
      <c r="G231" s="18" t="s">
        <v>4</v>
      </c>
      <c r="H231" s="24" t="s">
        <v>11</v>
      </c>
      <c r="I231" s="18"/>
      <c r="J231" s="8"/>
      <c r="K231" s="19"/>
      <c r="L231" s="19"/>
      <c r="M231" s="19"/>
      <c r="N231" s="19"/>
      <c r="O231" s="19"/>
      <c r="P231" s="19"/>
      <c r="Q231" s="8"/>
      <c r="R231" s="8"/>
      <c r="S231" s="18"/>
      <c r="T231" s="8"/>
    </row>
    <row r="232" spans="1:20" s="12" customFormat="1" ht="16" x14ac:dyDescent="0.2">
      <c r="A232" s="17" t="str">
        <f>B224</f>
        <v>treatment of fuel cell stack, 1MWe, AEC</v>
      </c>
      <c r="B232" s="13">
        <v>-1</v>
      </c>
      <c r="C232" s="12" t="s">
        <v>36</v>
      </c>
      <c r="D232" s="12" t="str">
        <f>B229</f>
        <v>unit</v>
      </c>
      <c r="F232" s="12" t="s">
        <v>17</v>
      </c>
      <c r="G232" s="12" t="str">
        <f>B227</f>
        <v>used fuel cell stack, 1MWe, AEC</v>
      </c>
      <c r="K232" s="13"/>
      <c r="L232" s="13"/>
      <c r="M232" s="13"/>
      <c r="N232" s="13"/>
      <c r="O232" s="13"/>
      <c r="P232" s="13"/>
    </row>
    <row r="233" spans="1:20" s="12" customFormat="1" ht="16" x14ac:dyDescent="0.2">
      <c r="A233" s="17" t="s">
        <v>243</v>
      </c>
      <c r="B233" s="12">
        <v>-60583</v>
      </c>
      <c r="C233" s="12" t="s">
        <v>40</v>
      </c>
      <c r="D233" s="12" t="s">
        <v>13</v>
      </c>
      <c r="F233" s="12" t="s">
        <v>12</v>
      </c>
      <c r="G233" s="12" t="s">
        <v>244</v>
      </c>
      <c r="J233"/>
      <c r="K233" s="20"/>
      <c r="L233" s="20"/>
      <c r="M233" s="20"/>
      <c r="N233" s="20"/>
      <c r="O233" s="20"/>
      <c r="P233" s="20"/>
      <c r="Q233"/>
      <c r="R233"/>
    </row>
    <row r="234" spans="1:20" s="12" customFormat="1" ht="16" x14ac:dyDescent="0.2">
      <c r="A234" s="12" t="s">
        <v>249</v>
      </c>
      <c r="B234" s="12">
        <v>-579</v>
      </c>
      <c r="C234" s="12" t="s">
        <v>251</v>
      </c>
      <c r="D234" s="12" t="s">
        <v>13</v>
      </c>
      <c r="F234" s="12" t="s">
        <v>12</v>
      </c>
      <c r="G234" s="12" t="s">
        <v>250</v>
      </c>
      <c r="J234"/>
      <c r="K234" s="20"/>
      <c r="L234" s="20"/>
      <c r="M234" s="20"/>
      <c r="N234" s="20"/>
      <c r="O234" s="20"/>
      <c r="P234" s="20"/>
      <c r="Q234"/>
      <c r="R234"/>
    </row>
    <row r="235" spans="1:20" s="12" customFormat="1" ht="16" x14ac:dyDescent="0.2">
      <c r="B235" s="17"/>
      <c r="K235" s="13"/>
      <c r="L235" s="13"/>
      <c r="M235" s="13"/>
      <c r="N235" s="13"/>
      <c r="O235" s="13"/>
      <c r="P235" s="13"/>
    </row>
    <row r="236" spans="1:20" s="12" customFormat="1" ht="16" x14ac:dyDescent="0.2">
      <c r="A236" s="9" t="s">
        <v>1</v>
      </c>
      <c r="B236" s="10" t="s">
        <v>178</v>
      </c>
      <c r="K236" s="25"/>
      <c r="L236" s="26"/>
      <c r="M236" s="13"/>
      <c r="N236" s="13"/>
      <c r="O236" s="13"/>
      <c r="P236" s="13"/>
    </row>
    <row r="237" spans="1:20" s="12" customFormat="1" ht="16" x14ac:dyDescent="0.2">
      <c r="A237" s="14" t="s">
        <v>3</v>
      </c>
      <c r="B237" s="15">
        <v>1</v>
      </c>
      <c r="K237" s="27"/>
      <c r="L237" s="26"/>
      <c r="M237" s="13"/>
      <c r="N237" s="13"/>
      <c r="O237" s="13"/>
      <c r="P237" s="13"/>
    </row>
    <row r="238" spans="1:20" s="12" customFormat="1" ht="16" x14ac:dyDescent="0.2">
      <c r="A238" s="14" t="s">
        <v>11</v>
      </c>
      <c r="B238" s="15" t="s">
        <v>522</v>
      </c>
      <c r="K238" s="13"/>
      <c r="L238" s="26"/>
      <c r="M238" s="13"/>
      <c r="N238" s="13"/>
      <c r="O238" s="13"/>
      <c r="P238" s="13"/>
    </row>
    <row r="239" spans="1:20" s="12" customFormat="1" ht="16" x14ac:dyDescent="0.2">
      <c r="A239" s="14" t="s">
        <v>4</v>
      </c>
      <c r="B239" s="17" t="s">
        <v>165</v>
      </c>
      <c r="K239" s="13"/>
      <c r="L239" s="13"/>
      <c r="M239" s="13"/>
      <c r="N239" s="13"/>
      <c r="O239" s="13"/>
      <c r="P239" s="13"/>
    </row>
    <row r="240" spans="1:20" s="12" customFormat="1" ht="16.25" customHeight="1" x14ac:dyDescent="0.2">
      <c r="A240" s="14" t="s">
        <v>2</v>
      </c>
      <c r="B240" s="15" t="s">
        <v>36</v>
      </c>
      <c r="K240" s="13"/>
      <c r="L240" s="13"/>
      <c r="M240" s="13"/>
      <c r="N240" s="13"/>
      <c r="O240" s="13"/>
      <c r="P240" s="13"/>
    </row>
    <row r="241" spans="1:20" s="12" customFormat="1" ht="16" x14ac:dyDescent="0.2">
      <c r="A241" s="14" t="s">
        <v>6</v>
      </c>
      <c r="B241" s="17" t="s">
        <v>6</v>
      </c>
      <c r="H241" s="18"/>
      <c r="I241" s="18"/>
      <c r="K241" s="13"/>
      <c r="L241" s="13"/>
      <c r="M241" s="13"/>
      <c r="N241" s="13"/>
      <c r="O241" s="13"/>
      <c r="P241" s="13"/>
    </row>
    <row r="242" spans="1:20" s="12" customFormat="1" ht="16" x14ac:dyDescent="0.2">
      <c r="A242" s="18" t="s">
        <v>7</v>
      </c>
      <c r="B242" s="10"/>
      <c r="C242" s="18"/>
      <c r="D242" s="18"/>
      <c r="E242" s="18"/>
      <c r="F242" s="18"/>
      <c r="G242" s="18"/>
      <c r="H242" s="11"/>
      <c r="I242" s="11"/>
      <c r="K242" s="13"/>
      <c r="L242" s="13"/>
      <c r="M242" s="13"/>
      <c r="N242" s="13"/>
      <c r="O242" s="13"/>
      <c r="P242" s="13"/>
    </row>
    <row r="243" spans="1:20" s="12" customFormat="1" ht="16" x14ac:dyDescent="0.2">
      <c r="A243" s="18" t="s">
        <v>8</v>
      </c>
      <c r="B243" s="10" t="s">
        <v>9</v>
      </c>
      <c r="C243" s="18" t="s">
        <v>2</v>
      </c>
      <c r="D243" s="18" t="s">
        <v>6</v>
      </c>
      <c r="E243" s="24" t="s">
        <v>10</v>
      </c>
      <c r="F243" s="18" t="s">
        <v>5</v>
      </c>
      <c r="G243" s="18" t="s">
        <v>4</v>
      </c>
      <c r="H243" s="24" t="s">
        <v>11</v>
      </c>
      <c r="I243" s="18"/>
      <c r="J243" s="8"/>
      <c r="K243" s="19"/>
      <c r="L243" s="19"/>
      <c r="M243" s="19"/>
      <c r="N243" s="19"/>
      <c r="O243" s="19"/>
      <c r="P243" s="19"/>
      <c r="Q243" s="8"/>
      <c r="R243" s="8"/>
      <c r="S243" s="18"/>
      <c r="T243" s="8"/>
    </row>
    <row r="244" spans="1:20" s="12" customFormat="1" ht="16" x14ac:dyDescent="0.2">
      <c r="A244" s="17" t="str">
        <f>B236</f>
        <v>electrolyzer production, 1MWe, AEC, Balance of Plant</v>
      </c>
      <c r="B244" s="17">
        <v>1</v>
      </c>
      <c r="C244" s="12" t="s">
        <v>36</v>
      </c>
      <c r="D244" s="12" t="s">
        <v>6</v>
      </c>
      <c r="F244" s="12" t="s">
        <v>17</v>
      </c>
      <c r="G244" s="17" t="str">
        <f>B239</f>
        <v>electrolyzer, 1MWe, AEC, Balance of Plant</v>
      </c>
      <c r="H244" s="11"/>
      <c r="I244" s="11"/>
      <c r="J244" s="11"/>
      <c r="K244" s="13"/>
      <c r="L244" s="13"/>
      <c r="M244" s="13"/>
      <c r="N244" s="13"/>
      <c r="O244" s="13"/>
      <c r="P244" s="13"/>
    </row>
    <row r="245" spans="1:20" s="12" customFormat="1" ht="16" x14ac:dyDescent="0.2">
      <c r="A245" s="12" t="s">
        <v>19</v>
      </c>
      <c r="B245" s="17">
        <v>100</v>
      </c>
      <c r="C245" s="12" t="s">
        <v>18</v>
      </c>
      <c r="D245" s="12" t="s">
        <v>13</v>
      </c>
      <c r="F245" s="12" t="s">
        <v>12</v>
      </c>
      <c r="G245" s="12" t="s">
        <v>20</v>
      </c>
      <c r="H245" s="28" t="s">
        <v>90</v>
      </c>
      <c r="J245"/>
      <c r="K245" s="20"/>
      <c r="L245" s="20"/>
      <c r="M245" s="20"/>
      <c r="N245" s="20"/>
      <c r="O245" s="20"/>
      <c r="P245" s="20"/>
      <c r="Q245"/>
      <c r="R245"/>
    </row>
    <row r="246" spans="1:20" s="12" customFormat="1" ht="16" x14ac:dyDescent="0.2">
      <c r="A246" s="12" t="s">
        <v>76</v>
      </c>
      <c r="B246" s="17">
        <v>200</v>
      </c>
      <c r="C246" s="12" t="s">
        <v>18</v>
      </c>
      <c r="D246" s="12" t="s">
        <v>13</v>
      </c>
      <c r="F246" s="12" t="s">
        <v>12</v>
      </c>
      <c r="G246" s="12" t="s">
        <v>77</v>
      </c>
      <c r="H246" s="28" t="s">
        <v>90</v>
      </c>
      <c r="J246"/>
      <c r="K246" s="20"/>
      <c r="L246" s="20"/>
      <c r="M246" s="20"/>
      <c r="N246" s="20"/>
      <c r="O246" s="20"/>
      <c r="P246" s="20"/>
      <c r="Q246"/>
      <c r="R246"/>
    </row>
    <row r="247" spans="1:20" s="12" customFormat="1" ht="16" x14ac:dyDescent="0.2">
      <c r="A247" s="12" t="s">
        <v>91</v>
      </c>
      <c r="B247" s="17">
        <v>600</v>
      </c>
      <c r="C247" s="12" t="s">
        <v>18</v>
      </c>
      <c r="D247" s="12" t="s">
        <v>13</v>
      </c>
      <c r="F247" s="12" t="s">
        <v>12</v>
      </c>
      <c r="G247" s="12" t="s">
        <v>44</v>
      </c>
      <c r="H247" s="28" t="s">
        <v>90</v>
      </c>
      <c r="J247"/>
      <c r="K247" s="20"/>
      <c r="L247" s="20"/>
      <c r="M247" s="20"/>
      <c r="N247" s="20"/>
      <c r="O247" s="20"/>
      <c r="P247" s="20"/>
      <c r="Q247"/>
      <c r="R247"/>
    </row>
    <row r="248" spans="1:20" s="12" customFormat="1" ht="16" x14ac:dyDescent="0.2">
      <c r="A248" s="12" t="s">
        <v>65</v>
      </c>
      <c r="B248" s="17">
        <v>100</v>
      </c>
      <c r="C248" s="12" t="s">
        <v>18</v>
      </c>
      <c r="D248" s="12" t="s">
        <v>13</v>
      </c>
      <c r="F248" s="12" t="s">
        <v>12</v>
      </c>
      <c r="G248" s="12" t="s">
        <v>45</v>
      </c>
      <c r="H248" s="28" t="s">
        <v>90</v>
      </c>
      <c r="J248"/>
      <c r="K248" s="20"/>
      <c r="L248" s="20"/>
      <c r="M248" s="20"/>
      <c r="N248" s="20"/>
      <c r="O248" s="20"/>
      <c r="P248" s="20"/>
      <c r="Q248"/>
      <c r="R248"/>
    </row>
    <row r="249" spans="1:20" s="12" customFormat="1" ht="16" x14ac:dyDescent="0.2">
      <c r="A249" s="12" t="s">
        <v>92</v>
      </c>
      <c r="B249" s="17">
        <v>600</v>
      </c>
      <c r="C249" s="12" t="s">
        <v>18</v>
      </c>
      <c r="D249" s="12" t="s">
        <v>13</v>
      </c>
      <c r="F249" s="12" t="s">
        <v>12</v>
      </c>
      <c r="G249" s="12" t="s">
        <v>46</v>
      </c>
      <c r="H249" s="28" t="s">
        <v>90</v>
      </c>
      <c r="J249"/>
      <c r="K249" s="20"/>
      <c r="L249" s="20"/>
      <c r="M249" s="20"/>
      <c r="N249" s="20"/>
      <c r="O249" s="20"/>
      <c r="P249" s="20"/>
      <c r="Q249"/>
      <c r="R249"/>
    </row>
    <row r="250" spans="1:20" s="12" customFormat="1" ht="16" x14ac:dyDescent="0.2">
      <c r="A250" s="12" t="s">
        <v>93</v>
      </c>
      <c r="B250" s="17">
        <v>100</v>
      </c>
      <c r="C250" s="12" t="s">
        <v>18</v>
      </c>
      <c r="D250" s="12" t="s">
        <v>13</v>
      </c>
      <c r="F250" s="12" t="s">
        <v>12</v>
      </c>
      <c r="G250" s="12" t="s">
        <v>47</v>
      </c>
      <c r="H250" s="28" t="s">
        <v>90</v>
      </c>
      <c r="J250"/>
      <c r="K250" s="20"/>
      <c r="L250" s="20"/>
      <c r="M250" s="20"/>
      <c r="N250" s="20"/>
      <c r="O250" s="20"/>
      <c r="P250" s="20"/>
      <c r="Q250"/>
      <c r="R250"/>
    </row>
    <row r="251" spans="1:20" s="12" customFormat="1" ht="16" x14ac:dyDescent="0.2">
      <c r="A251" s="12" t="s">
        <v>94</v>
      </c>
      <c r="B251" s="17">
        <v>200</v>
      </c>
      <c r="C251" s="12" t="s">
        <v>18</v>
      </c>
      <c r="D251" s="12" t="s">
        <v>13</v>
      </c>
      <c r="F251" s="12" t="s">
        <v>12</v>
      </c>
      <c r="G251" s="12" t="s">
        <v>48</v>
      </c>
      <c r="H251" s="28" t="s">
        <v>90</v>
      </c>
      <c r="J251"/>
      <c r="K251" s="20"/>
      <c r="L251" s="20"/>
      <c r="M251" s="20"/>
      <c r="N251" s="20"/>
      <c r="O251" s="20"/>
      <c r="P251" s="20"/>
      <c r="Q251"/>
      <c r="R251"/>
    </row>
    <row r="252" spans="1:20" s="12" customFormat="1" ht="16" x14ac:dyDescent="0.2">
      <c r="A252" s="12" t="s">
        <v>32</v>
      </c>
      <c r="B252" s="17">
        <v>100</v>
      </c>
      <c r="C252" s="12" t="s">
        <v>18</v>
      </c>
      <c r="D252" s="12" t="s">
        <v>13</v>
      </c>
      <c r="F252" s="12" t="s">
        <v>12</v>
      </c>
      <c r="G252" s="12" t="s">
        <v>31</v>
      </c>
      <c r="H252" s="11" t="s">
        <v>95</v>
      </c>
      <c r="J252"/>
      <c r="K252" s="20"/>
      <c r="L252" s="20"/>
      <c r="M252" s="20"/>
      <c r="N252" s="20"/>
      <c r="O252" s="20"/>
      <c r="P252" s="20"/>
      <c r="Q252"/>
      <c r="R252"/>
    </row>
    <row r="253" spans="1:20" s="12" customFormat="1" ht="16" x14ac:dyDescent="0.2">
      <c r="A253" s="12" t="s">
        <v>179</v>
      </c>
      <c r="B253" s="17">
        <v>464.6</v>
      </c>
      <c r="C253" s="12" t="s">
        <v>18</v>
      </c>
      <c r="D253" s="12" t="s">
        <v>13</v>
      </c>
      <c r="F253" s="12" t="s">
        <v>12</v>
      </c>
      <c r="G253" s="12" t="s">
        <v>180</v>
      </c>
      <c r="H253" s="11" t="s">
        <v>181</v>
      </c>
      <c r="J253"/>
      <c r="K253" s="20"/>
      <c r="L253" s="20"/>
      <c r="M253" s="20"/>
      <c r="N253" s="20"/>
      <c r="O253" s="20"/>
      <c r="P253" s="20"/>
      <c r="Q253"/>
      <c r="R253"/>
    </row>
    <row r="254" spans="1:20" s="12" customFormat="1" ht="16" x14ac:dyDescent="0.2">
      <c r="A254" s="12" t="s">
        <v>91</v>
      </c>
      <c r="B254" s="17">
        <v>696.8</v>
      </c>
      <c r="C254" s="12" t="s">
        <v>18</v>
      </c>
      <c r="D254" s="12" t="s">
        <v>13</v>
      </c>
      <c r="F254" s="12" t="s">
        <v>12</v>
      </c>
      <c r="G254" s="12" t="s">
        <v>44</v>
      </c>
      <c r="H254" s="11" t="s">
        <v>181</v>
      </c>
      <c r="J254"/>
      <c r="K254" s="20"/>
      <c r="L254" s="20"/>
      <c r="M254" s="20"/>
      <c r="N254" s="20"/>
      <c r="O254" s="20"/>
      <c r="P254" s="20"/>
      <c r="Q254"/>
      <c r="R254"/>
    </row>
    <row r="255" spans="1:20" s="12" customFormat="1" ht="16" x14ac:dyDescent="0.2">
      <c r="A255" s="12" t="s">
        <v>92</v>
      </c>
      <c r="B255" s="17">
        <v>696.8</v>
      </c>
      <c r="C255" s="12" t="s">
        <v>18</v>
      </c>
      <c r="D255" s="12" t="s">
        <v>13</v>
      </c>
      <c r="F255" s="12" t="s">
        <v>12</v>
      </c>
      <c r="G255" s="12" t="s">
        <v>46</v>
      </c>
      <c r="H255" s="11" t="s">
        <v>181</v>
      </c>
      <c r="J255"/>
      <c r="K255" s="20"/>
      <c r="L255" s="20"/>
      <c r="M255" s="20"/>
      <c r="N255" s="20"/>
      <c r="O255" s="20"/>
      <c r="P255" s="20"/>
      <c r="Q255"/>
      <c r="R255"/>
    </row>
    <row r="256" spans="1:20" s="12" customFormat="1" ht="16" x14ac:dyDescent="0.2">
      <c r="A256" s="12" t="s">
        <v>81</v>
      </c>
      <c r="B256" s="17">
        <v>232.3</v>
      </c>
      <c r="C256" s="12" t="s">
        <v>18</v>
      </c>
      <c r="D256" s="12" t="s">
        <v>13</v>
      </c>
      <c r="F256" s="12" t="s">
        <v>12</v>
      </c>
      <c r="G256" s="12" t="s">
        <v>82</v>
      </c>
      <c r="H256" s="11" t="s">
        <v>181</v>
      </c>
      <c r="J256"/>
      <c r="K256" s="20"/>
      <c r="L256" s="20"/>
      <c r="M256" s="20"/>
      <c r="N256" s="20"/>
      <c r="O256" s="20"/>
      <c r="P256" s="20"/>
      <c r="Q256"/>
      <c r="R256"/>
    </row>
    <row r="257" spans="1:18" s="12" customFormat="1" ht="16" x14ac:dyDescent="0.2">
      <c r="A257" s="12" t="s">
        <v>21</v>
      </c>
      <c r="B257" s="17">
        <v>232.3</v>
      </c>
      <c r="C257" s="12" t="s">
        <v>18</v>
      </c>
      <c r="D257" s="12" t="s">
        <v>13</v>
      </c>
      <c r="F257" s="12" t="s">
        <v>12</v>
      </c>
      <c r="G257" s="12" t="s">
        <v>16</v>
      </c>
      <c r="H257" s="11" t="s">
        <v>181</v>
      </c>
      <c r="J257"/>
      <c r="K257" s="20"/>
      <c r="L257" s="20"/>
      <c r="M257" s="20"/>
      <c r="N257" s="20"/>
      <c r="O257" s="20"/>
      <c r="P257" s="20"/>
      <c r="Q257"/>
      <c r="R257"/>
    </row>
    <row r="258" spans="1:18" s="12" customFormat="1" ht="16" x14ac:dyDescent="0.2">
      <c r="A258" s="12" t="s">
        <v>111</v>
      </c>
      <c r="B258" s="17">
        <v>464.6</v>
      </c>
      <c r="C258" s="12" t="s">
        <v>36</v>
      </c>
      <c r="D258" s="12" t="s">
        <v>13</v>
      </c>
      <c r="F258" s="12" t="s">
        <v>12</v>
      </c>
      <c r="G258" s="12" t="s">
        <v>111</v>
      </c>
      <c r="H258" s="11" t="s">
        <v>112</v>
      </c>
      <c r="J258"/>
      <c r="K258" s="20"/>
      <c r="L258" s="20"/>
      <c r="M258" s="20"/>
      <c r="N258" s="20"/>
      <c r="O258" s="20"/>
      <c r="P258" s="20"/>
      <c r="Q258"/>
      <c r="R258"/>
    </row>
    <row r="259" spans="1:18" s="12" customFormat="1" ht="16" x14ac:dyDescent="0.2">
      <c r="A259" s="12" t="s">
        <v>113</v>
      </c>
      <c r="B259" s="17">
        <v>464.6</v>
      </c>
      <c r="C259" s="12" t="s">
        <v>18</v>
      </c>
      <c r="D259" s="12" t="s">
        <v>13</v>
      </c>
      <c r="F259" s="12" t="s">
        <v>12</v>
      </c>
      <c r="G259" s="12" t="s">
        <v>114</v>
      </c>
      <c r="H259" s="11" t="s">
        <v>112</v>
      </c>
      <c r="J259"/>
      <c r="K259" s="20"/>
      <c r="L259" s="20"/>
      <c r="M259" s="20"/>
      <c r="N259" s="20"/>
      <c r="O259" s="20"/>
      <c r="P259" s="20"/>
      <c r="Q259"/>
      <c r="R259"/>
    </row>
    <row r="260" spans="1:18" s="12" customFormat="1" ht="16" x14ac:dyDescent="0.2">
      <c r="A260" s="12" t="s">
        <v>91</v>
      </c>
      <c r="B260" s="17">
        <v>232.3</v>
      </c>
      <c r="C260" s="12" t="s">
        <v>18</v>
      </c>
      <c r="D260" s="12" t="s">
        <v>13</v>
      </c>
      <c r="F260" s="12" t="s">
        <v>12</v>
      </c>
      <c r="G260" s="12" t="s">
        <v>44</v>
      </c>
      <c r="H260" s="11" t="s">
        <v>112</v>
      </c>
      <c r="J260"/>
      <c r="K260" s="20"/>
      <c r="L260" s="20"/>
      <c r="M260" s="20"/>
      <c r="N260" s="20"/>
      <c r="O260" s="20"/>
      <c r="P260" s="20"/>
      <c r="Q260"/>
      <c r="R260"/>
    </row>
    <row r="261" spans="1:18" s="12" customFormat="1" ht="16" x14ac:dyDescent="0.2">
      <c r="A261" s="12" t="s">
        <v>92</v>
      </c>
      <c r="B261" s="17">
        <v>232.3</v>
      </c>
      <c r="C261" s="12" t="s">
        <v>18</v>
      </c>
      <c r="D261" s="12" t="s">
        <v>13</v>
      </c>
      <c r="F261" s="12" t="s">
        <v>12</v>
      </c>
      <c r="G261" s="12" t="s">
        <v>46</v>
      </c>
      <c r="H261" s="11" t="s">
        <v>112</v>
      </c>
      <c r="J261"/>
      <c r="K261" s="20"/>
      <c r="L261" s="20"/>
      <c r="M261" s="20"/>
      <c r="N261" s="20"/>
      <c r="O261" s="20"/>
      <c r="P261" s="20"/>
      <c r="Q261"/>
      <c r="R261"/>
    </row>
    <row r="262" spans="1:18" s="12" customFormat="1" ht="16" x14ac:dyDescent="0.2">
      <c r="A262" s="12" t="s">
        <v>19</v>
      </c>
      <c r="B262" s="17">
        <v>60</v>
      </c>
      <c r="C262" s="12" t="s">
        <v>18</v>
      </c>
      <c r="D262" s="12" t="s">
        <v>13</v>
      </c>
      <c r="F262" s="12" t="s">
        <v>12</v>
      </c>
      <c r="G262" s="12" t="s">
        <v>20</v>
      </c>
      <c r="H262" s="11" t="s">
        <v>115</v>
      </c>
      <c r="J262"/>
      <c r="K262" s="20"/>
      <c r="L262" s="20"/>
      <c r="M262" s="20"/>
      <c r="N262" s="20"/>
      <c r="O262" s="20"/>
      <c r="P262" s="20"/>
      <c r="Q262"/>
      <c r="R262"/>
    </row>
    <row r="263" spans="1:18" s="12" customFormat="1" ht="16" x14ac:dyDescent="0.2">
      <c r="A263" s="12" t="s">
        <v>76</v>
      </c>
      <c r="B263" s="17">
        <v>45</v>
      </c>
      <c r="C263" s="12" t="s">
        <v>18</v>
      </c>
      <c r="D263" s="12" t="s">
        <v>13</v>
      </c>
      <c r="F263" s="12" t="s">
        <v>12</v>
      </c>
      <c r="G263" s="12" t="s">
        <v>77</v>
      </c>
      <c r="H263" s="11" t="s">
        <v>115</v>
      </c>
      <c r="J263"/>
      <c r="K263" s="20"/>
      <c r="L263" s="20"/>
      <c r="M263" s="20"/>
      <c r="N263" s="20"/>
      <c r="O263" s="20"/>
      <c r="P263" s="20"/>
      <c r="Q263"/>
      <c r="R263"/>
    </row>
    <row r="264" spans="1:18" s="12" customFormat="1" ht="16" x14ac:dyDescent="0.2">
      <c r="A264" s="12" t="s">
        <v>91</v>
      </c>
      <c r="B264" s="17">
        <v>180</v>
      </c>
      <c r="C264" s="12" t="s">
        <v>18</v>
      </c>
      <c r="D264" s="12" t="s">
        <v>13</v>
      </c>
      <c r="F264" s="12" t="s">
        <v>12</v>
      </c>
      <c r="G264" s="12" t="s">
        <v>44</v>
      </c>
      <c r="H264" s="11" t="s">
        <v>115</v>
      </c>
      <c r="J264"/>
      <c r="K264" s="20"/>
      <c r="L264" s="20"/>
      <c r="M264" s="20"/>
      <c r="N264" s="20"/>
      <c r="O264" s="20"/>
      <c r="P264" s="20"/>
      <c r="Q264"/>
      <c r="R264"/>
    </row>
    <row r="265" spans="1:18" s="12" customFormat="1" ht="16" x14ac:dyDescent="0.2">
      <c r="A265" s="12" t="s">
        <v>93</v>
      </c>
      <c r="B265" s="17">
        <v>15</v>
      </c>
      <c r="C265" s="12" t="s">
        <v>18</v>
      </c>
      <c r="D265" s="12" t="s">
        <v>13</v>
      </c>
      <c r="F265" s="12" t="s">
        <v>12</v>
      </c>
      <c r="G265" s="12" t="s">
        <v>47</v>
      </c>
      <c r="H265" s="11" t="s">
        <v>115</v>
      </c>
      <c r="J265"/>
      <c r="K265" s="20"/>
      <c r="L265" s="20"/>
      <c r="M265" s="20"/>
      <c r="N265" s="20"/>
      <c r="O265" s="20"/>
      <c r="P265" s="20"/>
      <c r="Q265"/>
      <c r="R265"/>
    </row>
    <row r="266" spans="1:18" s="12" customFormat="1" ht="16" x14ac:dyDescent="0.2">
      <c r="A266" s="12" t="s">
        <v>94</v>
      </c>
      <c r="B266" s="17">
        <v>45</v>
      </c>
      <c r="C266" s="12" t="s">
        <v>18</v>
      </c>
      <c r="D266" s="12" t="s">
        <v>13</v>
      </c>
      <c r="F266" s="12" t="s">
        <v>12</v>
      </c>
      <c r="G266" s="12" t="s">
        <v>48</v>
      </c>
      <c r="H266" s="11" t="s">
        <v>115</v>
      </c>
      <c r="J266"/>
      <c r="K266" s="20"/>
      <c r="L266" s="20"/>
      <c r="M266" s="20"/>
      <c r="N266" s="20"/>
      <c r="O266" s="20"/>
      <c r="P266" s="20"/>
      <c r="Q266"/>
      <c r="R266"/>
    </row>
    <row r="267" spans="1:18" s="12" customFormat="1" ht="16" x14ac:dyDescent="0.2">
      <c r="A267" s="12" t="s">
        <v>116</v>
      </c>
      <c r="B267" s="17">
        <v>600</v>
      </c>
      <c r="C267" s="12" t="s">
        <v>18</v>
      </c>
      <c r="D267" s="12" t="s">
        <v>13</v>
      </c>
      <c r="F267" s="12" t="s">
        <v>12</v>
      </c>
      <c r="G267" s="12" t="s">
        <v>117</v>
      </c>
      <c r="H267" s="11" t="s">
        <v>118</v>
      </c>
      <c r="J267"/>
      <c r="K267" s="20"/>
      <c r="L267" s="20"/>
      <c r="M267" s="20"/>
      <c r="N267" s="20"/>
      <c r="O267" s="20"/>
      <c r="P267" s="20"/>
      <c r="Q267"/>
      <c r="R267"/>
    </row>
    <row r="268" spans="1:18" s="12" customFormat="1" ht="16" x14ac:dyDescent="0.2">
      <c r="A268" s="12" t="s">
        <v>119</v>
      </c>
      <c r="B268" s="17">
        <v>7</v>
      </c>
      <c r="C268" s="12" t="s">
        <v>18</v>
      </c>
      <c r="D268" s="12" t="s">
        <v>13</v>
      </c>
      <c r="F268" s="12" t="s">
        <v>12</v>
      </c>
      <c r="G268" s="12" t="s">
        <v>120</v>
      </c>
      <c r="H268" s="11" t="s">
        <v>118</v>
      </c>
      <c r="J268"/>
      <c r="K268" s="20"/>
      <c r="L268" s="20"/>
      <c r="M268" s="20"/>
      <c r="N268" s="20"/>
      <c r="O268" s="20"/>
      <c r="P268" s="20"/>
      <c r="Q268"/>
      <c r="R268"/>
    </row>
    <row r="269" spans="1:18" s="12" customFormat="1" ht="16" x14ac:dyDescent="0.2">
      <c r="A269" s="12" t="s">
        <v>91</v>
      </c>
      <c r="B269" s="17">
        <v>1300</v>
      </c>
      <c r="C269" s="12" t="s">
        <v>18</v>
      </c>
      <c r="D269" s="12" t="s">
        <v>13</v>
      </c>
      <c r="F269" s="12" t="s">
        <v>12</v>
      </c>
      <c r="G269" s="12" t="s">
        <v>44</v>
      </c>
      <c r="H269" s="11" t="s">
        <v>118</v>
      </c>
      <c r="J269"/>
      <c r="K269" s="20"/>
      <c r="L269" s="20"/>
      <c r="M269" s="20"/>
      <c r="N269" s="20"/>
      <c r="O269" s="20"/>
      <c r="P269" s="20"/>
      <c r="Q269"/>
      <c r="R269"/>
    </row>
    <row r="270" spans="1:18" s="12" customFormat="1" ht="16" x14ac:dyDescent="0.2">
      <c r="A270" s="12" t="s">
        <v>81</v>
      </c>
      <c r="B270" s="17">
        <v>405</v>
      </c>
      <c r="C270" s="12" t="s">
        <v>18</v>
      </c>
      <c r="D270" s="12" t="s">
        <v>13</v>
      </c>
      <c r="F270" s="12" t="s">
        <v>12</v>
      </c>
      <c r="G270" s="12" t="s">
        <v>82</v>
      </c>
      <c r="H270" s="11" t="s">
        <v>118</v>
      </c>
      <c r="J270"/>
      <c r="K270" s="20"/>
      <c r="L270" s="20"/>
      <c r="M270" s="20"/>
      <c r="N270" s="20"/>
      <c r="O270" s="20"/>
      <c r="P270" s="20"/>
      <c r="Q270"/>
      <c r="R270"/>
    </row>
    <row r="271" spans="1:18" s="12" customFormat="1" ht="16" x14ac:dyDescent="0.2">
      <c r="A271" s="12" t="s">
        <v>92</v>
      </c>
      <c r="B271" s="17">
        <v>400</v>
      </c>
      <c r="C271" s="12" t="s">
        <v>18</v>
      </c>
      <c r="D271" s="12" t="s">
        <v>13</v>
      </c>
      <c r="F271" s="12" t="s">
        <v>12</v>
      </c>
      <c r="G271" s="12" t="s">
        <v>46</v>
      </c>
      <c r="H271" s="11" t="s">
        <v>118</v>
      </c>
      <c r="J271"/>
      <c r="K271" s="20"/>
      <c r="L271" s="20"/>
      <c r="M271" s="20"/>
      <c r="N271" s="20"/>
      <c r="O271" s="20"/>
      <c r="P271" s="20"/>
      <c r="Q271"/>
      <c r="R271"/>
    </row>
    <row r="272" spans="1:18" s="12" customFormat="1" ht="16" x14ac:dyDescent="0.2">
      <c r="A272" s="12" t="s">
        <v>21</v>
      </c>
      <c r="B272" s="17">
        <v>405</v>
      </c>
      <c r="C272" s="12" t="s">
        <v>18</v>
      </c>
      <c r="D272" s="12" t="s">
        <v>13</v>
      </c>
      <c r="F272" s="12" t="s">
        <v>12</v>
      </c>
      <c r="G272" s="12" t="s">
        <v>16</v>
      </c>
      <c r="H272" s="11" t="s">
        <v>118</v>
      </c>
      <c r="J272"/>
      <c r="K272" s="20"/>
      <c r="L272" s="20"/>
      <c r="M272" s="20"/>
      <c r="N272" s="20"/>
      <c r="O272" s="20"/>
      <c r="P272" s="20"/>
      <c r="Q272"/>
      <c r="R272"/>
    </row>
    <row r="273" spans="1:18" s="12" customFormat="1" ht="16" x14ac:dyDescent="0.2">
      <c r="A273" s="12" t="s">
        <v>91</v>
      </c>
      <c r="B273" s="17">
        <v>1000</v>
      </c>
      <c r="C273" s="12" t="s">
        <v>18</v>
      </c>
      <c r="D273" s="12" t="s">
        <v>13</v>
      </c>
      <c r="F273" s="12" t="s">
        <v>12</v>
      </c>
      <c r="G273" s="12" t="s">
        <v>44</v>
      </c>
      <c r="H273" s="11" t="s">
        <v>121</v>
      </c>
      <c r="J273"/>
      <c r="K273" s="20"/>
      <c r="L273" s="20"/>
      <c r="M273" s="20"/>
      <c r="N273" s="20"/>
      <c r="O273" s="20"/>
      <c r="P273" s="20"/>
      <c r="Q273"/>
      <c r="R273"/>
    </row>
    <row r="274" spans="1:18" s="12" customFormat="1" ht="16" x14ac:dyDescent="0.2">
      <c r="A274" s="12" t="s">
        <v>81</v>
      </c>
      <c r="B274" s="17">
        <v>1500</v>
      </c>
      <c r="C274" s="12" t="s">
        <v>18</v>
      </c>
      <c r="D274" s="12" t="s">
        <v>13</v>
      </c>
      <c r="F274" s="12" t="s">
        <v>12</v>
      </c>
      <c r="G274" s="12" t="s">
        <v>82</v>
      </c>
      <c r="H274" s="11" t="s">
        <v>121</v>
      </c>
      <c r="J274"/>
      <c r="K274" s="20"/>
      <c r="L274" s="20"/>
      <c r="M274" s="20"/>
      <c r="N274" s="20"/>
      <c r="O274" s="20"/>
      <c r="P274" s="20"/>
      <c r="Q274"/>
      <c r="R274"/>
    </row>
    <row r="275" spans="1:18" s="12" customFormat="1" ht="16" x14ac:dyDescent="0.2">
      <c r="A275" s="12" t="s">
        <v>92</v>
      </c>
      <c r="B275" s="17">
        <v>1000</v>
      </c>
      <c r="C275" s="12" t="s">
        <v>18</v>
      </c>
      <c r="D275" s="12" t="s">
        <v>13</v>
      </c>
      <c r="F275" s="12" t="s">
        <v>12</v>
      </c>
      <c r="G275" s="12" t="s">
        <v>46</v>
      </c>
      <c r="H275" s="11" t="s">
        <v>121</v>
      </c>
      <c r="J275"/>
      <c r="K275" s="20"/>
      <c r="L275" s="20"/>
      <c r="M275" s="20"/>
      <c r="N275" s="20"/>
      <c r="O275" s="20"/>
      <c r="P275" s="20"/>
      <c r="Q275"/>
      <c r="R275"/>
    </row>
    <row r="276" spans="1:18" s="12" customFormat="1" ht="16" x14ac:dyDescent="0.2">
      <c r="A276" s="12" t="s">
        <v>21</v>
      </c>
      <c r="B276" s="17">
        <v>1500</v>
      </c>
      <c r="C276" s="12" t="s">
        <v>18</v>
      </c>
      <c r="D276" s="12" t="s">
        <v>13</v>
      </c>
      <c r="F276" s="12" t="s">
        <v>12</v>
      </c>
      <c r="G276" s="12" t="s">
        <v>16</v>
      </c>
      <c r="H276" s="11" t="s">
        <v>121</v>
      </c>
      <c r="J276"/>
      <c r="K276" s="20"/>
      <c r="L276" s="20"/>
      <c r="M276" s="20"/>
      <c r="N276" s="20"/>
      <c r="O276" s="20"/>
      <c r="P276" s="20"/>
      <c r="Q276"/>
      <c r="R276"/>
    </row>
    <row r="277" spans="1:18" s="12" customFormat="1" ht="16" x14ac:dyDescent="0.2">
      <c r="A277" s="12" t="s">
        <v>81</v>
      </c>
      <c r="B277" s="17">
        <v>511</v>
      </c>
      <c r="C277" s="12" t="s">
        <v>18</v>
      </c>
      <c r="D277" s="12" t="s">
        <v>13</v>
      </c>
      <c r="F277" s="12" t="s">
        <v>12</v>
      </c>
      <c r="G277" s="12" t="s">
        <v>82</v>
      </c>
      <c r="H277" s="11" t="s">
        <v>122</v>
      </c>
      <c r="J277"/>
      <c r="K277" s="20"/>
      <c r="L277" s="20"/>
      <c r="M277" s="20"/>
      <c r="N277" s="20"/>
      <c r="O277" s="20"/>
      <c r="P277" s="20"/>
      <c r="Q277"/>
      <c r="R277"/>
    </row>
    <row r="278" spans="1:18" s="12" customFormat="1" ht="16" x14ac:dyDescent="0.2">
      <c r="A278" s="12" t="s">
        <v>21</v>
      </c>
      <c r="B278" s="17">
        <v>511</v>
      </c>
      <c r="C278" s="12" t="s">
        <v>18</v>
      </c>
      <c r="D278" s="12" t="s">
        <v>13</v>
      </c>
      <c r="F278" s="12" t="s">
        <v>12</v>
      </c>
      <c r="G278" s="12" t="s">
        <v>16</v>
      </c>
      <c r="H278" s="11" t="s">
        <v>122</v>
      </c>
      <c r="J278"/>
      <c r="K278" s="20"/>
      <c r="L278" s="20"/>
      <c r="M278" s="20"/>
      <c r="N278" s="20"/>
      <c r="O278" s="20"/>
      <c r="P278" s="20"/>
      <c r="Q278"/>
      <c r="R278"/>
    </row>
    <row r="279" spans="1:18" s="12" customFormat="1" ht="16" x14ac:dyDescent="0.2">
      <c r="A279" s="12" t="s">
        <v>76</v>
      </c>
      <c r="B279" s="17">
        <v>371.7</v>
      </c>
      <c r="C279" s="12" t="s">
        <v>18</v>
      </c>
      <c r="D279" s="12" t="s">
        <v>13</v>
      </c>
      <c r="F279" s="12" t="s">
        <v>12</v>
      </c>
      <c r="G279" s="12" t="s">
        <v>77</v>
      </c>
      <c r="H279" s="11" t="s">
        <v>182</v>
      </c>
      <c r="J279"/>
      <c r="K279" s="20"/>
      <c r="L279" s="20"/>
      <c r="M279" s="20"/>
      <c r="N279" s="20"/>
      <c r="O279" s="20"/>
      <c r="P279" s="20"/>
      <c r="Q279"/>
      <c r="R279"/>
    </row>
    <row r="280" spans="1:18" s="12" customFormat="1" ht="16" x14ac:dyDescent="0.2">
      <c r="A280" s="12" t="s">
        <v>94</v>
      </c>
      <c r="B280" s="17">
        <v>371.7</v>
      </c>
      <c r="C280" s="12" t="s">
        <v>18</v>
      </c>
      <c r="D280" s="12" t="s">
        <v>13</v>
      </c>
      <c r="F280" s="12" t="s">
        <v>12</v>
      </c>
      <c r="G280" s="12" t="s">
        <v>48</v>
      </c>
      <c r="H280" s="11" t="s">
        <v>182</v>
      </c>
      <c r="J280"/>
      <c r="K280" s="20"/>
      <c r="L280" s="20"/>
      <c r="M280" s="20"/>
      <c r="N280" s="20"/>
      <c r="O280" s="20"/>
      <c r="P280" s="20"/>
      <c r="Q280"/>
      <c r="R280"/>
    </row>
    <row r="281" spans="1:18" s="12" customFormat="1" ht="16" x14ac:dyDescent="0.2">
      <c r="A281" s="12" t="s">
        <v>81</v>
      </c>
      <c r="B281" s="17">
        <v>929.1</v>
      </c>
      <c r="C281" s="12" t="s">
        <v>18</v>
      </c>
      <c r="D281" s="12" t="s">
        <v>13</v>
      </c>
      <c r="F281" s="12" t="s">
        <v>12</v>
      </c>
      <c r="G281" s="12" t="s">
        <v>82</v>
      </c>
      <c r="H281" s="11" t="s">
        <v>182</v>
      </c>
      <c r="J281"/>
      <c r="K281" s="20"/>
      <c r="L281" s="20"/>
      <c r="M281" s="20"/>
      <c r="N281" s="20"/>
      <c r="O281" s="20"/>
      <c r="P281" s="20"/>
      <c r="Q281"/>
      <c r="R281"/>
    </row>
    <row r="282" spans="1:18" s="12" customFormat="1" ht="16" x14ac:dyDescent="0.2">
      <c r="A282" s="12" t="s">
        <v>21</v>
      </c>
      <c r="B282" s="17">
        <v>929.1</v>
      </c>
      <c r="C282" s="12" t="s">
        <v>18</v>
      </c>
      <c r="D282" s="12" t="s">
        <v>13</v>
      </c>
      <c r="F282" s="12" t="s">
        <v>12</v>
      </c>
      <c r="G282" s="12" t="s">
        <v>16</v>
      </c>
      <c r="H282" s="11" t="s">
        <v>182</v>
      </c>
      <c r="J282"/>
      <c r="K282" s="20"/>
      <c r="L282" s="20"/>
      <c r="M282" s="20"/>
      <c r="N282" s="20"/>
      <c r="O282" s="20"/>
      <c r="P282" s="20"/>
      <c r="Q282"/>
      <c r="R282"/>
    </row>
    <row r="283" spans="1:18" s="12" customFormat="1" ht="16" x14ac:dyDescent="0.2">
      <c r="A283" s="12" t="s">
        <v>93</v>
      </c>
      <c r="B283" s="17">
        <v>92.9</v>
      </c>
      <c r="C283" s="12" t="s">
        <v>18</v>
      </c>
      <c r="D283" s="12" t="s">
        <v>13</v>
      </c>
      <c r="F283" s="12" t="s">
        <v>12</v>
      </c>
      <c r="G283" s="12" t="s">
        <v>47</v>
      </c>
      <c r="H283" s="11" t="s">
        <v>182</v>
      </c>
      <c r="J283"/>
      <c r="K283" s="20"/>
      <c r="L283" s="20"/>
      <c r="M283" s="20"/>
      <c r="N283" s="20"/>
      <c r="O283" s="20"/>
      <c r="P283" s="20"/>
      <c r="Q283"/>
      <c r="R283"/>
    </row>
    <row r="284" spans="1:18" s="12" customFormat="1" ht="16" x14ac:dyDescent="0.2">
      <c r="A284" s="12" t="s">
        <v>91</v>
      </c>
      <c r="B284" s="17">
        <v>836.2</v>
      </c>
      <c r="C284" s="12" t="s">
        <v>18</v>
      </c>
      <c r="D284" s="12" t="s">
        <v>13</v>
      </c>
      <c r="F284" s="12" t="s">
        <v>12</v>
      </c>
      <c r="G284" s="12" t="s">
        <v>44</v>
      </c>
      <c r="H284" s="11" t="s">
        <v>183</v>
      </c>
      <c r="J284"/>
      <c r="K284" s="20"/>
      <c r="L284" s="20"/>
      <c r="M284" s="20"/>
      <c r="N284" s="20"/>
      <c r="O284" s="20"/>
      <c r="P284" s="20"/>
      <c r="Q284"/>
      <c r="R284"/>
    </row>
    <row r="285" spans="1:18" s="12" customFormat="1" ht="16" x14ac:dyDescent="0.2">
      <c r="A285" s="12" t="s">
        <v>92</v>
      </c>
      <c r="B285" s="17">
        <v>836.2</v>
      </c>
      <c r="C285" s="12" t="s">
        <v>18</v>
      </c>
      <c r="D285" s="12" t="s">
        <v>13</v>
      </c>
      <c r="F285" s="12" t="s">
        <v>12</v>
      </c>
      <c r="G285" s="12" t="s">
        <v>46</v>
      </c>
      <c r="H285" s="11" t="s">
        <v>183</v>
      </c>
      <c r="J285"/>
      <c r="K285" s="20"/>
      <c r="L285" s="20"/>
      <c r="M285" s="20"/>
      <c r="N285" s="20"/>
      <c r="O285" s="20"/>
      <c r="P285" s="20"/>
      <c r="Q285"/>
      <c r="R285"/>
    </row>
    <row r="286" spans="1:18" s="12" customFormat="1" ht="16" x14ac:dyDescent="0.2">
      <c r="A286" s="12" t="s">
        <v>116</v>
      </c>
      <c r="B286" s="17">
        <v>116.1</v>
      </c>
      <c r="C286" s="12" t="s">
        <v>18</v>
      </c>
      <c r="D286" s="12" t="s">
        <v>13</v>
      </c>
      <c r="F286" s="12" t="s">
        <v>12</v>
      </c>
      <c r="G286" s="12" t="s">
        <v>117</v>
      </c>
      <c r="H286" s="11" t="s">
        <v>184</v>
      </c>
      <c r="J286"/>
      <c r="K286" s="20"/>
      <c r="L286" s="20"/>
      <c r="M286" s="20"/>
      <c r="N286" s="20"/>
      <c r="O286" s="20"/>
      <c r="P286" s="20"/>
      <c r="Q286"/>
      <c r="R286"/>
    </row>
    <row r="287" spans="1:18" s="12" customFormat="1" ht="16" x14ac:dyDescent="0.2">
      <c r="A287" s="12" t="s">
        <v>91</v>
      </c>
      <c r="B287" s="17">
        <v>209.1</v>
      </c>
      <c r="C287" s="12" t="s">
        <v>18</v>
      </c>
      <c r="D287" s="12" t="s">
        <v>13</v>
      </c>
      <c r="F287" s="12" t="s">
        <v>12</v>
      </c>
      <c r="G287" s="12" t="s">
        <v>44</v>
      </c>
      <c r="H287" s="11" t="s">
        <v>184</v>
      </c>
      <c r="J287"/>
      <c r="K287" s="20"/>
      <c r="L287" s="20"/>
      <c r="M287" s="20"/>
      <c r="N287" s="20"/>
      <c r="O287" s="20"/>
      <c r="P287" s="20"/>
      <c r="Q287"/>
      <c r="R287"/>
    </row>
    <row r="288" spans="1:18" s="12" customFormat="1" ht="16" x14ac:dyDescent="0.2">
      <c r="A288" s="12" t="s">
        <v>92</v>
      </c>
      <c r="B288" s="17">
        <v>209.1</v>
      </c>
      <c r="C288" s="12" t="s">
        <v>18</v>
      </c>
      <c r="D288" s="12" t="s">
        <v>13</v>
      </c>
      <c r="F288" s="12" t="s">
        <v>12</v>
      </c>
      <c r="G288" s="12" t="s">
        <v>46</v>
      </c>
      <c r="H288" s="11" t="s">
        <v>184</v>
      </c>
      <c r="J288"/>
      <c r="K288" s="20"/>
      <c r="L288" s="20"/>
      <c r="M288" s="20"/>
      <c r="N288" s="20"/>
      <c r="O288" s="20"/>
      <c r="P288" s="20"/>
      <c r="Q288"/>
      <c r="R288"/>
    </row>
    <row r="289" spans="1:18" s="12" customFormat="1" ht="16" x14ac:dyDescent="0.2">
      <c r="A289" s="12" t="s">
        <v>81</v>
      </c>
      <c r="B289" s="17">
        <v>1161.4000000000001</v>
      </c>
      <c r="C289" s="12" t="s">
        <v>18</v>
      </c>
      <c r="D289" s="12" t="s">
        <v>13</v>
      </c>
      <c r="F289" s="12" t="s">
        <v>12</v>
      </c>
      <c r="G289" s="12" t="s">
        <v>82</v>
      </c>
      <c r="H289" s="11" t="s">
        <v>109</v>
      </c>
      <c r="J289"/>
      <c r="K289" s="20"/>
      <c r="L289" s="20"/>
      <c r="M289" s="20"/>
      <c r="N289" s="20"/>
      <c r="O289" s="20"/>
      <c r="P289" s="20"/>
      <c r="Q289"/>
      <c r="R289"/>
    </row>
    <row r="290" spans="1:18" s="12" customFormat="1" ht="16" x14ac:dyDescent="0.2">
      <c r="A290" s="12" t="s">
        <v>21</v>
      </c>
      <c r="B290" s="17">
        <v>1161.4000000000001</v>
      </c>
      <c r="C290" s="12" t="s">
        <v>18</v>
      </c>
      <c r="D290" s="12" t="s">
        <v>13</v>
      </c>
      <c r="F290" s="12" t="s">
        <v>12</v>
      </c>
      <c r="G290" s="12" t="s">
        <v>16</v>
      </c>
      <c r="H290" s="11" t="s">
        <v>109</v>
      </c>
      <c r="J290"/>
      <c r="K290" s="20"/>
      <c r="L290" s="20"/>
      <c r="M290" s="20"/>
      <c r="N290" s="20"/>
      <c r="O290" s="20"/>
      <c r="P290" s="20"/>
      <c r="Q290"/>
      <c r="R290"/>
    </row>
    <row r="291" spans="1:18" s="12" customFormat="1" ht="16" x14ac:dyDescent="0.2">
      <c r="A291" s="12" t="s">
        <v>91</v>
      </c>
      <c r="B291" s="17">
        <v>80</v>
      </c>
      <c r="C291" s="12" t="s">
        <v>18</v>
      </c>
      <c r="D291" s="12" t="s">
        <v>13</v>
      </c>
      <c r="F291" s="12" t="s">
        <v>12</v>
      </c>
      <c r="G291" s="12" t="s">
        <v>44</v>
      </c>
      <c r="H291" s="11" t="s">
        <v>185</v>
      </c>
      <c r="J291"/>
      <c r="K291" s="20"/>
      <c r="L291" s="20"/>
      <c r="M291" s="20"/>
      <c r="N291" s="20"/>
      <c r="O291" s="20"/>
      <c r="P291" s="20"/>
      <c r="Q291"/>
      <c r="R291"/>
    </row>
    <row r="292" spans="1:18" s="12" customFormat="1" ht="16" x14ac:dyDescent="0.2">
      <c r="A292" s="12" t="s">
        <v>92</v>
      </c>
      <c r="B292" s="17">
        <v>80</v>
      </c>
      <c r="C292" s="12" t="s">
        <v>18</v>
      </c>
      <c r="D292" s="12" t="s">
        <v>13</v>
      </c>
      <c r="F292" s="12" t="s">
        <v>12</v>
      </c>
      <c r="G292" s="12" t="s">
        <v>46</v>
      </c>
      <c r="H292" s="11" t="s">
        <v>185</v>
      </c>
      <c r="J292"/>
      <c r="K292" s="20"/>
      <c r="L292" s="20"/>
      <c r="M292" s="20"/>
      <c r="N292" s="20"/>
      <c r="O292" s="20"/>
      <c r="P292" s="20"/>
      <c r="Q292"/>
      <c r="R292"/>
    </row>
    <row r="293" spans="1:18" s="12" customFormat="1" ht="16" x14ac:dyDescent="0.2">
      <c r="A293" s="12" t="s">
        <v>81</v>
      </c>
      <c r="B293" s="17">
        <v>851</v>
      </c>
      <c r="C293" s="12" t="s">
        <v>18</v>
      </c>
      <c r="D293" s="12" t="s">
        <v>13</v>
      </c>
      <c r="F293" s="12" t="s">
        <v>12</v>
      </c>
      <c r="G293" s="12" t="s">
        <v>82</v>
      </c>
      <c r="H293" s="11" t="s">
        <v>186</v>
      </c>
      <c r="J293"/>
      <c r="K293" s="20"/>
      <c r="L293" s="20"/>
      <c r="M293" s="20"/>
      <c r="N293" s="20"/>
      <c r="O293" s="20"/>
      <c r="P293" s="20"/>
      <c r="Q293"/>
      <c r="R293"/>
    </row>
    <row r="294" spans="1:18" s="12" customFormat="1" ht="16" x14ac:dyDescent="0.2">
      <c r="A294" s="12" t="s">
        <v>21</v>
      </c>
      <c r="B294" s="17">
        <v>851</v>
      </c>
      <c r="C294" s="12" t="s">
        <v>18</v>
      </c>
      <c r="D294" s="12" t="s">
        <v>13</v>
      </c>
      <c r="F294" s="12" t="s">
        <v>12</v>
      </c>
      <c r="G294" s="12" t="s">
        <v>16</v>
      </c>
      <c r="H294" s="11" t="s">
        <v>186</v>
      </c>
      <c r="J294"/>
      <c r="K294" s="20"/>
      <c r="L294" s="20"/>
      <c r="M294" s="20"/>
      <c r="N294" s="20"/>
      <c r="O294" s="20"/>
      <c r="P294" s="20"/>
      <c r="Q294"/>
      <c r="R294"/>
    </row>
    <row r="295" spans="1:18" s="12" customFormat="1" ht="16" x14ac:dyDescent="0.2">
      <c r="A295" s="12" t="s">
        <v>29</v>
      </c>
      <c r="B295" s="17">
        <v>3</v>
      </c>
      <c r="C295" s="12" t="s">
        <v>18</v>
      </c>
      <c r="D295" s="12" t="s">
        <v>13</v>
      </c>
      <c r="F295" s="12" t="s">
        <v>12</v>
      </c>
      <c r="G295" s="12" t="s">
        <v>30</v>
      </c>
      <c r="H295" s="11" t="s">
        <v>187</v>
      </c>
      <c r="J295"/>
      <c r="K295" s="20"/>
      <c r="L295" s="20"/>
      <c r="M295" s="20"/>
      <c r="N295" s="20"/>
      <c r="O295" s="20"/>
      <c r="P295" s="20"/>
      <c r="Q295"/>
      <c r="R295"/>
    </row>
    <row r="296" spans="1:18" s="12" customFormat="1" ht="16" x14ac:dyDescent="0.2">
      <c r="A296" s="12" t="s">
        <v>101</v>
      </c>
      <c r="B296" s="17">
        <v>3</v>
      </c>
      <c r="C296" s="12" t="s">
        <v>18</v>
      </c>
      <c r="D296" s="12" t="s">
        <v>13</v>
      </c>
      <c r="F296" s="12" t="s">
        <v>12</v>
      </c>
      <c r="G296" s="12" t="s">
        <v>102</v>
      </c>
      <c r="H296" s="11" t="s">
        <v>187</v>
      </c>
      <c r="J296"/>
      <c r="K296" s="20"/>
      <c r="L296" s="20"/>
      <c r="M296" s="20"/>
      <c r="N296" s="20"/>
      <c r="O296" s="20"/>
      <c r="P296" s="20"/>
      <c r="Q296"/>
      <c r="R296"/>
    </row>
    <row r="297" spans="1:18" s="12" customFormat="1" ht="16" x14ac:dyDescent="0.2">
      <c r="A297" s="12" t="s">
        <v>81</v>
      </c>
      <c r="B297" s="17">
        <v>1108</v>
      </c>
      <c r="C297" s="12" t="s">
        <v>18</v>
      </c>
      <c r="D297" s="12" t="s">
        <v>13</v>
      </c>
      <c r="F297" s="12" t="s">
        <v>12</v>
      </c>
      <c r="G297" s="12" t="s">
        <v>82</v>
      </c>
      <c r="H297" s="11" t="s">
        <v>188</v>
      </c>
      <c r="J297"/>
      <c r="K297" s="20"/>
      <c r="L297" s="20"/>
      <c r="M297" s="20"/>
      <c r="N297" s="20"/>
      <c r="O297" s="20"/>
      <c r="P297" s="20"/>
      <c r="Q297"/>
      <c r="R297"/>
    </row>
    <row r="298" spans="1:18" s="12" customFormat="1" ht="16" x14ac:dyDescent="0.2">
      <c r="A298" s="12" t="s">
        <v>21</v>
      </c>
      <c r="B298" s="17">
        <v>1108</v>
      </c>
      <c r="C298" s="12" t="s">
        <v>18</v>
      </c>
      <c r="D298" s="12" t="s">
        <v>13</v>
      </c>
      <c r="F298" s="12" t="s">
        <v>12</v>
      </c>
      <c r="G298" s="12" t="s">
        <v>16</v>
      </c>
      <c r="H298" s="11" t="s">
        <v>188</v>
      </c>
      <c r="J298"/>
      <c r="K298" s="20"/>
      <c r="L298" s="20"/>
      <c r="M298" s="20"/>
      <c r="N298" s="20"/>
      <c r="O298" s="20"/>
      <c r="P298" s="20"/>
      <c r="Q298"/>
      <c r="R298"/>
    </row>
    <row r="299" spans="1:18" s="12" customFormat="1" ht="16" x14ac:dyDescent="0.2">
      <c r="A299" s="12" t="s">
        <v>123</v>
      </c>
      <c r="B299" s="17">
        <v>29</v>
      </c>
      <c r="C299" s="12" t="s">
        <v>18</v>
      </c>
      <c r="D299" s="12" t="s">
        <v>124</v>
      </c>
      <c r="F299" s="12" t="s">
        <v>12</v>
      </c>
      <c r="G299" s="12" t="s">
        <v>125</v>
      </c>
      <c r="H299" s="11" t="s">
        <v>122</v>
      </c>
      <c r="J299"/>
      <c r="K299" s="20"/>
      <c r="L299" s="20"/>
      <c r="M299" s="20"/>
      <c r="N299" s="20"/>
      <c r="O299" s="20"/>
      <c r="P299" s="20"/>
      <c r="Q299"/>
      <c r="R299"/>
    </row>
    <row r="300" spans="1:18" s="12" customFormat="1" ht="16" x14ac:dyDescent="0.2">
      <c r="A300" s="12" t="s">
        <v>92</v>
      </c>
      <c r="B300" s="17">
        <v>6075.6</v>
      </c>
      <c r="C300" s="12" t="s">
        <v>18</v>
      </c>
      <c r="D300" s="12" t="s">
        <v>13</v>
      </c>
      <c r="F300" s="12" t="s">
        <v>12</v>
      </c>
      <c r="G300" s="12" t="s">
        <v>46</v>
      </c>
      <c r="H300" s="11" t="s">
        <v>126</v>
      </c>
      <c r="J300"/>
      <c r="K300" s="20"/>
      <c r="L300" s="20"/>
      <c r="M300" s="20"/>
      <c r="N300" s="20"/>
      <c r="O300" s="20"/>
      <c r="P300" s="20"/>
      <c r="Q300"/>
      <c r="R300"/>
    </row>
    <row r="301" spans="1:18" s="12" customFormat="1" ht="15.5" customHeight="1" x14ac:dyDescent="0.2">
      <c r="A301" s="29" t="s">
        <v>27</v>
      </c>
      <c r="B301" s="17">
        <v>6075.6</v>
      </c>
      <c r="C301" s="12" t="s">
        <v>18</v>
      </c>
      <c r="D301" s="12" t="s">
        <v>13</v>
      </c>
      <c r="F301" s="12" t="s">
        <v>12</v>
      </c>
      <c r="G301" s="11" t="s">
        <v>28</v>
      </c>
      <c r="H301" s="11" t="s">
        <v>126</v>
      </c>
      <c r="J301"/>
      <c r="K301" s="20"/>
      <c r="L301" s="20"/>
      <c r="M301" s="20"/>
      <c r="N301" s="20"/>
      <c r="O301" s="20"/>
      <c r="P301" s="20"/>
      <c r="Q301"/>
      <c r="R301"/>
    </row>
    <row r="302" spans="1:18" s="12" customFormat="1" ht="16" x14ac:dyDescent="0.2">
      <c r="A302" s="12" t="s">
        <v>127</v>
      </c>
      <c r="B302" s="30">
        <v>7.7</v>
      </c>
      <c r="C302" s="12" t="s">
        <v>49</v>
      </c>
      <c r="D302" s="11" t="s">
        <v>33</v>
      </c>
      <c r="F302" s="12" t="s">
        <v>12</v>
      </c>
      <c r="G302" s="11" t="s">
        <v>128</v>
      </c>
      <c r="H302" s="11" t="s">
        <v>129</v>
      </c>
      <c r="J302"/>
      <c r="K302" s="20"/>
      <c r="L302" s="20"/>
      <c r="M302" s="20"/>
      <c r="N302" s="20"/>
      <c r="O302" s="20"/>
      <c r="P302" s="20"/>
      <c r="Q302"/>
      <c r="R302"/>
    </row>
    <row r="303" spans="1:18" s="12" customFormat="1" ht="16" x14ac:dyDescent="0.2">
      <c r="A303" s="12" t="s">
        <v>35</v>
      </c>
      <c r="B303" s="17">
        <v>37113.5</v>
      </c>
      <c r="C303" s="12" t="s">
        <v>18</v>
      </c>
      <c r="D303" s="12" t="s">
        <v>37</v>
      </c>
      <c r="F303" s="12" t="s">
        <v>12</v>
      </c>
      <c r="G303" s="11" t="s">
        <v>38</v>
      </c>
      <c r="H303" s="12" t="s">
        <v>87</v>
      </c>
      <c r="J303"/>
      <c r="K303" s="20"/>
      <c r="L303" s="20"/>
      <c r="M303" s="20"/>
      <c r="N303" s="20"/>
      <c r="O303" s="20"/>
      <c r="P303" s="20"/>
      <c r="Q303"/>
      <c r="R303"/>
    </row>
    <row r="304" spans="1:18" s="12" customFormat="1" ht="16" x14ac:dyDescent="0.2">
      <c r="B304" s="17"/>
      <c r="C304" s="11"/>
      <c r="F304" s="11"/>
      <c r="G304" s="11"/>
      <c r="H304" s="11"/>
      <c r="I304" s="11"/>
      <c r="K304" s="13"/>
      <c r="L304" s="13"/>
      <c r="M304" s="13"/>
      <c r="N304" s="13"/>
      <c r="O304" s="13"/>
      <c r="P304" s="13"/>
    </row>
    <row r="305" spans="1:20" s="12" customFormat="1" ht="16" x14ac:dyDescent="0.2">
      <c r="A305" s="9" t="s">
        <v>1</v>
      </c>
      <c r="B305" s="10" t="s">
        <v>270</v>
      </c>
      <c r="K305" s="13"/>
      <c r="L305" s="13"/>
      <c r="M305" s="13"/>
      <c r="N305" s="13"/>
      <c r="O305" s="13"/>
      <c r="P305" s="13"/>
    </row>
    <row r="306" spans="1:20" s="12" customFormat="1" ht="16" x14ac:dyDescent="0.2">
      <c r="A306" s="14" t="s">
        <v>3</v>
      </c>
      <c r="B306" s="15">
        <v>1</v>
      </c>
      <c r="K306" s="13"/>
      <c r="L306" s="13"/>
      <c r="M306" s="13"/>
      <c r="N306" s="13"/>
      <c r="O306" s="13"/>
      <c r="P306" s="13"/>
    </row>
    <row r="307" spans="1:20" s="12" customFormat="1" ht="16" x14ac:dyDescent="0.2">
      <c r="A307" s="14" t="s">
        <v>11</v>
      </c>
      <c r="B307" s="15" t="s">
        <v>522</v>
      </c>
      <c r="K307" s="13"/>
      <c r="L307" s="13"/>
      <c r="M307" s="13"/>
      <c r="N307" s="13"/>
      <c r="O307" s="13"/>
      <c r="P307" s="13"/>
    </row>
    <row r="308" spans="1:20" s="12" customFormat="1" ht="16" x14ac:dyDescent="0.2">
      <c r="A308" s="14" t="s">
        <v>4</v>
      </c>
      <c r="B308" s="17" t="s">
        <v>271</v>
      </c>
      <c r="K308" s="13"/>
      <c r="L308" s="13"/>
      <c r="M308" s="13"/>
      <c r="N308" s="13"/>
      <c r="O308" s="13"/>
      <c r="P308" s="13"/>
    </row>
    <row r="309" spans="1:20" s="12" customFormat="1" ht="16" x14ac:dyDescent="0.2">
      <c r="A309" s="14" t="s">
        <v>2</v>
      </c>
      <c r="B309" s="15" t="s">
        <v>36</v>
      </c>
      <c r="K309" s="13"/>
      <c r="L309" s="13"/>
      <c r="M309" s="13"/>
      <c r="N309" s="13"/>
      <c r="O309" s="13"/>
      <c r="P309" s="13"/>
    </row>
    <row r="310" spans="1:20" s="12" customFormat="1" ht="16" x14ac:dyDescent="0.2">
      <c r="A310" s="14" t="s">
        <v>6</v>
      </c>
      <c r="B310" s="17" t="s">
        <v>6</v>
      </c>
      <c r="K310" s="13"/>
      <c r="L310" s="13"/>
      <c r="M310" s="13"/>
      <c r="N310" s="13"/>
      <c r="O310" s="13"/>
      <c r="P310" s="13"/>
    </row>
    <row r="311" spans="1:20" s="12" customFormat="1" ht="16" x14ac:dyDescent="0.2">
      <c r="A311" s="18" t="s">
        <v>7</v>
      </c>
      <c r="B311" s="10"/>
      <c r="C311" s="18"/>
      <c r="D311" s="18"/>
      <c r="E311" s="18"/>
      <c r="F311" s="18"/>
      <c r="G311" s="18"/>
      <c r="H311" s="18"/>
      <c r="I311" s="18"/>
      <c r="J311" s="18"/>
      <c r="K311" s="13"/>
      <c r="L311" s="13"/>
      <c r="M311" s="13"/>
      <c r="N311" s="13"/>
      <c r="O311" s="13"/>
      <c r="P311" s="13"/>
    </row>
    <row r="312" spans="1:20" s="12" customFormat="1" ht="16" x14ac:dyDescent="0.2">
      <c r="A312" s="18" t="s">
        <v>8</v>
      </c>
      <c r="B312" s="10" t="s">
        <v>9</v>
      </c>
      <c r="C312" s="18" t="s">
        <v>2</v>
      </c>
      <c r="D312" s="18" t="s">
        <v>6</v>
      </c>
      <c r="E312" s="24" t="s">
        <v>10</v>
      </c>
      <c r="F312" s="18" t="s">
        <v>5</v>
      </c>
      <c r="G312" s="18" t="s">
        <v>4</v>
      </c>
      <c r="H312" s="24" t="s">
        <v>11</v>
      </c>
      <c r="I312" s="18"/>
      <c r="J312" s="8"/>
      <c r="K312" s="19"/>
      <c r="L312" s="19"/>
      <c r="M312" s="19"/>
      <c r="N312" s="19"/>
      <c r="O312" s="19"/>
      <c r="P312" s="19"/>
      <c r="Q312" s="8"/>
      <c r="R312" s="8"/>
      <c r="S312" s="18"/>
      <c r="T312" s="8"/>
    </row>
    <row r="313" spans="1:20" s="12" customFormat="1" ht="16" x14ac:dyDescent="0.2">
      <c r="A313" s="17" t="str">
        <f>B305</f>
        <v>treatment of fuel cell balance of plant, 1MWe, AEC</v>
      </c>
      <c r="B313" s="13">
        <v>-1</v>
      </c>
      <c r="C313" s="12" t="s">
        <v>36</v>
      </c>
      <c r="D313" s="12" t="str">
        <f>B310</f>
        <v>unit</v>
      </c>
      <c r="F313" s="12" t="s">
        <v>17</v>
      </c>
      <c r="G313" s="12" t="str">
        <f>B308</f>
        <v>used fuel cell balance of plant, 1MWe, AEC</v>
      </c>
      <c r="K313" s="13"/>
      <c r="L313" s="13"/>
      <c r="M313" s="13"/>
      <c r="N313" s="13"/>
      <c r="O313" s="13"/>
      <c r="P313" s="13"/>
    </row>
    <row r="314" spans="1:20" s="12" customFormat="1" ht="16" x14ac:dyDescent="0.2">
      <c r="A314" s="17" t="s">
        <v>243</v>
      </c>
      <c r="B314" s="12">
        <v>-12819.5</v>
      </c>
      <c r="C314" s="12" t="s">
        <v>40</v>
      </c>
      <c r="D314" s="12" t="s">
        <v>13</v>
      </c>
      <c r="F314" s="12" t="s">
        <v>12</v>
      </c>
      <c r="G314" s="12" t="s">
        <v>244</v>
      </c>
      <c r="J314"/>
      <c r="K314" s="20"/>
      <c r="L314" s="20"/>
      <c r="M314" s="20"/>
      <c r="N314" s="20"/>
      <c r="O314" s="20"/>
      <c r="P314" s="20"/>
      <c r="Q314"/>
      <c r="R314"/>
    </row>
    <row r="315" spans="1:20" s="12" customFormat="1" ht="16" x14ac:dyDescent="0.2">
      <c r="A315" s="17" t="s">
        <v>503</v>
      </c>
      <c r="B315" s="12">
        <v>-5134.3999999999996</v>
      </c>
      <c r="C315" s="12" t="s">
        <v>259</v>
      </c>
      <c r="D315" s="12" t="s">
        <v>13</v>
      </c>
      <c r="F315" s="12" t="s">
        <v>12</v>
      </c>
      <c r="G315" s="17" t="s">
        <v>258</v>
      </c>
      <c r="J315"/>
      <c r="K315" s="20"/>
      <c r="L315" s="20"/>
      <c r="M315" s="20"/>
      <c r="N315" s="20"/>
      <c r="O315" s="20"/>
      <c r="P315" s="20"/>
      <c r="Q315"/>
      <c r="R315"/>
    </row>
    <row r="316" spans="1:20" s="12" customFormat="1" ht="16" x14ac:dyDescent="0.2">
      <c r="A316" s="12" t="s">
        <v>245</v>
      </c>
      <c r="B316" s="12">
        <v>-160</v>
      </c>
      <c r="C316" s="12" t="s">
        <v>40</v>
      </c>
      <c r="D316" s="12" t="s">
        <v>13</v>
      </c>
      <c r="F316" s="12" t="s">
        <v>12</v>
      </c>
      <c r="G316" s="12" t="s">
        <v>246</v>
      </c>
      <c r="J316"/>
      <c r="K316" s="20"/>
      <c r="L316" s="20"/>
      <c r="M316" s="20"/>
      <c r="N316" s="20"/>
      <c r="O316" s="20"/>
      <c r="P316" s="20"/>
      <c r="Q316"/>
      <c r="R316"/>
    </row>
    <row r="317" spans="1:20" s="12" customFormat="1" ht="16" x14ac:dyDescent="0.2">
      <c r="A317" s="12" t="s">
        <v>272</v>
      </c>
      <c r="B317" s="12">
        <v>-32</v>
      </c>
      <c r="C317" s="12" t="s">
        <v>259</v>
      </c>
      <c r="D317" s="12" t="s">
        <v>13</v>
      </c>
      <c r="F317" s="12" t="s">
        <v>12</v>
      </c>
      <c r="G317" s="12" t="s">
        <v>273</v>
      </c>
      <c r="J317"/>
      <c r="K317" s="20"/>
      <c r="L317" s="20"/>
      <c r="M317" s="20"/>
      <c r="N317" s="20"/>
      <c r="O317" s="20"/>
      <c r="P317" s="20"/>
      <c r="Q317"/>
      <c r="R317"/>
    </row>
    <row r="318" spans="1:20" s="12" customFormat="1" ht="16" x14ac:dyDescent="0.2">
      <c r="A318" s="12" t="s">
        <v>260</v>
      </c>
      <c r="B318" s="12">
        <v>-14</v>
      </c>
      <c r="C318" s="12" t="s">
        <v>259</v>
      </c>
      <c r="D318" s="12" t="s">
        <v>13</v>
      </c>
      <c r="F318" s="12" t="s">
        <v>12</v>
      </c>
      <c r="G318" s="12" t="s">
        <v>504</v>
      </c>
      <c r="J318"/>
      <c r="K318" s="20"/>
      <c r="L318" s="20"/>
      <c r="M318" s="20"/>
      <c r="N318" s="20"/>
      <c r="O318" s="20"/>
      <c r="P318" s="20"/>
      <c r="Q318"/>
      <c r="R318"/>
    </row>
    <row r="319" spans="1:20" s="12" customFormat="1" ht="16" x14ac:dyDescent="0.2">
      <c r="A319" s="12" t="s">
        <v>261</v>
      </c>
      <c r="B319" s="12">
        <v>-800</v>
      </c>
      <c r="C319" s="12" t="s">
        <v>18</v>
      </c>
      <c r="D319" s="12" t="s">
        <v>13</v>
      </c>
      <c r="F319" s="12" t="s">
        <v>12</v>
      </c>
      <c r="G319" s="12" t="s">
        <v>262</v>
      </c>
      <c r="J319"/>
      <c r="K319" s="20"/>
      <c r="L319" s="20"/>
      <c r="M319" s="20"/>
      <c r="N319" s="20"/>
      <c r="O319" s="20"/>
      <c r="P319" s="20"/>
      <c r="Q319"/>
      <c r="R319"/>
    </row>
    <row r="320" spans="1:20" s="12" customFormat="1" ht="16" x14ac:dyDescent="0.2">
      <c r="A320" s="12" t="s">
        <v>263</v>
      </c>
      <c r="B320" s="12">
        <v>-468</v>
      </c>
      <c r="C320" s="12" t="s">
        <v>40</v>
      </c>
      <c r="D320" s="12" t="s">
        <v>13</v>
      </c>
      <c r="F320" s="12" t="s">
        <v>12</v>
      </c>
      <c r="G320" s="12" t="s">
        <v>506</v>
      </c>
      <c r="J320"/>
      <c r="K320" s="20"/>
      <c r="L320" s="20"/>
      <c r="M320" s="20"/>
      <c r="N320" s="20"/>
      <c r="O320" s="20"/>
      <c r="P320" s="20"/>
      <c r="Q320"/>
      <c r="R320"/>
    </row>
    <row r="321" spans="1:20" s="12" customFormat="1" ht="16" x14ac:dyDescent="0.2">
      <c r="A321" s="12" t="s">
        <v>505</v>
      </c>
      <c r="B321" s="12">
        <v>-716</v>
      </c>
      <c r="C321" s="12" t="s">
        <v>40</v>
      </c>
      <c r="D321" s="12" t="s">
        <v>13</v>
      </c>
      <c r="F321" s="12" t="s">
        <v>12</v>
      </c>
      <c r="G321" s="12" t="s">
        <v>264</v>
      </c>
      <c r="J321"/>
      <c r="K321" s="20"/>
      <c r="L321" s="20"/>
      <c r="M321" s="20"/>
      <c r="N321" s="20"/>
      <c r="O321" s="20"/>
      <c r="P321" s="20"/>
      <c r="Q321"/>
      <c r="R321"/>
    </row>
    <row r="322" spans="1:20" s="12" customFormat="1" ht="16" x14ac:dyDescent="0.2">
      <c r="A322" s="12" t="s">
        <v>247</v>
      </c>
      <c r="B322" s="12">
        <v>-617</v>
      </c>
      <c r="C322" s="12" t="s">
        <v>40</v>
      </c>
      <c r="D322" s="12" t="s">
        <v>13</v>
      </c>
      <c r="F322" s="12" t="s">
        <v>12</v>
      </c>
      <c r="G322" s="12" t="s">
        <v>248</v>
      </c>
      <c r="J322"/>
      <c r="K322" s="20"/>
      <c r="L322" s="20"/>
      <c r="M322" s="20"/>
      <c r="N322" s="20"/>
      <c r="O322" s="20"/>
      <c r="P322" s="20"/>
      <c r="Q322"/>
      <c r="R322"/>
    </row>
    <row r="323" spans="1:20" s="12" customFormat="1" ht="16" x14ac:dyDescent="0.2">
      <c r="A323" s="12" t="s">
        <v>249</v>
      </c>
      <c r="B323" s="12">
        <v>-208</v>
      </c>
      <c r="C323" s="12" t="s">
        <v>251</v>
      </c>
      <c r="D323" s="12" t="s">
        <v>13</v>
      </c>
      <c r="F323" s="12" t="s">
        <v>12</v>
      </c>
      <c r="G323" s="12" t="s">
        <v>250</v>
      </c>
      <c r="J323"/>
      <c r="K323" s="20"/>
      <c r="L323" s="20"/>
      <c r="M323" s="20"/>
      <c r="N323" s="20"/>
      <c r="O323" s="20"/>
      <c r="P323" s="20"/>
      <c r="Q323"/>
      <c r="R323"/>
    </row>
    <row r="324" spans="1:20" s="12" customFormat="1" ht="16" x14ac:dyDescent="0.2">
      <c r="A324" s="12" t="s">
        <v>502</v>
      </c>
      <c r="B324" s="12">
        <v>-18519</v>
      </c>
      <c r="C324" s="12" t="s">
        <v>40</v>
      </c>
      <c r="D324" s="12" t="s">
        <v>13</v>
      </c>
      <c r="F324" s="12" t="s">
        <v>12</v>
      </c>
      <c r="G324" s="12" t="s">
        <v>265</v>
      </c>
      <c r="J324"/>
      <c r="K324" s="20"/>
      <c r="L324" s="20"/>
      <c r="M324" s="20"/>
      <c r="N324" s="20"/>
      <c r="O324" s="20"/>
      <c r="P324" s="20"/>
      <c r="Q324"/>
      <c r="R324"/>
    </row>
    <row r="325" spans="1:20" s="12" customFormat="1" ht="16" x14ac:dyDescent="0.2">
      <c r="B325" s="17"/>
      <c r="K325" s="13"/>
      <c r="L325" s="13"/>
      <c r="M325" s="13"/>
      <c r="N325" s="13"/>
      <c r="O325" s="13"/>
      <c r="P325" s="13"/>
    </row>
    <row r="326" spans="1:20" s="12" customFormat="1" ht="16" x14ac:dyDescent="0.2">
      <c r="A326" s="9" t="s">
        <v>1</v>
      </c>
      <c r="B326" s="10" t="s">
        <v>491</v>
      </c>
      <c r="C326" s="11"/>
      <c r="K326" s="13"/>
      <c r="L326" s="13"/>
      <c r="M326" s="13"/>
      <c r="N326" s="13"/>
      <c r="O326" s="13"/>
      <c r="P326" s="13"/>
    </row>
    <row r="327" spans="1:20" s="12" customFormat="1" ht="16" x14ac:dyDescent="0.2">
      <c r="A327" s="14" t="s">
        <v>3</v>
      </c>
      <c r="B327" s="15">
        <v>1</v>
      </c>
      <c r="K327" s="13"/>
      <c r="L327" s="13"/>
      <c r="M327" s="13"/>
      <c r="N327" s="13"/>
      <c r="O327" s="13"/>
      <c r="P327" s="13"/>
    </row>
    <row r="328" spans="1:20" s="12" customFormat="1" ht="16" x14ac:dyDescent="0.2">
      <c r="A328" s="14" t="s">
        <v>11</v>
      </c>
      <c r="B328" s="15" t="s">
        <v>487</v>
      </c>
      <c r="K328" s="13"/>
      <c r="L328" s="13"/>
      <c r="M328" s="13"/>
      <c r="N328" s="13"/>
      <c r="O328" s="13"/>
      <c r="P328" s="13"/>
    </row>
    <row r="329" spans="1:20" s="12" customFormat="1" ht="16" x14ac:dyDescent="0.2">
      <c r="A329" s="14" t="s">
        <v>4</v>
      </c>
      <c r="B329" s="16" t="s">
        <v>492</v>
      </c>
      <c r="K329" s="13"/>
      <c r="L329" s="13"/>
      <c r="M329" s="13"/>
      <c r="N329" s="13"/>
      <c r="O329" s="13"/>
      <c r="P329" s="13"/>
    </row>
    <row r="330" spans="1:20" s="12" customFormat="1" ht="16" x14ac:dyDescent="0.2">
      <c r="A330" s="14" t="s">
        <v>2</v>
      </c>
      <c r="B330" s="15" t="s">
        <v>49</v>
      </c>
      <c r="K330" s="13"/>
      <c r="L330" s="13"/>
      <c r="M330" s="13"/>
      <c r="N330" s="13"/>
      <c r="O330" s="13"/>
      <c r="P330" s="13"/>
    </row>
    <row r="331" spans="1:20" s="12" customFormat="1" ht="16" x14ac:dyDescent="0.2">
      <c r="A331" s="14" t="s">
        <v>6</v>
      </c>
      <c r="B331" s="17" t="s">
        <v>13</v>
      </c>
      <c r="H331" s="18"/>
      <c r="I331" s="18"/>
      <c r="J331" s="18"/>
      <c r="K331" s="13"/>
      <c r="L331" s="13"/>
      <c r="M331" s="13"/>
      <c r="N331" s="13"/>
      <c r="O331" s="13"/>
      <c r="P331" s="13"/>
    </row>
    <row r="332" spans="1:20" s="12" customFormat="1" ht="16" x14ac:dyDescent="0.2">
      <c r="A332" s="18" t="s">
        <v>7</v>
      </c>
      <c r="B332" s="10"/>
      <c r="C332" s="18"/>
      <c r="D332" s="18"/>
      <c r="E332" s="18"/>
      <c r="F332" s="18"/>
      <c r="G332" s="18"/>
      <c r="H332" s="11"/>
      <c r="I332" s="11"/>
      <c r="J332" s="11"/>
      <c r="K332" s="13"/>
      <c r="L332" s="13"/>
      <c r="M332" s="13"/>
      <c r="N332" s="13"/>
      <c r="O332" s="13"/>
      <c r="P332" s="13"/>
    </row>
    <row r="333" spans="1:20" s="12" customFormat="1" ht="16" x14ac:dyDescent="0.2">
      <c r="A333" s="18" t="s">
        <v>8</v>
      </c>
      <c r="B333" s="10" t="s">
        <v>9</v>
      </c>
      <c r="C333" s="18" t="s">
        <v>2</v>
      </c>
      <c r="D333" s="18" t="s">
        <v>6</v>
      </c>
      <c r="E333" s="18" t="s">
        <v>10</v>
      </c>
      <c r="F333" s="18" t="s">
        <v>5</v>
      </c>
      <c r="G333" s="18" t="s">
        <v>4</v>
      </c>
      <c r="H333" s="24" t="s">
        <v>11</v>
      </c>
      <c r="I333" s="18"/>
      <c r="J333" s="8"/>
      <c r="K333" s="19"/>
      <c r="L333" s="19"/>
      <c r="M333" s="19"/>
      <c r="N333" s="19"/>
      <c r="O333" s="19"/>
      <c r="P333" s="19"/>
      <c r="Q333" s="8"/>
      <c r="R333" s="8"/>
      <c r="S333" s="18"/>
      <c r="T333" s="8"/>
    </row>
    <row r="334" spans="1:20" s="12" customFormat="1" ht="16" x14ac:dyDescent="0.2">
      <c r="A334" s="17" t="s">
        <v>491</v>
      </c>
      <c r="B334" s="17">
        <v>1</v>
      </c>
      <c r="C334" s="12" t="str">
        <f>B330</f>
        <v>CH</v>
      </c>
      <c r="D334" s="12" t="str">
        <f>B331</f>
        <v>kilogram</v>
      </c>
      <c r="E334" s="11"/>
      <c r="F334" s="12" t="s">
        <v>17</v>
      </c>
      <c r="G334" s="12" t="s">
        <v>492</v>
      </c>
      <c r="H334" s="11"/>
      <c r="I334" s="11"/>
      <c r="K334" s="13"/>
      <c r="L334" s="13"/>
      <c r="M334" s="13"/>
      <c r="N334" s="13"/>
      <c r="O334" s="13"/>
      <c r="P334" s="13"/>
      <c r="T334"/>
    </row>
    <row r="335" spans="1:20" s="12" customFormat="1" ht="16" x14ac:dyDescent="0.2">
      <c r="A335" s="17" t="str">
        <f>B368</f>
        <v>electrolyzer production, 1MWe, SOEC, Stack</v>
      </c>
      <c r="B335" s="12">
        <f>(1/3776000)*8</f>
        <v>2.1186440677966101E-6</v>
      </c>
      <c r="C335" s="12" t="s">
        <v>36</v>
      </c>
      <c r="D335" s="12" t="s">
        <v>6</v>
      </c>
      <c r="F335" s="12" t="s">
        <v>12</v>
      </c>
      <c r="G335" s="12" t="s">
        <v>189</v>
      </c>
      <c r="H335" s="12" t="s">
        <v>495</v>
      </c>
      <c r="J335"/>
      <c r="K335" s="20"/>
      <c r="L335" s="20"/>
      <c r="M335" s="20"/>
      <c r="N335" s="20"/>
      <c r="O335" s="20"/>
      <c r="P335" s="20"/>
      <c r="Q335"/>
      <c r="R335"/>
    </row>
    <row r="336" spans="1:20" s="12" customFormat="1" ht="16" x14ac:dyDescent="0.2">
      <c r="A336" s="17" t="str">
        <f>B405</f>
        <v>electrolyzer production, 1MWe, SOEC, Balance of Plant</v>
      </c>
      <c r="B336" s="12">
        <f>1/3776000</f>
        <v>2.6483050847457627E-7</v>
      </c>
      <c r="C336" s="12" t="s">
        <v>36</v>
      </c>
      <c r="D336" s="12" t="s">
        <v>6</v>
      </c>
      <c r="F336" s="12" t="s">
        <v>12</v>
      </c>
      <c r="G336" s="12" t="s">
        <v>190</v>
      </c>
      <c r="H336" s="12" t="s">
        <v>55</v>
      </c>
      <c r="J336"/>
      <c r="K336" s="20"/>
      <c r="L336" s="20"/>
      <c r="M336" s="20"/>
      <c r="N336" s="20"/>
      <c r="O336" s="20"/>
      <c r="P336" s="20"/>
      <c r="Q336"/>
      <c r="R336"/>
    </row>
    <row r="337" spans="1:18" s="12" customFormat="1" ht="16" x14ac:dyDescent="0.2">
      <c r="A337" s="17" t="s">
        <v>274</v>
      </c>
      <c r="B337" s="12">
        <f>-1*B335</f>
        <v>-2.1186440677966101E-6</v>
      </c>
      <c r="C337" s="12" t="s">
        <v>36</v>
      </c>
      <c r="D337" s="12" t="s">
        <v>6</v>
      </c>
      <c r="F337" s="12" t="s">
        <v>12</v>
      </c>
      <c r="G337" s="12" t="s">
        <v>275</v>
      </c>
      <c r="H337" s="12" t="s">
        <v>255</v>
      </c>
      <c r="J337"/>
      <c r="K337" s="20"/>
      <c r="L337" s="20"/>
      <c r="M337" s="20"/>
      <c r="N337" s="20"/>
      <c r="O337" s="20"/>
      <c r="P337" s="20"/>
      <c r="Q337"/>
      <c r="R337"/>
    </row>
    <row r="338" spans="1:18" s="12" customFormat="1" ht="16" x14ac:dyDescent="0.2">
      <c r="A338" s="17" t="s">
        <v>276</v>
      </c>
      <c r="B338" s="12">
        <f>-1*B336</f>
        <v>-2.6483050847457627E-7</v>
      </c>
      <c r="C338" s="12" t="s">
        <v>36</v>
      </c>
      <c r="D338" s="12" t="s">
        <v>6</v>
      </c>
      <c r="F338" s="12" t="s">
        <v>12</v>
      </c>
      <c r="G338" s="12" t="s">
        <v>277</v>
      </c>
      <c r="H338" s="12" t="s">
        <v>267</v>
      </c>
      <c r="J338"/>
      <c r="K338" s="20"/>
      <c r="L338" s="20"/>
      <c r="M338" s="20"/>
      <c r="N338" s="20"/>
      <c r="O338" s="20"/>
      <c r="P338" s="20"/>
      <c r="Q338"/>
      <c r="R338"/>
    </row>
    <row r="339" spans="1:18" s="12" customFormat="1" ht="16" x14ac:dyDescent="0.2">
      <c r="A339" s="14" t="s">
        <v>56</v>
      </c>
      <c r="B339" s="17">
        <v>42.3</v>
      </c>
      <c r="C339" s="12" t="s">
        <v>49</v>
      </c>
      <c r="D339" s="12" t="s">
        <v>37</v>
      </c>
      <c r="E339" s="11"/>
      <c r="F339" s="12" t="s">
        <v>12</v>
      </c>
      <c r="G339" s="12" t="s">
        <v>38</v>
      </c>
      <c r="H339" s="11" t="s">
        <v>498</v>
      </c>
      <c r="J339"/>
      <c r="K339" s="20"/>
      <c r="L339" s="20"/>
      <c r="M339" s="20"/>
      <c r="N339" s="20"/>
      <c r="O339" s="20"/>
      <c r="P339" s="20"/>
      <c r="Q339"/>
      <c r="R339"/>
    </row>
    <row r="340" spans="1:18" s="12" customFormat="1" ht="16" x14ac:dyDescent="0.2">
      <c r="A340" s="14" t="s">
        <v>57</v>
      </c>
      <c r="B340" s="17">
        <v>0</v>
      </c>
      <c r="C340" s="12" t="s">
        <v>36</v>
      </c>
      <c r="D340" s="12" t="s">
        <v>58</v>
      </c>
      <c r="E340" s="11"/>
      <c r="F340" s="12" t="s">
        <v>12</v>
      </c>
      <c r="G340" s="12" t="s">
        <v>59</v>
      </c>
      <c r="H340" s="11" t="s">
        <v>191</v>
      </c>
      <c r="J340"/>
      <c r="K340" s="20"/>
      <c r="L340" s="20"/>
      <c r="M340" s="20"/>
      <c r="N340" s="20"/>
      <c r="O340" s="20"/>
      <c r="P340" s="20"/>
      <c r="Q340"/>
      <c r="R340"/>
    </row>
    <row r="341" spans="1:18" s="12" customFormat="1" ht="16" x14ac:dyDescent="0.2">
      <c r="A341" s="14" t="s">
        <v>39</v>
      </c>
      <c r="B341" s="17">
        <v>14</v>
      </c>
      <c r="C341" s="12" t="s">
        <v>40</v>
      </c>
      <c r="D341" s="12" t="s">
        <v>13</v>
      </c>
      <c r="F341" s="12" t="s">
        <v>12</v>
      </c>
      <c r="G341" s="12" t="s">
        <v>41</v>
      </c>
      <c r="H341" s="21" t="s">
        <v>60</v>
      </c>
      <c r="J341"/>
      <c r="K341" s="20"/>
      <c r="L341" s="20"/>
      <c r="M341" s="20"/>
      <c r="N341" s="20"/>
      <c r="O341" s="20"/>
      <c r="P341" s="20"/>
      <c r="Q341"/>
      <c r="R341"/>
    </row>
    <row r="342" spans="1:18" s="12" customFormat="1" ht="16" x14ac:dyDescent="0.2">
      <c r="A342" s="22" t="s">
        <v>42</v>
      </c>
      <c r="B342" s="16">
        <v>8</v>
      </c>
      <c r="C342" s="22"/>
      <c r="D342" s="22" t="s">
        <v>13</v>
      </c>
      <c r="E342" s="22" t="s">
        <v>43</v>
      </c>
      <c r="F342" s="22" t="s">
        <v>15</v>
      </c>
      <c r="G342" s="22"/>
      <c r="H342" s="23"/>
      <c r="J342"/>
      <c r="K342" s="20"/>
      <c r="L342" s="20"/>
      <c r="M342" s="20"/>
      <c r="N342" s="20"/>
      <c r="O342" s="20"/>
      <c r="P342" s="20"/>
      <c r="Q342" s="20"/>
      <c r="R342"/>
    </row>
    <row r="343" spans="1:18" s="12" customFormat="1" ht="16" x14ac:dyDescent="0.2">
      <c r="A343" s="48" t="s">
        <v>509</v>
      </c>
      <c r="B343" s="49">
        <f>(0.02*1000)/(3776000/20)</f>
        <v>1.0593220338983051E-4</v>
      </c>
      <c r="C343" s="48"/>
      <c r="D343" s="48" t="s">
        <v>507</v>
      </c>
      <c r="E343" s="48" t="s">
        <v>508</v>
      </c>
      <c r="F343" s="48" t="s">
        <v>15</v>
      </c>
      <c r="H343" s="48" t="s">
        <v>517</v>
      </c>
      <c r="I343" s="12">
        <v>2</v>
      </c>
      <c r="J343">
        <f t="shared" ref="J343:J345" si="4">LN(B343)</f>
        <v>-9.1527112591395472</v>
      </c>
      <c r="K343" s="20">
        <v>1.05</v>
      </c>
      <c r="L343" s="20">
        <v>1.1000000000000001</v>
      </c>
      <c r="M343" s="20">
        <v>1</v>
      </c>
      <c r="N343" s="20">
        <v>1.02</v>
      </c>
      <c r="O343" s="20">
        <v>1.2</v>
      </c>
      <c r="P343" s="20">
        <v>1.2</v>
      </c>
      <c r="Q343" s="20">
        <v>1.5</v>
      </c>
      <c r="R343">
        <f t="shared" ref="R343:R345" si="5">LN(SQRT(EXP(
SQRT(
+POWER(LN(K343),2)
+POWER(LN(L343),2)
+POWER(LN(M343),2)
+POWER(LN(N343),2)
+POWER(LN(O343),2)
+POWER(LN(P343),2)
+POWER(LN(Q343),2)
)
)))</f>
        <v>0.24634371748562628</v>
      </c>
    </row>
    <row r="344" spans="1:18" s="12" customFormat="1" ht="16" x14ac:dyDescent="0.2">
      <c r="A344" s="48" t="s">
        <v>511</v>
      </c>
      <c r="B344" s="49">
        <f>(0.02*1000)/3776000</f>
        <v>5.2966101694915258E-6</v>
      </c>
      <c r="C344" s="48"/>
      <c r="D344" s="48" t="s">
        <v>512</v>
      </c>
      <c r="E344" s="48" t="s">
        <v>508</v>
      </c>
      <c r="F344" s="48" t="s">
        <v>15</v>
      </c>
      <c r="H344" s="48" t="s">
        <v>518</v>
      </c>
      <c r="I344" s="12">
        <v>2</v>
      </c>
      <c r="J344">
        <f t="shared" si="4"/>
        <v>-12.148443532693538</v>
      </c>
      <c r="K344" s="20">
        <v>1.05</v>
      </c>
      <c r="L344" s="20">
        <v>1.1000000000000001</v>
      </c>
      <c r="M344" s="20">
        <v>1</v>
      </c>
      <c r="N344" s="20">
        <v>1.02</v>
      </c>
      <c r="O344" s="20">
        <v>1.2</v>
      </c>
      <c r="P344" s="20">
        <v>1.2</v>
      </c>
      <c r="Q344" s="20">
        <v>1.5</v>
      </c>
      <c r="R344">
        <f t="shared" si="5"/>
        <v>0.24634371748562628</v>
      </c>
    </row>
    <row r="345" spans="1:18" s="12" customFormat="1" ht="16" x14ac:dyDescent="0.2">
      <c r="A345" s="48" t="s">
        <v>514</v>
      </c>
      <c r="B345" s="49">
        <f>(0.02*1000)/3776000</f>
        <v>5.2966101694915258E-6</v>
      </c>
      <c r="C345" s="48"/>
      <c r="D345" s="48" t="s">
        <v>512</v>
      </c>
      <c r="E345" s="48" t="s">
        <v>508</v>
      </c>
      <c r="F345" s="48" t="s">
        <v>15</v>
      </c>
      <c r="H345" s="48" t="s">
        <v>518</v>
      </c>
      <c r="I345" s="12">
        <v>2</v>
      </c>
      <c r="J345">
        <f t="shared" si="4"/>
        <v>-12.148443532693538</v>
      </c>
      <c r="K345" s="20">
        <v>1.05</v>
      </c>
      <c r="L345" s="20">
        <v>1.1000000000000001</v>
      </c>
      <c r="M345" s="20">
        <v>1</v>
      </c>
      <c r="N345" s="20">
        <v>1.02</v>
      </c>
      <c r="O345" s="20">
        <v>1.2</v>
      </c>
      <c r="P345" s="20">
        <v>1.2</v>
      </c>
      <c r="Q345" s="20">
        <v>1.5</v>
      </c>
      <c r="R345">
        <f t="shared" si="5"/>
        <v>0.24634371748562628</v>
      </c>
    </row>
    <row r="346" spans="1:18" s="12" customFormat="1" ht="16" x14ac:dyDescent="0.2">
      <c r="B346" s="17"/>
      <c r="K346" s="13"/>
      <c r="L346" s="13"/>
      <c r="M346" s="13"/>
      <c r="N346" s="13"/>
      <c r="O346" s="13"/>
      <c r="P346" s="13"/>
    </row>
    <row r="347" spans="1:18" s="12" customFormat="1" ht="16" x14ac:dyDescent="0.2">
      <c r="A347" s="9" t="s">
        <v>1</v>
      </c>
      <c r="B347" s="10" t="s">
        <v>499</v>
      </c>
      <c r="C347" s="11"/>
      <c r="K347" s="13"/>
      <c r="L347" s="13"/>
      <c r="M347" s="13"/>
      <c r="N347" s="13"/>
      <c r="O347" s="13"/>
      <c r="P347" s="13"/>
    </row>
    <row r="348" spans="1:18" s="12" customFormat="1" ht="16" x14ac:dyDescent="0.2">
      <c r="A348" s="14" t="s">
        <v>3</v>
      </c>
      <c r="B348" s="15">
        <v>1</v>
      </c>
      <c r="K348" s="13"/>
      <c r="L348" s="13"/>
      <c r="M348" s="13"/>
      <c r="N348" s="13"/>
      <c r="O348" s="13"/>
      <c r="P348" s="13"/>
    </row>
    <row r="349" spans="1:18" s="12" customFormat="1" ht="16" x14ac:dyDescent="0.2">
      <c r="A349" s="14" t="s">
        <v>11</v>
      </c>
      <c r="B349" s="15" t="s">
        <v>487</v>
      </c>
      <c r="K349" s="13"/>
      <c r="L349" s="13"/>
      <c r="M349" s="13"/>
      <c r="N349" s="13"/>
      <c r="O349" s="13"/>
      <c r="P349" s="13"/>
    </row>
    <row r="350" spans="1:18" s="12" customFormat="1" ht="16" x14ac:dyDescent="0.2">
      <c r="A350" s="14" t="s">
        <v>4</v>
      </c>
      <c r="B350" s="16" t="s">
        <v>492</v>
      </c>
      <c r="K350" s="13"/>
      <c r="L350" s="13"/>
      <c r="M350" s="13"/>
      <c r="N350" s="13"/>
      <c r="O350" s="13"/>
      <c r="P350" s="13"/>
    </row>
    <row r="351" spans="1:18" s="12" customFormat="1" ht="16" x14ac:dyDescent="0.2">
      <c r="A351" s="14" t="s">
        <v>2</v>
      </c>
      <c r="B351" s="15" t="s">
        <v>49</v>
      </c>
      <c r="K351" s="13"/>
      <c r="L351" s="13"/>
      <c r="M351" s="13"/>
      <c r="N351" s="13"/>
      <c r="O351" s="13"/>
      <c r="P351" s="13"/>
    </row>
    <row r="352" spans="1:18" s="12" customFormat="1" ht="16" x14ac:dyDescent="0.2">
      <c r="A352" s="14" t="s">
        <v>6</v>
      </c>
      <c r="B352" s="17" t="s">
        <v>13</v>
      </c>
      <c r="H352" s="18"/>
      <c r="I352" s="18"/>
      <c r="J352" s="18"/>
      <c r="K352" s="13"/>
      <c r="L352" s="13"/>
      <c r="M352" s="13"/>
      <c r="N352" s="13"/>
      <c r="O352" s="13"/>
      <c r="P352" s="13"/>
    </row>
    <row r="353" spans="1:20" s="12" customFormat="1" ht="16" x14ac:dyDescent="0.2">
      <c r="A353" s="18" t="s">
        <v>7</v>
      </c>
      <c r="B353" s="10"/>
      <c r="C353" s="18"/>
      <c r="D353" s="18"/>
      <c r="E353" s="18"/>
      <c r="F353" s="18"/>
      <c r="G353" s="18"/>
      <c r="H353" s="11"/>
      <c r="I353" s="11"/>
      <c r="J353" s="11"/>
      <c r="K353" s="13"/>
      <c r="L353" s="13"/>
      <c r="M353" s="13"/>
      <c r="N353" s="13"/>
      <c r="O353" s="13"/>
      <c r="P353" s="13"/>
    </row>
    <row r="354" spans="1:20" s="12" customFormat="1" ht="16" x14ac:dyDescent="0.2">
      <c r="A354" s="18" t="s">
        <v>8</v>
      </c>
      <c r="B354" s="10" t="s">
        <v>9</v>
      </c>
      <c r="C354" s="18" t="s">
        <v>2</v>
      </c>
      <c r="D354" s="18" t="s">
        <v>6</v>
      </c>
      <c r="E354" s="18" t="s">
        <v>10</v>
      </c>
      <c r="F354" s="18" t="s">
        <v>5</v>
      </c>
      <c r="G354" s="18" t="s">
        <v>4</v>
      </c>
      <c r="H354" s="24" t="s">
        <v>11</v>
      </c>
      <c r="I354" s="18"/>
      <c r="J354" s="8"/>
      <c r="K354" s="19"/>
      <c r="L354" s="19"/>
      <c r="M354" s="19"/>
      <c r="N354" s="19"/>
      <c r="O354" s="19"/>
      <c r="P354" s="19"/>
      <c r="Q354" s="8"/>
      <c r="R354" s="8"/>
      <c r="S354" s="18"/>
      <c r="T354" s="8"/>
    </row>
    <row r="355" spans="1:20" s="12" customFormat="1" ht="16" x14ac:dyDescent="0.2">
      <c r="A355" s="17" t="s">
        <v>499</v>
      </c>
      <c r="B355" s="17">
        <v>1</v>
      </c>
      <c r="C355" s="12" t="str">
        <f>B351</f>
        <v>CH</v>
      </c>
      <c r="D355" s="12" t="str">
        <f>B352</f>
        <v>kilogram</v>
      </c>
      <c r="E355" s="11"/>
      <c r="F355" s="12" t="s">
        <v>17</v>
      </c>
      <c r="G355" s="12" t="s">
        <v>492</v>
      </c>
      <c r="H355" s="11"/>
      <c r="I355" s="11"/>
      <c r="K355" s="13"/>
      <c r="L355" s="13"/>
      <c r="M355" s="13"/>
      <c r="N355" s="13"/>
      <c r="O355" s="13"/>
      <c r="P355" s="13"/>
      <c r="T355"/>
    </row>
    <row r="356" spans="1:20" s="12" customFormat="1" ht="16" x14ac:dyDescent="0.2">
      <c r="A356" s="17" t="s">
        <v>192</v>
      </c>
      <c r="B356" s="12">
        <f>(1/3776000)*8</f>
        <v>2.1186440677966101E-6</v>
      </c>
      <c r="C356" s="12" t="s">
        <v>36</v>
      </c>
      <c r="D356" s="12" t="s">
        <v>6</v>
      </c>
      <c r="F356" s="12" t="s">
        <v>12</v>
      </c>
      <c r="G356" s="12" t="s">
        <v>189</v>
      </c>
      <c r="H356" s="12" t="s">
        <v>495</v>
      </c>
      <c r="J356"/>
      <c r="K356" s="20"/>
      <c r="L356" s="20"/>
      <c r="M356" s="20"/>
      <c r="N356" s="20"/>
      <c r="O356" s="20"/>
      <c r="P356" s="20"/>
      <c r="Q356"/>
      <c r="R356"/>
    </row>
    <row r="357" spans="1:20" s="12" customFormat="1" ht="16" x14ac:dyDescent="0.2">
      <c r="A357" s="17" t="s">
        <v>218</v>
      </c>
      <c r="B357" s="12">
        <f>1/3776000</f>
        <v>2.6483050847457627E-7</v>
      </c>
      <c r="C357" s="12" t="s">
        <v>36</v>
      </c>
      <c r="D357" s="12" t="s">
        <v>6</v>
      </c>
      <c r="F357" s="12" t="s">
        <v>12</v>
      </c>
      <c r="G357" s="12" t="s">
        <v>190</v>
      </c>
      <c r="H357" s="12" t="s">
        <v>55</v>
      </c>
      <c r="J357"/>
      <c r="K357" s="20"/>
      <c r="L357" s="20"/>
      <c r="M357" s="20"/>
      <c r="N357" s="20"/>
      <c r="O357" s="20"/>
      <c r="P357" s="20"/>
      <c r="Q357"/>
      <c r="R357"/>
    </row>
    <row r="358" spans="1:20" s="12" customFormat="1" ht="16" x14ac:dyDescent="0.2">
      <c r="A358" s="17" t="s">
        <v>274</v>
      </c>
      <c r="B358" s="12">
        <f>-1*B356</f>
        <v>-2.1186440677966101E-6</v>
      </c>
      <c r="C358" s="12" t="s">
        <v>36</v>
      </c>
      <c r="D358" s="12" t="s">
        <v>6</v>
      </c>
      <c r="F358" s="12" t="s">
        <v>12</v>
      </c>
      <c r="G358" s="12" t="s">
        <v>275</v>
      </c>
      <c r="H358" s="12" t="s">
        <v>255</v>
      </c>
      <c r="J358"/>
      <c r="K358" s="20"/>
      <c r="L358" s="20"/>
      <c r="M358" s="20"/>
      <c r="N358" s="20"/>
      <c r="O358" s="20"/>
      <c r="P358" s="20"/>
      <c r="Q358"/>
      <c r="R358"/>
    </row>
    <row r="359" spans="1:20" s="12" customFormat="1" ht="16" x14ac:dyDescent="0.2">
      <c r="A359" s="17" t="s">
        <v>276</v>
      </c>
      <c r="B359" s="12">
        <f>-1*B357</f>
        <v>-2.6483050847457627E-7</v>
      </c>
      <c r="C359" s="12" t="s">
        <v>36</v>
      </c>
      <c r="D359" s="12" t="s">
        <v>6</v>
      </c>
      <c r="F359" s="12" t="s">
        <v>12</v>
      </c>
      <c r="G359" s="12" t="s">
        <v>277</v>
      </c>
      <c r="H359" s="12" t="s">
        <v>267</v>
      </c>
      <c r="J359"/>
      <c r="K359" s="20"/>
      <c r="L359" s="20"/>
      <c r="M359" s="20"/>
      <c r="N359" s="20"/>
      <c r="O359" s="20"/>
      <c r="P359" s="20"/>
      <c r="Q359"/>
      <c r="R359"/>
    </row>
    <row r="360" spans="1:20" s="12" customFormat="1" ht="16" x14ac:dyDescent="0.2">
      <c r="A360" s="14" t="s">
        <v>56</v>
      </c>
      <c r="B360" s="17">
        <v>39</v>
      </c>
      <c r="C360" s="12" t="s">
        <v>49</v>
      </c>
      <c r="D360" s="12" t="s">
        <v>37</v>
      </c>
      <c r="E360" s="11"/>
      <c r="F360" s="12" t="s">
        <v>12</v>
      </c>
      <c r="G360" s="12" t="s">
        <v>38</v>
      </c>
      <c r="H360" s="11" t="s">
        <v>498</v>
      </c>
      <c r="J360"/>
      <c r="K360" s="20"/>
      <c r="L360" s="20"/>
      <c r="M360" s="20"/>
      <c r="N360" s="20"/>
      <c r="O360" s="20"/>
      <c r="P360" s="20"/>
      <c r="Q360"/>
      <c r="R360"/>
    </row>
    <row r="361" spans="1:20" s="12" customFormat="1" ht="16" x14ac:dyDescent="0.2">
      <c r="A361" s="14" t="s">
        <v>57</v>
      </c>
      <c r="B361" s="17">
        <v>16</v>
      </c>
      <c r="C361" s="12" t="s">
        <v>36</v>
      </c>
      <c r="D361" s="12" t="s">
        <v>58</v>
      </c>
      <c r="E361" s="11"/>
      <c r="F361" s="12" t="s">
        <v>12</v>
      </c>
      <c r="G361" s="12" t="s">
        <v>59</v>
      </c>
      <c r="H361" s="11" t="s">
        <v>500</v>
      </c>
      <c r="J361"/>
      <c r="K361" s="20"/>
      <c r="L361" s="20"/>
      <c r="M361" s="20"/>
      <c r="N361" s="20"/>
      <c r="O361" s="20"/>
      <c r="P361" s="20"/>
      <c r="Q361"/>
      <c r="R361"/>
    </row>
    <row r="362" spans="1:20" s="12" customFormat="1" ht="16" x14ac:dyDescent="0.2">
      <c r="A362" s="14" t="s">
        <v>39</v>
      </c>
      <c r="B362" s="17">
        <v>14</v>
      </c>
      <c r="C362" s="12" t="s">
        <v>40</v>
      </c>
      <c r="D362" s="12" t="s">
        <v>13</v>
      </c>
      <c r="F362" s="12" t="s">
        <v>12</v>
      </c>
      <c r="G362" s="12" t="s">
        <v>41</v>
      </c>
      <c r="H362" s="21" t="s">
        <v>60</v>
      </c>
      <c r="J362"/>
      <c r="K362" s="20"/>
      <c r="L362" s="20"/>
      <c r="M362" s="20"/>
      <c r="N362" s="20"/>
      <c r="O362" s="20"/>
      <c r="P362" s="20"/>
      <c r="Q362"/>
      <c r="R362"/>
    </row>
    <row r="363" spans="1:20" s="12" customFormat="1" ht="16" x14ac:dyDescent="0.2">
      <c r="A363" s="22" t="s">
        <v>42</v>
      </c>
      <c r="B363" s="16">
        <v>8</v>
      </c>
      <c r="C363" s="22"/>
      <c r="D363" s="22" t="s">
        <v>13</v>
      </c>
      <c r="E363" s="22" t="s">
        <v>43</v>
      </c>
      <c r="F363" s="22" t="s">
        <v>15</v>
      </c>
      <c r="G363" s="22"/>
      <c r="H363" s="23"/>
      <c r="J363"/>
      <c r="K363" s="20"/>
      <c r="L363" s="20"/>
      <c r="M363" s="20"/>
      <c r="N363" s="20"/>
      <c r="O363" s="20"/>
      <c r="P363" s="20"/>
      <c r="Q363" s="20"/>
      <c r="R363"/>
    </row>
    <row r="364" spans="1:20" s="12" customFormat="1" ht="16" x14ac:dyDescent="0.2">
      <c r="A364" s="48" t="s">
        <v>509</v>
      </c>
      <c r="B364" s="49">
        <f>(0.05*1000)/(3776000/20)</f>
        <v>2.6483050847457627E-4</v>
      </c>
      <c r="C364" s="48"/>
      <c r="D364" s="48" t="s">
        <v>507</v>
      </c>
      <c r="E364" s="48" t="s">
        <v>508</v>
      </c>
      <c r="F364" s="48" t="s">
        <v>15</v>
      </c>
      <c r="H364" s="48" t="s">
        <v>517</v>
      </c>
      <c r="I364" s="12">
        <v>2</v>
      </c>
      <c r="J364">
        <f t="shared" ref="J364:J366" si="6">LN(B364)</f>
        <v>-8.2364205272653912</v>
      </c>
      <c r="K364" s="20">
        <v>1.05</v>
      </c>
      <c r="L364" s="20">
        <v>1.1000000000000001</v>
      </c>
      <c r="M364" s="20">
        <v>1</v>
      </c>
      <c r="N364" s="20">
        <v>1.02</v>
      </c>
      <c r="O364" s="20">
        <v>1.2</v>
      </c>
      <c r="P364" s="20">
        <v>1.2</v>
      </c>
      <c r="Q364" s="20">
        <v>1.5</v>
      </c>
      <c r="R364">
        <f t="shared" ref="R364:R366" si="7">LN(SQRT(EXP(
SQRT(
+POWER(LN(K364),2)
+POWER(LN(L364),2)
+POWER(LN(M364),2)
+POWER(LN(N364),2)
+POWER(LN(O364),2)
+POWER(LN(P364),2)
+POWER(LN(Q364),2)
)
)))</f>
        <v>0.24634371748562628</v>
      </c>
    </row>
    <row r="365" spans="1:20" s="12" customFormat="1" ht="16" x14ac:dyDescent="0.2">
      <c r="A365" s="48" t="s">
        <v>511</v>
      </c>
      <c r="B365" s="49">
        <f>(0.05*1000)/3776000</f>
        <v>1.3241525423728813E-5</v>
      </c>
      <c r="C365" s="48"/>
      <c r="D365" s="48" t="s">
        <v>512</v>
      </c>
      <c r="E365" s="48" t="s">
        <v>508</v>
      </c>
      <c r="F365" s="48" t="s">
        <v>15</v>
      </c>
      <c r="H365" s="48" t="s">
        <v>518</v>
      </c>
      <c r="I365" s="12">
        <v>2</v>
      </c>
      <c r="J365">
        <f t="shared" si="6"/>
        <v>-11.232152800819382</v>
      </c>
      <c r="K365" s="20">
        <v>1.05</v>
      </c>
      <c r="L365" s="20">
        <v>1.1000000000000001</v>
      </c>
      <c r="M365" s="20">
        <v>1</v>
      </c>
      <c r="N365" s="20">
        <v>1.02</v>
      </c>
      <c r="O365" s="20">
        <v>1.2</v>
      </c>
      <c r="P365" s="20">
        <v>1.2</v>
      </c>
      <c r="Q365" s="20">
        <v>1.5</v>
      </c>
      <c r="R365">
        <f t="shared" si="7"/>
        <v>0.24634371748562628</v>
      </c>
    </row>
    <row r="366" spans="1:20" s="12" customFormat="1" ht="16" x14ac:dyDescent="0.2">
      <c r="A366" s="48" t="s">
        <v>514</v>
      </c>
      <c r="B366" s="49">
        <f>(0.05*1000)/3776000</f>
        <v>1.3241525423728813E-5</v>
      </c>
      <c r="C366" s="48"/>
      <c r="D366" s="48" t="s">
        <v>512</v>
      </c>
      <c r="E366" s="48" t="s">
        <v>508</v>
      </c>
      <c r="F366" s="48" t="s">
        <v>15</v>
      </c>
      <c r="H366" s="48" t="s">
        <v>518</v>
      </c>
      <c r="I366" s="12">
        <v>2</v>
      </c>
      <c r="J366">
        <f t="shared" si="6"/>
        <v>-11.232152800819382</v>
      </c>
      <c r="K366" s="20">
        <v>1.05</v>
      </c>
      <c r="L366" s="20">
        <v>1.1000000000000001</v>
      </c>
      <c r="M366" s="20">
        <v>1</v>
      </c>
      <c r="N366" s="20">
        <v>1.02</v>
      </c>
      <c r="O366" s="20">
        <v>1.2</v>
      </c>
      <c r="P366" s="20">
        <v>1.2</v>
      </c>
      <c r="Q366" s="20">
        <v>1.5</v>
      </c>
      <c r="R366">
        <f t="shared" si="7"/>
        <v>0.24634371748562628</v>
      </c>
    </row>
    <row r="367" spans="1:20" s="12" customFormat="1" ht="16" x14ac:dyDescent="0.2">
      <c r="B367" s="17"/>
      <c r="K367" s="13"/>
      <c r="L367" s="13"/>
      <c r="M367" s="13"/>
      <c r="N367" s="13"/>
      <c r="O367" s="13"/>
      <c r="P367" s="13"/>
    </row>
    <row r="368" spans="1:20" s="12" customFormat="1" ht="16" x14ac:dyDescent="0.2">
      <c r="A368" s="9" t="s">
        <v>1</v>
      </c>
      <c r="B368" s="10" t="s">
        <v>192</v>
      </c>
      <c r="K368" s="13"/>
      <c r="L368" s="13"/>
      <c r="M368" s="13"/>
      <c r="N368" s="13"/>
      <c r="O368" s="13"/>
      <c r="P368" s="13"/>
    </row>
    <row r="369" spans="1:20" s="12" customFormat="1" ht="16" x14ac:dyDescent="0.2">
      <c r="A369" s="14" t="s">
        <v>3</v>
      </c>
      <c r="B369" s="15">
        <v>1</v>
      </c>
      <c r="K369" s="13"/>
      <c r="L369" s="13"/>
      <c r="M369" s="13"/>
      <c r="N369" s="13"/>
      <c r="O369" s="13"/>
      <c r="P369" s="13"/>
    </row>
    <row r="370" spans="1:20" s="12" customFormat="1" ht="16" x14ac:dyDescent="0.2">
      <c r="A370" s="14" t="s">
        <v>11</v>
      </c>
      <c r="B370" s="15" t="s">
        <v>523</v>
      </c>
      <c r="K370" s="13"/>
      <c r="L370" s="13"/>
      <c r="M370" s="13"/>
      <c r="N370" s="13"/>
      <c r="O370" s="13"/>
      <c r="P370" s="13"/>
    </row>
    <row r="371" spans="1:20" s="12" customFormat="1" ht="16" x14ac:dyDescent="0.2">
      <c r="A371" s="14" t="s">
        <v>4</v>
      </c>
      <c r="B371" s="17" t="s">
        <v>189</v>
      </c>
      <c r="K371" s="13"/>
      <c r="L371" s="13"/>
      <c r="M371" s="13"/>
      <c r="N371" s="13"/>
      <c r="O371" s="13"/>
      <c r="P371" s="13"/>
    </row>
    <row r="372" spans="1:20" s="12" customFormat="1" ht="16" x14ac:dyDescent="0.2">
      <c r="A372" s="14" t="s">
        <v>2</v>
      </c>
      <c r="B372" s="15" t="s">
        <v>36</v>
      </c>
      <c r="K372" s="13"/>
      <c r="L372" s="13"/>
      <c r="M372" s="13"/>
      <c r="N372" s="13"/>
      <c r="O372" s="13"/>
      <c r="P372" s="13"/>
    </row>
    <row r="373" spans="1:20" s="12" customFormat="1" ht="16" x14ac:dyDescent="0.2">
      <c r="A373" s="14" t="s">
        <v>6</v>
      </c>
      <c r="B373" s="17" t="s">
        <v>6</v>
      </c>
      <c r="K373" s="13"/>
      <c r="L373" s="13"/>
      <c r="M373" s="13"/>
      <c r="N373" s="13"/>
      <c r="O373" s="13"/>
      <c r="P373" s="13"/>
    </row>
    <row r="374" spans="1:20" s="12" customFormat="1" ht="16" x14ac:dyDescent="0.2">
      <c r="A374" s="18" t="s">
        <v>7</v>
      </c>
      <c r="B374" s="10"/>
      <c r="C374" s="18"/>
      <c r="D374" s="18"/>
      <c r="E374" s="18"/>
      <c r="F374" s="18"/>
      <c r="G374" s="18"/>
      <c r="H374" s="18"/>
      <c r="I374" s="18"/>
      <c r="J374" s="18"/>
      <c r="K374" s="13"/>
      <c r="L374" s="13"/>
      <c r="M374" s="13"/>
      <c r="N374" s="13"/>
      <c r="O374" s="13"/>
      <c r="P374" s="13"/>
    </row>
    <row r="375" spans="1:20" s="12" customFormat="1" ht="16" x14ac:dyDescent="0.2">
      <c r="A375" s="18" t="s">
        <v>8</v>
      </c>
      <c r="B375" s="10" t="s">
        <v>9</v>
      </c>
      <c r="C375" s="18" t="s">
        <v>2</v>
      </c>
      <c r="D375" s="18" t="s">
        <v>6</v>
      </c>
      <c r="E375" s="24" t="s">
        <v>10</v>
      </c>
      <c r="F375" s="18" t="s">
        <v>5</v>
      </c>
      <c r="G375" s="18" t="s">
        <v>4</v>
      </c>
      <c r="H375" s="24" t="s">
        <v>11</v>
      </c>
      <c r="I375" s="18"/>
      <c r="J375" s="8"/>
      <c r="K375" s="19"/>
      <c r="L375" s="19"/>
      <c r="M375" s="19"/>
      <c r="N375" s="19"/>
      <c r="O375" s="19"/>
      <c r="P375" s="19"/>
      <c r="Q375" s="8"/>
      <c r="R375" s="8"/>
      <c r="S375" s="18"/>
      <c r="T375" s="8"/>
    </row>
    <row r="376" spans="1:20" s="12" customFormat="1" ht="16" x14ac:dyDescent="0.2">
      <c r="A376" s="17" t="str">
        <f>B368</f>
        <v>electrolyzer production, 1MWe, SOEC, Stack</v>
      </c>
      <c r="B376" s="17">
        <v>1</v>
      </c>
      <c r="C376" s="12" t="s">
        <v>36</v>
      </c>
      <c r="D376" s="12" t="str">
        <f>B373</f>
        <v>unit</v>
      </c>
      <c r="F376" s="12" t="s">
        <v>17</v>
      </c>
      <c r="G376" s="12" t="str">
        <f>B371</f>
        <v>electrolyzer, 1MWe, SOEC, Stack</v>
      </c>
      <c r="K376" s="13"/>
      <c r="L376" s="13"/>
      <c r="M376" s="13"/>
      <c r="N376" s="13"/>
      <c r="O376" s="13"/>
      <c r="P376" s="13"/>
    </row>
    <row r="377" spans="1:20" s="12" customFormat="1" ht="16" x14ac:dyDescent="0.2">
      <c r="A377" s="12" t="s">
        <v>81</v>
      </c>
      <c r="B377" s="13">
        <v>8976.1</v>
      </c>
      <c r="C377" s="12" t="s">
        <v>18</v>
      </c>
      <c r="D377" s="12" t="s">
        <v>13</v>
      </c>
      <c r="F377" s="12" t="s">
        <v>12</v>
      </c>
      <c r="G377" s="12" t="s">
        <v>82</v>
      </c>
      <c r="H377" s="12" t="s">
        <v>193</v>
      </c>
      <c r="J377"/>
      <c r="K377" s="20"/>
      <c r="L377" s="20"/>
      <c r="M377" s="20"/>
      <c r="N377" s="20"/>
      <c r="O377" s="20"/>
      <c r="P377" s="20"/>
      <c r="Q377"/>
      <c r="R377"/>
    </row>
    <row r="378" spans="1:20" s="12" customFormat="1" ht="16" x14ac:dyDescent="0.2">
      <c r="A378" s="12" t="s">
        <v>21</v>
      </c>
      <c r="B378" s="13">
        <v>8976.1</v>
      </c>
      <c r="C378" s="12" t="s">
        <v>18</v>
      </c>
      <c r="D378" s="12" t="s">
        <v>13</v>
      </c>
      <c r="F378" s="12" t="s">
        <v>12</v>
      </c>
      <c r="G378" s="12" t="s">
        <v>16</v>
      </c>
      <c r="H378" s="12" t="s">
        <v>193</v>
      </c>
      <c r="J378"/>
      <c r="K378" s="20"/>
      <c r="L378" s="20"/>
      <c r="M378" s="20"/>
      <c r="N378" s="20"/>
      <c r="O378" s="20"/>
      <c r="P378" s="20"/>
      <c r="Q378"/>
      <c r="R378"/>
    </row>
    <row r="379" spans="1:20" s="12" customFormat="1" ht="16" x14ac:dyDescent="0.2">
      <c r="A379" s="12" t="s">
        <v>194</v>
      </c>
      <c r="B379" s="13">
        <v>9</v>
      </c>
      <c r="C379" s="12" t="s">
        <v>18</v>
      </c>
      <c r="D379" s="12" t="s">
        <v>13</v>
      </c>
      <c r="F379" s="12" t="s">
        <v>12</v>
      </c>
      <c r="G379" s="12" t="s">
        <v>195</v>
      </c>
      <c r="H379" s="12" t="s">
        <v>196</v>
      </c>
      <c r="J379"/>
      <c r="K379" s="20"/>
      <c r="L379" s="20"/>
      <c r="M379" s="20"/>
      <c r="N379" s="20"/>
      <c r="O379" s="20"/>
      <c r="P379" s="20"/>
      <c r="Q379"/>
      <c r="R379"/>
    </row>
    <row r="380" spans="1:20" s="12" customFormat="1" ht="16" x14ac:dyDescent="0.2">
      <c r="A380" s="12" t="s">
        <v>171</v>
      </c>
      <c r="B380" s="13">
        <v>7.5</v>
      </c>
      <c r="C380" s="12" t="s">
        <v>18</v>
      </c>
      <c r="D380" s="12" t="s">
        <v>13</v>
      </c>
      <c r="F380" s="12" t="s">
        <v>12</v>
      </c>
      <c r="G380" s="12" t="s">
        <v>172</v>
      </c>
      <c r="H380" s="12" t="s">
        <v>196</v>
      </c>
      <c r="J380"/>
      <c r="K380" s="20"/>
      <c r="L380" s="20"/>
      <c r="M380" s="20"/>
      <c r="N380" s="20"/>
      <c r="O380" s="20"/>
      <c r="P380" s="20"/>
      <c r="Q380"/>
      <c r="R380"/>
    </row>
    <row r="381" spans="1:20" s="12" customFormat="1" ht="16" x14ac:dyDescent="0.2">
      <c r="A381" s="12" t="s">
        <v>176</v>
      </c>
      <c r="B381" s="13">
        <v>170.7</v>
      </c>
      <c r="C381" s="12" t="s">
        <v>18</v>
      </c>
      <c r="D381" s="12" t="s">
        <v>13</v>
      </c>
      <c r="F381" s="12" t="s">
        <v>12</v>
      </c>
      <c r="G381" s="12" t="s">
        <v>177</v>
      </c>
      <c r="H381" s="12" t="s">
        <v>197</v>
      </c>
      <c r="J381"/>
      <c r="K381" s="20"/>
      <c r="L381" s="20"/>
      <c r="M381" s="20"/>
      <c r="N381" s="20"/>
      <c r="O381" s="20"/>
      <c r="P381" s="20"/>
      <c r="Q381"/>
      <c r="R381"/>
    </row>
    <row r="382" spans="1:20" s="12" customFormat="1" ht="16" x14ac:dyDescent="0.2">
      <c r="A382" s="12" t="s">
        <v>198</v>
      </c>
      <c r="B382" s="13">
        <v>14.8</v>
      </c>
      <c r="C382" s="12" t="s">
        <v>18</v>
      </c>
      <c r="D382" s="12" t="s">
        <v>13</v>
      </c>
      <c r="F382" s="12" t="s">
        <v>12</v>
      </c>
      <c r="G382" s="12" t="s">
        <v>199</v>
      </c>
      <c r="H382" s="12" t="s">
        <v>197</v>
      </c>
      <c r="J382"/>
      <c r="K382" s="20"/>
      <c r="L382" s="20"/>
      <c r="M382" s="20"/>
      <c r="N382" s="20"/>
      <c r="O382" s="20"/>
      <c r="P382" s="20"/>
      <c r="Q382"/>
      <c r="R382"/>
    </row>
    <row r="383" spans="1:20" s="12" customFormat="1" ht="16" x14ac:dyDescent="0.2">
      <c r="A383" s="12" t="s">
        <v>200</v>
      </c>
      <c r="B383" s="13">
        <v>91.5</v>
      </c>
      <c r="C383" s="12" t="s">
        <v>18</v>
      </c>
      <c r="D383" s="12" t="s">
        <v>13</v>
      </c>
      <c r="F383" s="12" t="s">
        <v>12</v>
      </c>
      <c r="G383" s="12" t="s">
        <v>201</v>
      </c>
      <c r="H383" s="12" t="s">
        <v>196</v>
      </c>
      <c r="J383"/>
      <c r="K383" s="20"/>
      <c r="L383" s="20"/>
      <c r="M383" s="20"/>
      <c r="N383" s="20"/>
      <c r="O383" s="20"/>
      <c r="P383" s="20"/>
      <c r="Q383"/>
      <c r="R383"/>
    </row>
    <row r="384" spans="1:20" s="12" customFormat="1" ht="16" x14ac:dyDescent="0.2">
      <c r="A384" s="12" t="s">
        <v>198</v>
      </c>
      <c r="B384" s="13">
        <v>22.9</v>
      </c>
      <c r="C384" s="12" t="s">
        <v>18</v>
      </c>
      <c r="D384" s="12" t="s">
        <v>13</v>
      </c>
      <c r="F384" s="12" t="s">
        <v>12</v>
      </c>
      <c r="G384" s="12" t="s">
        <v>199</v>
      </c>
      <c r="H384" s="12" t="s">
        <v>196</v>
      </c>
      <c r="J384"/>
      <c r="K384" s="20"/>
      <c r="L384" s="20"/>
      <c r="M384" s="20"/>
      <c r="N384" s="20"/>
      <c r="O384" s="20"/>
      <c r="P384" s="20"/>
      <c r="Q384"/>
      <c r="R384"/>
    </row>
    <row r="385" spans="1:18" s="12" customFormat="1" ht="16" x14ac:dyDescent="0.2">
      <c r="A385" s="12" t="s">
        <v>202</v>
      </c>
      <c r="B385" s="13">
        <f>42/2</f>
        <v>21</v>
      </c>
      <c r="C385" s="12" t="s">
        <v>18</v>
      </c>
      <c r="D385" s="12" t="s">
        <v>13</v>
      </c>
      <c r="F385" s="12" t="s">
        <v>12</v>
      </c>
      <c r="G385" s="12" t="s">
        <v>203</v>
      </c>
      <c r="H385" s="12" t="s">
        <v>204</v>
      </c>
      <c r="J385"/>
      <c r="K385" s="20"/>
      <c r="L385" s="20"/>
      <c r="M385" s="20"/>
      <c r="N385" s="20"/>
      <c r="O385" s="20"/>
      <c r="P385" s="20"/>
      <c r="Q385"/>
      <c r="R385"/>
    </row>
    <row r="386" spans="1:18" s="12" customFormat="1" ht="16" x14ac:dyDescent="0.2">
      <c r="A386" s="12" t="s">
        <v>205</v>
      </c>
      <c r="B386" s="13">
        <f>42/2</f>
        <v>21</v>
      </c>
      <c r="C386" s="12" t="s">
        <v>18</v>
      </c>
      <c r="D386" s="12" t="s">
        <v>13</v>
      </c>
      <c r="F386" s="12" t="s">
        <v>12</v>
      </c>
      <c r="G386" s="12" t="s">
        <v>206</v>
      </c>
      <c r="H386" s="12" t="s">
        <v>204</v>
      </c>
      <c r="J386"/>
      <c r="K386" s="20"/>
      <c r="L386" s="20"/>
      <c r="M386" s="20"/>
      <c r="N386" s="20"/>
      <c r="O386" s="20"/>
      <c r="P386" s="20"/>
      <c r="Q386"/>
      <c r="R386"/>
    </row>
    <row r="387" spans="1:18" s="12" customFormat="1" ht="16" x14ac:dyDescent="0.2">
      <c r="A387" s="12" t="s">
        <v>207</v>
      </c>
      <c r="B387" s="13">
        <v>6.4</v>
      </c>
      <c r="C387" s="12" t="s">
        <v>208</v>
      </c>
      <c r="D387" s="12" t="s">
        <v>13</v>
      </c>
      <c r="F387" s="12" t="s">
        <v>12</v>
      </c>
      <c r="G387" s="12" t="s">
        <v>209</v>
      </c>
      <c r="H387" s="12" t="s">
        <v>210</v>
      </c>
      <c r="J387"/>
      <c r="K387" s="20"/>
      <c r="L387" s="20"/>
      <c r="M387" s="20"/>
      <c r="N387" s="20"/>
      <c r="O387" s="20"/>
      <c r="P387" s="20"/>
      <c r="Q387"/>
      <c r="R387"/>
    </row>
    <row r="388" spans="1:18" s="12" customFormat="1" ht="16" x14ac:dyDescent="0.2">
      <c r="A388" s="12" t="s">
        <v>211</v>
      </c>
      <c r="B388" s="13">
        <v>6.4</v>
      </c>
      <c r="C388" s="12" t="s">
        <v>18</v>
      </c>
      <c r="D388" s="12" t="s">
        <v>13</v>
      </c>
      <c r="F388" s="12" t="s">
        <v>12</v>
      </c>
      <c r="G388" s="12" t="s">
        <v>212</v>
      </c>
      <c r="H388" s="12" t="s">
        <v>210</v>
      </c>
      <c r="J388"/>
      <c r="K388" s="20"/>
      <c r="L388" s="20"/>
      <c r="M388" s="20"/>
      <c r="N388" s="20"/>
      <c r="O388" s="20"/>
      <c r="P388" s="20"/>
      <c r="Q388"/>
      <c r="R388"/>
    </row>
    <row r="389" spans="1:18" s="12" customFormat="1" ht="16" x14ac:dyDescent="0.2">
      <c r="A389" s="12" t="s">
        <v>213</v>
      </c>
      <c r="B389" s="13">
        <v>6.4</v>
      </c>
      <c r="C389" s="12" t="s">
        <v>18</v>
      </c>
      <c r="D389" s="12" t="s">
        <v>13</v>
      </c>
      <c r="F389" s="12" t="s">
        <v>12</v>
      </c>
      <c r="G389" s="12" t="s">
        <v>214</v>
      </c>
      <c r="H389" s="12" t="s">
        <v>210</v>
      </c>
      <c r="J389"/>
      <c r="K389" s="20"/>
      <c r="L389" s="20"/>
      <c r="M389" s="20"/>
      <c r="N389" s="20"/>
      <c r="O389" s="20"/>
      <c r="P389" s="20"/>
      <c r="Q389"/>
      <c r="R389"/>
    </row>
    <row r="390" spans="1:18" s="12" customFormat="1" ht="16" x14ac:dyDescent="0.2">
      <c r="A390" s="12" t="s">
        <v>215</v>
      </c>
      <c r="B390" s="13">
        <v>6.4</v>
      </c>
      <c r="C390" s="12" t="s">
        <v>36</v>
      </c>
      <c r="D390" s="12" t="s">
        <v>13</v>
      </c>
      <c r="F390" s="12" t="s">
        <v>12</v>
      </c>
      <c r="G390" s="12" t="s">
        <v>216</v>
      </c>
      <c r="H390" s="12" t="s">
        <v>210</v>
      </c>
      <c r="J390"/>
      <c r="K390" s="20"/>
      <c r="L390" s="20"/>
      <c r="M390" s="20"/>
      <c r="N390" s="20"/>
      <c r="O390" s="20"/>
      <c r="P390" s="20"/>
      <c r="Q390"/>
      <c r="R390"/>
    </row>
    <row r="391" spans="1:18" s="12" customFormat="1" ht="16" x14ac:dyDescent="0.2">
      <c r="A391" s="12" t="s">
        <v>171</v>
      </c>
      <c r="B391" s="13">
        <v>136.6</v>
      </c>
      <c r="C391" s="12" t="s">
        <v>18</v>
      </c>
      <c r="D391" s="12" t="s">
        <v>13</v>
      </c>
      <c r="F391" s="12" t="s">
        <v>12</v>
      </c>
      <c r="G391" s="12" t="s">
        <v>172</v>
      </c>
      <c r="H391" s="12" t="s">
        <v>217</v>
      </c>
      <c r="J391"/>
      <c r="K391" s="20"/>
      <c r="L391" s="20"/>
      <c r="M391" s="20"/>
      <c r="N391" s="20"/>
      <c r="O391" s="20"/>
      <c r="P391" s="20"/>
      <c r="Q391"/>
      <c r="R391"/>
    </row>
    <row r="392" spans="1:18" s="12" customFormat="1" ht="16" x14ac:dyDescent="0.2">
      <c r="A392" s="12" t="s">
        <v>35</v>
      </c>
      <c r="B392" s="13">
        <v>122224.433</v>
      </c>
      <c r="C392" s="12" t="s">
        <v>18</v>
      </c>
      <c r="D392" s="12" t="s">
        <v>37</v>
      </c>
      <c r="F392" s="12" t="s">
        <v>12</v>
      </c>
      <c r="G392" s="12" t="s">
        <v>38</v>
      </c>
      <c r="H392" s="12" t="s">
        <v>87</v>
      </c>
      <c r="J392"/>
      <c r="K392" s="20"/>
      <c r="L392" s="20"/>
      <c r="M392" s="20"/>
      <c r="N392" s="20"/>
      <c r="O392" s="20"/>
      <c r="P392" s="20"/>
      <c r="Q392"/>
      <c r="R392"/>
    </row>
    <row r="393" spans="1:18" s="12" customFormat="1" ht="16" x14ac:dyDescent="0.2">
      <c r="B393" s="13"/>
      <c r="F393" s="11"/>
      <c r="G393" s="11"/>
      <c r="K393" s="13"/>
      <c r="L393" s="13"/>
      <c r="M393" s="13"/>
      <c r="N393" s="13"/>
      <c r="O393" s="13"/>
      <c r="P393" s="13"/>
    </row>
    <row r="394" spans="1:18" s="12" customFormat="1" ht="16" x14ac:dyDescent="0.2">
      <c r="A394" s="9" t="s">
        <v>1</v>
      </c>
      <c r="B394" s="10" t="s">
        <v>274</v>
      </c>
      <c r="K394" s="13"/>
      <c r="L394" s="13"/>
      <c r="M394" s="13"/>
      <c r="N394" s="13"/>
      <c r="O394" s="13"/>
      <c r="P394" s="13"/>
    </row>
    <row r="395" spans="1:18" s="12" customFormat="1" ht="16" x14ac:dyDescent="0.2">
      <c r="A395" s="14" t="s">
        <v>3</v>
      </c>
      <c r="B395" s="15">
        <v>1</v>
      </c>
      <c r="K395" s="13"/>
      <c r="L395" s="13"/>
      <c r="M395" s="13"/>
      <c r="N395" s="13"/>
      <c r="O395" s="13"/>
      <c r="P395" s="13"/>
    </row>
    <row r="396" spans="1:18" s="12" customFormat="1" ht="16" x14ac:dyDescent="0.2">
      <c r="A396" s="14" t="s">
        <v>11</v>
      </c>
      <c r="B396" s="15" t="s">
        <v>523</v>
      </c>
      <c r="K396" s="13"/>
      <c r="L396" s="13"/>
      <c r="M396" s="13"/>
      <c r="N396" s="13"/>
      <c r="O396" s="13"/>
      <c r="P396" s="13"/>
    </row>
    <row r="397" spans="1:18" s="12" customFormat="1" ht="16" x14ac:dyDescent="0.2">
      <c r="A397" s="14" t="s">
        <v>4</v>
      </c>
      <c r="B397" s="17" t="s">
        <v>275</v>
      </c>
      <c r="K397" s="13"/>
      <c r="L397" s="13"/>
      <c r="M397" s="13"/>
      <c r="N397" s="13"/>
      <c r="O397" s="13"/>
      <c r="P397" s="13"/>
    </row>
    <row r="398" spans="1:18" s="12" customFormat="1" ht="16" x14ac:dyDescent="0.2">
      <c r="A398" s="14" t="s">
        <v>2</v>
      </c>
      <c r="B398" s="15" t="s">
        <v>36</v>
      </c>
      <c r="K398" s="13"/>
      <c r="L398" s="13"/>
      <c r="M398" s="13"/>
      <c r="N398" s="13"/>
      <c r="O398" s="13"/>
      <c r="P398" s="13"/>
    </row>
    <row r="399" spans="1:18" s="12" customFormat="1" ht="16" x14ac:dyDescent="0.2">
      <c r="A399" s="14" t="s">
        <v>6</v>
      </c>
      <c r="B399" s="17" t="s">
        <v>6</v>
      </c>
      <c r="K399" s="13"/>
      <c r="L399" s="13"/>
      <c r="M399" s="13"/>
      <c r="N399" s="13"/>
      <c r="O399" s="13"/>
      <c r="P399" s="13"/>
    </row>
    <row r="400" spans="1:18" s="12" customFormat="1" ht="16" x14ac:dyDescent="0.2">
      <c r="A400" s="18" t="s">
        <v>7</v>
      </c>
      <c r="B400" s="10"/>
      <c r="C400" s="18"/>
      <c r="D400" s="18"/>
      <c r="E400" s="18"/>
      <c r="F400" s="18"/>
      <c r="G400" s="18"/>
      <c r="H400" s="18"/>
      <c r="I400" s="18"/>
      <c r="J400" s="18"/>
      <c r="K400" s="13"/>
      <c r="L400" s="13"/>
      <c r="M400" s="13"/>
      <c r="N400" s="13"/>
      <c r="O400" s="13"/>
      <c r="P400" s="13"/>
    </row>
    <row r="401" spans="1:20" s="12" customFormat="1" ht="16" x14ac:dyDescent="0.2">
      <c r="A401" s="18" t="s">
        <v>8</v>
      </c>
      <c r="B401" s="10" t="s">
        <v>9</v>
      </c>
      <c r="C401" s="18" t="s">
        <v>2</v>
      </c>
      <c r="D401" s="18" t="s">
        <v>6</v>
      </c>
      <c r="E401" s="24" t="s">
        <v>10</v>
      </c>
      <c r="F401" s="18" t="s">
        <v>5</v>
      </c>
      <c r="G401" s="18" t="s">
        <v>4</v>
      </c>
      <c r="H401" s="24" t="s">
        <v>11</v>
      </c>
      <c r="I401" s="18"/>
      <c r="J401" s="8"/>
      <c r="K401" s="19"/>
      <c r="L401" s="19"/>
      <c r="M401" s="19"/>
      <c r="N401" s="19"/>
      <c r="O401" s="19"/>
      <c r="P401" s="19"/>
      <c r="Q401" s="8"/>
      <c r="R401" s="8"/>
      <c r="S401" s="18"/>
      <c r="T401" s="8"/>
    </row>
    <row r="402" spans="1:20" s="12" customFormat="1" ht="16" x14ac:dyDescent="0.2">
      <c r="A402" s="17" t="str">
        <f>B394</f>
        <v>treatment of fuel cell stack, 1MWe, SOEC</v>
      </c>
      <c r="B402" s="13">
        <v>-1</v>
      </c>
      <c r="C402" s="12" t="s">
        <v>36</v>
      </c>
      <c r="D402" s="12" t="str">
        <f>B399</f>
        <v>unit</v>
      </c>
      <c r="F402" s="12" t="s">
        <v>17</v>
      </c>
      <c r="G402" s="12" t="str">
        <f>B397</f>
        <v>used fuel cell stack, 1MWe, SOEC</v>
      </c>
      <c r="K402" s="13"/>
      <c r="L402" s="13"/>
      <c r="M402" s="13"/>
      <c r="N402" s="13"/>
      <c r="O402" s="13"/>
      <c r="P402" s="13"/>
    </row>
    <row r="403" spans="1:20" s="12" customFormat="1" ht="16" x14ac:dyDescent="0.2">
      <c r="A403" s="17" t="s">
        <v>243</v>
      </c>
      <c r="B403" s="12">
        <v>-26928</v>
      </c>
      <c r="C403" s="12" t="s">
        <v>40</v>
      </c>
      <c r="D403" s="12" t="s">
        <v>13</v>
      </c>
      <c r="F403" s="12" t="s">
        <v>12</v>
      </c>
      <c r="G403" s="12" t="s">
        <v>244</v>
      </c>
      <c r="J403"/>
      <c r="K403" s="20"/>
      <c r="L403" s="20"/>
      <c r="M403" s="20"/>
      <c r="N403" s="20"/>
      <c r="O403" s="20"/>
      <c r="P403" s="20"/>
      <c r="Q403"/>
      <c r="R403"/>
    </row>
    <row r="404" spans="1:20" s="12" customFormat="1" ht="16" x14ac:dyDescent="0.2">
      <c r="B404" s="17"/>
      <c r="K404" s="13"/>
      <c r="L404" s="13"/>
      <c r="M404" s="13"/>
      <c r="N404" s="13"/>
      <c r="O404" s="13"/>
      <c r="P404" s="13"/>
    </row>
    <row r="405" spans="1:20" s="12" customFormat="1" ht="16" x14ac:dyDescent="0.2">
      <c r="A405" s="9" t="s">
        <v>1</v>
      </c>
      <c r="B405" s="10" t="s">
        <v>218</v>
      </c>
      <c r="K405" s="25"/>
      <c r="L405" s="26"/>
      <c r="M405" s="13"/>
      <c r="N405" s="13"/>
      <c r="O405" s="13"/>
      <c r="P405" s="13"/>
    </row>
    <row r="406" spans="1:20" s="12" customFormat="1" ht="16" x14ac:dyDescent="0.2">
      <c r="A406" s="14" t="s">
        <v>3</v>
      </c>
      <c r="B406" s="15">
        <v>1</v>
      </c>
      <c r="K406" s="27"/>
      <c r="L406" s="26"/>
      <c r="M406" s="13"/>
      <c r="N406" s="13"/>
      <c r="O406" s="13"/>
      <c r="P406" s="13"/>
    </row>
    <row r="407" spans="1:20" s="12" customFormat="1" ht="16" x14ac:dyDescent="0.2">
      <c r="A407" s="14" t="s">
        <v>11</v>
      </c>
      <c r="B407" s="15" t="s">
        <v>524</v>
      </c>
      <c r="K407" s="13"/>
      <c r="L407" s="26"/>
      <c r="M407" s="13"/>
      <c r="N407" s="13"/>
      <c r="O407" s="13"/>
      <c r="P407" s="13"/>
    </row>
    <row r="408" spans="1:20" s="12" customFormat="1" ht="16" x14ac:dyDescent="0.2">
      <c r="A408" s="14" t="s">
        <v>4</v>
      </c>
      <c r="B408" s="17" t="s">
        <v>190</v>
      </c>
      <c r="K408" s="13"/>
      <c r="L408" s="13"/>
      <c r="M408" s="13"/>
      <c r="N408" s="13"/>
      <c r="O408" s="13"/>
      <c r="P408" s="13"/>
    </row>
    <row r="409" spans="1:20" s="12" customFormat="1" ht="16.25" customHeight="1" x14ac:dyDescent="0.2">
      <c r="A409" s="14" t="s">
        <v>2</v>
      </c>
      <c r="B409" s="15" t="s">
        <v>36</v>
      </c>
      <c r="K409" s="13"/>
      <c r="L409" s="13"/>
      <c r="M409" s="13"/>
      <c r="N409" s="13"/>
      <c r="O409" s="13"/>
      <c r="P409" s="13"/>
    </row>
    <row r="410" spans="1:20" s="12" customFormat="1" ht="16" x14ac:dyDescent="0.2">
      <c r="A410" s="14" t="s">
        <v>6</v>
      </c>
      <c r="B410" s="17" t="s">
        <v>6</v>
      </c>
      <c r="H410" s="18"/>
      <c r="I410" s="18"/>
      <c r="K410" s="13"/>
      <c r="L410" s="13"/>
      <c r="M410" s="13"/>
      <c r="N410" s="13"/>
      <c r="O410" s="13"/>
      <c r="P410" s="13"/>
    </row>
    <row r="411" spans="1:20" s="12" customFormat="1" ht="16" x14ac:dyDescent="0.2">
      <c r="A411" s="18" t="s">
        <v>7</v>
      </c>
      <c r="B411" s="10"/>
      <c r="C411" s="18"/>
      <c r="D411" s="18"/>
      <c r="E411" s="18"/>
      <c r="F411" s="18"/>
      <c r="G411" s="18"/>
      <c r="H411" s="11"/>
      <c r="I411" s="11"/>
      <c r="K411" s="13"/>
      <c r="L411" s="13"/>
      <c r="M411" s="13"/>
      <c r="N411" s="13"/>
      <c r="O411" s="13"/>
      <c r="P411" s="13"/>
    </row>
    <row r="412" spans="1:20" s="12" customFormat="1" ht="16" x14ac:dyDescent="0.2">
      <c r="A412" s="18" t="s">
        <v>8</v>
      </c>
      <c r="B412" s="10" t="s">
        <v>9</v>
      </c>
      <c r="C412" s="18" t="s">
        <v>2</v>
      </c>
      <c r="D412" s="18" t="s">
        <v>6</v>
      </c>
      <c r="E412" s="24" t="s">
        <v>10</v>
      </c>
      <c r="F412" s="18" t="s">
        <v>5</v>
      </c>
      <c r="G412" s="18" t="s">
        <v>4</v>
      </c>
      <c r="H412" s="24" t="s">
        <v>11</v>
      </c>
      <c r="I412" s="18"/>
      <c r="J412" s="8"/>
      <c r="K412" s="19"/>
      <c r="L412" s="19"/>
      <c r="M412" s="19"/>
      <c r="N412" s="19"/>
      <c r="O412" s="19"/>
      <c r="P412" s="19"/>
      <c r="Q412" s="8"/>
      <c r="R412" s="8"/>
      <c r="S412" s="18"/>
      <c r="T412" s="8"/>
    </row>
    <row r="413" spans="1:20" s="12" customFormat="1" ht="16" x14ac:dyDescent="0.2">
      <c r="A413" s="17" t="str">
        <f>B405</f>
        <v>electrolyzer production, 1MWe, SOEC, Balance of Plant</v>
      </c>
      <c r="B413" s="17">
        <v>1</v>
      </c>
      <c r="C413" s="12" t="s">
        <v>36</v>
      </c>
      <c r="D413" s="12" t="s">
        <v>6</v>
      </c>
      <c r="F413" s="12" t="s">
        <v>17</v>
      </c>
      <c r="G413" s="17" t="str">
        <f>B408</f>
        <v>electrolyzer, 1MWe, SOEC, Balance of Plant</v>
      </c>
      <c r="H413" s="11"/>
      <c r="I413" s="11"/>
      <c r="J413" s="11"/>
      <c r="K413" s="13"/>
      <c r="L413" s="13"/>
      <c r="M413" s="13"/>
      <c r="N413" s="13"/>
      <c r="O413" s="13"/>
      <c r="P413" s="13"/>
    </row>
    <row r="414" spans="1:20" s="12" customFormat="1" ht="16" x14ac:dyDescent="0.2">
      <c r="A414" s="12" t="s">
        <v>81</v>
      </c>
      <c r="B414" s="13">
        <v>5858.2</v>
      </c>
      <c r="C414" s="12" t="s">
        <v>18</v>
      </c>
      <c r="D414" s="12" t="s">
        <v>13</v>
      </c>
      <c r="F414" s="12" t="s">
        <v>12</v>
      </c>
      <c r="G414" s="12" t="s">
        <v>82</v>
      </c>
      <c r="H414" s="11" t="s">
        <v>219</v>
      </c>
      <c r="J414"/>
      <c r="K414" s="20"/>
      <c r="L414" s="20"/>
      <c r="M414" s="20"/>
      <c r="N414" s="20"/>
      <c r="O414" s="20"/>
      <c r="P414" s="20"/>
      <c r="Q414"/>
      <c r="R414"/>
    </row>
    <row r="415" spans="1:20" s="12" customFormat="1" ht="16" x14ac:dyDescent="0.2">
      <c r="A415" s="12" t="s">
        <v>21</v>
      </c>
      <c r="B415" s="13">
        <v>5858.2</v>
      </c>
      <c r="C415" s="12" t="s">
        <v>18</v>
      </c>
      <c r="D415" s="12" t="s">
        <v>13</v>
      </c>
      <c r="F415" s="12" t="s">
        <v>12</v>
      </c>
      <c r="G415" s="12" t="s">
        <v>16</v>
      </c>
      <c r="H415" s="11" t="s">
        <v>219</v>
      </c>
      <c r="J415"/>
      <c r="K415" s="20"/>
      <c r="L415" s="20"/>
      <c r="M415" s="20"/>
      <c r="N415" s="20"/>
      <c r="O415" s="20"/>
      <c r="P415" s="20"/>
      <c r="Q415"/>
      <c r="R415"/>
    </row>
    <row r="416" spans="1:20" s="12" customFormat="1" ht="16" x14ac:dyDescent="0.2">
      <c r="A416" s="17" t="s">
        <v>19</v>
      </c>
      <c r="B416" s="17">
        <v>300</v>
      </c>
      <c r="C416" s="12" t="s">
        <v>18</v>
      </c>
      <c r="D416" s="12" t="s">
        <v>13</v>
      </c>
      <c r="F416" s="12" t="s">
        <v>12</v>
      </c>
      <c r="G416" s="17" t="s">
        <v>20</v>
      </c>
      <c r="H416" s="11" t="s">
        <v>220</v>
      </c>
      <c r="J416"/>
      <c r="K416" s="20"/>
      <c r="L416" s="20"/>
      <c r="M416" s="20"/>
      <c r="N416" s="20"/>
      <c r="O416" s="20"/>
      <c r="P416" s="20"/>
      <c r="Q416"/>
      <c r="R416"/>
    </row>
    <row r="417" spans="1:18" s="12" customFormat="1" ht="16" x14ac:dyDescent="0.2">
      <c r="A417" s="17" t="s">
        <v>76</v>
      </c>
      <c r="B417" s="17">
        <v>225</v>
      </c>
      <c r="C417" s="12" t="s">
        <v>18</v>
      </c>
      <c r="D417" s="12" t="s">
        <v>13</v>
      </c>
      <c r="F417" s="12" t="s">
        <v>12</v>
      </c>
      <c r="G417" s="17" t="s">
        <v>77</v>
      </c>
      <c r="H417" s="11" t="s">
        <v>220</v>
      </c>
      <c r="J417"/>
      <c r="K417" s="20"/>
      <c r="L417" s="20"/>
      <c r="M417" s="20"/>
      <c r="N417" s="20"/>
      <c r="O417" s="20"/>
      <c r="P417" s="20"/>
      <c r="Q417"/>
      <c r="R417"/>
    </row>
    <row r="418" spans="1:18" s="12" customFormat="1" ht="16" x14ac:dyDescent="0.2">
      <c r="A418" s="17" t="s">
        <v>91</v>
      </c>
      <c r="B418" s="17">
        <f>180*5</f>
        <v>900</v>
      </c>
      <c r="C418" s="12" t="s">
        <v>18</v>
      </c>
      <c r="D418" s="12" t="s">
        <v>13</v>
      </c>
      <c r="F418" s="12" t="s">
        <v>12</v>
      </c>
      <c r="G418" s="17" t="s">
        <v>44</v>
      </c>
      <c r="H418" s="11" t="s">
        <v>220</v>
      </c>
      <c r="J418"/>
      <c r="K418" s="20"/>
      <c r="L418" s="20"/>
      <c r="M418" s="20"/>
      <c r="N418" s="20"/>
      <c r="O418" s="20"/>
      <c r="P418" s="20"/>
      <c r="Q418"/>
      <c r="R418"/>
    </row>
    <row r="419" spans="1:18" s="12" customFormat="1" ht="16" x14ac:dyDescent="0.2">
      <c r="A419" s="17" t="s">
        <v>93</v>
      </c>
      <c r="B419" s="17">
        <f>15*5</f>
        <v>75</v>
      </c>
      <c r="C419" s="12" t="s">
        <v>18</v>
      </c>
      <c r="D419" s="12" t="s">
        <v>13</v>
      </c>
      <c r="F419" s="12" t="s">
        <v>12</v>
      </c>
      <c r="G419" s="17" t="s">
        <v>47</v>
      </c>
      <c r="H419" s="11" t="s">
        <v>220</v>
      </c>
      <c r="J419"/>
      <c r="K419" s="20"/>
      <c r="L419" s="20"/>
      <c r="M419" s="20"/>
      <c r="N419" s="20"/>
      <c r="O419" s="20"/>
      <c r="P419" s="20"/>
      <c r="Q419"/>
      <c r="R419"/>
    </row>
    <row r="420" spans="1:18" s="12" customFormat="1" ht="16" x14ac:dyDescent="0.2">
      <c r="A420" s="17" t="s">
        <v>94</v>
      </c>
      <c r="B420" s="17">
        <f>45*5</f>
        <v>225</v>
      </c>
      <c r="C420" s="12" t="s">
        <v>18</v>
      </c>
      <c r="D420" s="12" t="s">
        <v>13</v>
      </c>
      <c r="F420" s="12" t="s">
        <v>12</v>
      </c>
      <c r="G420" s="17" t="s">
        <v>48</v>
      </c>
      <c r="H420" s="11" t="s">
        <v>220</v>
      </c>
      <c r="J420"/>
      <c r="K420" s="20"/>
      <c r="L420" s="20"/>
      <c r="M420" s="20"/>
      <c r="N420" s="20"/>
      <c r="O420" s="20"/>
      <c r="P420" s="20"/>
      <c r="Q420"/>
      <c r="R420"/>
    </row>
    <row r="421" spans="1:18" s="12" customFormat="1" ht="16" x14ac:dyDescent="0.2">
      <c r="A421" s="17" t="s">
        <v>116</v>
      </c>
      <c r="B421" s="17">
        <f>600*5</f>
        <v>3000</v>
      </c>
      <c r="C421" s="12" t="s">
        <v>18</v>
      </c>
      <c r="D421" s="12" t="s">
        <v>13</v>
      </c>
      <c r="F421" s="12" t="s">
        <v>12</v>
      </c>
      <c r="G421" s="17" t="s">
        <v>117</v>
      </c>
      <c r="H421" s="11" t="s">
        <v>221</v>
      </c>
      <c r="J421"/>
      <c r="K421" s="20"/>
      <c r="L421" s="20"/>
      <c r="M421" s="20"/>
      <c r="N421" s="20"/>
      <c r="O421" s="20"/>
      <c r="P421" s="20"/>
      <c r="Q421"/>
      <c r="R421"/>
    </row>
    <row r="422" spans="1:18" s="12" customFormat="1" ht="16" x14ac:dyDescent="0.2">
      <c r="A422" s="17" t="s">
        <v>119</v>
      </c>
      <c r="B422" s="17">
        <f>7*5</f>
        <v>35</v>
      </c>
      <c r="C422" s="12" t="s">
        <v>18</v>
      </c>
      <c r="D422" s="12" t="s">
        <v>13</v>
      </c>
      <c r="F422" s="12" t="s">
        <v>12</v>
      </c>
      <c r="G422" s="17" t="s">
        <v>120</v>
      </c>
      <c r="H422" s="11" t="s">
        <v>221</v>
      </c>
      <c r="J422"/>
      <c r="K422" s="20"/>
      <c r="L422" s="20"/>
      <c r="M422" s="20"/>
      <c r="N422" s="20"/>
      <c r="O422" s="20"/>
      <c r="P422" s="20"/>
      <c r="Q422"/>
      <c r="R422"/>
    </row>
    <row r="423" spans="1:18" s="12" customFormat="1" ht="16" x14ac:dyDescent="0.2">
      <c r="A423" s="17" t="s">
        <v>91</v>
      </c>
      <c r="B423" s="17">
        <f>1300*5</f>
        <v>6500</v>
      </c>
      <c r="C423" s="12" t="s">
        <v>18</v>
      </c>
      <c r="D423" s="12" t="s">
        <v>13</v>
      </c>
      <c r="F423" s="12" t="s">
        <v>12</v>
      </c>
      <c r="G423" s="17" t="s">
        <v>44</v>
      </c>
      <c r="H423" s="11" t="s">
        <v>221</v>
      </c>
      <c r="J423"/>
      <c r="K423" s="20"/>
      <c r="L423" s="20"/>
      <c r="M423" s="20"/>
      <c r="N423" s="20"/>
      <c r="O423" s="20"/>
      <c r="P423" s="20"/>
      <c r="Q423"/>
      <c r="R423"/>
    </row>
    <row r="424" spans="1:18" s="12" customFormat="1" ht="16" x14ac:dyDescent="0.2">
      <c r="A424" s="17" t="s">
        <v>81</v>
      </c>
      <c r="B424" s="17">
        <f>405*5</f>
        <v>2025</v>
      </c>
      <c r="C424" s="12" t="s">
        <v>18</v>
      </c>
      <c r="D424" s="12" t="s">
        <v>13</v>
      </c>
      <c r="F424" s="12" t="s">
        <v>12</v>
      </c>
      <c r="G424" s="17" t="s">
        <v>82</v>
      </c>
      <c r="H424" s="11" t="s">
        <v>221</v>
      </c>
      <c r="J424"/>
      <c r="K424" s="20"/>
      <c r="L424" s="20"/>
      <c r="M424" s="20"/>
      <c r="N424" s="20"/>
      <c r="O424" s="20"/>
      <c r="P424" s="20"/>
      <c r="Q424"/>
      <c r="R424"/>
    </row>
    <row r="425" spans="1:18" s="12" customFormat="1" ht="16" x14ac:dyDescent="0.2">
      <c r="A425" s="17" t="s">
        <v>92</v>
      </c>
      <c r="B425" s="17">
        <f>400*5</f>
        <v>2000</v>
      </c>
      <c r="C425" s="12" t="s">
        <v>18</v>
      </c>
      <c r="D425" s="12" t="s">
        <v>13</v>
      </c>
      <c r="F425" s="12" t="s">
        <v>12</v>
      </c>
      <c r="G425" s="17" t="s">
        <v>46</v>
      </c>
      <c r="H425" s="11" t="s">
        <v>221</v>
      </c>
      <c r="J425"/>
      <c r="K425" s="20"/>
      <c r="L425" s="20"/>
      <c r="M425" s="20"/>
      <c r="N425" s="20"/>
      <c r="O425" s="20"/>
      <c r="P425" s="20"/>
      <c r="Q425"/>
      <c r="R425"/>
    </row>
    <row r="426" spans="1:18" s="12" customFormat="1" ht="16" x14ac:dyDescent="0.2">
      <c r="A426" s="17" t="s">
        <v>21</v>
      </c>
      <c r="B426" s="17">
        <f>405*5</f>
        <v>2025</v>
      </c>
      <c r="C426" s="12" t="s">
        <v>18</v>
      </c>
      <c r="D426" s="12" t="s">
        <v>13</v>
      </c>
      <c r="F426" s="12" t="s">
        <v>12</v>
      </c>
      <c r="G426" s="17" t="s">
        <v>16</v>
      </c>
      <c r="H426" s="11" t="s">
        <v>221</v>
      </c>
      <c r="J426"/>
      <c r="K426" s="20"/>
      <c r="L426" s="20"/>
      <c r="M426" s="20"/>
      <c r="N426" s="20"/>
      <c r="O426" s="20"/>
      <c r="P426" s="20"/>
      <c r="Q426"/>
      <c r="R426"/>
    </row>
    <row r="427" spans="1:18" s="12" customFormat="1" ht="16" x14ac:dyDescent="0.2">
      <c r="A427" s="17" t="s">
        <v>91</v>
      </c>
      <c r="B427" s="17">
        <f>1000*5</f>
        <v>5000</v>
      </c>
      <c r="C427" s="12" t="s">
        <v>18</v>
      </c>
      <c r="D427" s="12" t="s">
        <v>13</v>
      </c>
      <c r="F427" s="12" t="s">
        <v>12</v>
      </c>
      <c r="G427" s="17" t="s">
        <v>44</v>
      </c>
      <c r="H427" s="11" t="s">
        <v>222</v>
      </c>
      <c r="J427"/>
      <c r="K427" s="20"/>
      <c r="L427" s="20"/>
      <c r="M427" s="20"/>
      <c r="N427" s="20"/>
      <c r="O427" s="20"/>
      <c r="P427" s="20"/>
      <c r="Q427"/>
      <c r="R427"/>
    </row>
    <row r="428" spans="1:18" s="12" customFormat="1" ht="16" x14ac:dyDescent="0.2">
      <c r="A428" s="17" t="s">
        <v>81</v>
      </c>
      <c r="B428" s="17">
        <f>1500*5</f>
        <v>7500</v>
      </c>
      <c r="C428" s="12" t="s">
        <v>18</v>
      </c>
      <c r="D428" s="12" t="s">
        <v>13</v>
      </c>
      <c r="F428" s="12" t="s">
        <v>12</v>
      </c>
      <c r="G428" s="17" t="s">
        <v>82</v>
      </c>
      <c r="H428" s="11" t="s">
        <v>222</v>
      </c>
      <c r="J428"/>
      <c r="K428" s="20"/>
      <c r="L428" s="20"/>
      <c r="M428" s="20"/>
      <c r="N428" s="20"/>
      <c r="O428" s="20"/>
      <c r="P428" s="20"/>
      <c r="Q428"/>
      <c r="R428"/>
    </row>
    <row r="429" spans="1:18" s="12" customFormat="1" ht="16" x14ac:dyDescent="0.2">
      <c r="A429" s="17" t="s">
        <v>92</v>
      </c>
      <c r="B429" s="17">
        <f>1000*5</f>
        <v>5000</v>
      </c>
      <c r="C429" s="12" t="s">
        <v>18</v>
      </c>
      <c r="D429" s="12" t="s">
        <v>13</v>
      </c>
      <c r="F429" s="12" t="s">
        <v>12</v>
      </c>
      <c r="G429" s="17" t="s">
        <v>46</v>
      </c>
      <c r="H429" s="11" t="s">
        <v>222</v>
      </c>
      <c r="J429"/>
      <c r="K429" s="20"/>
      <c r="L429" s="20"/>
      <c r="M429" s="20"/>
      <c r="N429" s="20"/>
      <c r="O429" s="20"/>
      <c r="P429" s="20"/>
      <c r="Q429"/>
      <c r="R429"/>
    </row>
    <row r="430" spans="1:18" s="12" customFormat="1" ht="16" x14ac:dyDescent="0.2">
      <c r="A430" s="17" t="s">
        <v>21</v>
      </c>
      <c r="B430" s="17">
        <f>1500*5</f>
        <v>7500</v>
      </c>
      <c r="C430" s="12" t="s">
        <v>18</v>
      </c>
      <c r="D430" s="12" t="s">
        <v>13</v>
      </c>
      <c r="F430" s="12" t="s">
        <v>12</v>
      </c>
      <c r="G430" s="17" t="s">
        <v>16</v>
      </c>
      <c r="H430" s="11" t="s">
        <v>222</v>
      </c>
      <c r="J430"/>
      <c r="K430" s="20"/>
      <c r="L430" s="20"/>
      <c r="M430" s="20"/>
      <c r="N430" s="20"/>
      <c r="O430" s="20"/>
      <c r="P430" s="20"/>
      <c r="Q430"/>
      <c r="R430"/>
    </row>
    <row r="431" spans="1:18" s="12" customFormat="1" ht="16" x14ac:dyDescent="0.2">
      <c r="A431" s="17" t="s">
        <v>19</v>
      </c>
      <c r="B431" s="17">
        <v>100</v>
      </c>
      <c r="C431" s="12" t="s">
        <v>18</v>
      </c>
      <c r="D431" s="12" t="s">
        <v>13</v>
      </c>
      <c r="F431" s="12" t="s">
        <v>12</v>
      </c>
      <c r="G431" s="17" t="s">
        <v>20</v>
      </c>
      <c r="H431" s="11" t="s">
        <v>223</v>
      </c>
      <c r="J431"/>
      <c r="K431" s="20"/>
      <c r="L431" s="20"/>
      <c r="M431" s="20"/>
      <c r="N431" s="20"/>
      <c r="O431" s="20"/>
      <c r="P431" s="20"/>
      <c r="Q431"/>
      <c r="R431"/>
    </row>
    <row r="432" spans="1:18" s="12" customFormat="1" ht="16" x14ac:dyDescent="0.2">
      <c r="A432" s="17" t="s">
        <v>76</v>
      </c>
      <c r="B432" s="17">
        <v>200</v>
      </c>
      <c r="C432" s="12" t="s">
        <v>18</v>
      </c>
      <c r="D432" s="12" t="s">
        <v>13</v>
      </c>
      <c r="F432" s="12" t="s">
        <v>12</v>
      </c>
      <c r="G432" s="17" t="s">
        <v>77</v>
      </c>
      <c r="H432" s="11" t="s">
        <v>223</v>
      </c>
      <c r="J432"/>
      <c r="K432" s="20"/>
      <c r="L432" s="20"/>
      <c r="M432" s="20"/>
      <c r="N432" s="20"/>
      <c r="O432" s="20"/>
      <c r="P432" s="20"/>
      <c r="Q432"/>
      <c r="R432"/>
    </row>
    <row r="433" spans="1:18" s="12" customFormat="1" ht="16" x14ac:dyDescent="0.2">
      <c r="A433" s="17" t="s">
        <v>91</v>
      </c>
      <c r="B433" s="17">
        <v>600</v>
      </c>
      <c r="C433" s="12" t="s">
        <v>18</v>
      </c>
      <c r="D433" s="12" t="s">
        <v>13</v>
      </c>
      <c r="F433" s="12" t="s">
        <v>12</v>
      </c>
      <c r="G433" s="17" t="s">
        <v>44</v>
      </c>
      <c r="H433" s="11" t="s">
        <v>223</v>
      </c>
      <c r="J433"/>
      <c r="K433" s="20"/>
      <c r="L433" s="20"/>
      <c r="M433" s="20"/>
      <c r="N433" s="20"/>
      <c r="O433" s="20"/>
      <c r="P433" s="20"/>
      <c r="Q433"/>
      <c r="R433"/>
    </row>
    <row r="434" spans="1:18" s="12" customFormat="1" ht="16" x14ac:dyDescent="0.2">
      <c r="A434" s="17" t="s">
        <v>65</v>
      </c>
      <c r="B434" s="17">
        <v>100</v>
      </c>
      <c r="C434" s="12" t="s">
        <v>18</v>
      </c>
      <c r="D434" s="12" t="s">
        <v>13</v>
      </c>
      <c r="F434" s="12" t="s">
        <v>12</v>
      </c>
      <c r="G434" s="17" t="s">
        <v>45</v>
      </c>
      <c r="H434" s="11" t="s">
        <v>223</v>
      </c>
      <c r="J434"/>
      <c r="K434" s="20"/>
      <c r="L434" s="20"/>
      <c r="M434" s="20"/>
      <c r="N434" s="20"/>
      <c r="O434" s="20"/>
      <c r="P434" s="20"/>
      <c r="Q434"/>
      <c r="R434"/>
    </row>
    <row r="435" spans="1:18" s="12" customFormat="1" ht="16" x14ac:dyDescent="0.2">
      <c r="A435" s="17" t="s">
        <v>92</v>
      </c>
      <c r="B435" s="17">
        <v>600</v>
      </c>
      <c r="C435" s="12" t="s">
        <v>18</v>
      </c>
      <c r="D435" s="12" t="s">
        <v>13</v>
      </c>
      <c r="F435" s="12" t="s">
        <v>12</v>
      </c>
      <c r="G435" s="17" t="s">
        <v>46</v>
      </c>
      <c r="H435" s="11" t="s">
        <v>223</v>
      </c>
      <c r="J435"/>
      <c r="K435" s="20"/>
      <c r="L435" s="20"/>
      <c r="M435" s="20"/>
      <c r="N435" s="20"/>
      <c r="O435" s="20"/>
      <c r="P435" s="20"/>
      <c r="Q435"/>
      <c r="R435"/>
    </row>
    <row r="436" spans="1:18" s="12" customFormat="1" ht="16" x14ac:dyDescent="0.2">
      <c r="A436" s="17" t="s">
        <v>93</v>
      </c>
      <c r="B436" s="17">
        <v>100</v>
      </c>
      <c r="C436" s="12" t="s">
        <v>18</v>
      </c>
      <c r="D436" s="12" t="s">
        <v>13</v>
      </c>
      <c r="F436" s="12" t="s">
        <v>12</v>
      </c>
      <c r="G436" s="17" t="s">
        <v>47</v>
      </c>
      <c r="H436" s="11" t="s">
        <v>223</v>
      </c>
      <c r="J436"/>
      <c r="K436" s="20"/>
      <c r="L436" s="20"/>
      <c r="M436" s="20"/>
      <c r="N436" s="20"/>
      <c r="O436" s="20"/>
      <c r="P436" s="20"/>
      <c r="Q436"/>
      <c r="R436"/>
    </row>
    <row r="437" spans="1:18" s="12" customFormat="1" ht="16" x14ac:dyDescent="0.2">
      <c r="A437" s="17" t="s">
        <v>94</v>
      </c>
      <c r="B437" s="17">
        <v>200</v>
      </c>
      <c r="C437" s="12" t="s">
        <v>18</v>
      </c>
      <c r="D437" s="12" t="s">
        <v>13</v>
      </c>
      <c r="F437" s="12" t="s">
        <v>12</v>
      </c>
      <c r="G437" s="17" t="s">
        <v>48</v>
      </c>
      <c r="H437" s="11" t="s">
        <v>223</v>
      </c>
      <c r="J437"/>
      <c r="K437" s="20"/>
      <c r="L437" s="20"/>
      <c r="M437" s="20"/>
      <c r="N437" s="20"/>
      <c r="O437" s="20"/>
      <c r="P437" s="20"/>
      <c r="Q437"/>
      <c r="R437"/>
    </row>
    <row r="438" spans="1:18" s="12" customFormat="1" ht="16" x14ac:dyDescent="0.2">
      <c r="A438" s="17" t="s">
        <v>32</v>
      </c>
      <c r="B438" s="17">
        <v>100</v>
      </c>
      <c r="C438" s="12" t="s">
        <v>18</v>
      </c>
      <c r="D438" s="12" t="s">
        <v>13</v>
      </c>
      <c r="F438" s="12" t="s">
        <v>12</v>
      </c>
      <c r="G438" s="17" t="s">
        <v>31</v>
      </c>
      <c r="H438" s="11" t="s">
        <v>224</v>
      </c>
      <c r="J438"/>
      <c r="K438" s="20"/>
      <c r="L438" s="20"/>
      <c r="M438" s="20"/>
      <c r="N438" s="20"/>
      <c r="O438" s="20"/>
      <c r="P438" s="20"/>
      <c r="Q438"/>
      <c r="R438"/>
    </row>
    <row r="439" spans="1:18" s="12" customFormat="1" ht="16" x14ac:dyDescent="0.2">
      <c r="A439" s="17" t="s">
        <v>81</v>
      </c>
      <c r="B439" s="17">
        <f>25.3+2.1</f>
        <v>27.400000000000002</v>
      </c>
      <c r="C439" s="12" t="s">
        <v>18</v>
      </c>
      <c r="D439" s="12" t="s">
        <v>13</v>
      </c>
      <c r="F439" s="12" t="s">
        <v>12</v>
      </c>
      <c r="G439" s="17" t="s">
        <v>82</v>
      </c>
      <c r="H439" s="11" t="s">
        <v>225</v>
      </c>
      <c r="J439"/>
      <c r="K439" s="20"/>
      <c r="L439" s="20"/>
      <c r="M439" s="20"/>
      <c r="N439" s="20"/>
      <c r="O439" s="20"/>
      <c r="P439" s="20"/>
      <c r="Q439"/>
      <c r="R439"/>
    </row>
    <row r="440" spans="1:18" s="12" customFormat="1" ht="16" x14ac:dyDescent="0.2">
      <c r="A440" s="17" t="s">
        <v>21</v>
      </c>
      <c r="B440" s="17">
        <f>25.3+2.1</f>
        <v>27.400000000000002</v>
      </c>
      <c r="C440" s="12" t="s">
        <v>18</v>
      </c>
      <c r="D440" s="12" t="s">
        <v>13</v>
      </c>
      <c r="F440" s="12" t="s">
        <v>12</v>
      </c>
      <c r="G440" s="17" t="s">
        <v>16</v>
      </c>
      <c r="H440" s="11" t="s">
        <v>225</v>
      </c>
      <c r="J440"/>
      <c r="K440" s="20"/>
      <c r="L440" s="20"/>
      <c r="M440" s="20"/>
      <c r="N440" s="20"/>
      <c r="O440" s="20"/>
      <c r="P440" s="20"/>
      <c r="Q440"/>
      <c r="R440"/>
    </row>
    <row r="441" spans="1:18" s="12" customFormat="1" ht="16" x14ac:dyDescent="0.2">
      <c r="A441" s="17" t="s">
        <v>81</v>
      </c>
      <c r="B441" s="17">
        <v>2.4</v>
      </c>
      <c r="C441" s="12" t="s">
        <v>18</v>
      </c>
      <c r="D441" s="12" t="s">
        <v>13</v>
      </c>
      <c r="F441" s="12" t="s">
        <v>12</v>
      </c>
      <c r="G441" s="17" t="s">
        <v>82</v>
      </c>
      <c r="H441" s="11" t="s">
        <v>226</v>
      </c>
      <c r="J441"/>
      <c r="K441" s="20"/>
      <c r="L441" s="20"/>
      <c r="M441" s="20"/>
      <c r="N441" s="20"/>
      <c r="O441" s="20"/>
      <c r="P441" s="20"/>
      <c r="Q441"/>
      <c r="R441"/>
    </row>
    <row r="442" spans="1:18" s="12" customFormat="1" ht="16" x14ac:dyDescent="0.2">
      <c r="A442" s="17" t="s">
        <v>21</v>
      </c>
      <c r="B442" s="17">
        <v>2.4</v>
      </c>
      <c r="C442" s="12" t="s">
        <v>18</v>
      </c>
      <c r="D442" s="12" t="s">
        <v>13</v>
      </c>
      <c r="F442" s="12" t="s">
        <v>12</v>
      </c>
      <c r="G442" s="17" t="s">
        <v>16</v>
      </c>
      <c r="H442" s="11" t="s">
        <v>226</v>
      </c>
      <c r="J442"/>
      <c r="K442" s="20"/>
      <c r="L442" s="20"/>
      <c r="M442" s="20"/>
      <c r="N442" s="20"/>
      <c r="O442" s="20"/>
      <c r="P442" s="20"/>
      <c r="Q442"/>
      <c r="R442"/>
    </row>
    <row r="443" spans="1:18" s="12" customFormat="1" ht="16" x14ac:dyDescent="0.2">
      <c r="A443" s="17" t="s">
        <v>81</v>
      </c>
      <c r="B443" s="17">
        <f>11+53.1</f>
        <v>64.099999999999994</v>
      </c>
      <c r="C443" s="12" t="s">
        <v>18</v>
      </c>
      <c r="D443" s="12" t="s">
        <v>13</v>
      </c>
      <c r="F443" s="12" t="s">
        <v>12</v>
      </c>
      <c r="G443" s="17" t="s">
        <v>82</v>
      </c>
      <c r="H443" s="11" t="s">
        <v>227</v>
      </c>
      <c r="J443"/>
      <c r="K443" s="20"/>
      <c r="L443" s="20"/>
      <c r="M443" s="20"/>
      <c r="N443" s="20"/>
      <c r="O443" s="20"/>
      <c r="P443" s="20"/>
      <c r="Q443"/>
      <c r="R443"/>
    </row>
    <row r="444" spans="1:18" s="12" customFormat="1" ht="16" x14ac:dyDescent="0.2">
      <c r="A444" s="17" t="s">
        <v>21</v>
      </c>
      <c r="B444" s="17">
        <f>11+53.1</f>
        <v>64.099999999999994</v>
      </c>
      <c r="C444" s="12" t="s">
        <v>18</v>
      </c>
      <c r="D444" s="12" t="s">
        <v>13</v>
      </c>
      <c r="F444" s="12" t="s">
        <v>12</v>
      </c>
      <c r="G444" s="17" t="s">
        <v>16</v>
      </c>
      <c r="H444" s="11" t="s">
        <v>227</v>
      </c>
      <c r="J444"/>
      <c r="K444" s="20"/>
      <c r="L444" s="20"/>
      <c r="M444" s="20"/>
      <c r="N444" s="20"/>
      <c r="O444" s="20"/>
      <c r="P444" s="20"/>
      <c r="Q444"/>
      <c r="R444"/>
    </row>
    <row r="445" spans="1:18" s="12" customFormat="1" ht="16" x14ac:dyDescent="0.2">
      <c r="A445" s="17" t="s">
        <v>81</v>
      </c>
      <c r="B445" s="17">
        <f>29.3+121</f>
        <v>150.30000000000001</v>
      </c>
      <c r="C445" s="12" t="s">
        <v>18</v>
      </c>
      <c r="D445" s="12" t="s">
        <v>13</v>
      </c>
      <c r="F445" s="12" t="s">
        <v>12</v>
      </c>
      <c r="G445" s="17" t="s">
        <v>82</v>
      </c>
      <c r="H445" s="11" t="s">
        <v>228</v>
      </c>
      <c r="J445"/>
      <c r="K445" s="20"/>
      <c r="L445" s="20"/>
      <c r="M445" s="20"/>
      <c r="N445" s="20"/>
      <c r="O445" s="20"/>
      <c r="P445" s="20"/>
      <c r="Q445"/>
      <c r="R445"/>
    </row>
    <row r="446" spans="1:18" s="12" customFormat="1" ht="16" x14ac:dyDescent="0.2">
      <c r="A446" s="17" t="s">
        <v>21</v>
      </c>
      <c r="B446" s="17">
        <f>29.3+121</f>
        <v>150.30000000000001</v>
      </c>
      <c r="C446" s="12" t="s">
        <v>18</v>
      </c>
      <c r="D446" s="12" t="s">
        <v>13</v>
      </c>
      <c r="F446" s="12" t="s">
        <v>12</v>
      </c>
      <c r="G446" s="17" t="s">
        <v>16</v>
      </c>
      <c r="H446" s="11" t="s">
        <v>228</v>
      </c>
      <c r="J446"/>
      <c r="K446" s="20"/>
      <c r="L446" s="20"/>
      <c r="M446" s="20"/>
      <c r="N446" s="20"/>
      <c r="O446" s="20"/>
      <c r="P446" s="20"/>
      <c r="Q446"/>
      <c r="R446"/>
    </row>
    <row r="447" spans="1:18" s="12" customFormat="1" ht="16" x14ac:dyDescent="0.2">
      <c r="A447" s="17" t="s">
        <v>229</v>
      </c>
      <c r="B447" s="17">
        <f>0.4+1</f>
        <v>1.4</v>
      </c>
      <c r="C447" s="12" t="s">
        <v>18</v>
      </c>
      <c r="D447" s="12" t="s">
        <v>13</v>
      </c>
      <c r="F447" s="12" t="s">
        <v>12</v>
      </c>
      <c r="G447" s="17" t="s">
        <v>230</v>
      </c>
      <c r="H447" s="11" t="s">
        <v>231</v>
      </c>
      <c r="J447"/>
      <c r="K447" s="20"/>
      <c r="L447" s="20"/>
      <c r="M447" s="20"/>
      <c r="N447" s="20"/>
      <c r="O447" s="20"/>
      <c r="P447" s="20"/>
      <c r="Q447"/>
      <c r="R447"/>
    </row>
    <row r="448" spans="1:18" s="12" customFormat="1" ht="16" x14ac:dyDescent="0.2">
      <c r="A448" s="17" t="s">
        <v>101</v>
      </c>
      <c r="B448" s="17">
        <f>0.4+1</f>
        <v>1.4</v>
      </c>
      <c r="C448" s="12" t="s">
        <v>18</v>
      </c>
      <c r="D448" s="12" t="s">
        <v>13</v>
      </c>
      <c r="F448" s="12" t="s">
        <v>12</v>
      </c>
      <c r="G448" s="17" t="s">
        <v>102</v>
      </c>
      <c r="H448" s="11" t="s">
        <v>231</v>
      </c>
      <c r="J448"/>
      <c r="K448" s="20"/>
      <c r="L448" s="20"/>
      <c r="M448" s="20"/>
      <c r="N448" s="20"/>
      <c r="O448" s="20"/>
      <c r="P448" s="20"/>
      <c r="Q448"/>
      <c r="R448"/>
    </row>
    <row r="449" spans="1:18" s="12" customFormat="1" ht="16" x14ac:dyDescent="0.2">
      <c r="A449" s="17" t="s">
        <v>93</v>
      </c>
      <c r="B449" s="17">
        <f>0.4+1</f>
        <v>1.4</v>
      </c>
      <c r="C449" s="12" t="s">
        <v>18</v>
      </c>
      <c r="D449" s="12" t="s">
        <v>13</v>
      </c>
      <c r="F449" s="12" t="s">
        <v>12</v>
      </c>
      <c r="G449" s="17" t="s">
        <v>47</v>
      </c>
      <c r="H449" s="11" t="s">
        <v>231</v>
      </c>
      <c r="J449"/>
      <c r="K449" s="20"/>
      <c r="L449" s="20"/>
      <c r="M449" s="20"/>
      <c r="N449" s="20"/>
      <c r="O449" s="20"/>
      <c r="P449" s="20"/>
      <c r="Q449"/>
      <c r="R449"/>
    </row>
    <row r="450" spans="1:18" s="12" customFormat="1" ht="16" x14ac:dyDescent="0.2">
      <c r="A450" s="17" t="s">
        <v>76</v>
      </c>
      <c r="B450" s="17">
        <f>0.9+1.9</f>
        <v>2.8</v>
      </c>
      <c r="C450" s="12" t="s">
        <v>18</v>
      </c>
      <c r="D450" s="12" t="s">
        <v>13</v>
      </c>
      <c r="F450" s="12" t="s">
        <v>12</v>
      </c>
      <c r="G450" s="17" t="s">
        <v>77</v>
      </c>
      <c r="H450" s="11" t="s">
        <v>231</v>
      </c>
      <c r="J450"/>
      <c r="K450" s="20"/>
      <c r="L450" s="20"/>
      <c r="M450" s="20"/>
      <c r="N450" s="20"/>
      <c r="O450" s="20"/>
      <c r="P450" s="20"/>
      <c r="Q450"/>
      <c r="R450"/>
    </row>
    <row r="451" spans="1:18" s="12" customFormat="1" ht="16" x14ac:dyDescent="0.2">
      <c r="A451" s="17" t="s">
        <v>94</v>
      </c>
      <c r="B451" s="17">
        <f>0.9+1.9</f>
        <v>2.8</v>
      </c>
      <c r="C451" s="12" t="s">
        <v>18</v>
      </c>
      <c r="D451" s="12" t="s">
        <v>13</v>
      </c>
      <c r="F451" s="12" t="s">
        <v>12</v>
      </c>
      <c r="G451" s="17" t="s">
        <v>48</v>
      </c>
      <c r="H451" s="11" t="s">
        <v>231</v>
      </c>
      <c r="J451"/>
      <c r="K451" s="20"/>
      <c r="L451" s="20"/>
      <c r="M451" s="20"/>
      <c r="N451" s="20"/>
      <c r="O451" s="20"/>
      <c r="P451" s="20"/>
      <c r="Q451"/>
      <c r="R451"/>
    </row>
    <row r="452" spans="1:18" s="12" customFormat="1" ht="16" x14ac:dyDescent="0.2">
      <c r="A452" s="17" t="s">
        <v>91</v>
      </c>
      <c r="B452" s="17">
        <f>2.7+5.8</f>
        <v>8.5</v>
      </c>
      <c r="C452" s="12" t="s">
        <v>18</v>
      </c>
      <c r="D452" s="12" t="s">
        <v>13</v>
      </c>
      <c r="F452" s="12" t="s">
        <v>12</v>
      </c>
      <c r="G452" s="17" t="s">
        <v>44</v>
      </c>
      <c r="H452" s="11" t="s">
        <v>231</v>
      </c>
      <c r="J452"/>
      <c r="K452" s="20"/>
      <c r="L452" s="20"/>
      <c r="M452" s="20"/>
      <c r="N452" s="20"/>
      <c r="O452" s="20"/>
      <c r="P452" s="20"/>
      <c r="Q452"/>
      <c r="R452"/>
    </row>
    <row r="453" spans="1:18" s="12" customFormat="1" ht="16" x14ac:dyDescent="0.2">
      <c r="A453" s="17" t="s">
        <v>92</v>
      </c>
      <c r="B453" s="17">
        <f>2.7+5.8</f>
        <v>8.5</v>
      </c>
      <c r="C453" s="12" t="s">
        <v>18</v>
      </c>
      <c r="D453" s="12" t="s">
        <v>13</v>
      </c>
      <c r="F453" s="12" t="s">
        <v>12</v>
      </c>
      <c r="G453" s="17" t="s">
        <v>46</v>
      </c>
      <c r="H453" s="11" t="s">
        <v>231</v>
      </c>
      <c r="J453"/>
      <c r="K453" s="20"/>
      <c r="L453" s="20"/>
      <c r="M453" s="20"/>
      <c r="N453" s="20"/>
      <c r="O453" s="20"/>
      <c r="P453" s="20"/>
      <c r="Q453"/>
      <c r="R453"/>
    </row>
    <row r="454" spans="1:18" s="12" customFormat="1" ht="16" x14ac:dyDescent="0.2">
      <c r="A454" s="17" t="s">
        <v>91</v>
      </c>
      <c r="B454" s="17">
        <f>92.3+359.8</f>
        <v>452.1</v>
      </c>
      <c r="C454" s="12" t="s">
        <v>18</v>
      </c>
      <c r="D454" s="12" t="s">
        <v>13</v>
      </c>
      <c r="F454" s="12" t="s">
        <v>12</v>
      </c>
      <c r="G454" s="17" t="s">
        <v>44</v>
      </c>
      <c r="H454" s="11" t="s">
        <v>232</v>
      </c>
      <c r="J454"/>
      <c r="K454" s="20"/>
      <c r="L454" s="20"/>
      <c r="M454" s="20"/>
      <c r="N454" s="20"/>
      <c r="O454" s="20"/>
      <c r="P454" s="20"/>
      <c r="Q454"/>
      <c r="R454"/>
    </row>
    <row r="455" spans="1:18" s="12" customFormat="1" ht="16" x14ac:dyDescent="0.2">
      <c r="A455" s="17" t="s">
        <v>92</v>
      </c>
      <c r="B455" s="17">
        <f>92.3+359.8</f>
        <v>452.1</v>
      </c>
      <c r="C455" s="12" t="s">
        <v>18</v>
      </c>
      <c r="D455" s="12" t="s">
        <v>13</v>
      </c>
      <c r="F455" s="12" t="s">
        <v>12</v>
      </c>
      <c r="G455" s="17" t="s">
        <v>46</v>
      </c>
      <c r="H455" s="11" t="s">
        <v>232</v>
      </c>
      <c r="J455"/>
      <c r="K455" s="20"/>
      <c r="L455" s="20"/>
      <c r="M455" s="20"/>
      <c r="N455" s="20"/>
      <c r="O455" s="20"/>
      <c r="P455" s="20"/>
      <c r="Q455"/>
      <c r="R455"/>
    </row>
    <row r="456" spans="1:18" s="12" customFormat="1" ht="16" x14ac:dyDescent="0.2">
      <c r="A456" s="17" t="s">
        <v>91</v>
      </c>
      <c r="B456" s="17">
        <v>399</v>
      </c>
      <c r="C456" s="12" t="s">
        <v>18</v>
      </c>
      <c r="D456" s="12" t="s">
        <v>13</v>
      </c>
      <c r="F456" s="12" t="s">
        <v>12</v>
      </c>
      <c r="G456" s="17" t="s">
        <v>44</v>
      </c>
      <c r="H456" s="11" t="s">
        <v>233</v>
      </c>
      <c r="J456"/>
      <c r="K456" s="20"/>
      <c r="L456" s="20"/>
      <c r="M456" s="20"/>
      <c r="N456" s="20"/>
      <c r="O456" s="20"/>
      <c r="P456" s="20"/>
      <c r="Q456"/>
      <c r="R456"/>
    </row>
    <row r="457" spans="1:18" s="12" customFormat="1" ht="16" x14ac:dyDescent="0.2">
      <c r="A457" s="17" t="s">
        <v>92</v>
      </c>
      <c r="B457" s="17">
        <v>399</v>
      </c>
      <c r="C457" s="12" t="s">
        <v>18</v>
      </c>
      <c r="D457" s="12" t="s">
        <v>13</v>
      </c>
      <c r="F457" s="12" t="s">
        <v>12</v>
      </c>
      <c r="G457" s="17" t="s">
        <v>46</v>
      </c>
      <c r="H457" s="11" t="s">
        <v>233</v>
      </c>
      <c r="J457"/>
      <c r="K457" s="20"/>
      <c r="L457" s="20"/>
      <c r="M457" s="20"/>
      <c r="N457" s="20"/>
      <c r="O457" s="20"/>
      <c r="P457" s="20"/>
      <c r="Q457"/>
      <c r="R457"/>
    </row>
    <row r="458" spans="1:18" s="12" customFormat="1" ht="16" x14ac:dyDescent="0.2">
      <c r="A458" s="17" t="s">
        <v>91</v>
      </c>
      <c r="B458" s="17">
        <v>7</v>
      </c>
      <c r="C458" s="12" t="s">
        <v>18</v>
      </c>
      <c r="D458" s="12" t="s">
        <v>13</v>
      </c>
      <c r="F458" s="12" t="s">
        <v>12</v>
      </c>
      <c r="G458" s="17" t="s">
        <v>44</v>
      </c>
      <c r="H458" s="11" t="s">
        <v>234</v>
      </c>
      <c r="J458"/>
      <c r="K458" s="20"/>
      <c r="L458" s="20"/>
      <c r="M458" s="20"/>
      <c r="N458" s="20"/>
      <c r="O458" s="20"/>
      <c r="P458" s="20"/>
      <c r="Q458"/>
      <c r="R458"/>
    </row>
    <row r="459" spans="1:18" s="12" customFormat="1" ht="16" x14ac:dyDescent="0.2">
      <c r="A459" s="17" t="s">
        <v>92</v>
      </c>
      <c r="B459" s="17">
        <v>7</v>
      </c>
      <c r="C459" s="12" t="s">
        <v>18</v>
      </c>
      <c r="D459" s="12" t="s">
        <v>13</v>
      </c>
      <c r="F459" s="12" t="s">
        <v>12</v>
      </c>
      <c r="G459" s="17" t="s">
        <v>46</v>
      </c>
      <c r="H459" s="11" t="s">
        <v>234</v>
      </c>
      <c r="J459"/>
      <c r="K459" s="20"/>
      <c r="L459" s="20"/>
      <c r="M459" s="20"/>
      <c r="N459" s="20"/>
      <c r="O459" s="20"/>
      <c r="P459" s="20"/>
      <c r="Q459"/>
      <c r="R459"/>
    </row>
    <row r="460" spans="1:18" s="12" customFormat="1" ht="16" x14ac:dyDescent="0.2">
      <c r="A460" s="17" t="s">
        <v>19</v>
      </c>
      <c r="B460" s="17">
        <v>1</v>
      </c>
      <c r="C460" s="12" t="s">
        <v>18</v>
      </c>
      <c r="D460" s="12" t="s">
        <v>13</v>
      </c>
      <c r="F460" s="12" t="s">
        <v>12</v>
      </c>
      <c r="G460" s="17" t="s">
        <v>20</v>
      </c>
      <c r="H460" s="11" t="s">
        <v>235</v>
      </c>
      <c r="J460"/>
      <c r="K460" s="20"/>
      <c r="L460" s="20"/>
      <c r="M460" s="20"/>
      <c r="N460" s="20"/>
      <c r="O460" s="20"/>
      <c r="P460" s="20"/>
      <c r="Q460"/>
      <c r="R460"/>
    </row>
    <row r="461" spans="1:18" s="12" customFormat="1" ht="16" x14ac:dyDescent="0.2">
      <c r="A461" s="17" t="s">
        <v>76</v>
      </c>
      <c r="B461" s="17">
        <v>0.7</v>
      </c>
      <c r="C461" s="12" t="s">
        <v>18</v>
      </c>
      <c r="D461" s="12" t="s">
        <v>13</v>
      </c>
      <c r="F461" s="12" t="s">
        <v>12</v>
      </c>
      <c r="G461" s="17" t="s">
        <v>77</v>
      </c>
      <c r="H461" s="11" t="s">
        <v>235</v>
      </c>
      <c r="J461"/>
      <c r="K461" s="20"/>
      <c r="L461" s="20"/>
      <c r="M461" s="20"/>
      <c r="N461" s="20"/>
      <c r="O461" s="20"/>
      <c r="P461" s="20"/>
      <c r="Q461"/>
      <c r="R461"/>
    </row>
    <row r="462" spans="1:18" s="12" customFormat="1" ht="16" x14ac:dyDescent="0.2">
      <c r="A462" s="17" t="s">
        <v>91</v>
      </c>
      <c r="B462" s="17">
        <v>3</v>
      </c>
      <c r="C462" s="12" t="s">
        <v>18</v>
      </c>
      <c r="D462" s="12" t="s">
        <v>13</v>
      </c>
      <c r="F462" s="12" t="s">
        <v>12</v>
      </c>
      <c r="G462" s="17" t="s">
        <v>236</v>
      </c>
      <c r="H462" s="11" t="s">
        <v>235</v>
      </c>
      <c r="J462"/>
      <c r="K462" s="20"/>
      <c r="L462" s="20"/>
      <c r="M462" s="20"/>
      <c r="N462" s="20"/>
      <c r="O462" s="20"/>
      <c r="P462" s="20"/>
      <c r="Q462"/>
      <c r="R462"/>
    </row>
    <row r="463" spans="1:18" s="12" customFormat="1" ht="16" x14ac:dyDescent="0.2">
      <c r="A463" s="17" t="s">
        <v>93</v>
      </c>
      <c r="B463" s="17">
        <v>0.2</v>
      </c>
      <c r="C463" s="12" t="s">
        <v>18</v>
      </c>
      <c r="D463" s="12" t="s">
        <v>13</v>
      </c>
      <c r="F463" s="12" t="s">
        <v>12</v>
      </c>
      <c r="G463" s="17" t="s">
        <v>47</v>
      </c>
      <c r="H463" s="11" t="s">
        <v>235</v>
      </c>
      <c r="J463"/>
      <c r="K463" s="20"/>
      <c r="L463" s="20"/>
      <c r="M463" s="20"/>
      <c r="N463" s="20"/>
      <c r="O463" s="20"/>
      <c r="P463" s="20"/>
      <c r="Q463"/>
      <c r="R463"/>
    </row>
    <row r="464" spans="1:18" s="12" customFormat="1" ht="16" x14ac:dyDescent="0.2">
      <c r="A464" s="17" t="s">
        <v>94</v>
      </c>
      <c r="B464" s="17">
        <v>0.7</v>
      </c>
      <c r="C464" s="12" t="s">
        <v>18</v>
      </c>
      <c r="D464" s="12" t="s">
        <v>13</v>
      </c>
      <c r="F464" s="12" t="s">
        <v>12</v>
      </c>
      <c r="G464" s="17" t="s">
        <v>48</v>
      </c>
      <c r="H464" s="11" t="s">
        <v>235</v>
      </c>
      <c r="J464"/>
      <c r="K464" s="20"/>
      <c r="L464" s="20"/>
      <c r="M464" s="20"/>
      <c r="N464" s="20"/>
      <c r="O464" s="20"/>
      <c r="P464" s="20"/>
      <c r="Q464"/>
      <c r="R464"/>
    </row>
    <row r="465" spans="1:18" s="12" customFormat="1" ht="16" x14ac:dyDescent="0.2">
      <c r="A465" s="17" t="s">
        <v>27</v>
      </c>
      <c r="B465" s="17">
        <v>1503.6</v>
      </c>
      <c r="C465" s="12" t="s">
        <v>18</v>
      </c>
      <c r="D465" s="12" t="s">
        <v>13</v>
      </c>
      <c r="F465" s="12" t="s">
        <v>12</v>
      </c>
      <c r="G465" s="17" t="s">
        <v>28</v>
      </c>
      <c r="H465" s="11" t="s">
        <v>237</v>
      </c>
      <c r="J465"/>
      <c r="K465" s="20"/>
      <c r="L465" s="20"/>
      <c r="M465" s="20"/>
      <c r="N465" s="20"/>
      <c r="O465" s="20"/>
      <c r="P465" s="20"/>
      <c r="Q465"/>
      <c r="R465"/>
    </row>
    <row r="466" spans="1:18" s="12" customFormat="1" ht="16" x14ac:dyDescent="0.2">
      <c r="A466" s="17" t="s">
        <v>92</v>
      </c>
      <c r="B466" s="17">
        <v>1503.6</v>
      </c>
      <c r="C466" s="12" t="s">
        <v>18</v>
      </c>
      <c r="D466" s="12" t="s">
        <v>13</v>
      </c>
      <c r="F466" s="12" t="s">
        <v>12</v>
      </c>
      <c r="G466" s="17" t="s">
        <v>46</v>
      </c>
      <c r="H466" s="11" t="s">
        <v>237</v>
      </c>
      <c r="J466"/>
      <c r="K466" s="20"/>
      <c r="L466" s="20"/>
      <c r="M466" s="20"/>
      <c r="N466" s="20"/>
      <c r="O466" s="20"/>
      <c r="P466" s="20"/>
      <c r="Q466"/>
      <c r="R466"/>
    </row>
    <row r="467" spans="1:18" s="12" customFormat="1" ht="16" x14ac:dyDescent="0.2">
      <c r="A467" s="17" t="s">
        <v>110</v>
      </c>
      <c r="B467" s="17">
        <v>534</v>
      </c>
      <c r="C467" s="12" t="s">
        <v>18</v>
      </c>
      <c r="D467" s="12" t="s">
        <v>13</v>
      </c>
      <c r="F467" s="12" t="s">
        <v>12</v>
      </c>
      <c r="G467" s="17" t="s">
        <v>111</v>
      </c>
      <c r="H467" s="11" t="s">
        <v>238</v>
      </c>
      <c r="J467"/>
      <c r="K467" s="20"/>
      <c r="L467" s="20"/>
      <c r="M467" s="20"/>
      <c r="N467" s="20"/>
      <c r="O467" s="20"/>
      <c r="P467" s="20"/>
      <c r="Q467"/>
      <c r="R467"/>
    </row>
    <row r="468" spans="1:18" s="12" customFormat="1" ht="16" x14ac:dyDescent="0.2">
      <c r="A468" s="17" t="s">
        <v>113</v>
      </c>
      <c r="B468" s="17">
        <v>534</v>
      </c>
      <c r="C468" s="12" t="s">
        <v>18</v>
      </c>
      <c r="D468" s="12" t="s">
        <v>13</v>
      </c>
      <c r="F468" s="12" t="s">
        <v>12</v>
      </c>
      <c r="G468" s="17" t="s">
        <v>114</v>
      </c>
      <c r="H468" s="11" t="s">
        <v>238</v>
      </c>
      <c r="J468"/>
      <c r="K468" s="20"/>
      <c r="L468" s="20"/>
      <c r="M468" s="20"/>
      <c r="N468" s="20"/>
      <c r="O468" s="20"/>
      <c r="P468" s="20"/>
      <c r="Q468"/>
      <c r="R468"/>
    </row>
    <row r="469" spans="1:18" s="12" customFormat="1" ht="16" x14ac:dyDescent="0.2">
      <c r="A469" s="17" t="s">
        <v>91</v>
      </c>
      <c r="B469" s="17">
        <v>267</v>
      </c>
      <c r="C469" s="12" t="s">
        <v>18</v>
      </c>
      <c r="D469" s="12" t="s">
        <v>13</v>
      </c>
      <c r="F469" s="12" t="s">
        <v>12</v>
      </c>
      <c r="G469" s="17" t="s">
        <v>44</v>
      </c>
      <c r="H469" s="11" t="s">
        <v>238</v>
      </c>
      <c r="J469"/>
      <c r="K469" s="20"/>
      <c r="L469" s="20"/>
      <c r="M469" s="20"/>
      <c r="N469" s="20"/>
      <c r="O469" s="20"/>
      <c r="P469" s="20"/>
      <c r="Q469"/>
      <c r="R469"/>
    </row>
    <row r="470" spans="1:18" s="12" customFormat="1" ht="16" x14ac:dyDescent="0.2">
      <c r="A470" s="17" t="s">
        <v>92</v>
      </c>
      <c r="B470" s="17">
        <v>267</v>
      </c>
      <c r="C470" s="12" t="s">
        <v>18</v>
      </c>
      <c r="D470" s="12" t="s">
        <v>13</v>
      </c>
      <c r="F470" s="12" t="s">
        <v>12</v>
      </c>
      <c r="G470" s="17" t="s">
        <v>46</v>
      </c>
      <c r="H470" s="11" t="s">
        <v>238</v>
      </c>
      <c r="J470"/>
      <c r="K470" s="20"/>
      <c r="L470" s="20"/>
      <c r="M470" s="20"/>
      <c r="N470" s="20"/>
      <c r="O470" s="20"/>
      <c r="P470" s="20"/>
      <c r="Q470"/>
      <c r="R470"/>
    </row>
    <row r="471" spans="1:18" s="12" customFormat="1" ht="16" x14ac:dyDescent="0.2">
      <c r="A471" s="17" t="s">
        <v>81</v>
      </c>
      <c r="B471" s="17">
        <v>588</v>
      </c>
      <c r="C471" s="12" t="s">
        <v>18</v>
      </c>
      <c r="D471" s="12" t="s">
        <v>13</v>
      </c>
      <c r="F471" s="12" t="s">
        <v>12</v>
      </c>
      <c r="G471" s="17" t="s">
        <v>82</v>
      </c>
      <c r="H471" s="11" t="s">
        <v>122</v>
      </c>
      <c r="J471"/>
      <c r="K471" s="20"/>
      <c r="L471" s="20"/>
      <c r="M471" s="20"/>
      <c r="N471" s="20"/>
      <c r="O471" s="20"/>
      <c r="P471" s="20"/>
      <c r="Q471"/>
      <c r="R471"/>
    </row>
    <row r="472" spans="1:18" s="12" customFormat="1" ht="16" x14ac:dyDescent="0.2">
      <c r="A472" s="17" t="s">
        <v>21</v>
      </c>
      <c r="B472" s="17">
        <v>588</v>
      </c>
      <c r="C472" s="12" t="s">
        <v>18</v>
      </c>
      <c r="D472" s="12" t="s">
        <v>13</v>
      </c>
      <c r="F472" s="12" t="s">
        <v>12</v>
      </c>
      <c r="G472" s="17" t="s">
        <v>16</v>
      </c>
      <c r="H472" s="11" t="s">
        <v>122</v>
      </c>
      <c r="J472"/>
      <c r="K472" s="20"/>
      <c r="L472" s="20"/>
      <c r="M472" s="20"/>
      <c r="N472" s="20"/>
      <c r="O472" s="20"/>
      <c r="P472" s="20"/>
      <c r="Q472"/>
      <c r="R472"/>
    </row>
    <row r="473" spans="1:18" s="12" customFormat="1" ht="16" x14ac:dyDescent="0.2">
      <c r="A473" s="17" t="s">
        <v>123</v>
      </c>
      <c r="B473" s="17">
        <v>33.299999999999997</v>
      </c>
      <c r="C473" s="12" t="s">
        <v>18</v>
      </c>
      <c r="D473" s="12" t="s">
        <v>124</v>
      </c>
      <c r="F473" s="12" t="s">
        <v>12</v>
      </c>
      <c r="G473" s="17" t="s">
        <v>125</v>
      </c>
      <c r="H473" s="11" t="s">
        <v>122</v>
      </c>
      <c r="J473"/>
      <c r="K473" s="20"/>
      <c r="L473" s="20"/>
      <c r="M473" s="20"/>
      <c r="N473" s="20"/>
      <c r="O473" s="20"/>
      <c r="P473" s="20"/>
      <c r="Q473"/>
      <c r="R473"/>
    </row>
    <row r="474" spans="1:18" s="12" customFormat="1" ht="16" x14ac:dyDescent="0.2">
      <c r="A474" s="17" t="s">
        <v>92</v>
      </c>
      <c r="B474" s="17">
        <v>2250</v>
      </c>
      <c r="C474" s="12" t="s">
        <v>18</v>
      </c>
      <c r="D474" s="12" t="s">
        <v>13</v>
      </c>
      <c r="F474" s="12" t="s">
        <v>12</v>
      </c>
      <c r="G474" s="17" t="s">
        <v>46</v>
      </c>
      <c r="H474" s="11" t="s">
        <v>126</v>
      </c>
      <c r="J474"/>
      <c r="K474" s="20"/>
      <c r="L474" s="20"/>
      <c r="M474" s="20"/>
      <c r="N474" s="20"/>
      <c r="O474" s="20"/>
      <c r="P474" s="20"/>
      <c r="Q474"/>
      <c r="R474"/>
    </row>
    <row r="475" spans="1:18" s="12" customFormat="1" ht="16" x14ac:dyDescent="0.2">
      <c r="A475" s="17" t="s">
        <v>239</v>
      </c>
      <c r="B475" s="17">
        <v>2250</v>
      </c>
      <c r="C475" s="12" t="s">
        <v>18</v>
      </c>
      <c r="D475" s="12" t="s">
        <v>13</v>
      </c>
      <c r="F475" s="12" t="s">
        <v>12</v>
      </c>
      <c r="G475" s="17" t="s">
        <v>240</v>
      </c>
      <c r="H475" s="11" t="s">
        <v>126</v>
      </c>
      <c r="J475"/>
      <c r="K475" s="20"/>
      <c r="L475" s="20"/>
      <c r="M475" s="20"/>
      <c r="N475" s="20"/>
      <c r="O475" s="20"/>
      <c r="P475" s="20"/>
      <c r="Q475"/>
      <c r="R475"/>
    </row>
    <row r="476" spans="1:18" s="12" customFormat="1" ht="16" x14ac:dyDescent="0.2">
      <c r="A476" s="17" t="s">
        <v>127</v>
      </c>
      <c r="B476" s="17">
        <v>2.2999999999999998</v>
      </c>
      <c r="C476" s="12" t="s">
        <v>49</v>
      </c>
      <c r="D476" s="12" t="s">
        <v>33</v>
      </c>
      <c r="F476" s="12" t="s">
        <v>12</v>
      </c>
      <c r="G476" s="17" t="s">
        <v>128</v>
      </c>
      <c r="H476" s="11" t="s">
        <v>241</v>
      </c>
      <c r="J476"/>
      <c r="K476" s="20"/>
      <c r="L476" s="20"/>
      <c r="M476" s="20"/>
      <c r="N476" s="20"/>
      <c r="O476" s="20"/>
      <c r="P476" s="20"/>
      <c r="Q476"/>
      <c r="R476"/>
    </row>
    <row r="477" spans="1:18" s="12" customFormat="1" ht="16" x14ac:dyDescent="0.2">
      <c r="A477" s="12" t="s">
        <v>35</v>
      </c>
      <c r="B477" s="13">
        <v>76420.2</v>
      </c>
      <c r="C477" s="12" t="s">
        <v>18</v>
      </c>
      <c r="D477" s="12" t="s">
        <v>37</v>
      </c>
      <c r="F477" s="12" t="s">
        <v>12</v>
      </c>
      <c r="G477" s="12" t="s">
        <v>38</v>
      </c>
      <c r="H477" s="12" t="s">
        <v>87</v>
      </c>
      <c r="J477"/>
      <c r="K477" s="20"/>
      <c r="L477" s="20"/>
      <c r="M477" s="20"/>
      <c r="N477" s="20"/>
      <c r="O477" s="20"/>
      <c r="P477" s="20"/>
      <c r="Q477"/>
      <c r="R477"/>
    </row>
    <row r="478" spans="1:18" s="12" customFormat="1" ht="16" x14ac:dyDescent="0.2">
      <c r="B478" s="17"/>
      <c r="F478" s="11"/>
      <c r="G478" s="11"/>
      <c r="K478" s="13"/>
      <c r="L478" s="13"/>
      <c r="M478" s="13"/>
      <c r="N478" s="13"/>
      <c r="O478" s="13"/>
      <c r="P478" s="13"/>
    </row>
    <row r="479" spans="1:18" s="12" customFormat="1" ht="16" x14ac:dyDescent="0.2">
      <c r="A479" s="9" t="s">
        <v>1</v>
      </c>
      <c r="B479" s="10" t="s">
        <v>276</v>
      </c>
      <c r="K479" s="13"/>
      <c r="L479" s="13"/>
      <c r="M479" s="13"/>
      <c r="N479" s="13"/>
      <c r="O479" s="13"/>
      <c r="P479" s="13"/>
    </row>
    <row r="480" spans="1:18" s="12" customFormat="1" ht="16" x14ac:dyDescent="0.2">
      <c r="A480" s="14" t="s">
        <v>3</v>
      </c>
      <c r="B480" s="15">
        <v>1</v>
      </c>
      <c r="K480" s="13"/>
      <c r="L480" s="13"/>
      <c r="M480" s="13"/>
      <c r="N480" s="13"/>
      <c r="O480" s="13"/>
      <c r="P480" s="13"/>
    </row>
    <row r="481" spans="1:20" s="12" customFormat="1" ht="16" x14ac:dyDescent="0.2">
      <c r="A481" s="14" t="s">
        <v>11</v>
      </c>
      <c r="B481" s="15" t="s">
        <v>524</v>
      </c>
      <c r="K481" s="13"/>
      <c r="L481" s="13"/>
      <c r="M481" s="13"/>
      <c r="N481" s="13"/>
      <c r="O481" s="13"/>
      <c r="P481" s="13"/>
    </row>
    <row r="482" spans="1:20" s="12" customFormat="1" ht="16" x14ac:dyDescent="0.2">
      <c r="A482" s="14" t="s">
        <v>4</v>
      </c>
      <c r="B482" s="17" t="s">
        <v>277</v>
      </c>
      <c r="K482" s="13"/>
      <c r="L482" s="13"/>
      <c r="M482" s="13"/>
      <c r="N482" s="13"/>
      <c r="O482" s="13"/>
      <c r="P482" s="13"/>
    </row>
    <row r="483" spans="1:20" s="12" customFormat="1" ht="16" x14ac:dyDescent="0.2">
      <c r="A483" s="14" t="s">
        <v>2</v>
      </c>
      <c r="B483" s="15" t="s">
        <v>36</v>
      </c>
      <c r="K483" s="13"/>
      <c r="L483" s="13"/>
      <c r="M483" s="13"/>
      <c r="N483" s="13"/>
      <c r="O483" s="13"/>
      <c r="P483" s="13"/>
    </row>
    <row r="484" spans="1:20" s="12" customFormat="1" ht="16" x14ac:dyDescent="0.2">
      <c r="A484" s="14" t="s">
        <v>6</v>
      </c>
      <c r="B484" s="17" t="s">
        <v>6</v>
      </c>
      <c r="K484" s="13"/>
      <c r="L484" s="13"/>
      <c r="M484" s="13"/>
      <c r="N484" s="13"/>
      <c r="O484" s="13"/>
      <c r="P484" s="13"/>
    </row>
    <row r="485" spans="1:20" s="12" customFormat="1" ht="16" x14ac:dyDescent="0.2">
      <c r="A485" s="18" t="s">
        <v>7</v>
      </c>
      <c r="B485" s="10"/>
      <c r="C485" s="18"/>
      <c r="D485" s="18"/>
      <c r="E485" s="18"/>
      <c r="F485" s="18"/>
      <c r="G485" s="18"/>
      <c r="H485" s="18"/>
      <c r="I485" s="18"/>
      <c r="J485" s="18"/>
      <c r="K485" s="13"/>
      <c r="L485" s="13"/>
      <c r="M485" s="13"/>
      <c r="N485" s="13"/>
      <c r="O485" s="13"/>
      <c r="P485" s="13"/>
    </row>
    <row r="486" spans="1:20" s="12" customFormat="1" ht="16" x14ac:dyDescent="0.2">
      <c r="A486" s="18" t="s">
        <v>8</v>
      </c>
      <c r="B486" s="10" t="s">
        <v>9</v>
      </c>
      <c r="C486" s="18" t="s">
        <v>2</v>
      </c>
      <c r="D486" s="18" t="s">
        <v>6</v>
      </c>
      <c r="E486" s="24" t="s">
        <v>10</v>
      </c>
      <c r="F486" s="18" t="s">
        <v>5</v>
      </c>
      <c r="G486" s="18" t="s">
        <v>4</v>
      </c>
      <c r="H486" s="24" t="s">
        <v>11</v>
      </c>
      <c r="I486" s="18"/>
      <c r="J486" s="8"/>
      <c r="K486" s="19"/>
      <c r="L486" s="19"/>
      <c r="M486" s="19"/>
      <c r="N486" s="19"/>
      <c r="O486" s="19"/>
      <c r="P486" s="19"/>
      <c r="Q486" s="8"/>
      <c r="R486" s="8"/>
      <c r="S486" s="18"/>
      <c r="T486" s="8"/>
    </row>
    <row r="487" spans="1:20" s="12" customFormat="1" ht="16" x14ac:dyDescent="0.2">
      <c r="A487" s="17" t="str">
        <f>B479</f>
        <v>treatment of fuel cell balance of plant, 1MWe, SOEC</v>
      </c>
      <c r="B487" s="13">
        <v>-1</v>
      </c>
      <c r="C487" s="12" t="s">
        <v>36</v>
      </c>
      <c r="D487" s="12" t="str">
        <f>B484</f>
        <v>unit</v>
      </c>
      <c r="F487" s="12" t="s">
        <v>17</v>
      </c>
      <c r="G487" s="12" t="str">
        <f>B482</f>
        <v>used fuel cell balance of plant, 1MWe, SOEC</v>
      </c>
      <c r="K487" s="13"/>
      <c r="L487" s="13"/>
      <c r="M487" s="13"/>
      <c r="N487" s="13"/>
      <c r="O487" s="13"/>
      <c r="P487" s="13"/>
    </row>
    <row r="488" spans="1:20" s="12" customFormat="1" ht="16" x14ac:dyDescent="0.2">
      <c r="A488" s="17" t="s">
        <v>243</v>
      </c>
      <c r="B488" s="12">
        <v>-20421</v>
      </c>
      <c r="C488" s="12" t="s">
        <v>40</v>
      </c>
      <c r="D488" s="12" t="s">
        <v>13</v>
      </c>
      <c r="F488" s="12" t="s">
        <v>12</v>
      </c>
      <c r="G488" s="12" t="s">
        <v>244</v>
      </c>
      <c r="J488"/>
      <c r="K488" s="20"/>
      <c r="L488" s="20"/>
      <c r="M488" s="20"/>
      <c r="N488" s="20"/>
      <c r="O488" s="20"/>
      <c r="P488" s="20"/>
      <c r="Q488"/>
      <c r="R488"/>
    </row>
    <row r="489" spans="1:20" s="12" customFormat="1" ht="16" x14ac:dyDescent="0.2">
      <c r="A489" s="17" t="s">
        <v>503</v>
      </c>
      <c r="B489" s="12">
        <v>-13730</v>
      </c>
      <c r="C489" s="12" t="s">
        <v>259</v>
      </c>
      <c r="D489" s="12" t="s">
        <v>13</v>
      </c>
      <c r="F489" s="12" t="s">
        <v>12</v>
      </c>
      <c r="G489" s="17" t="s">
        <v>258</v>
      </c>
      <c r="J489"/>
      <c r="K489" s="20"/>
      <c r="L489" s="20"/>
      <c r="M489" s="20"/>
      <c r="N489" s="20"/>
      <c r="O489" s="20"/>
      <c r="P489" s="20"/>
      <c r="Q489"/>
      <c r="R489"/>
    </row>
    <row r="490" spans="1:20" s="12" customFormat="1" ht="16" x14ac:dyDescent="0.2">
      <c r="A490" s="12" t="s">
        <v>245</v>
      </c>
      <c r="B490" s="12">
        <v>-401</v>
      </c>
      <c r="C490" s="12" t="s">
        <v>40</v>
      </c>
      <c r="D490" s="12" t="s">
        <v>13</v>
      </c>
      <c r="F490" s="12" t="s">
        <v>12</v>
      </c>
      <c r="G490" s="12" t="s">
        <v>246</v>
      </c>
      <c r="J490"/>
      <c r="K490" s="20"/>
      <c r="L490" s="20"/>
      <c r="M490" s="20"/>
      <c r="N490" s="20"/>
      <c r="O490" s="20"/>
      <c r="P490" s="20"/>
      <c r="Q490"/>
      <c r="R490"/>
    </row>
    <row r="491" spans="1:20" s="12" customFormat="1" ht="16" x14ac:dyDescent="0.2">
      <c r="A491" s="12" t="s">
        <v>272</v>
      </c>
      <c r="B491" s="12">
        <v>-32</v>
      </c>
      <c r="C491" s="12" t="s">
        <v>259</v>
      </c>
      <c r="D491" s="12" t="s">
        <v>13</v>
      </c>
      <c r="F491" s="12" t="s">
        <v>12</v>
      </c>
      <c r="G491" s="12" t="s">
        <v>273</v>
      </c>
      <c r="J491"/>
      <c r="K491" s="20"/>
      <c r="L491" s="20"/>
      <c r="M491" s="20"/>
      <c r="N491" s="20"/>
      <c r="O491" s="20"/>
      <c r="P491" s="20"/>
      <c r="Q491"/>
      <c r="R491"/>
    </row>
    <row r="492" spans="1:20" s="12" customFormat="1" ht="16" x14ac:dyDescent="0.2">
      <c r="A492" s="12" t="s">
        <v>260</v>
      </c>
      <c r="B492" s="12">
        <v>-14</v>
      </c>
      <c r="C492" s="12" t="s">
        <v>259</v>
      </c>
      <c r="D492" s="12" t="s">
        <v>13</v>
      </c>
      <c r="F492" s="12" t="s">
        <v>12</v>
      </c>
      <c r="G492" s="12" t="s">
        <v>504</v>
      </c>
      <c r="J492"/>
      <c r="K492" s="20"/>
      <c r="L492" s="20"/>
      <c r="M492" s="20"/>
      <c r="N492" s="20"/>
      <c r="O492" s="20"/>
      <c r="P492" s="20"/>
      <c r="Q492"/>
      <c r="R492"/>
    </row>
    <row r="493" spans="1:20" s="12" customFormat="1" ht="16" x14ac:dyDescent="0.2">
      <c r="A493" s="12" t="s">
        <v>261</v>
      </c>
      <c r="B493" s="12">
        <v>-8</v>
      </c>
      <c r="C493" s="12" t="s">
        <v>18</v>
      </c>
      <c r="D493" s="12" t="s">
        <v>13</v>
      </c>
      <c r="F493" s="12" t="s">
        <v>12</v>
      </c>
      <c r="G493" s="12" t="s">
        <v>262</v>
      </c>
      <c r="J493"/>
      <c r="K493" s="20"/>
      <c r="L493" s="20"/>
      <c r="M493" s="20"/>
      <c r="N493" s="20"/>
      <c r="O493" s="20"/>
      <c r="P493" s="20"/>
      <c r="Q493"/>
      <c r="R493"/>
    </row>
    <row r="494" spans="1:20" s="12" customFormat="1" ht="16" x14ac:dyDescent="0.2">
      <c r="A494" s="12" t="s">
        <v>263</v>
      </c>
      <c r="B494" s="12">
        <v>-534</v>
      </c>
      <c r="C494" s="12" t="s">
        <v>40</v>
      </c>
      <c r="D494" s="12" t="s">
        <v>13</v>
      </c>
      <c r="F494" s="12" t="s">
        <v>12</v>
      </c>
      <c r="G494" s="12" t="s">
        <v>506</v>
      </c>
      <c r="J494"/>
      <c r="K494" s="20"/>
      <c r="L494" s="20"/>
      <c r="M494" s="20"/>
      <c r="N494" s="20"/>
      <c r="O494" s="20"/>
      <c r="P494" s="20"/>
      <c r="Q494"/>
      <c r="R494"/>
    </row>
    <row r="495" spans="1:20" s="12" customFormat="1" ht="16" x14ac:dyDescent="0.2">
      <c r="A495" s="12" t="s">
        <v>505</v>
      </c>
      <c r="B495" s="12">
        <v>-3000</v>
      </c>
      <c r="C495" s="12" t="s">
        <v>40</v>
      </c>
      <c r="D495" s="12" t="s">
        <v>13</v>
      </c>
      <c r="F495" s="12" t="s">
        <v>12</v>
      </c>
      <c r="G495" s="12" t="s">
        <v>264</v>
      </c>
      <c r="J495"/>
      <c r="K495" s="20"/>
      <c r="L495" s="20"/>
      <c r="M495" s="20"/>
      <c r="N495" s="20"/>
      <c r="O495" s="20"/>
      <c r="P495" s="20"/>
      <c r="Q495"/>
      <c r="R495"/>
    </row>
    <row r="496" spans="1:20" s="12" customFormat="1" ht="16" x14ac:dyDescent="0.2">
      <c r="A496" s="12" t="s">
        <v>247</v>
      </c>
      <c r="B496" s="12">
        <v>-429</v>
      </c>
      <c r="C496" s="12" t="s">
        <v>40</v>
      </c>
      <c r="D496" s="12" t="s">
        <v>13</v>
      </c>
      <c r="F496" s="12" t="s">
        <v>12</v>
      </c>
      <c r="G496" s="12" t="s">
        <v>248</v>
      </c>
      <c r="J496"/>
      <c r="K496" s="20"/>
      <c r="L496" s="20"/>
      <c r="M496" s="20"/>
      <c r="N496" s="20"/>
      <c r="O496" s="20"/>
      <c r="P496" s="20"/>
      <c r="Q496"/>
      <c r="R496"/>
    </row>
    <row r="497" spans="1:18" s="12" customFormat="1" ht="16" x14ac:dyDescent="0.2">
      <c r="A497" s="12" t="s">
        <v>249</v>
      </c>
      <c r="B497" s="12">
        <v>-210</v>
      </c>
      <c r="C497" s="12" t="s">
        <v>251</v>
      </c>
      <c r="D497" s="12" t="s">
        <v>13</v>
      </c>
      <c r="F497" s="12" t="s">
        <v>12</v>
      </c>
      <c r="G497" s="12" t="s">
        <v>250</v>
      </c>
      <c r="J497"/>
      <c r="K497" s="20"/>
      <c r="L497" s="20"/>
      <c r="M497" s="20"/>
      <c r="N497" s="20"/>
      <c r="O497" s="20"/>
      <c r="P497" s="20"/>
      <c r="Q497"/>
      <c r="R497"/>
    </row>
    <row r="498" spans="1:18" s="12" customFormat="1" ht="16" x14ac:dyDescent="0.2">
      <c r="A498" s="12" t="s">
        <v>502</v>
      </c>
      <c r="B498" s="12">
        <v>-5600</v>
      </c>
      <c r="C498" s="12" t="s">
        <v>40</v>
      </c>
      <c r="D498" s="12" t="s">
        <v>13</v>
      </c>
      <c r="F498" s="12" t="s">
        <v>12</v>
      </c>
      <c r="G498" s="12" t="s">
        <v>265</v>
      </c>
      <c r="J498"/>
      <c r="K498" s="20"/>
      <c r="L498" s="20"/>
      <c r="M498" s="20"/>
      <c r="N498" s="20"/>
      <c r="O498" s="20"/>
      <c r="P498" s="20"/>
      <c r="Q498"/>
      <c r="R498"/>
    </row>
    <row r="499" spans="1:18" s="12" customFormat="1" ht="16" x14ac:dyDescent="0.2">
      <c r="B499" s="17"/>
      <c r="K499" s="13"/>
      <c r="L499" s="13"/>
      <c r="M499" s="13"/>
      <c r="N499" s="13"/>
      <c r="O499" s="13"/>
      <c r="P499" s="13"/>
    </row>
  </sheetData>
  <autoFilter ref="A1:T499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40C-5A98-C943-82C9-9BA357D77C9A}">
  <dimension ref="A1:F17"/>
  <sheetViews>
    <sheetView topLeftCell="A7" workbookViewId="0">
      <selection activeCell="C17" sqref="C17"/>
    </sheetView>
  </sheetViews>
  <sheetFormatPr baseColWidth="10" defaultRowHeight="15" x14ac:dyDescent="0.2"/>
  <cols>
    <col min="1" max="1" width="23.83203125" bestFit="1" customWidth="1"/>
    <col min="2" max="3" width="9.1640625" bestFit="1" customWidth="1"/>
    <col min="4" max="4" width="7.1640625" bestFit="1" customWidth="1"/>
    <col min="5" max="5" width="13" customWidth="1"/>
    <col min="6" max="6" width="18.33203125" customWidth="1"/>
  </cols>
  <sheetData>
    <row r="1" spans="1:6" x14ac:dyDescent="0.2">
      <c r="A1" t="s">
        <v>484</v>
      </c>
    </row>
    <row r="2" spans="1:6" ht="16" thickBot="1" x14ac:dyDescent="0.25"/>
    <row r="3" spans="1:6" ht="16" thickBot="1" x14ac:dyDescent="0.25">
      <c r="A3" s="36"/>
      <c r="B3" s="37" t="s">
        <v>321</v>
      </c>
      <c r="C3" s="37" t="s">
        <v>443</v>
      </c>
      <c r="D3" s="37" t="s">
        <v>396</v>
      </c>
      <c r="E3" s="38" t="s">
        <v>397</v>
      </c>
      <c r="F3" s="37" t="s">
        <v>444</v>
      </c>
    </row>
    <row r="4" spans="1:6" ht="17" thickTop="1" thickBot="1" x14ac:dyDescent="0.25">
      <c r="A4" s="42" t="s">
        <v>477</v>
      </c>
      <c r="B4" s="40" t="s">
        <v>478</v>
      </c>
      <c r="C4" s="39" t="s">
        <v>480</v>
      </c>
      <c r="D4" s="57" t="s">
        <v>445</v>
      </c>
      <c r="E4" s="58"/>
      <c r="F4" s="40" t="s">
        <v>446</v>
      </c>
    </row>
    <row r="5" spans="1:6" ht="71" thickBot="1" x14ac:dyDescent="0.25">
      <c r="A5" s="47" t="s">
        <v>479</v>
      </c>
      <c r="B5" s="40">
        <v>7</v>
      </c>
      <c r="C5" s="39">
        <v>5.5</v>
      </c>
      <c r="D5" s="59">
        <v>2.5</v>
      </c>
      <c r="E5" s="60"/>
      <c r="F5" s="39" t="s">
        <v>447</v>
      </c>
    </row>
    <row r="6" spans="1:6" ht="29" thickBot="1" x14ac:dyDescent="0.25">
      <c r="A6" s="47" t="s">
        <v>448</v>
      </c>
      <c r="B6" s="50" t="s">
        <v>449</v>
      </c>
      <c r="C6" s="56"/>
      <c r="D6" s="56"/>
      <c r="E6" s="51"/>
      <c r="F6" s="41" t="s">
        <v>450</v>
      </c>
    </row>
    <row r="7" spans="1:6" ht="16" thickBot="1" x14ac:dyDescent="0.25">
      <c r="A7" s="47" t="s">
        <v>451</v>
      </c>
      <c r="B7" s="40">
        <v>27.5</v>
      </c>
      <c r="C7" s="39">
        <v>20</v>
      </c>
      <c r="D7" s="59">
        <v>20</v>
      </c>
      <c r="E7" s="60"/>
      <c r="F7" s="39" t="s">
        <v>446</v>
      </c>
    </row>
    <row r="8" spans="1:6" ht="43" thickBot="1" x14ac:dyDescent="0.25">
      <c r="A8" s="47" t="s">
        <v>452</v>
      </c>
      <c r="B8" s="40">
        <v>3</v>
      </c>
      <c r="C8" s="39">
        <v>3</v>
      </c>
      <c r="D8" s="59">
        <v>7</v>
      </c>
      <c r="E8" s="60"/>
      <c r="F8" s="39" t="s">
        <v>453</v>
      </c>
    </row>
    <row r="9" spans="1:6" ht="31" thickBot="1" x14ac:dyDescent="0.25">
      <c r="A9" s="47" t="s">
        <v>454</v>
      </c>
      <c r="B9" s="50" t="s">
        <v>481</v>
      </c>
      <c r="C9" s="56"/>
      <c r="D9" s="56"/>
      <c r="E9" s="51"/>
      <c r="F9" s="41" t="s">
        <v>455</v>
      </c>
    </row>
    <row r="10" spans="1:6" ht="71" thickBot="1" x14ac:dyDescent="0.25">
      <c r="A10" s="47" t="s">
        <v>456</v>
      </c>
      <c r="B10" s="40">
        <v>51.8</v>
      </c>
      <c r="C10" s="40">
        <v>54</v>
      </c>
      <c r="D10" s="40">
        <v>42.3</v>
      </c>
      <c r="E10" s="41">
        <v>39</v>
      </c>
      <c r="F10" s="39" t="s">
        <v>457</v>
      </c>
    </row>
    <row r="11" spans="1:6" ht="31" thickBot="1" x14ac:dyDescent="0.25">
      <c r="A11" s="47" t="s">
        <v>482</v>
      </c>
      <c r="B11" s="43">
        <v>0.64500000000000002</v>
      </c>
      <c r="C11" s="43">
        <v>0.61699999999999999</v>
      </c>
      <c r="D11" s="43">
        <v>0.78700000000000003</v>
      </c>
      <c r="E11" s="44">
        <v>0.85</v>
      </c>
      <c r="F11" s="39" t="s">
        <v>458</v>
      </c>
    </row>
    <row r="12" spans="1:6" ht="43" thickBot="1" x14ac:dyDescent="0.25">
      <c r="A12" s="47" t="s">
        <v>459</v>
      </c>
      <c r="B12" s="40"/>
      <c r="C12" s="45"/>
      <c r="D12" s="40"/>
      <c r="E12" s="41">
        <v>16</v>
      </c>
      <c r="F12" s="39" t="s">
        <v>483</v>
      </c>
    </row>
    <row r="13" spans="1:6" ht="17" thickBot="1" x14ac:dyDescent="0.25">
      <c r="A13" s="47" t="s">
        <v>461</v>
      </c>
      <c r="B13" s="40">
        <v>19.36</v>
      </c>
      <c r="C13" s="45">
        <v>18.52</v>
      </c>
      <c r="D13" s="50">
        <v>23.6</v>
      </c>
      <c r="E13" s="51"/>
      <c r="F13" s="39" t="s">
        <v>458</v>
      </c>
    </row>
    <row r="14" spans="1:6" ht="17" thickBot="1" x14ac:dyDescent="0.25">
      <c r="A14" s="47" t="s">
        <v>462</v>
      </c>
      <c r="B14" s="40">
        <v>3.7000000000000002E-3</v>
      </c>
      <c r="C14" s="46"/>
      <c r="D14" s="52"/>
      <c r="E14" s="53"/>
      <c r="F14" s="41" t="s">
        <v>463</v>
      </c>
    </row>
    <row r="15" spans="1:6" ht="16" thickBot="1" x14ac:dyDescent="0.25">
      <c r="A15" s="47" t="s">
        <v>464</v>
      </c>
      <c r="B15" s="40" t="s">
        <v>465</v>
      </c>
      <c r="C15" s="40" t="s">
        <v>466</v>
      </c>
      <c r="D15" s="50" t="s">
        <v>467</v>
      </c>
      <c r="E15" s="51"/>
      <c r="F15" s="39" t="s">
        <v>460</v>
      </c>
    </row>
    <row r="16" spans="1:6" ht="16" thickBot="1" x14ac:dyDescent="0.25">
      <c r="A16" s="47" t="s">
        <v>468</v>
      </c>
      <c r="B16" s="40" t="s">
        <v>469</v>
      </c>
      <c r="C16" s="40" t="s">
        <v>470</v>
      </c>
      <c r="D16" s="50" t="s">
        <v>471</v>
      </c>
      <c r="E16" s="51"/>
      <c r="F16" s="39" t="s">
        <v>446</v>
      </c>
    </row>
    <row r="17" spans="1:6" ht="113" thickBot="1" x14ac:dyDescent="0.25">
      <c r="A17" s="47" t="s">
        <v>472</v>
      </c>
      <c r="B17" s="40" t="s">
        <v>473</v>
      </c>
      <c r="C17" s="40" t="s">
        <v>474</v>
      </c>
      <c r="D17" s="54" t="s">
        <v>475</v>
      </c>
      <c r="E17" s="55"/>
      <c r="F17" s="41" t="s">
        <v>476</v>
      </c>
    </row>
  </sheetData>
  <mergeCells count="11">
    <mergeCell ref="B9:E9"/>
    <mergeCell ref="D4:E4"/>
    <mergeCell ref="D5:E5"/>
    <mergeCell ref="B6:E6"/>
    <mergeCell ref="D7:E7"/>
    <mergeCell ref="D8:E8"/>
    <mergeCell ref="D13:E13"/>
    <mergeCell ref="D14:E14"/>
    <mergeCell ref="D15:E15"/>
    <mergeCell ref="D16:E16"/>
    <mergeCell ref="D17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8E51-C45A-8344-B1B4-B0522AA36215}">
  <dimension ref="A1:AG104"/>
  <sheetViews>
    <sheetView workbookViewId="0">
      <selection activeCell="G3" sqref="G3:G104"/>
    </sheetView>
  </sheetViews>
  <sheetFormatPr baseColWidth="10" defaultRowHeight="15" x14ac:dyDescent="0.2"/>
  <cols>
    <col min="1" max="1" width="32.5" bestFit="1" customWidth="1"/>
    <col min="2" max="2" width="29.5" bestFit="1" customWidth="1"/>
    <col min="3" max="3" width="11" bestFit="1" customWidth="1"/>
    <col min="4" max="4" width="12.33203125" customWidth="1"/>
    <col min="5" max="5" width="8" customWidth="1"/>
    <col min="6" max="6" width="13" customWidth="1"/>
    <col min="7" max="7" width="12.33203125" customWidth="1"/>
    <col min="8" max="8" width="10" bestFit="1" customWidth="1"/>
    <col min="9" max="9" width="13.33203125" customWidth="1"/>
    <col min="10" max="10" width="9" bestFit="1" customWidth="1"/>
    <col min="11" max="11" width="9.5" bestFit="1" customWidth="1"/>
    <col min="12" max="12" width="13.83203125" customWidth="1"/>
    <col min="13" max="13" width="13" customWidth="1"/>
    <col min="14" max="15" width="13.83203125" customWidth="1"/>
    <col min="16" max="16" width="15" customWidth="1"/>
    <col min="17" max="17" width="10" bestFit="1" customWidth="1"/>
    <col min="18" max="18" width="10.6640625" bestFit="1" customWidth="1"/>
    <col min="20" max="21" width="9.1640625" bestFit="1" customWidth="1"/>
    <col min="22" max="22" width="14.6640625" customWidth="1"/>
    <col min="23" max="23" width="13.83203125" customWidth="1"/>
    <col min="24" max="24" width="14" customWidth="1"/>
    <col min="25" max="25" width="12.6640625" customWidth="1"/>
    <col min="27" max="28" width="9.6640625" bestFit="1" customWidth="1"/>
    <col min="31" max="31" width="9.5" bestFit="1" customWidth="1"/>
    <col min="32" max="33" width="9.6640625" bestFit="1" customWidth="1"/>
  </cols>
  <sheetData>
    <row r="1" spans="1:33" x14ac:dyDescent="0.2">
      <c r="A1" t="s">
        <v>484</v>
      </c>
    </row>
    <row r="3" spans="1:33" ht="68" x14ac:dyDescent="0.2">
      <c r="A3" s="31" t="s">
        <v>278</v>
      </c>
      <c r="B3" s="31" t="s">
        <v>279</v>
      </c>
      <c r="C3" s="31" t="s">
        <v>280</v>
      </c>
      <c r="D3" s="31" t="s">
        <v>281</v>
      </c>
      <c r="E3" s="31" t="s">
        <v>282</v>
      </c>
      <c r="F3" s="31" t="s">
        <v>283</v>
      </c>
      <c r="G3" s="31" t="s">
        <v>284</v>
      </c>
      <c r="H3" s="31" t="s">
        <v>285</v>
      </c>
      <c r="I3" s="31" t="s">
        <v>286</v>
      </c>
      <c r="J3" s="31" t="s">
        <v>287</v>
      </c>
      <c r="K3" s="31" t="s">
        <v>288</v>
      </c>
      <c r="L3" s="31" t="s">
        <v>289</v>
      </c>
      <c r="M3" s="31" t="s">
        <v>290</v>
      </c>
      <c r="N3" s="31" t="s">
        <v>291</v>
      </c>
      <c r="O3" s="31" t="s">
        <v>292</v>
      </c>
      <c r="P3" s="31" t="s">
        <v>293</v>
      </c>
      <c r="Q3" s="31" t="s">
        <v>294</v>
      </c>
      <c r="R3" s="31" t="s">
        <v>295</v>
      </c>
      <c r="S3" s="31" t="s">
        <v>296</v>
      </c>
      <c r="T3" s="31" t="s">
        <v>297</v>
      </c>
      <c r="U3" s="31" t="s">
        <v>298</v>
      </c>
      <c r="V3" s="31" t="s">
        <v>299</v>
      </c>
      <c r="W3" s="31" t="s">
        <v>300</v>
      </c>
      <c r="X3" s="31" t="s">
        <v>301</v>
      </c>
      <c r="Y3" s="31" t="s">
        <v>302</v>
      </c>
      <c r="Z3" s="31" t="s">
        <v>303</v>
      </c>
      <c r="AA3" s="31" t="s">
        <v>304</v>
      </c>
      <c r="AB3" s="31" t="s">
        <v>305</v>
      </c>
      <c r="AC3" s="31" t="s">
        <v>306</v>
      </c>
      <c r="AD3" s="31" t="s">
        <v>307</v>
      </c>
      <c r="AE3" s="31" t="s">
        <v>308</v>
      </c>
      <c r="AF3" s="31" t="s">
        <v>309</v>
      </c>
      <c r="AG3" s="31" t="s">
        <v>310</v>
      </c>
    </row>
    <row r="4" spans="1:33" x14ac:dyDescent="0.2">
      <c r="A4" t="s">
        <v>311</v>
      </c>
      <c r="B4" t="s">
        <v>312</v>
      </c>
      <c r="C4" t="s">
        <v>313</v>
      </c>
      <c r="D4">
        <v>300</v>
      </c>
      <c r="E4">
        <v>1500</v>
      </c>
      <c r="F4">
        <v>1800</v>
      </c>
      <c r="G4">
        <v>616</v>
      </c>
      <c r="H4" t="s">
        <v>314</v>
      </c>
      <c r="I4" s="32"/>
      <c r="J4">
        <v>10</v>
      </c>
      <c r="K4" t="s">
        <v>315</v>
      </c>
      <c r="O4">
        <v>4.8499999999999996</v>
      </c>
      <c r="P4" s="33">
        <f>((1000*O4)/0.08924)/1000</f>
        <v>54.347826086956523</v>
      </c>
      <c r="Q4" s="33"/>
      <c r="R4" s="34"/>
      <c r="T4">
        <v>61.9</v>
      </c>
      <c r="V4">
        <v>5</v>
      </c>
      <c r="W4">
        <v>80</v>
      </c>
      <c r="X4">
        <v>0.1</v>
      </c>
      <c r="Y4">
        <v>80000</v>
      </c>
      <c r="AA4">
        <v>5.5</v>
      </c>
      <c r="AB4">
        <v>40</v>
      </c>
      <c r="AC4">
        <v>27.8</v>
      </c>
      <c r="AD4">
        <v>308.89999999999998</v>
      </c>
      <c r="AE4" t="s">
        <v>316</v>
      </c>
    </row>
    <row r="5" spans="1:33" x14ac:dyDescent="0.2">
      <c r="A5" t="s">
        <v>317</v>
      </c>
      <c r="B5" t="s">
        <v>318</v>
      </c>
      <c r="C5" t="s">
        <v>313</v>
      </c>
      <c r="F5">
        <v>2</v>
      </c>
      <c r="I5" s="32"/>
      <c r="O5">
        <v>5</v>
      </c>
      <c r="P5" s="33">
        <f>((1000*O5)/0.08924)/1000</f>
        <v>56.028686687584042</v>
      </c>
      <c r="Q5" s="33"/>
      <c r="R5" s="34"/>
      <c r="T5">
        <v>60</v>
      </c>
      <c r="V5">
        <v>20</v>
      </c>
      <c r="W5">
        <v>80</v>
      </c>
      <c r="X5">
        <v>0.1</v>
      </c>
      <c r="Y5">
        <v>40000</v>
      </c>
      <c r="AB5">
        <v>40</v>
      </c>
      <c r="AC5">
        <v>0.05</v>
      </c>
      <c r="AD5">
        <v>0.6</v>
      </c>
    </row>
    <row r="6" spans="1:33" x14ac:dyDescent="0.2">
      <c r="A6" t="s">
        <v>319</v>
      </c>
      <c r="B6" t="s">
        <v>320</v>
      </c>
      <c r="C6" t="s">
        <v>321</v>
      </c>
      <c r="F6">
        <v>2.4</v>
      </c>
      <c r="G6">
        <v>230</v>
      </c>
      <c r="H6" t="s">
        <v>322</v>
      </c>
      <c r="I6" s="32">
        <v>0.125</v>
      </c>
      <c r="J6">
        <v>3</v>
      </c>
      <c r="K6" t="s">
        <v>316</v>
      </c>
      <c r="M6">
        <v>5</v>
      </c>
      <c r="N6">
        <v>45</v>
      </c>
      <c r="O6">
        <v>4.8</v>
      </c>
      <c r="P6" s="33">
        <f>((1000*O6)/0.08924)/1000</f>
        <v>53.787539220080681</v>
      </c>
      <c r="Q6" s="33"/>
      <c r="R6" s="34"/>
      <c r="T6">
        <v>62.5</v>
      </c>
      <c r="V6">
        <v>20</v>
      </c>
      <c r="W6">
        <v>55</v>
      </c>
      <c r="X6">
        <v>20</v>
      </c>
      <c r="Y6">
        <v>30000</v>
      </c>
      <c r="AA6">
        <v>3</v>
      </c>
      <c r="AB6">
        <v>35</v>
      </c>
      <c r="AC6">
        <v>0.45</v>
      </c>
      <c r="AD6">
        <v>5</v>
      </c>
      <c r="AE6" t="s">
        <v>316</v>
      </c>
    </row>
    <row r="7" spans="1:33" x14ac:dyDescent="0.2">
      <c r="A7" t="s">
        <v>323</v>
      </c>
      <c r="B7" t="s">
        <v>324</v>
      </c>
      <c r="C7" t="s">
        <v>321</v>
      </c>
      <c r="F7">
        <v>3</v>
      </c>
      <c r="I7" s="32"/>
      <c r="R7" s="34"/>
      <c r="AB7">
        <v>1</v>
      </c>
      <c r="AC7">
        <v>0.04</v>
      </c>
      <c r="AD7">
        <v>0.4</v>
      </c>
      <c r="AE7" t="s">
        <v>316</v>
      </c>
    </row>
    <row r="8" spans="1:33" x14ac:dyDescent="0.2">
      <c r="A8" t="s">
        <v>325</v>
      </c>
      <c r="B8" t="s">
        <v>326</v>
      </c>
      <c r="C8" t="s">
        <v>313</v>
      </c>
      <c r="D8">
        <v>1</v>
      </c>
      <c r="E8">
        <v>6</v>
      </c>
      <c r="F8">
        <v>7</v>
      </c>
      <c r="G8">
        <v>400</v>
      </c>
      <c r="H8" t="s">
        <v>322</v>
      </c>
      <c r="I8" s="32">
        <v>0.42857142857142855</v>
      </c>
      <c r="J8">
        <v>40</v>
      </c>
      <c r="K8" t="s">
        <v>315</v>
      </c>
      <c r="L8">
        <v>8500</v>
      </c>
      <c r="M8">
        <v>5</v>
      </c>
      <c r="N8">
        <v>35</v>
      </c>
      <c r="R8" s="34"/>
      <c r="V8">
        <v>20</v>
      </c>
      <c r="W8">
        <v>65</v>
      </c>
      <c r="X8">
        <v>0.1</v>
      </c>
      <c r="Y8">
        <v>35000</v>
      </c>
      <c r="AA8">
        <v>3</v>
      </c>
      <c r="AB8">
        <v>20</v>
      </c>
      <c r="AC8">
        <v>0.1</v>
      </c>
      <c r="AD8">
        <v>1.1000000000000001</v>
      </c>
      <c r="AE8" t="s">
        <v>316</v>
      </c>
    </row>
    <row r="9" spans="1:33" x14ac:dyDescent="0.2">
      <c r="A9" t="s">
        <v>323</v>
      </c>
      <c r="B9" t="s">
        <v>327</v>
      </c>
      <c r="C9" t="s">
        <v>321</v>
      </c>
      <c r="D9">
        <v>6</v>
      </c>
      <c r="F9">
        <v>9</v>
      </c>
      <c r="I9" s="32"/>
      <c r="R9" s="34"/>
      <c r="AB9">
        <v>2.5</v>
      </c>
      <c r="AC9">
        <v>0.14000000000000001</v>
      </c>
      <c r="AD9">
        <v>1.6</v>
      </c>
      <c r="AE9" t="s">
        <v>316</v>
      </c>
    </row>
    <row r="10" spans="1:33" x14ac:dyDescent="0.2">
      <c r="A10" t="s">
        <v>328</v>
      </c>
      <c r="B10" t="s">
        <v>329</v>
      </c>
      <c r="C10" t="s">
        <v>321</v>
      </c>
      <c r="D10">
        <v>1</v>
      </c>
      <c r="E10">
        <v>10</v>
      </c>
      <c r="F10">
        <v>10</v>
      </c>
      <c r="G10">
        <v>400</v>
      </c>
      <c r="H10" t="s">
        <v>330</v>
      </c>
      <c r="I10" s="32">
        <v>0.1</v>
      </c>
      <c r="J10">
        <v>3</v>
      </c>
      <c r="K10" t="s">
        <v>316</v>
      </c>
      <c r="L10">
        <v>8700</v>
      </c>
      <c r="M10">
        <v>5</v>
      </c>
      <c r="N10">
        <v>40</v>
      </c>
      <c r="O10">
        <v>4.8</v>
      </c>
      <c r="P10" s="33">
        <f>((1000*O10)/0.08924)/1000</f>
        <v>53.787539220080681</v>
      </c>
      <c r="Q10" s="33"/>
      <c r="R10" s="34">
        <v>0.2</v>
      </c>
      <c r="T10">
        <v>62.5</v>
      </c>
      <c r="U10">
        <v>92.5</v>
      </c>
      <c r="V10">
        <v>20</v>
      </c>
      <c r="W10">
        <v>55</v>
      </c>
      <c r="X10">
        <v>2</v>
      </c>
      <c r="Y10">
        <v>35000</v>
      </c>
      <c r="Z10">
        <v>8760</v>
      </c>
      <c r="AA10">
        <v>3</v>
      </c>
      <c r="AB10">
        <v>35</v>
      </c>
      <c r="AC10">
        <v>0.18</v>
      </c>
      <c r="AD10">
        <v>2</v>
      </c>
      <c r="AE10" t="s">
        <v>316</v>
      </c>
      <c r="AF10">
        <v>5</v>
      </c>
      <c r="AG10">
        <v>35</v>
      </c>
    </row>
    <row r="11" spans="1:33" x14ac:dyDescent="0.2">
      <c r="A11" t="s">
        <v>328</v>
      </c>
      <c r="B11" t="s">
        <v>331</v>
      </c>
      <c r="C11" t="s">
        <v>321</v>
      </c>
      <c r="D11">
        <v>1</v>
      </c>
      <c r="E11">
        <v>10</v>
      </c>
      <c r="F11">
        <v>10</v>
      </c>
      <c r="G11">
        <v>400</v>
      </c>
      <c r="H11" t="s">
        <v>330</v>
      </c>
      <c r="I11" s="32">
        <v>0.1</v>
      </c>
      <c r="J11">
        <v>3</v>
      </c>
      <c r="K11" t="s">
        <v>316</v>
      </c>
      <c r="L11">
        <v>8700</v>
      </c>
      <c r="M11">
        <v>-25</v>
      </c>
      <c r="N11">
        <v>40</v>
      </c>
      <c r="O11">
        <v>4.8</v>
      </c>
      <c r="P11" s="33">
        <f>((1000*O11)/0.08924)/1000</f>
        <v>53.787539220080681</v>
      </c>
      <c r="Q11" s="33"/>
      <c r="R11" s="34">
        <v>0.2</v>
      </c>
      <c r="T11">
        <v>62.5</v>
      </c>
      <c r="U11">
        <v>92.5</v>
      </c>
      <c r="V11">
        <v>20</v>
      </c>
      <c r="W11">
        <v>55</v>
      </c>
      <c r="X11">
        <v>2</v>
      </c>
      <c r="Y11">
        <v>35000</v>
      </c>
      <c r="Z11">
        <v>8760</v>
      </c>
      <c r="AA11">
        <v>3</v>
      </c>
      <c r="AB11">
        <v>35</v>
      </c>
      <c r="AC11">
        <v>0.18</v>
      </c>
      <c r="AD11">
        <v>2</v>
      </c>
      <c r="AE11" t="s">
        <v>316</v>
      </c>
      <c r="AF11">
        <v>5</v>
      </c>
      <c r="AG11">
        <v>35</v>
      </c>
    </row>
    <row r="12" spans="1:33" x14ac:dyDescent="0.2">
      <c r="A12" t="s">
        <v>317</v>
      </c>
      <c r="B12" t="s">
        <v>332</v>
      </c>
      <c r="C12" t="s">
        <v>313</v>
      </c>
      <c r="F12">
        <v>13</v>
      </c>
      <c r="I12" s="32"/>
      <c r="O12">
        <v>5</v>
      </c>
      <c r="P12" s="33">
        <f>((1000*O12)/0.08924)/1000</f>
        <v>56.028686687584042</v>
      </c>
      <c r="Q12" s="33"/>
      <c r="R12" s="34"/>
      <c r="T12">
        <v>60</v>
      </c>
      <c r="V12">
        <v>20</v>
      </c>
      <c r="W12">
        <v>80</v>
      </c>
      <c r="X12">
        <v>0.1</v>
      </c>
      <c r="Y12">
        <v>40000</v>
      </c>
      <c r="AB12">
        <v>40</v>
      </c>
      <c r="AC12">
        <v>0.23</v>
      </c>
      <c r="AD12">
        <v>2.5</v>
      </c>
    </row>
    <row r="13" spans="1:33" x14ac:dyDescent="0.2">
      <c r="A13" t="s">
        <v>325</v>
      </c>
      <c r="B13" t="s">
        <v>333</v>
      </c>
      <c r="C13" t="s">
        <v>313</v>
      </c>
      <c r="D13">
        <v>1</v>
      </c>
      <c r="E13">
        <v>11</v>
      </c>
      <c r="F13">
        <v>14</v>
      </c>
      <c r="G13">
        <v>400</v>
      </c>
      <c r="H13" t="s">
        <v>322</v>
      </c>
      <c r="I13" s="32">
        <v>0.21428571428571427</v>
      </c>
      <c r="J13">
        <v>40</v>
      </c>
      <c r="K13" t="s">
        <v>315</v>
      </c>
      <c r="L13">
        <v>8500</v>
      </c>
      <c r="M13">
        <v>5</v>
      </c>
      <c r="N13">
        <v>35</v>
      </c>
      <c r="R13" s="34"/>
      <c r="V13">
        <v>20</v>
      </c>
      <c r="W13">
        <v>65</v>
      </c>
      <c r="X13">
        <v>0.1</v>
      </c>
      <c r="Y13">
        <v>35000</v>
      </c>
      <c r="AA13">
        <v>3</v>
      </c>
      <c r="AB13">
        <v>20</v>
      </c>
      <c r="AC13">
        <v>0.2</v>
      </c>
      <c r="AD13">
        <v>2.2000000000000002</v>
      </c>
      <c r="AE13" t="s">
        <v>316</v>
      </c>
    </row>
    <row r="14" spans="1:33" x14ac:dyDescent="0.2">
      <c r="A14" t="s">
        <v>325</v>
      </c>
      <c r="B14" t="s">
        <v>334</v>
      </c>
      <c r="C14" t="s">
        <v>313</v>
      </c>
      <c r="D14">
        <v>1</v>
      </c>
      <c r="E14">
        <v>17</v>
      </c>
      <c r="F14">
        <v>20</v>
      </c>
      <c r="G14">
        <v>400</v>
      </c>
      <c r="H14" t="s">
        <v>322</v>
      </c>
      <c r="I14" s="32">
        <v>0.15</v>
      </c>
      <c r="J14">
        <v>40</v>
      </c>
      <c r="K14" t="s">
        <v>315</v>
      </c>
      <c r="L14">
        <v>8500</v>
      </c>
      <c r="M14">
        <v>5</v>
      </c>
      <c r="N14">
        <v>35</v>
      </c>
      <c r="R14" s="34"/>
      <c r="V14">
        <v>20</v>
      </c>
      <c r="W14">
        <v>65</v>
      </c>
      <c r="X14">
        <v>0.1</v>
      </c>
      <c r="Y14">
        <v>35000</v>
      </c>
      <c r="AA14">
        <v>3</v>
      </c>
      <c r="AB14">
        <v>20</v>
      </c>
      <c r="AC14">
        <v>0.3</v>
      </c>
      <c r="AD14">
        <v>3.3</v>
      </c>
      <c r="AE14" t="s">
        <v>316</v>
      </c>
    </row>
    <row r="15" spans="1:33" x14ac:dyDescent="0.2">
      <c r="A15" t="s">
        <v>328</v>
      </c>
      <c r="B15" t="s">
        <v>335</v>
      </c>
      <c r="C15" t="s">
        <v>321</v>
      </c>
      <c r="D15">
        <v>1</v>
      </c>
      <c r="E15">
        <v>22</v>
      </c>
      <c r="F15">
        <v>22</v>
      </c>
      <c r="G15">
        <v>400</v>
      </c>
      <c r="H15" t="s">
        <v>330</v>
      </c>
      <c r="I15" s="32">
        <v>9.0909090909090912E-2</v>
      </c>
      <c r="J15">
        <v>3</v>
      </c>
      <c r="K15" t="s">
        <v>316</v>
      </c>
      <c r="L15">
        <v>8700</v>
      </c>
      <c r="M15">
        <v>5</v>
      </c>
      <c r="N15">
        <v>45</v>
      </c>
      <c r="O15">
        <v>4.8</v>
      </c>
      <c r="P15" s="33">
        <f>((1000*O15)/0.08924)/1000</f>
        <v>53.787539220080681</v>
      </c>
      <c r="Q15" s="33"/>
      <c r="R15" s="34">
        <v>0.22727272727272727</v>
      </c>
      <c r="T15">
        <v>62.5</v>
      </c>
      <c r="U15">
        <v>92.5</v>
      </c>
      <c r="V15">
        <v>20</v>
      </c>
      <c r="W15">
        <v>55</v>
      </c>
      <c r="X15">
        <v>2</v>
      </c>
      <c r="Y15">
        <v>35000</v>
      </c>
      <c r="Z15">
        <v>8760</v>
      </c>
      <c r="AA15">
        <v>3</v>
      </c>
      <c r="AB15">
        <v>35</v>
      </c>
      <c r="AC15">
        <v>0.4</v>
      </c>
      <c r="AD15">
        <v>4.4000000000000004</v>
      </c>
      <c r="AE15" t="s">
        <v>316</v>
      </c>
      <c r="AF15">
        <v>5</v>
      </c>
      <c r="AG15">
        <v>35</v>
      </c>
    </row>
    <row r="16" spans="1:33" x14ac:dyDescent="0.2">
      <c r="A16" t="s">
        <v>328</v>
      </c>
      <c r="B16" t="s">
        <v>336</v>
      </c>
      <c r="C16" t="s">
        <v>321</v>
      </c>
      <c r="D16">
        <v>1</v>
      </c>
      <c r="E16">
        <v>22</v>
      </c>
      <c r="F16">
        <v>22</v>
      </c>
      <c r="G16">
        <v>400</v>
      </c>
      <c r="H16" t="s">
        <v>330</v>
      </c>
      <c r="I16" s="32">
        <v>9.0909090909090912E-2</v>
      </c>
      <c r="J16">
        <v>3</v>
      </c>
      <c r="K16" t="s">
        <v>316</v>
      </c>
      <c r="L16">
        <v>8700</v>
      </c>
      <c r="M16">
        <v>-25</v>
      </c>
      <c r="N16">
        <v>40</v>
      </c>
      <c r="O16">
        <v>4.8</v>
      </c>
      <c r="P16" s="33">
        <f>((1000*O16)/0.08924)/1000</f>
        <v>53.787539220080681</v>
      </c>
      <c r="Q16" s="33"/>
      <c r="R16" s="34">
        <v>0.22727272727272727</v>
      </c>
      <c r="T16">
        <v>62.5</v>
      </c>
      <c r="U16">
        <v>92.5</v>
      </c>
      <c r="V16">
        <v>20</v>
      </c>
      <c r="W16">
        <v>55</v>
      </c>
      <c r="X16">
        <v>2</v>
      </c>
      <c r="Y16">
        <v>35000</v>
      </c>
      <c r="Z16">
        <v>8760</v>
      </c>
      <c r="AA16">
        <v>3</v>
      </c>
      <c r="AB16">
        <v>35</v>
      </c>
      <c r="AC16">
        <v>0.4</v>
      </c>
      <c r="AD16">
        <v>4.4000000000000004</v>
      </c>
      <c r="AE16" t="s">
        <v>316</v>
      </c>
      <c r="AF16">
        <v>5</v>
      </c>
      <c r="AG16">
        <v>35</v>
      </c>
    </row>
    <row r="17" spans="1:33" x14ac:dyDescent="0.2">
      <c r="A17" t="s">
        <v>323</v>
      </c>
      <c r="B17" t="s">
        <v>337</v>
      </c>
      <c r="C17" t="s">
        <v>321</v>
      </c>
      <c r="D17">
        <v>14</v>
      </c>
      <c r="F17">
        <v>26</v>
      </c>
      <c r="I17" s="32"/>
      <c r="R17" s="34"/>
      <c r="AB17">
        <v>2.5</v>
      </c>
      <c r="AC17">
        <v>0.4</v>
      </c>
      <c r="AD17">
        <v>4.4000000000000004</v>
      </c>
      <c r="AE17" t="s">
        <v>316</v>
      </c>
    </row>
    <row r="18" spans="1:33" x14ac:dyDescent="0.2">
      <c r="A18" t="s">
        <v>325</v>
      </c>
      <c r="B18" t="s">
        <v>338</v>
      </c>
      <c r="C18" t="s">
        <v>313</v>
      </c>
      <c r="D18">
        <v>1</v>
      </c>
      <c r="E18">
        <v>22</v>
      </c>
      <c r="F18">
        <v>27</v>
      </c>
      <c r="G18">
        <v>400</v>
      </c>
      <c r="H18" t="s">
        <v>322</v>
      </c>
      <c r="I18" s="32">
        <v>0.1111111111111111</v>
      </c>
      <c r="J18">
        <v>40</v>
      </c>
      <c r="K18" t="s">
        <v>315</v>
      </c>
      <c r="L18">
        <v>8500</v>
      </c>
      <c r="M18">
        <v>5</v>
      </c>
      <c r="N18">
        <v>35</v>
      </c>
      <c r="R18" s="34"/>
      <c r="V18">
        <v>20</v>
      </c>
      <c r="W18">
        <v>65</v>
      </c>
      <c r="X18">
        <v>0.1</v>
      </c>
      <c r="Y18">
        <v>35000</v>
      </c>
      <c r="AA18">
        <v>3</v>
      </c>
      <c r="AB18">
        <v>20</v>
      </c>
      <c r="AC18">
        <v>0.4</v>
      </c>
      <c r="AD18">
        <v>4.4000000000000004</v>
      </c>
      <c r="AE18" t="s">
        <v>316</v>
      </c>
    </row>
    <row r="19" spans="1:33" x14ac:dyDescent="0.2">
      <c r="A19" t="s">
        <v>339</v>
      </c>
      <c r="B19" t="s">
        <v>340</v>
      </c>
      <c r="C19" t="s">
        <v>313</v>
      </c>
      <c r="D19">
        <v>3</v>
      </c>
      <c r="E19">
        <v>25</v>
      </c>
      <c r="F19">
        <v>28</v>
      </c>
      <c r="G19">
        <v>400</v>
      </c>
      <c r="H19" t="s">
        <v>322</v>
      </c>
      <c r="I19" s="32">
        <v>0.5357142857142857</v>
      </c>
      <c r="J19">
        <v>1</v>
      </c>
      <c r="K19" t="s">
        <v>315</v>
      </c>
      <c r="L19">
        <v>8410</v>
      </c>
      <c r="M19">
        <v>-20</v>
      </c>
      <c r="N19">
        <v>40</v>
      </c>
      <c r="O19">
        <v>4.9000000000000004</v>
      </c>
      <c r="P19" s="33">
        <f>((1000*O19)/0.08924)/1000</f>
        <v>54.908112953832365</v>
      </c>
      <c r="Q19" s="33"/>
      <c r="R19" s="34"/>
      <c r="T19">
        <v>61.2</v>
      </c>
      <c r="V19">
        <v>20</v>
      </c>
      <c r="W19">
        <v>80</v>
      </c>
      <c r="X19">
        <v>1</v>
      </c>
      <c r="Y19">
        <v>50000</v>
      </c>
      <c r="AA19">
        <v>3.5</v>
      </c>
      <c r="AB19">
        <v>100</v>
      </c>
      <c r="AC19">
        <v>0.45</v>
      </c>
      <c r="AD19">
        <v>5</v>
      </c>
      <c r="AE19" t="s">
        <v>315</v>
      </c>
    </row>
    <row r="20" spans="1:33" x14ac:dyDescent="0.2">
      <c r="A20" t="s">
        <v>325</v>
      </c>
      <c r="B20" t="s">
        <v>341</v>
      </c>
      <c r="C20" t="s">
        <v>313</v>
      </c>
      <c r="D20">
        <v>1</v>
      </c>
      <c r="E20">
        <v>27</v>
      </c>
      <c r="F20">
        <v>33</v>
      </c>
      <c r="G20">
        <v>400</v>
      </c>
      <c r="H20" t="s">
        <v>322</v>
      </c>
      <c r="I20" s="32">
        <v>9.0909090909090912E-2</v>
      </c>
      <c r="J20">
        <v>40</v>
      </c>
      <c r="K20" t="s">
        <v>315</v>
      </c>
      <c r="L20">
        <v>8500</v>
      </c>
      <c r="M20">
        <v>5</v>
      </c>
      <c r="N20">
        <v>35</v>
      </c>
      <c r="R20" s="34"/>
      <c r="V20">
        <v>20</v>
      </c>
      <c r="W20">
        <v>65</v>
      </c>
      <c r="X20">
        <v>0.1</v>
      </c>
      <c r="Y20">
        <v>35000</v>
      </c>
      <c r="AA20">
        <v>3</v>
      </c>
      <c r="AB20">
        <v>20</v>
      </c>
      <c r="AC20">
        <v>0.5</v>
      </c>
      <c r="AD20">
        <v>5.6</v>
      </c>
      <c r="AE20" t="s">
        <v>316</v>
      </c>
    </row>
    <row r="21" spans="1:33" x14ac:dyDescent="0.2">
      <c r="A21" t="s">
        <v>317</v>
      </c>
      <c r="B21" t="s">
        <v>342</v>
      </c>
      <c r="C21" t="s">
        <v>313</v>
      </c>
      <c r="F21">
        <v>35</v>
      </c>
      <c r="I21" s="32"/>
      <c r="O21">
        <v>5</v>
      </c>
      <c r="P21" s="33">
        <f>((1000*O21)/0.08924)/1000</f>
        <v>56.028686687584042</v>
      </c>
      <c r="Q21" s="33"/>
      <c r="R21" s="34"/>
      <c r="T21">
        <v>60</v>
      </c>
      <c r="V21">
        <v>20</v>
      </c>
      <c r="W21">
        <v>80</v>
      </c>
      <c r="X21">
        <v>0.1</v>
      </c>
      <c r="Y21">
        <v>40000</v>
      </c>
      <c r="AB21">
        <v>40</v>
      </c>
      <c r="AC21">
        <v>0.63</v>
      </c>
      <c r="AD21">
        <v>6.9</v>
      </c>
    </row>
    <row r="22" spans="1:33" x14ac:dyDescent="0.2">
      <c r="A22" t="s">
        <v>328</v>
      </c>
      <c r="B22" t="s">
        <v>343</v>
      </c>
      <c r="C22" t="s">
        <v>321</v>
      </c>
      <c r="D22">
        <v>1</v>
      </c>
      <c r="E22">
        <v>43</v>
      </c>
      <c r="F22">
        <v>43</v>
      </c>
      <c r="G22">
        <v>400</v>
      </c>
      <c r="H22" t="s">
        <v>330</v>
      </c>
      <c r="I22" s="32">
        <v>9.3023255813953487E-2</v>
      </c>
      <c r="J22">
        <v>3</v>
      </c>
      <c r="K22" t="s">
        <v>316</v>
      </c>
      <c r="L22">
        <v>8700</v>
      </c>
      <c r="M22">
        <v>5</v>
      </c>
      <c r="N22">
        <v>45</v>
      </c>
      <c r="O22">
        <v>4.8</v>
      </c>
      <c r="P22" s="33">
        <f>((1000*O22)/0.08924)/1000</f>
        <v>53.787539220080681</v>
      </c>
      <c r="Q22" s="33"/>
      <c r="R22" s="34">
        <v>0.2558139534883721</v>
      </c>
      <c r="T22">
        <v>62.5</v>
      </c>
      <c r="U22">
        <v>92.5</v>
      </c>
      <c r="V22">
        <v>20</v>
      </c>
      <c r="W22">
        <v>55</v>
      </c>
      <c r="X22">
        <v>2</v>
      </c>
      <c r="Y22">
        <v>35000</v>
      </c>
      <c r="Z22">
        <v>8760</v>
      </c>
      <c r="AA22">
        <v>3</v>
      </c>
      <c r="AB22">
        <v>35</v>
      </c>
      <c r="AC22">
        <v>0.8</v>
      </c>
      <c r="AD22">
        <v>8.9</v>
      </c>
      <c r="AE22" t="s">
        <v>316</v>
      </c>
      <c r="AF22">
        <v>5</v>
      </c>
      <c r="AG22">
        <v>35</v>
      </c>
    </row>
    <row r="23" spans="1:33" x14ac:dyDescent="0.2">
      <c r="A23" t="s">
        <v>328</v>
      </c>
      <c r="B23" t="s">
        <v>344</v>
      </c>
      <c r="C23" t="s">
        <v>321</v>
      </c>
      <c r="D23">
        <v>1</v>
      </c>
      <c r="E23">
        <v>43</v>
      </c>
      <c r="F23">
        <v>43</v>
      </c>
      <c r="G23">
        <v>400</v>
      </c>
      <c r="H23" t="s">
        <v>330</v>
      </c>
      <c r="I23" s="32">
        <v>9.3023255813953487E-2</v>
      </c>
      <c r="J23">
        <v>3</v>
      </c>
      <c r="K23" t="s">
        <v>316</v>
      </c>
      <c r="L23">
        <v>8700</v>
      </c>
      <c r="M23">
        <v>-25</v>
      </c>
      <c r="N23">
        <v>40</v>
      </c>
      <c r="O23">
        <v>4.8</v>
      </c>
      <c r="P23" s="33">
        <f>((1000*O23)/0.08924)/1000</f>
        <v>53.787539220080681</v>
      </c>
      <c r="Q23" s="33"/>
      <c r="R23" s="34">
        <v>0.2558139534883721</v>
      </c>
      <c r="T23">
        <v>62.5</v>
      </c>
      <c r="U23">
        <v>92.5</v>
      </c>
      <c r="V23">
        <v>20</v>
      </c>
      <c r="W23">
        <v>55</v>
      </c>
      <c r="X23">
        <v>2</v>
      </c>
      <c r="Y23">
        <v>35000</v>
      </c>
      <c r="Z23">
        <v>8760</v>
      </c>
      <c r="AA23">
        <v>3</v>
      </c>
      <c r="AB23">
        <v>35</v>
      </c>
      <c r="AC23">
        <v>0.8</v>
      </c>
      <c r="AD23">
        <v>8.9</v>
      </c>
      <c r="AE23" t="s">
        <v>316</v>
      </c>
      <c r="AF23">
        <v>5</v>
      </c>
      <c r="AG23">
        <v>35</v>
      </c>
    </row>
    <row r="24" spans="1:33" x14ac:dyDescent="0.2">
      <c r="A24" t="s">
        <v>323</v>
      </c>
      <c r="B24" t="s">
        <v>345</v>
      </c>
      <c r="C24" t="s">
        <v>321</v>
      </c>
      <c r="F24">
        <v>50</v>
      </c>
      <c r="H24" t="s">
        <v>314</v>
      </c>
      <c r="I24" s="32"/>
      <c r="O24">
        <v>4.5</v>
      </c>
      <c r="P24" s="33">
        <f>((1000*O24)/0.08924)/1000</f>
        <v>50.425818018825638</v>
      </c>
      <c r="Q24" s="33"/>
      <c r="R24" s="34"/>
      <c r="T24">
        <v>66.7</v>
      </c>
      <c r="AB24">
        <v>30</v>
      </c>
      <c r="AC24">
        <v>0.9</v>
      </c>
      <c r="AD24">
        <v>10</v>
      </c>
    </row>
    <row r="25" spans="1:33" x14ac:dyDescent="0.2">
      <c r="A25" t="s">
        <v>346</v>
      </c>
      <c r="B25" t="s">
        <v>347</v>
      </c>
      <c r="C25" t="s">
        <v>313</v>
      </c>
      <c r="D25">
        <v>10</v>
      </c>
      <c r="E25">
        <v>50</v>
      </c>
      <c r="F25">
        <v>60</v>
      </c>
      <c r="G25">
        <v>400</v>
      </c>
      <c r="H25" t="s">
        <v>330</v>
      </c>
      <c r="I25" s="32">
        <v>0.11666666666666667</v>
      </c>
      <c r="J25">
        <v>15</v>
      </c>
      <c r="K25" t="s">
        <v>315</v>
      </c>
      <c r="L25">
        <v>8650</v>
      </c>
      <c r="M25">
        <v>-40</v>
      </c>
      <c r="N25">
        <v>35</v>
      </c>
      <c r="O25">
        <v>4.8</v>
      </c>
      <c r="P25" s="33">
        <f>((1000*O25)/0.08924)/1000</f>
        <v>53.787539220080681</v>
      </c>
      <c r="Q25" s="33"/>
      <c r="R25" s="34">
        <v>0.16666666666666666</v>
      </c>
      <c r="S25">
        <v>62</v>
      </c>
      <c r="T25">
        <v>62.5</v>
      </c>
      <c r="V25">
        <v>25</v>
      </c>
      <c r="W25">
        <v>75</v>
      </c>
      <c r="X25">
        <v>0.1</v>
      </c>
      <c r="Y25">
        <v>80000</v>
      </c>
      <c r="Z25">
        <v>8600</v>
      </c>
      <c r="AA25">
        <v>3.8</v>
      </c>
      <c r="AB25">
        <v>40</v>
      </c>
      <c r="AC25">
        <v>0.89</v>
      </c>
      <c r="AD25">
        <v>9.9</v>
      </c>
      <c r="AE25" t="s">
        <v>315</v>
      </c>
      <c r="AF25">
        <v>5</v>
      </c>
      <c r="AG25">
        <v>40</v>
      </c>
    </row>
    <row r="26" spans="1:33" x14ac:dyDescent="0.2">
      <c r="A26" t="s">
        <v>323</v>
      </c>
      <c r="B26" t="s">
        <v>348</v>
      </c>
      <c r="C26" t="s">
        <v>321</v>
      </c>
      <c r="D26">
        <v>18</v>
      </c>
      <c r="F26">
        <v>60</v>
      </c>
      <c r="I26" s="32"/>
      <c r="R26" s="34"/>
      <c r="AB26">
        <v>8</v>
      </c>
      <c r="AC26">
        <v>0.9</v>
      </c>
      <c r="AD26">
        <v>10</v>
      </c>
      <c r="AE26" t="s">
        <v>316</v>
      </c>
    </row>
    <row r="27" spans="1:33" x14ac:dyDescent="0.2">
      <c r="A27" t="s">
        <v>328</v>
      </c>
      <c r="B27" t="s">
        <v>349</v>
      </c>
      <c r="C27" t="s">
        <v>321</v>
      </c>
      <c r="D27">
        <v>1</v>
      </c>
      <c r="E27">
        <v>86</v>
      </c>
      <c r="F27">
        <v>86</v>
      </c>
      <c r="G27">
        <v>400</v>
      </c>
      <c r="H27" t="s">
        <v>330</v>
      </c>
      <c r="I27" s="32">
        <v>9.3023255813953487E-2</v>
      </c>
      <c r="J27">
        <v>3</v>
      </c>
      <c r="K27" t="s">
        <v>316</v>
      </c>
      <c r="L27">
        <v>8700</v>
      </c>
      <c r="M27">
        <v>5</v>
      </c>
      <c r="N27">
        <v>45</v>
      </c>
      <c r="O27">
        <v>4.8</v>
      </c>
      <c r="P27" s="33">
        <f>((1000*O27)/0.08924)/1000</f>
        <v>53.787539220080681</v>
      </c>
      <c r="Q27" s="33"/>
      <c r="R27" s="34">
        <v>0.2558139534883721</v>
      </c>
      <c r="T27">
        <v>62.5</v>
      </c>
      <c r="U27">
        <v>92.5</v>
      </c>
      <c r="V27">
        <v>20</v>
      </c>
      <c r="W27">
        <v>55</v>
      </c>
      <c r="X27">
        <v>2</v>
      </c>
      <c r="Y27">
        <v>35000</v>
      </c>
      <c r="Z27">
        <v>8760</v>
      </c>
      <c r="AA27">
        <v>3</v>
      </c>
      <c r="AB27">
        <v>35</v>
      </c>
      <c r="AC27">
        <v>1.6</v>
      </c>
      <c r="AD27">
        <v>17.8</v>
      </c>
      <c r="AE27" t="s">
        <v>316</v>
      </c>
      <c r="AF27">
        <v>5</v>
      </c>
      <c r="AG27">
        <v>35</v>
      </c>
    </row>
    <row r="28" spans="1:33" x14ac:dyDescent="0.2">
      <c r="A28" t="s">
        <v>328</v>
      </c>
      <c r="B28" t="s">
        <v>350</v>
      </c>
      <c r="C28" t="s">
        <v>321</v>
      </c>
      <c r="D28">
        <v>1</v>
      </c>
      <c r="E28">
        <v>86</v>
      </c>
      <c r="F28">
        <v>86</v>
      </c>
      <c r="G28">
        <v>400</v>
      </c>
      <c r="H28" t="s">
        <v>330</v>
      </c>
      <c r="I28" s="32">
        <v>9.3023255813953487E-2</v>
      </c>
      <c r="J28">
        <v>3</v>
      </c>
      <c r="K28" t="s">
        <v>316</v>
      </c>
      <c r="L28">
        <v>8700</v>
      </c>
      <c r="M28">
        <v>-25</v>
      </c>
      <c r="N28">
        <v>40</v>
      </c>
      <c r="O28">
        <v>4.8</v>
      </c>
      <c r="P28" s="33">
        <f>((1000*O28)/0.08924)/1000</f>
        <v>53.787539220080681</v>
      </c>
      <c r="Q28" s="33"/>
      <c r="R28" s="34">
        <v>0.2558139534883721</v>
      </c>
      <c r="T28">
        <v>62.5</v>
      </c>
      <c r="U28">
        <v>92.5</v>
      </c>
      <c r="V28">
        <v>20</v>
      </c>
      <c r="W28">
        <v>55</v>
      </c>
      <c r="X28">
        <v>2</v>
      </c>
      <c r="Y28">
        <v>35000</v>
      </c>
      <c r="Z28">
        <v>8760</v>
      </c>
      <c r="AA28">
        <v>3</v>
      </c>
      <c r="AB28">
        <v>35</v>
      </c>
      <c r="AC28">
        <v>1.6</v>
      </c>
      <c r="AD28">
        <v>17.8</v>
      </c>
      <c r="AE28" t="s">
        <v>316</v>
      </c>
      <c r="AF28">
        <v>5</v>
      </c>
      <c r="AG28">
        <v>35</v>
      </c>
    </row>
    <row r="29" spans="1:33" x14ac:dyDescent="0.2">
      <c r="A29" t="s">
        <v>323</v>
      </c>
      <c r="B29" t="s">
        <v>351</v>
      </c>
      <c r="C29" t="s">
        <v>321</v>
      </c>
      <c r="F29">
        <v>100</v>
      </c>
      <c r="H29" t="s">
        <v>314</v>
      </c>
      <c r="I29" s="32"/>
      <c r="O29">
        <v>4.5</v>
      </c>
      <c r="P29" s="33">
        <f>((1000*O29)/0.08924)/1000</f>
        <v>50.425818018825638</v>
      </c>
      <c r="Q29" s="33"/>
      <c r="R29" s="34"/>
      <c r="T29">
        <v>66.7</v>
      </c>
      <c r="AB29">
        <v>30</v>
      </c>
      <c r="AC29">
        <v>1.8</v>
      </c>
      <c r="AD29">
        <v>20</v>
      </c>
    </row>
    <row r="30" spans="1:33" x14ac:dyDescent="0.2">
      <c r="A30" t="s">
        <v>317</v>
      </c>
      <c r="B30" t="s">
        <v>352</v>
      </c>
      <c r="C30" t="s">
        <v>313</v>
      </c>
      <c r="F30">
        <v>100</v>
      </c>
      <c r="I30" s="32"/>
      <c r="O30">
        <v>5</v>
      </c>
      <c r="P30" s="33">
        <f>((1000*O30)/0.08924)/1000</f>
        <v>56.028686687584042</v>
      </c>
      <c r="Q30" s="33"/>
      <c r="R30" s="34"/>
      <c r="T30">
        <v>60</v>
      </c>
      <c r="V30">
        <v>20</v>
      </c>
      <c r="W30">
        <v>80</v>
      </c>
      <c r="X30">
        <v>0.1</v>
      </c>
      <c r="Y30">
        <v>40000</v>
      </c>
      <c r="AB30">
        <v>40</v>
      </c>
      <c r="AC30">
        <v>1.79</v>
      </c>
      <c r="AD30">
        <v>19.899999999999999</v>
      </c>
    </row>
    <row r="31" spans="1:33" x14ac:dyDescent="0.2">
      <c r="A31" t="s">
        <v>353</v>
      </c>
      <c r="B31" t="s">
        <v>354</v>
      </c>
      <c r="C31" t="s">
        <v>313</v>
      </c>
      <c r="D31">
        <v>12</v>
      </c>
      <c r="E31">
        <v>100</v>
      </c>
      <c r="F31">
        <v>105</v>
      </c>
      <c r="G31">
        <v>400</v>
      </c>
      <c r="H31" t="s">
        <v>322</v>
      </c>
      <c r="I31" s="32">
        <v>6.6666666666666666E-2</v>
      </c>
      <c r="J31">
        <v>40</v>
      </c>
      <c r="K31" t="s">
        <v>316</v>
      </c>
      <c r="L31">
        <v>8600</v>
      </c>
      <c r="M31">
        <v>5</v>
      </c>
      <c r="N31">
        <v>45</v>
      </c>
      <c r="R31" s="34"/>
      <c r="AB31">
        <v>30</v>
      </c>
      <c r="AC31">
        <v>1.75</v>
      </c>
      <c r="AD31">
        <v>19.399999999999999</v>
      </c>
      <c r="AE31" t="s">
        <v>316</v>
      </c>
    </row>
    <row r="32" spans="1:33" x14ac:dyDescent="0.2">
      <c r="A32" t="s">
        <v>339</v>
      </c>
      <c r="B32" t="s">
        <v>355</v>
      </c>
      <c r="C32" t="s">
        <v>313</v>
      </c>
      <c r="D32">
        <v>10</v>
      </c>
      <c r="E32">
        <v>100</v>
      </c>
      <c r="F32">
        <v>110</v>
      </c>
      <c r="G32">
        <v>400</v>
      </c>
      <c r="H32" t="s">
        <v>322</v>
      </c>
      <c r="I32" s="32">
        <v>0.13636363636363635</v>
      </c>
      <c r="J32">
        <v>1</v>
      </c>
      <c r="K32" t="s">
        <v>315</v>
      </c>
      <c r="L32">
        <v>8410</v>
      </c>
      <c r="M32">
        <v>-20</v>
      </c>
      <c r="N32">
        <v>40</v>
      </c>
      <c r="O32">
        <v>4.67</v>
      </c>
      <c r="P32" s="33">
        <f t="shared" ref="P32:P39" si="0">((1000*O32)/0.08924)/1000</f>
        <v>52.330793366203501</v>
      </c>
      <c r="Q32" s="33"/>
      <c r="R32" s="34"/>
      <c r="T32">
        <v>64.2</v>
      </c>
      <c r="V32">
        <v>5</v>
      </c>
      <c r="W32">
        <v>70</v>
      </c>
      <c r="X32">
        <v>1</v>
      </c>
      <c r="Y32">
        <v>80000</v>
      </c>
      <c r="AA32">
        <v>3.5</v>
      </c>
      <c r="AB32">
        <v>40</v>
      </c>
      <c r="AC32">
        <v>1.8</v>
      </c>
      <c r="AD32">
        <v>20</v>
      </c>
      <c r="AE32" t="s">
        <v>315</v>
      </c>
    </row>
    <row r="33" spans="1:33" x14ac:dyDescent="0.2">
      <c r="A33" t="s">
        <v>356</v>
      </c>
      <c r="B33" t="s">
        <v>357</v>
      </c>
      <c r="C33" t="s">
        <v>321</v>
      </c>
      <c r="D33">
        <v>46</v>
      </c>
      <c r="F33">
        <v>115</v>
      </c>
      <c r="H33" t="s">
        <v>322</v>
      </c>
      <c r="I33" s="32">
        <v>0.46956521739130436</v>
      </c>
      <c r="K33" t="s">
        <v>315</v>
      </c>
      <c r="M33">
        <v>-20</v>
      </c>
      <c r="N33">
        <v>40</v>
      </c>
      <c r="O33">
        <v>4.9000000000000004</v>
      </c>
      <c r="P33" s="33">
        <f t="shared" si="0"/>
        <v>54.908112953832365</v>
      </c>
      <c r="Q33" s="33"/>
      <c r="R33" s="34"/>
      <c r="AA33">
        <v>4.8</v>
      </c>
      <c r="AB33">
        <v>10</v>
      </c>
      <c r="AC33">
        <v>0.88</v>
      </c>
      <c r="AD33">
        <v>9.6999999999999993</v>
      </c>
      <c r="AE33" t="s">
        <v>315</v>
      </c>
    </row>
    <row r="34" spans="1:33" x14ac:dyDescent="0.2">
      <c r="A34" t="s">
        <v>346</v>
      </c>
      <c r="B34" t="s">
        <v>358</v>
      </c>
      <c r="C34" t="s">
        <v>313</v>
      </c>
      <c r="D34">
        <v>20</v>
      </c>
      <c r="E34">
        <v>100</v>
      </c>
      <c r="F34">
        <v>120</v>
      </c>
      <c r="G34">
        <v>400</v>
      </c>
      <c r="H34" t="s">
        <v>330</v>
      </c>
      <c r="I34" s="32">
        <v>5.8333333333333334E-2</v>
      </c>
      <c r="J34">
        <v>15</v>
      </c>
      <c r="K34" t="s">
        <v>315</v>
      </c>
      <c r="L34">
        <v>8650</v>
      </c>
      <c r="M34">
        <v>-40</v>
      </c>
      <c r="N34">
        <v>35</v>
      </c>
      <c r="O34">
        <v>4.8</v>
      </c>
      <c r="P34" s="33">
        <f t="shared" si="0"/>
        <v>53.787539220080681</v>
      </c>
      <c r="Q34" s="33"/>
      <c r="R34" s="34">
        <v>0.16666666666666666</v>
      </c>
      <c r="S34">
        <v>62</v>
      </c>
      <c r="T34">
        <v>62.5</v>
      </c>
      <c r="V34">
        <v>25</v>
      </c>
      <c r="W34">
        <v>75</v>
      </c>
      <c r="X34">
        <v>0.1</v>
      </c>
      <c r="Y34">
        <v>80000</v>
      </c>
      <c r="Z34">
        <v>8600</v>
      </c>
      <c r="AA34">
        <v>3.8</v>
      </c>
      <c r="AB34">
        <v>40</v>
      </c>
      <c r="AC34">
        <v>1.78</v>
      </c>
      <c r="AD34">
        <v>19.8</v>
      </c>
      <c r="AE34" t="s">
        <v>315</v>
      </c>
      <c r="AF34">
        <v>5</v>
      </c>
      <c r="AG34">
        <v>40</v>
      </c>
    </row>
    <row r="35" spans="1:33" x14ac:dyDescent="0.2">
      <c r="A35" t="s">
        <v>311</v>
      </c>
      <c r="B35" t="s">
        <v>359</v>
      </c>
      <c r="C35" t="s">
        <v>313</v>
      </c>
      <c r="D35">
        <v>21</v>
      </c>
      <c r="E35">
        <v>100</v>
      </c>
      <c r="F35">
        <v>120</v>
      </c>
      <c r="G35">
        <v>300</v>
      </c>
      <c r="H35" t="s">
        <v>314</v>
      </c>
      <c r="I35" s="32"/>
      <c r="J35">
        <v>10</v>
      </c>
      <c r="K35" t="s">
        <v>315</v>
      </c>
      <c r="O35">
        <v>4.83</v>
      </c>
      <c r="P35" s="33">
        <f t="shared" si="0"/>
        <v>54.123711340206185</v>
      </c>
      <c r="Q35" s="33"/>
      <c r="R35" s="34"/>
      <c r="T35">
        <v>62.1</v>
      </c>
      <c r="V35">
        <v>5</v>
      </c>
      <c r="W35">
        <v>80</v>
      </c>
      <c r="X35">
        <v>0.1</v>
      </c>
      <c r="Y35">
        <v>80000</v>
      </c>
      <c r="AA35">
        <v>5.5</v>
      </c>
      <c r="AB35">
        <v>40</v>
      </c>
      <c r="AC35">
        <v>1.9</v>
      </c>
      <c r="AD35">
        <v>21.1</v>
      </c>
      <c r="AE35" t="s">
        <v>316</v>
      </c>
    </row>
    <row r="36" spans="1:33" x14ac:dyDescent="0.2">
      <c r="A36" t="s">
        <v>356</v>
      </c>
      <c r="B36" t="s">
        <v>360</v>
      </c>
      <c r="C36" t="s">
        <v>321</v>
      </c>
      <c r="D36">
        <v>62</v>
      </c>
      <c r="F36">
        <v>155</v>
      </c>
      <c r="H36" t="s">
        <v>322</v>
      </c>
      <c r="I36" s="32">
        <v>0.34838709677419355</v>
      </c>
      <c r="K36" t="s">
        <v>315</v>
      </c>
      <c r="M36">
        <v>-20</v>
      </c>
      <c r="N36">
        <v>40</v>
      </c>
      <c r="O36">
        <v>4.9000000000000004</v>
      </c>
      <c r="P36" s="33">
        <f t="shared" si="0"/>
        <v>54.908112953832365</v>
      </c>
      <c r="Q36" s="33"/>
      <c r="R36" s="34"/>
      <c r="AA36">
        <v>4.8</v>
      </c>
      <c r="AB36">
        <v>10</v>
      </c>
      <c r="AC36">
        <v>1.33</v>
      </c>
      <c r="AD36">
        <v>14.8</v>
      </c>
      <c r="AE36" t="s">
        <v>315</v>
      </c>
    </row>
    <row r="37" spans="1:33" x14ac:dyDescent="0.2">
      <c r="A37" t="s">
        <v>328</v>
      </c>
      <c r="B37" t="s">
        <v>361</v>
      </c>
      <c r="C37" t="s">
        <v>321</v>
      </c>
      <c r="D37">
        <v>1</v>
      </c>
      <c r="E37">
        <v>173</v>
      </c>
      <c r="F37">
        <v>173</v>
      </c>
      <c r="G37">
        <v>400</v>
      </c>
      <c r="H37" t="s">
        <v>330</v>
      </c>
      <c r="I37" s="32">
        <v>9.2485549132947972E-2</v>
      </c>
      <c r="J37">
        <v>3</v>
      </c>
      <c r="K37" t="s">
        <v>316</v>
      </c>
      <c r="L37">
        <v>8700</v>
      </c>
      <c r="M37">
        <v>5</v>
      </c>
      <c r="N37">
        <v>45</v>
      </c>
      <c r="O37">
        <v>4.8</v>
      </c>
      <c r="P37" s="33">
        <f t="shared" si="0"/>
        <v>53.787539220080681</v>
      </c>
      <c r="Q37" s="33"/>
      <c r="R37" s="34">
        <v>0.24855491329479767</v>
      </c>
      <c r="T37">
        <v>62.5</v>
      </c>
      <c r="U37">
        <v>92.5</v>
      </c>
      <c r="V37">
        <v>20</v>
      </c>
      <c r="W37">
        <v>55</v>
      </c>
      <c r="X37">
        <v>2</v>
      </c>
      <c r="Y37">
        <v>35000</v>
      </c>
      <c r="Z37">
        <v>8760</v>
      </c>
      <c r="AA37">
        <v>3</v>
      </c>
      <c r="AB37">
        <v>35</v>
      </c>
      <c r="AC37">
        <v>3.2</v>
      </c>
      <c r="AD37">
        <v>35.6</v>
      </c>
      <c r="AE37" t="s">
        <v>316</v>
      </c>
      <c r="AF37">
        <v>5</v>
      </c>
      <c r="AG37">
        <v>35</v>
      </c>
    </row>
    <row r="38" spans="1:33" x14ac:dyDescent="0.2">
      <c r="A38" t="s">
        <v>328</v>
      </c>
      <c r="B38" t="s">
        <v>362</v>
      </c>
      <c r="C38" t="s">
        <v>321</v>
      </c>
      <c r="D38">
        <v>1</v>
      </c>
      <c r="E38">
        <v>173</v>
      </c>
      <c r="F38">
        <v>173</v>
      </c>
      <c r="G38">
        <v>400</v>
      </c>
      <c r="H38" t="s">
        <v>330</v>
      </c>
      <c r="I38" s="32">
        <v>9.2485549132947972E-2</v>
      </c>
      <c r="J38">
        <v>3</v>
      </c>
      <c r="K38" t="s">
        <v>316</v>
      </c>
      <c r="L38">
        <v>8700</v>
      </c>
      <c r="M38">
        <v>-25</v>
      </c>
      <c r="N38">
        <v>40</v>
      </c>
      <c r="O38">
        <v>4.8</v>
      </c>
      <c r="P38" s="33">
        <f t="shared" si="0"/>
        <v>53.787539220080681</v>
      </c>
      <c r="Q38" s="33"/>
      <c r="R38" s="34">
        <v>0.24855491329479767</v>
      </c>
      <c r="T38">
        <v>62.5</v>
      </c>
      <c r="U38">
        <v>92.5</v>
      </c>
      <c r="V38">
        <v>20</v>
      </c>
      <c r="W38">
        <v>55</v>
      </c>
      <c r="X38">
        <v>2</v>
      </c>
      <c r="Y38">
        <v>35000</v>
      </c>
      <c r="Z38">
        <v>8760</v>
      </c>
      <c r="AA38">
        <v>3</v>
      </c>
      <c r="AB38">
        <v>35</v>
      </c>
      <c r="AC38">
        <v>3.2</v>
      </c>
      <c r="AD38">
        <v>35.6</v>
      </c>
      <c r="AE38" t="s">
        <v>316</v>
      </c>
      <c r="AF38">
        <v>5</v>
      </c>
      <c r="AG38">
        <v>35</v>
      </c>
    </row>
    <row r="39" spans="1:33" x14ac:dyDescent="0.2">
      <c r="A39" t="s">
        <v>346</v>
      </c>
      <c r="B39" t="s">
        <v>363</v>
      </c>
      <c r="C39" t="s">
        <v>313</v>
      </c>
      <c r="D39">
        <v>30</v>
      </c>
      <c r="E39">
        <v>150</v>
      </c>
      <c r="F39">
        <v>180</v>
      </c>
      <c r="G39">
        <v>400</v>
      </c>
      <c r="H39" t="s">
        <v>330</v>
      </c>
      <c r="I39" s="32">
        <v>0.15555555555555556</v>
      </c>
      <c r="J39">
        <v>15</v>
      </c>
      <c r="K39" t="s">
        <v>315</v>
      </c>
      <c r="L39">
        <v>8650</v>
      </c>
      <c r="M39">
        <v>-40</v>
      </c>
      <c r="N39">
        <v>35</v>
      </c>
      <c r="O39">
        <v>4.8</v>
      </c>
      <c r="P39" s="33">
        <f t="shared" si="0"/>
        <v>53.787539220080681</v>
      </c>
      <c r="Q39" s="33"/>
      <c r="R39" s="34">
        <v>0.16666666666666666</v>
      </c>
      <c r="S39">
        <v>62</v>
      </c>
      <c r="T39">
        <v>62.5</v>
      </c>
      <c r="V39">
        <v>25</v>
      </c>
      <c r="W39">
        <v>75</v>
      </c>
      <c r="X39">
        <v>0.1</v>
      </c>
      <c r="Y39">
        <v>80000</v>
      </c>
      <c r="Z39">
        <v>8600</v>
      </c>
      <c r="AA39">
        <v>3.8</v>
      </c>
      <c r="AB39">
        <v>40</v>
      </c>
      <c r="AC39">
        <v>2.67</v>
      </c>
      <c r="AD39">
        <v>29.7</v>
      </c>
      <c r="AE39" t="s">
        <v>315</v>
      </c>
      <c r="AF39">
        <v>5</v>
      </c>
      <c r="AG39">
        <v>40</v>
      </c>
    </row>
    <row r="40" spans="1:33" x14ac:dyDescent="0.2">
      <c r="A40" t="s">
        <v>353</v>
      </c>
      <c r="B40" t="s">
        <v>364</v>
      </c>
      <c r="C40" t="s">
        <v>313</v>
      </c>
      <c r="D40">
        <v>24</v>
      </c>
      <c r="E40">
        <v>200</v>
      </c>
      <c r="F40">
        <v>210</v>
      </c>
      <c r="G40">
        <v>400</v>
      </c>
      <c r="H40" t="s">
        <v>322</v>
      </c>
      <c r="I40" s="32">
        <v>6.6666666666666666E-2</v>
      </c>
      <c r="J40">
        <v>40</v>
      </c>
      <c r="K40" t="s">
        <v>316</v>
      </c>
      <c r="L40">
        <v>8600</v>
      </c>
      <c r="M40">
        <v>5</v>
      </c>
      <c r="N40">
        <v>45</v>
      </c>
      <c r="R40" s="34"/>
      <c r="AB40">
        <v>30</v>
      </c>
      <c r="AC40">
        <v>3.5</v>
      </c>
      <c r="AD40">
        <v>38.9</v>
      </c>
      <c r="AE40" t="s">
        <v>316</v>
      </c>
    </row>
    <row r="41" spans="1:33" x14ac:dyDescent="0.2">
      <c r="A41" t="s">
        <v>346</v>
      </c>
      <c r="B41" t="s">
        <v>365</v>
      </c>
      <c r="C41" t="s">
        <v>313</v>
      </c>
      <c r="D41">
        <v>20</v>
      </c>
      <c r="E41">
        <v>200</v>
      </c>
      <c r="F41">
        <v>240</v>
      </c>
      <c r="G41">
        <v>400</v>
      </c>
      <c r="H41" t="s">
        <v>330</v>
      </c>
      <c r="I41" s="32">
        <v>5.8333333333333334E-2</v>
      </c>
      <c r="J41">
        <v>15</v>
      </c>
      <c r="K41" t="s">
        <v>316</v>
      </c>
      <c r="L41">
        <v>8650</v>
      </c>
      <c r="M41">
        <v>-40</v>
      </c>
      <c r="N41">
        <v>35</v>
      </c>
      <c r="O41">
        <v>4.8</v>
      </c>
      <c r="P41" s="33">
        <f>((1000*O41)/0.08924)/1000</f>
        <v>53.787539220080681</v>
      </c>
      <c r="Q41" s="33"/>
      <c r="R41" s="34">
        <v>0.16666666666666666</v>
      </c>
      <c r="S41">
        <v>62</v>
      </c>
      <c r="T41">
        <v>62.5</v>
      </c>
      <c r="V41">
        <v>25</v>
      </c>
      <c r="W41">
        <v>75</v>
      </c>
      <c r="X41">
        <v>0.1</v>
      </c>
      <c r="Y41">
        <v>80000</v>
      </c>
      <c r="Z41">
        <v>8600</v>
      </c>
      <c r="AA41">
        <v>3.8</v>
      </c>
      <c r="AB41">
        <v>40</v>
      </c>
      <c r="AC41">
        <v>3.56</v>
      </c>
      <c r="AD41">
        <v>39.6</v>
      </c>
      <c r="AE41" t="s">
        <v>315</v>
      </c>
      <c r="AF41">
        <v>5</v>
      </c>
      <c r="AG41">
        <v>40</v>
      </c>
    </row>
    <row r="42" spans="1:33" x14ac:dyDescent="0.2">
      <c r="A42" t="s">
        <v>366</v>
      </c>
      <c r="B42" t="s">
        <v>367</v>
      </c>
      <c r="C42" t="s">
        <v>321</v>
      </c>
      <c r="D42">
        <v>110</v>
      </c>
      <c r="F42">
        <v>275</v>
      </c>
      <c r="H42" t="s">
        <v>322</v>
      </c>
      <c r="I42" s="32">
        <v>0.19636363636363635</v>
      </c>
      <c r="K42" t="s">
        <v>315</v>
      </c>
      <c r="M42">
        <v>-20</v>
      </c>
      <c r="N42">
        <v>40</v>
      </c>
      <c r="R42" s="34"/>
      <c r="AA42">
        <v>4.8</v>
      </c>
      <c r="AB42">
        <v>10</v>
      </c>
      <c r="AC42">
        <v>2.67</v>
      </c>
      <c r="AD42">
        <v>29.6</v>
      </c>
      <c r="AE42" t="s">
        <v>315</v>
      </c>
    </row>
    <row r="43" spans="1:33" x14ac:dyDescent="0.2">
      <c r="A43" t="s">
        <v>368</v>
      </c>
      <c r="B43" t="s">
        <v>369</v>
      </c>
      <c r="C43" t="s">
        <v>313</v>
      </c>
      <c r="D43">
        <v>40</v>
      </c>
      <c r="E43">
        <v>225</v>
      </c>
      <c r="F43">
        <v>330</v>
      </c>
      <c r="G43">
        <v>400</v>
      </c>
      <c r="H43" t="s">
        <v>322</v>
      </c>
      <c r="I43" s="32">
        <v>4.2424242424242427E-2</v>
      </c>
      <c r="J43">
        <v>30</v>
      </c>
      <c r="K43" t="s">
        <v>315</v>
      </c>
      <c r="L43">
        <v>8322</v>
      </c>
      <c r="M43">
        <v>-15</v>
      </c>
      <c r="N43">
        <v>30</v>
      </c>
      <c r="R43" s="34"/>
      <c r="X43">
        <v>0.1</v>
      </c>
      <c r="AA43">
        <v>5</v>
      </c>
      <c r="AB43">
        <v>30</v>
      </c>
      <c r="AC43">
        <v>4.2300000000000004</v>
      </c>
      <c r="AD43">
        <v>47</v>
      </c>
      <c r="AE43" t="s">
        <v>315</v>
      </c>
    </row>
    <row r="44" spans="1:33" x14ac:dyDescent="0.2">
      <c r="A44" t="s">
        <v>346</v>
      </c>
      <c r="B44" t="s">
        <v>370</v>
      </c>
      <c r="C44" t="s">
        <v>313</v>
      </c>
      <c r="D44">
        <v>30</v>
      </c>
      <c r="E44">
        <v>300</v>
      </c>
      <c r="F44">
        <v>360</v>
      </c>
      <c r="G44">
        <v>400</v>
      </c>
      <c r="H44" t="s">
        <v>330</v>
      </c>
      <c r="I44" s="32">
        <v>3.888888888888889E-2</v>
      </c>
      <c r="J44">
        <v>15</v>
      </c>
      <c r="K44" t="s">
        <v>315</v>
      </c>
      <c r="L44">
        <v>8650</v>
      </c>
      <c r="M44">
        <v>-40</v>
      </c>
      <c r="N44">
        <v>35</v>
      </c>
      <c r="O44">
        <v>4.8</v>
      </c>
      <c r="P44" s="33">
        <f>((1000*O44)/0.08924)/1000</f>
        <v>53.787539220080681</v>
      </c>
      <c r="Q44" s="33"/>
      <c r="R44" s="34">
        <v>0.16666666666666666</v>
      </c>
      <c r="S44">
        <v>62</v>
      </c>
      <c r="T44">
        <v>62.5</v>
      </c>
      <c r="V44">
        <v>25</v>
      </c>
      <c r="W44">
        <v>75</v>
      </c>
      <c r="X44">
        <v>0.1</v>
      </c>
      <c r="Y44">
        <v>80000</v>
      </c>
      <c r="Z44">
        <v>8600</v>
      </c>
      <c r="AA44">
        <v>3.8</v>
      </c>
      <c r="AB44">
        <v>40</v>
      </c>
      <c r="AC44">
        <v>5.34</v>
      </c>
      <c r="AD44">
        <v>59.3</v>
      </c>
      <c r="AE44" t="s">
        <v>315</v>
      </c>
      <c r="AF44">
        <v>5</v>
      </c>
      <c r="AG44">
        <v>40</v>
      </c>
    </row>
    <row r="45" spans="1:33" x14ac:dyDescent="0.2">
      <c r="A45" t="s">
        <v>353</v>
      </c>
      <c r="B45" t="s">
        <v>371</v>
      </c>
      <c r="C45" t="s">
        <v>313</v>
      </c>
      <c r="D45">
        <v>48</v>
      </c>
      <c r="E45">
        <v>400</v>
      </c>
      <c r="F45">
        <v>420</v>
      </c>
      <c r="G45">
        <v>400</v>
      </c>
      <c r="H45" t="s">
        <v>322</v>
      </c>
      <c r="I45" s="32">
        <v>6.4285714285714279E-2</v>
      </c>
      <c r="J45">
        <v>40</v>
      </c>
      <c r="K45" t="s">
        <v>316</v>
      </c>
      <c r="L45">
        <v>8600</v>
      </c>
      <c r="M45">
        <v>5</v>
      </c>
      <c r="N45">
        <v>45</v>
      </c>
      <c r="R45" s="34"/>
      <c r="AB45">
        <v>30</v>
      </c>
      <c r="AC45">
        <v>7</v>
      </c>
      <c r="AD45">
        <v>77.8</v>
      </c>
      <c r="AE45" t="s">
        <v>316</v>
      </c>
    </row>
    <row r="46" spans="1:33" x14ac:dyDescent="0.2">
      <c r="A46" t="s">
        <v>323</v>
      </c>
      <c r="B46" t="s">
        <v>372</v>
      </c>
      <c r="C46" t="s">
        <v>321</v>
      </c>
      <c r="F46">
        <v>500</v>
      </c>
      <c r="H46" t="s">
        <v>314</v>
      </c>
      <c r="I46" s="32"/>
      <c r="O46">
        <v>4.5</v>
      </c>
      <c r="P46" s="33">
        <f>((1000*O46)/0.08924)/1000</f>
        <v>50.425818018825638</v>
      </c>
      <c r="Q46" s="33"/>
      <c r="R46" s="34"/>
      <c r="T46">
        <v>66.7</v>
      </c>
      <c r="AB46">
        <v>30</v>
      </c>
      <c r="AC46">
        <v>9</v>
      </c>
      <c r="AD46">
        <v>100</v>
      </c>
    </row>
    <row r="47" spans="1:33" x14ac:dyDescent="0.2">
      <c r="A47" t="s">
        <v>328</v>
      </c>
      <c r="B47" t="s">
        <v>373</v>
      </c>
      <c r="C47" t="s">
        <v>321</v>
      </c>
      <c r="D47">
        <v>15</v>
      </c>
      <c r="E47">
        <v>504</v>
      </c>
      <c r="F47">
        <v>504</v>
      </c>
      <c r="G47">
        <v>400</v>
      </c>
      <c r="H47" t="s">
        <v>322</v>
      </c>
      <c r="I47" s="32"/>
      <c r="K47" t="s">
        <v>315</v>
      </c>
      <c r="M47">
        <v>-15</v>
      </c>
      <c r="N47">
        <v>45</v>
      </c>
      <c r="O47">
        <v>4.8</v>
      </c>
      <c r="P47" s="33">
        <f>((1000*O47)/0.08924)/1000</f>
        <v>53.787539220080681</v>
      </c>
      <c r="Q47" s="33"/>
      <c r="R47" s="34">
        <v>0.32738095238095238</v>
      </c>
      <c r="T47">
        <v>62.5</v>
      </c>
      <c r="V47">
        <v>20</v>
      </c>
      <c r="W47">
        <v>55</v>
      </c>
      <c r="X47">
        <v>5</v>
      </c>
      <c r="Y47">
        <v>35000</v>
      </c>
      <c r="AA47">
        <v>3</v>
      </c>
      <c r="AB47">
        <v>35</v>
      </c>
      <c r="AC47">
        <v>9.3000000000000007</v>
      </c>
      <c r="AD47">
        <v>103.3</v>
      </c>
      <c r="AE47" t="s">
        <v>316</v>
      </c>
      <c r="AF47">
        <v>5</v>
      </c>
      <c r="AG47">
        <v>35</v>
      </c>
    </row>
    <row r="48" spans="1:33" x14ac:dyDescent="0.2">
      <c r="A48" t="s">
        <v>346</v>
      </c>
      <c r="B48" t="s">
        <v>374</v>
      </c>
      <c r="C48" t="s">
        <v>313</v>
      </c>
      <c r="D48">
        <v>45</v>
      </c>
      <c r="E48">
        <v>450</v>
      </c>
      <c r="F48">
        <v>540</v>
      </c>
      <c r="G48">
        <v>400</v>
      </c>
      <c r="H48" t="s">
        <v>330</v>
      </c>
      <c r="I48" s="32">
        <v>2.5925925925925925E-2</v>
      </c>
      <c r="J48">
        <v>15</v>
      </c>
      <c r="K48" t="s">
        <v>315</v>
      </c>
      <c r="L48">
        <v>8650</v>
      </c>
      <c r="M48">
        <v>-40</v>
      </c>
      <c r="N48">
        <v>35</v>
      </c>
      <c r="O48">
        <v>4.8</v>
      </c>
      <c r="P48" s="33">
        <f>((1000*O48)/0.08924)/1000</f>
        <v>53.787539220080681</v>
      </c>
      <c r="Q48" s="33"/>
      <c r="R48" s="34">
        <v>0.16666666666666666</v>
      </c>
      <c r="S48">
        <v>62</v>
      </c>
      <c r="T48">
        <v>62.5</v>
      </c>
      <c r="V48">
        <v>25</v>
      </c>
      <c r="W48">
        <v>75</v>
      </c>
      <c r="X48">
        <v>0.1</v>
      </c>
      <c r="Y48">
        <v>80000</v>
      </c>
      <c r="Z48">
        <v>8600</v>
      </c>
      <c r="AA48">
        <v>3.8</v>
      </c>
      <c r="AB48">
        <v>40</v>
      </c>
      <c r="AC48">
        <v>8.01</v>
      </c>
      <c r="AD48">
        <v>89</v>
      </c>
      <c r="AE48" t="s">
        <v>315</v>
      </c>
      <c r="AF48">
        <v>5</v>
      </c>
      <c r="AG48">
        <v>40</v>
      </c>
    </row>
    <row r="49" spans="1:33" x14ac:dyDescent="0.2">
      <c r="A49" t="s">
        <v>356</v>
      </c>
      <c r="B49" t="s">
        <v>375</v>
      </c>
      <c r="C49" t="s">
        <v>321</v>
      </c>
      <c r="D49">
        <v>220</v>
      </c>
      <c r="F49">
        <v>550</v>
      </c>
      <c r="H49" t="s">
        <v>322</v>
      </c>
      <c r="I49" s="32">
        <v>0.16181818181818181</v>
      </c>
      <c r="K49" t="s">
        <v>315</v>
      </c>
      <c r="M49">
        <v>-20</v>
      </c>
      <c r="N49">
        <v>40</v>
      </c>
      <c r="O49">
        <v>5.2</v>
      </c>
      <c r="P49" s="33">
        <f>((1000*O49)/0.08924)/1000</f>
        <v>58.269834155087402</v>
      </c>
      <c r="Q49" s="33"/>
      <c r="R49" s="34"/>
      <c r="AA49">
        <v>4.8</v>
      </c>
      <c r="AB49">
        <v>10</v>
      </c>
      <c r="AC49">
        <v>5.42</v>
      </c>
      <c r="AD49">
        <v>60.2</v>
      </c>
      <c r="AE49" t="s">
        <v>315</v>
      </c>
    </row>
    <row r="50" spans="1:33" x14ac:dyDescent="0.2">
      <c r="A50" t="s">
        <v>366</v>
      </c>
      <c r="B50" t="s">
        <v>376</v>
      </c>
      <c r="C50" t="s">
        <v>321</v>
      </c>
      <c r="D50">
        <v>270</v>
      </c>
      <c r="F50">
        <v>675</v>
      </c>
      <c r="H50" t="s">
        <v>322</v>
      </c>
      <c r="I50" s="32">
        <v>0.13185185185185186</v>
      </c>
      <c r="K50" t="s">
        <v>315</v>
      </c>
      <c r="M50">
        <v>-20</v>
      </c>
      <c r="N50">
        <v>40</v>
      </c>
      <c r="R50" s="34"/>
      <c r="AA50">
        <v>4.8</v>
      </c>
      <c r="AB50">
        <v>10</v>
      </c>
      <c r="AC50">
        <v>6.67</v>
      </c>
      <c r="AD50">
        <v>74.099999999999994</v>
      </c>
      <c r="AE50" t="s">
        <v>315</v>
      </c>
    </row>
    <row r="51" spans="1:33" x14ac:dyDescent="0.2">
      <c r="A51" t="s">
        <v>377</v>
      </c>
      <c r="B51" t="s">
        <v>378</v>
      </c>
      <c r="C51" t="s">
        <v>313</v>
      </c>
      <c r="F51">
        <v>700</v>
      </c>
      <c r="G51">
        <v>400</v>
      </c>
      <c r="H51" t="s">
        <v>322</v>
      </c>
      <c r="I51" s="32"/>
      <c r="J51">
        <v>1</v>
      </c>
      <c r="K51" t="s">
        <v>315</v>
      </c>
      <c r="R51" s="34"/>
      <c r="AA51">
        <v>5</v>
      </c>
      <c r="AB51">
        <v>20</v>
      </c>
      <c r="AC51">
        <v>11</v>
      </c>
      <c r="AD51">
        <v>122.2</v>
      </c>
      <c r="AE51" t="s">
        <v>315</v>
      </c>
    </row>
    <row r="52" spans="1:33" x14ac:dyDescent="0.2">
      <c r="A52" t="s">
        <v>346</v>
      </c>
      <c r="B52" t="s">
        <v>379</v>
      </c>
      <c r="C52" t="s">
        <v>313</v>
      </c>
      <c r="D52">
        <v>60</v>
      </c>
      <c r="E52">
        <v>600</v>
      </c>
      <c r="F52">
        <v>720</v>
      </c>
      <c r="G52">
        <v>400</v>
      </c>
      <c r="H52" t="s">
        <v>330</v>
      </c>
      <c r="I52" s="32">
        <v>1.9444444444444445E-2</v>
      </c>
      <c r="J52">
        <v>15</v>
      </c>
      <c r="K52" t="s">
        <v>315</v>
      </c>
      <c r="L52">
        <v>8650</v>
      </c>
      <c r="M52">
        <v>-40</v>
      </c>
      <c r="N52">
        <v>35</v>
      </c>
      <c r="O52">
        <v>4.8</v>
      </c>
      <c r="P52" s="33">
        <f>((1000*O52)/0.08924)/1000</f>
        <v>53.787539220080681</v>
      </c>
      <c r="Q52" s="33"/>
      <c r="R52" s="34">
        <v>0.16666666666666666</v>
      </c>
      <c r="S52">
        <v>62</v>
      </c>
      <c r="T52">
        <v>62.5</v>
      </c>
      <c r="V52">
        <v>25</v>
      </c>
      <c r="W52">
        <v>75</v>
      </c>
      <c r="X52">
        <v>0.1</v>
      </c>
      <c r="Y52">
        <v>80000</v>
      </c>
      <c r="Z52">
        <v>8600</v>
      </c>
      <c r="AA52">
        <v>3.8</v>
      </c>
      <c r="AB52">
        <v>40</v>
      </c>
      <c r="AC52">
        <v>10.68</v>
      </c>
      <c r="AD52">
        <v>118.7</v>
      </c>
      <c r="AE52" t="s">
        <v>315</v>
      </c>
      <c r="AF52">
        <v>5</v>
      </c>
      <c r="AG52">
        <v>40</v>
      </c>
    </row>
    <row r="53" spans="1:33" x14ac:dyDescent="0.2">
      <c r="A53" t="s">
        <v>356</v>
      </c>
      <c r="B53" t="s">
        <v>380</v>
      </c>
      <c r="C53" t="s">
        <v>313</v>
      </c>
      <c r="D53">
        <v>40</v>
      </c>
      <c r="F53">
        <v>788</v>
      </c>
      <c r="H53" t="s">
        <v>322</v>
      </c>
      <c r="I53" s="32">
        <v>0.2512690355329949</v>
      </c>
      <c r="K53" t="s">
        <v>315</v>
      </c>
      <c r="M53">
        <v>-20</v>
      </c>
      <c r="N53">
        <v>40</v>
      </c>
      <c r="O53">
        <v>3.95</v>
      </c>
      <c r="P53" s="33">
        <f>((1000*O53)/0.08924)/1000</f>
        <v>44.262662483191392</v>
      </c>
      <c r="Q53" s="33"/>
      <c r="R53" s="34"/>
      <c r="T53">
        <v>75.900000000000006</v>
      </c>
      <c r="AA53">
        <v>4.8</v>
      </c>
      <c r="AB53">
        <v>30</v>
      </c>
      <c r="AC53">
        <v>17.96</v>
      </c>
      <c r="AD53">
        <v>199.5</v>
      </c>
      <c r="AE53" t="s">
        <v>315</v>
      </c>
    </row>
    <row r="54" spans="1:33" x14ac:dyDescent="0.2">
      <c r="A54" t="s">
        <v>366</v>
      </c>
      <c r="B54" t="s">
        <v>381</v>
      </c>
      <c r="C54" t="s">
        <v>321</v>
      </c>
      <c r="D54">
        <v>320</v>
      </c>
      <c r="F54">
        <v>800</v>
      </c>
      <c r="H54" t="s">
        <v>322</v>
      </c>
      <c r="I54" s="32">
        <v>0.11125</v>
      </c>
      <c r="K54" t="s">
        <v>315</v>
      </c>
      <c r="M54">
        <v>-20</v>
      </c>
      <c r="N54">
        <v>40</v>
      </c>
      <c r="R54" s="34"/>
      <c r="AA54">
        <v>4.8</v>
      </c>
      <c r="AB54">
        <v>10</v>
      </c>
      <c r="AC54">
        <v>8.9600000000000009</v>
      </c>
      <c r="AD54">
        <v>99.5</v>
      </c>
      <c r="AE54" t="s">
        <v>315</v>
      </c>
    </row>
    <row r="55" spans="1:33" x14ac:dyDescent="0.2">
      <c r="A55" t="s">
        <v>346</v>
      </c>
      <c r="B55" t="s">
        <v>382</v>
      </c>
      <c r="C55" t="s">
        <v>313</v>
      </c>
      <c r="D55">
        <v>200</v>
      </c>
      <c r="E55">
        <v>750</v>
      </c>
      <c r="F55">
        <v>900</v>
      </c>
      <c r="G55">
        <v>400</v>
      </c>
      <c r="H55" t="s">
        <v>330</v>
      </c>
      <c r="I55" s="32">
        <v>3.111111111111111E-2</v>
      </c>
      <c r="J55">
        <v>15</v>
      </c>
      <c r="K55" t="s">
        <v>315</v>
      </c>
      <c r="L55">
        <v>8650</v>
      </c>
      <c r="M55">
        <v>-40</v>
      </c>
      <c r="N55">
        <v>35</v>
      </c>
      <c r="O55">
        <v>4.8</v>
      </c>
      <c r="P55" s="33">
        <f t="shared" ref="P55:P60" si="1">((1000*O55)/0.08924)/1000</f>
        <v>53.787539220080681</v>
      </c>
      <c r="Q55" s="33"/>
      <c r="R55" s="34">
        <v>0.16666666666666666</v>
      </c>
      <c r="S55">
        <v>62</v>
      </c>
      <c r="T55">
        <v>62.5</v>
      </c>
      <c r="V55">
        <v>25</v>
      </c>
      <c r="W55">
        <v>75</v>
      </c>
      <c r="X55">
        <v>0.1</v>
      </c>
      <c r="Y55">
        <v>80000</v>
      </c>
      <c r="Z55">
        <v>8600</v>
      </c>
      <c r="AA55">
        <v>3.8</v>
      </c>
      <c r="AB55">
        <v>40</v>
      </c>
      <c r="AC55">
        <v>13.35</v>
      </c>
      <c r="AD55">
        <v>148.30000000000001</v>
      </c>
      <c r="AE55" t="s">
        <v>315</v>
      </c>
      <c r="AF55">
        <v>5</v>
      </c>
      <c r="AG55">
        <v>40</v>
      </c>
    </row>
    <row r="56" spans="1:33" x14ac:dyDescent="0.2">
      <c r="A56" t="s">
        <v>323</v>
      </c>
      <c r="B56" t="s">
        <v>383</v>
      </c>
      <c r="C56" t="s">
        <v>321</v>
      </c>
      <c r="F56">
        <v>1000</v>
      </c>
      <c r="H56" t="s">
        <v>314</v>
      </c>
      <c r="I56" s="32"/>
      <c r="O56">
        <v>4.5</v>
      </c>
      <c r="P56" s="33">
        <f t="shared" si="1"/>
        <v>50.425818018825638</v>
      </c>
      <c r="Q56" s="33"/>
      <c r="R56" s="34"/>
      <c r="T56">
        <v>66.7</v>
      </c>
      <c r="AB56">
        <v>30</v>
      </c>
      <c r="AC56">
        <v>18</v>
      </c>
      <c r="AD56">
        <v>200</v>
      </c>
    </row>
    <row r="57" spans="1:33" x14ac:dyDescent="0.2">
      <c r="A57" t="s">
        <v>384</v>
      </c>
      <c r="B57" t="s">
        <v>385</v>
      </c>
      <c r="C57" t="s">
        <v>321</v>
      </c>
      <c r="D57">
        <v>300</v>
      </c>
      <c r="E57">
        <v>800</v>
      </c>
      <c r="F57">
        <v>1000</v>
      </c>
      <c r="G57">
        <v>10</v>
      </c>
      <c r="H57" t="s">
        <v>322</v>
      </c>
      <c r="I57" s="32">
        <v>7.0000000000000007E-2</v>
      </c>
      <c r="J57">
        <v>20</v>
      </c>
      <c r="K57" t="s">
        <v>316</v>
      </c>
      <c r="L57">
        <v>8568</v>
      </c>
      <c r="M57">
        <v>-20</v>
      </c>
      <c r="N57">
        <v>45</v>
      </c>
      <c r="O57">
        <v>4.8</v>
      </c>
      <c r="P57" s="33">
        <f t="shared" si="1"/>
        <v>53.787539220080681</v>
      </c>
      <c r="Q57" s="33"/>
      <c r="R57" s="34">
        <v>0.33</v>
      </c>
      <c r="S57">
        <v>80</v>
      </c>
      <c r="T57">
        <v>62.5</v>
      </c>
      <c r="U57">
        <v>95.5</v>
      </c>
      <c r="V57">
        <v>40</v>
      </c>
      <c r="W57">
        <v>90</v>
      </c>
      <c r="X57">
        <v>5</v>
      </c>
      <c r="Y57">
        <v>70000</v>
      </c>
      <c r="Z57">
        <v>70000</v>
      </c>
      <c r="AA57">
        <v>2.7</v>
      </c>
      <c r="AB57">
        <v>1</v>
      </c>
      <c r="AC57">
        <v>16.82</v>
      </c>
      <c r="AD57">
        <v>186.9</v>
      </c>
      <c r="AE57" t="s">
        <v>316</v>
      </c>
      <c r="AF57">
        <v>5</v>
      </c>
      <c r="AG57">
        <v>750</v>
      </c>
    </row>
    <row r="58" spans="1:33" x14ac:dyDescent="0.2">
      <c r="A58" t="s">
        <v>328</v>
      </c>
      <c r="B58" t="s">
        <v>386</v>
      </c>
      <c r="C58" t="s">
        <v>321</v>
      </c>
      <c r="D58">
        <v>30</v>
      </c>
      <c r="E58">
        <v>1008</v>
      </c>
      <c r="F58">
        <v>1008</v>
      </c>
      <c r="G58">
        <v>400</v>
      </c>
      <c r="H58" t="s">
        <v>322</v>
      </c>
      <c r="I58" s="32"/>
      <c r="K58" t="s">
        <v>315</v>
      </c>
      <c r="M58">
        <v>-15</v>
      </c>
      <c r="N58">
        <v>45</v>
      </c>
      <c r="O58">
        <v>4.8</v>
      </c>
      <c r="P58" s="33">
        <f t="shared" si="1"/>
        <v>53.787539220080681</v>
      </c>
      <c r="Q58" s="33"/>
      <c r="R58" s="34">
        <v>0.32738095238095238</v>
      </c>
      <c r="T58">
        <v>62.5</v>
      </c>
      <c r="V58">
        <v>20</v>
      </c>
      <c r="W58">
        <v>55</v>
      </c>
      <c r="X58">
        <v>5</v>
      </c>
      <c r="Y58">
        <v>35000</v>
      </c>
      <c r="AA58">
        <v>3</v>
      </c>
      <c r="AB58">
        <v>35</v>
      </c>
      <c r="AC58">
        <v>18.7</v>
      </c>
      <c r="AD58">
        <v>207.8</v>
      </c>
      <c r="AE58" t="s">
        <v>316</v>
      </c>
      <c r="AF58">
        <v>5</v>
      </c>
      <c r="AG58">
        <v>35</v>
      </c>
    </row>
    <row r="59" spans="1:33" x14ac:dyDescent="0.2">
      <c r="A59" t="s">
        <v>356</v>
      </c>
      <c r="B59" t="s">
        <v>387</v>
      </c>
      <c r="C59" t="s">
        <v>313</v>
      </c>
      <c r="D59">
        <v>49</v>
      </c>
      <c r="F59">
        <v>988</v>
      </c>
      <c r="H59" t="s">
        <v>322</v>
      </c>
      <c r="I59" s="32">
        <v>0.20040485829959515</v>
      </c>
      <c r="K59" t="s">
        <v>315</v>
      </c>
      <c r="M59">
        <v>-20</v>
      </c>
      <c r="N59">
        <v>40</v>
      </c>
      <c r="O59">
        <v>3.95</v>
      </c>
      <c r="P59" s="33">
        <f t="shared" si="1"/>
        <v>44.262662483191392</v>
      </c>
      <c r="Q59" s="33"/>
      <c r="R59" s="34"/>
      <c r="T59">
        <v>75.900000000000006</v>
      </c>
      <c r="AA59">
        <v>4.8</v>
      </c>
      <c r="AB59">
        <v>30</v>
      </c>
      <c r="AC59">
        <v>22.46</v>
      </c>
      <c r="AD59">
        <v>249.5</v>
      </c>
      <c r="AE59" t="s">
        <v>315</v>
      </c>
    </row>
    <row r="60" spans="1:33" x14ac:dyDescent="0.2">
      <c r="A60" t="s">
        <v>388</v>
      </c>
      <c r="B60" t="s">
        <v>389</v>
      </c>
      <c r="C60" t="s">
        <v>313</v>
      </c>
      <c r="F60">
        <v>1000</v>
      </c>
      <c r="G60">
        <v>400</v>
      </c>
      <c r="H60" t="s">
        <v>322</v>
      </c>
      <c r="I60" s="32"/>
      <c r="J60">
        <v>30</v>
      </c>
      <c r="M60">
        <v>-20</v>
      </c>
      <c r="N60">
        <v>40</v>
      </c>
      <c r="O60">
        <v>4.49</v>
      </c>
      <c r="P60" s="33">
        <f t="shared" si="1"/>
        <v>50.313760645450472</v>
      </c>
      <c r="Q60" s="33"/>
      <c r="R60" s="34"/>
      <c r="T60">
        <v>66.8</v>
      </c>
      <c r="Y60">
        <v>80000</v>
      </c>
      <c r="AA60">
        <v>5</v>
      </c>
      <c r="AB60">
        <v>40</v>
      </c>
      <c r="AC60">
        <v>18</v>
      </c>
      <c r="AD60">
        <v>200</v>
      </c>
    </row>
    <row r="61" spans="1:33" x14ac:dyDescent="0.2">
      <c r="A61" t="s">
        <v>368</v>
      </c>
      <c r="B61" t="s">
        <v>390</v>
      </c>
      <c r="C61" t="s">
        <v>313</v>
      </c>
      <c r="F61">
        <v>1000</v>
      </c>
      <c r="G61">
        <v>400</v>
      </c>
      <c r="I61" s="32">
        <v>5.28E-2</v>
      </c>
      <c r="J61">
        <v>30</v>
      </c>
      <c r="M61">
        <v>-20</v>
      </c>
      <c r="N61">
        <v>40</v>
      </c>
      <c r="O61">
        <v>4.7</v>
      </c>
      <c r="P61">
        <v>53</v>
      </c>
      <c r="R61" s="34">
        <v>0.17</v>
      </c>
      <c r="S61">
        <v>57</v>
      </c>
      <c r="T61">
        <v>62.9</v>
      </c>
      <c r="U61">
        <v>90</v>
      </c>
      <c r="AA61">
        <v>5</v>
      </c>
      <c r="AB61">
        <v>30</v>
      </c>
      <c r="AD61">
        <v>200</v>
      </c>
    </row>
    <row r="62" spans="1:33" x14ac:dyDescent="0.2">
      <c r="A62" t="s">
        <v>391</v>
      </c>
      <c r="B62" t="s">
        <v>392</v>
      </c>
      <c r="C62" t="s">
        <v>313</v>
      </c>
      <c r="D62">
        <v>50</v>
      </c>
      <c r="E62">
        <v>1000</v>
      </c>
      <c r="F62">
        <v>1000</v>
      </c>
      <c r="G62">
        <v>400</v>
      </c>
      <c r="H62" t="s">
        <v>330</v>
      </c>
      <c r="I62" s="32">
        <v>4.4999999999999998E-2</v>
      </c>
      <c r="J62">
        <v>30</v>
      </c>
      <c r="K62" t="s">
        <v>315</v>
      </c>
      <c r="L62">
        <v>8322</v>
      </c>
      <c r="M62">
        <v>-20</v>
      </c>
      <c r="N62">
        <v>40</v>
      </c>
      <c r="O62">
        <v>4.4000000000000004</v>
      </c>
      <c r="P62" s="33">
        <f>((1000*O62)/0.08924)/1000</f>
        <v>49.305244285073961</v>
      </c>
      <c r="Q62" s="33"/>
      <c r="R62" s="34"/>
      <c r="S62">
        <v>60</v>
      </c>
      <c r="X62">
        <v>0.1</v>
      </c>
      <c r="AA62">
        <v>3.5</v>
      </c>
      <c r="AC62">
        <v>18</v>
      </c>
      <c r="AD62">
        <v>200</v>
      </c>
      <c r="AE62" t="s">
        <v>316</v>
      </c>
      <c r="AF62">
        <v>5</v>
      </c>
      <c r="AG62">
        <v>30</v>
      </c>
    </row>
    <row r="63" spans="1:33" x14ac:dyDescent="0.2">
      <c r="A63" t="s">
        <v>319</v>
      </c>
      <c r="B63" t="s">
        <v>393</v>
      </c>
      <c r="C63" t="s">
        <v>321</v>
      </c>
      <c r="D63">
        <v>30</v>
      </c>
      <c r="E63">
        <v>1008</v>
      </c>
      <c r="F63">
        <v>1058</v>
      </c>
      <c r="G63">
        <v>400</v>
      </c>
      <c r="H63" t="s">
        <v>322</v>
      </c>
      <c r="I63" s="32">
        <v>2.8071833648393194E-2</v>
      </c>
      <c r="J63">
        <v>3</v>
      </c>
      <c r="K63" t="s">
        <v>316</v>
      </c>
      <c r="M63">
        <v>5</v>
      </c>
      <c r="N63">
        <v>45</v>
      </c>
      <c r="O63">
        <v>4.8</v>
      </c>
      <c r="P63" s="33">
        <f>((1000*O63)/0.08924)/1000</f>
        <v>53.787539220080681</v>
      </c>
      <c r="Q63" s="33"/>
      <c r="R63" s="34"/>
      <c r="T63">
        <v>62.5</v>
      </c>
      <c r="V63">
        <v>20</v>
      </c>
      <c r="W63">
        <v>55</v>
      </c>
      <c r="X63">
        <v>20</v>
      </c>
      <c r="Y63">
        <v>35000</v>
      </c>
      <c r="AA63">
        <v>3</v>
      </c>
      <c r="AB63">
        <v>35</v>
      </c>
      <c r="AC63">
        <v>18.75</v>
      </c>
      <c r="AD63">
        <v>208.3</v>
      </c>
      <c r="AE63" t="s">
        <v>316</v>
      </c>
    </row>
    <row r="64" spans="1:33" x14ac:dyDescent="0.2">
      <c r="A64" t="s">
        <v>394</v>
      </c>
      <c r="B64" t="s">
        <v>395</v>
      </c>
      <c r="C64" t="s">
        <v>396</v>
      </c>
      <c r="F64">
        <v>1100</v>
      </c>
      <c r="G64">
        <v>480</v>
      </c>
      <c r="H64" t="s">
        <v>322</v>
      </c>
      <c r="I64" s="32">
        <v>4.2237818181818189E-2</v>
      </c>
      <c r="P64">
        <v>43.8</v>
      </c>
      <c r="R64" s="34"/>
      <c r="T64" s="35">
        <f>(120/(P64*3.6))*100</f>
        <v>76.103500761035008</v>
      </c>
      <c r="AB64">
        <v>1.4</v>
      </c>
      <c r="AC64">
        <f>600/24</f>
        <v>25</v>
      </c>
    </row>
    <row r="65" spans="1:33" x14ac:dyDescent="0.2">
      <c r="A65" t="s">
        <v>394</v>
      </c>
      <c r="B65" t="s">
        <v>395</v>
      </c>
      <c r="C65" t="s">
        <v>397</v>
      </c>
      <c r="F65">
        <v>1100</v>
      </c>
      <c r="G65">
        <v>480</v>
      </c>
      <c r="H65" t="s">
        <v>322</v>
      </c>
      <c r="I65" s="32">
        <v>4.2237818181818189E-2</v>
      </c>
      <c r="P65">
        <v>39.4</v>
      </c>
      <c r="Q65">
        <f>(P64-P65)*3.6</f>
        <v>15.839999999999995</v>
      </c>
      <c r="R65" s="34"/>
      <c r="T65" s="35">
        <f>(120/(P65*3.6))*100</f>
        <v>84.602368866328263</v>
      </c>
      <c r="AB65">
        <v>1.4</v>
      </c>
      <c r="AC65">
        <f>600/24</f>
        <v>25</v>
      </c>
    </row>
    <row r="66" spans="1:33" x14ac:dyDescent="0.2">
      <c r="A66" t="s">
        <v>339</v>
      </c>
      <c r="B66" t="s">
        <v>398</v>
      </c>
      <c r="C66" t="s">
        <v>313</v>
      </c>
      <c r="D66">
        <v>100</v>
      </c>
      <c r="E66">
        <v>1000</v>
      </c>
      <c r="F66">
        <v>1100</v>
      </c>
      <c r="G66">
        <v>400</v>
      </c>
      <c r="H66" t="s">
        <v>322</v>
      </c>
      <c r="I66" s="32">
        <v>2.7272727272727271E-2</v>
      </c>
      <c r="J66">
        <v>3</v>
      </c>
      <c r="K66" t="s">
        <v>315</v>
      </c>
      <c r="L66">
        <v>8410</v>
      </c>
      <c r="M66">
        <v>-15</v>
      </c>
      <c r="N66">
        <v>40</v>
      </c>
      <c r="O66">
        <v>4.87</v>
      </c>
      <c r="P66" s="33">
        <f>((1000*O66)/0.08924)/1000</f>
        <v>54.571940833706861</v>
      </c>
      <c r="Q66" s="33"/>
      <c r="R66" s="34"/>
      <c r="T66">
        <v>61.6</v>
      </c>
      <c r="V66">
        <v>5</v>
      </c>
      <c r="W66">
        <v>70</v>
      </c>
      <c r="X66">
        <v>1</v>
      </c>
      <c r="Y66">
        <v>80000</v>
      </c>
      <c r="AA66">
        <v>3.5</v>
      </c>
      <c r="AB66">
        <v>40</v>
      </c>
      <c r="AC66">
        <v>18</v>
      </c>
      <c r="AD66">
        <v>200</v>
      </c>
      <c r="AE66" t="s">
        <v>315</v>
      </c>
    </row>
    <row r="67" spans="1:33" x14ac:dyDescent="0.2">
      <c r="A67" t="s">
        <v>353</v>
      </c>
      <c r="B67" t="s">
        <v>399</v>
      </c>
      <c r="C67" t="s">
        <v>313</v>
      </c>
      <c r="D67">
        <v>131</v>
      </c>
      <c r="E67">
        <v>1100</v>
      </c>
      <c r="F67">
        <v>1155</v>
      </c>
      <c r="G67">
        <v>400</v>
      </c>
      <c r="H67" t="s">
        <v>322</v>
      </c>
      <c r="I67" s="32">
        <v>4.7619047619047616E-2</v>
      </c>
      <c r="J67">
        <v>40</v>
      </c>
      <c r="K67" t="s">
        <v>316</v>
      </c>
      <c r="L67">
        <v>8600</v>
      </c>
      <c r="M67">
        <v>-20</v>
      </c>
      <c r="N67">
        <v>40</v>
      </c>
      <c r="R67" s="34"/>
      <c r="AB67">
        <v>30</v>
      </c>
      <c r="AC67">
        <v>20</v>
      </c>
      <c r="AD67">
        <v>222.2</v>
      </c>
      <c r="AE67" t="s">
        <v>316</v>
      </c>
    </row>
    <row r="68" spans="1:33" x14ac:dyDescent="0.2">
      <c r="A68" t="s">
        <v>346</v>
      </c>
      <c r="B68" t="s">
        <v>400</v>
      </c>
      <c r="C68" t="s">
        <v>313</v>
      </c>
      <c r="D68">
        <v>200</v>
      </c>
      <c r="E68">
        <v>1000</v>
      </c>
      <c r="F68">
        <v>1200</v>
      </c>
      <c r="G68">
        <v>400</v>
      </c>
      <c r="H68" t="s">
        <v>330</v>
      </c>
      <c r="I68" s="32">
        <v>2.3333333333333334E-2</v>
      </c>
      <c r="J68">
        <v>15</v>
      </c>
      <c r="K68" t="s">
        <v>315</v>
      </c>
      <c r="L68">
        <v>8650</v>
      </c>
      <c r="M68">
        <v>-40</v>
      </c>
      <c r="N68">
        <v>35</v>
      </c>
      <c r="O68">
        <v>4.8</v>
      </c>
      <c r="P68" s="33">
        <f>((1000*O68)/0.08924)/1000</f>
        <v>53.787539220080681</v>
      </c>
      <c r="Q68" s="33"/>
      <c r="R68" s="34">
        <v>0.16666666666666666</v>
      </c>
      <c r="S68">
        <v>62</v>
      </c>
      <c r="T68">
        <v>62.5</v>
      </c>
      <c r="V68">
        <v>25</v>
      </c>
      <c r="W68">
        <v>75</v>
      </c>
      <c r="X68">
        <v>0.1</v>
      </c>
      <c r="Y68">
        <v>80000</v>
      </c>
      <c r="Z68">
        <v>8600</v>
      </c>
      <c r="AA68">
        <v>3.8</v>
      </c>
      <c r="AB68">
        <v>40</v>
      </c>
      <c r="AC68">
        <v>17.8</v>
      </c>
      <c r="AD68">
        <v>197.8</v>
      </c>
      <c r="AE68" t="s">
        <v>315</v>
      </c>
      <c r="AF68">
        <v>5</v>
      </c>
      <c r="AG68">
        <v>40</v>
      </c>
    </row>
    <row r="69" spans="1:33" x14ac:dyDescent="0.2">
      <c r="A69" t="s">
        <v>377</v>
      </c>
      <c r="B69" t="s">
        <v>401</v>
      </c>
      <c r="C69" t="s">
        <v>313</v>
      </c>
      <c r="F69">
        <v>1390</v>
      </c>
      <c r="G69">
        <v>11000</v>
      </c>
      <c r="H69" t="s">
        <v>322</v>
      </c>
      <c r="I69" s="32"/>
      <c r="K69" t="s">
        <v>315</v>
      </c>
      <c r="R69" s="34"/>
      <c r="AA69">
        <v>5</v>
      </c>
      <c r="AB69">
        <v>20</v>
      </c>
      <c r="AC69">
        <v>22</v>
      </c>
      <c r="AD69">
        <v>244.4</v>
      </c>
      <c r="AE69" t="s">
        <v>315</v>
      </c>
    </row>
    <row r="70" spans="1:33" x14ac:dyDescent="0.2">
      <c r="A70" t="s">
        <v>368</v>
      </c>
      <c r="B70" t="s">
        <v>402</v>
      </c>
      <c r="C70" t="s">
        <v>313</v>
      </c>
      <c r="D70">
        <v>200</v>
      </c>
      <c r="E70">
        <v>1000</v>
      </c>
      <c r="F70">
        <v>1400</v>
      </c>
      <c r="G70">
        <v>568</v>
      </c>
      <c r="H70" t="s">
        <v>322</v>
      </c>
      <c r="I70" s="32">
        <v>0.02</v>
      </c>
      <c r="J70">
        <v>30</v>
      </c>
      <c r="K70" t="s">
        <v>315</v>
      </c>
      <c r="L70">
        <v>8322</v>
      </c>
      <c r="M70">
        <v>-20</v>
      </c>
      <c r="N70">
        <v>40</v>
      </c>
      <c r="R70" s="34"/>
      <c r="X70">
        <v>0.1</v>
      </c>
      <c r="AA70">
        <v>5</v>
      </c>
      <c r="AB70">
        <v>30</v>
      </c>
      <c r="AC70">
        <v>18.899999999999999</v>
      </c>
      <c r="AD70">
        <v>210</v>
      </c>
      <c r="AE70" t="s">
        <v>315</v>
      </c>
    </row>
    <row r="71" spans="1:33" x14ac:dyDescent="0.2">
      <c r="A71" t="s">
        <v>339</v>
      </c>
      <c r="B71" t="s">
        <v>403</v>
      </c>
      <c r="C71" t="s">
        <v>321</v>
      </c>
      <c r="D71">
        <v>300</v>
      </c>
      <c r="E71">
        <v>1200</v>
      </c>
      <c r="F71">
        <v>1500</v>
      </c>
      <c r="G71">
        <v>10</v>
      </c>
      <c r="H71" t="s">
        <v>322</v>
      </c>
      <c r="I71" s="32">
        <v>7.0000000000000007E-2</v>
      </c>
      <c r="J71">
        <v>5</v>
      </c>
      <c r="K71" t="s">
        <v>316</v>
      </c>
      <c r="L71">
        <v>8410</v>
      </c>
      <c r="M71">
        <v>-20</v>
      </c>
      <c r="N71">
        <v>45</v>
      </c>
      <c r="O71">
        <v>4.5</v>
      </c>
      <c r="P71" s="33">
        <f t="shared" ref="P71:P77" si="2">((1000*O71)/0.08924)/1000</f>
        <v>50.425818018825638</v>
      </c>
      <c r="Q71" s="33"/>
      <c r="R71" s="34">
        <v>0.33</v>
      </c>
      <c r="S71">
        <v>80</v>
      </c>
      <c r="T71">
        <v>66.7</v>
      </c>
      <c r="U71">
        <v>99.7</v>
      </c>
      <c r="V71">
        <v>40</v>
      </c>
      <c r="W71">
        <v>90</v>
      </c>
      <c r="X71">
        <v>5</v>
      </c>
      <c r="Y71">
        <v>80000</v>
      </c>
      <c r="Z71">
        <v>80000</v>
      </c>
      <c r="AA71">
        <v>3</v>
      </c>
      <c r="AB71">
        <v>30</v>
      </c>
      <c r="AC71">
        <v>25.23</v>
      </c>
      <c r="AD71">
        <v>280.3</v>
      </c>
      <c r="AE71" t="s">
        <v>316</v>
      </c>
      <c r="AF71">
        <v>5</v>
      </c>
      <c r="AG71">
        <v>750</v>
      </c>
    </row>
    <row r="72" spans="1:33" x14ac:dyDescent="0.2">
      <c r="A72" t="s">
        <v>356</v>
      </c>
      <c r="B72" t="s">
        <v>404</v>
      </c>
      <c r="C72" t="s">
        <v>313</v>
      </c>
      <c r="D72">
        <v>79</v>
      </c>
      <c r="F72">
        <v>1580</v>
      </c>
      <c r="H72" t="s">
        <v>322</v>
      </c>
      <c r="I72" s="32">
        <v>0.12531645569620253</v>
      </c>
      <c r="K72" t="s">
        <v>315</v>
      </c>
      <c r="M72">
        <v>-20</v>
      </c>
      <c r="N72">
        <v>40</v>
      </c>
      <c r="O72">
        <v>3.95</v>
      </c>
      <c r="P72" s="33">
        <f t="shared" si="2"/>
        <v>44.262662483191392</v>
      </c>
      <c r="Q72" s="33"/>
      <c r="R72" s="34"/>
      <c r="T72">
        <v>75.900000000000006</v>
      </c>
      <c r="AA72">
        <v>4.8</v>
      </c>
      <c r="AB72">
        <v>30</v>
      </c>
      <c r="AC72">
        <v>35.92</v>
      </c>
      <c r="AD72">
        <v>399.1</v>
      </c>
      <c r="AE72" t="s">
        <v>315</v>
      </c>
    </row>
    <row r="73" spans="1:33" x14ac:dyDescent="0.2">
      <c r="A73" t="s">
        <v>346</v>
      </c>
      <c r="B73" t="s">
        <v>405</v>
      </c>
      <c r="C73" t="s">
        <v>313</v>
      </c>
      <c r="D73">
        <v>200</v>
      </c>
      <c r="E73">
        <v>1500</v>
      </c>
      <c r="F73">
        <v>1800</v>
      </c>
      <c r="G73">
        <v>400</v>
      </c>
      <c r="H73" t="s">
        <v>330</v>
      </c>
      <c r="I73" s="32">
        <v>1.5555555555555555E-2</v>
      </c>
      <c r="J73">
        <v>15</v>
      </c>
      <c r="K73" t="s">
        <v>315</v>
      </c>
      <c r="L73">
        <v>8650</v>
      </c>
      <c r="M73">
        <v>-40</v>
      </c>
      <c r="N73">
        <v>35</v>
      </c>
      <c r="O73">
        <v>4.8</v>
      </c>
      <c r="P73" s="33">
        <f t="shared" si="2"/>
        <v>53.787539220080681</v>
      </c>
      <c r="Q73" s="33"/>
      <c r="R73" s="34">
        <v>0.16666666666666666</v>
      </c>
      <c r="S73">
        <v>62</v>
      </c>
      <c r="T73">
        <v>62.5</v>
      </c>
      <c r="V73">
        <v>25</v>
      </c>
      <c r="W73">
        <v>75</v>
      </c>
      <c r="X73">
        <v>0.1</v>
      </c>
      <c r="Y73">
        <v>80000</v>
      </c>
      <c r="Z73">
        <v>8600</v>
      </c>
      <c r="AA73">
        <v>3.8</v>
      </c>
      <c r="AB73">
        <v>40</v>
      </c>
      <c r="AC73">
        <v>26.7</v>
      </c>
      <c r="AD73">
        <v>296.7</v>
      </c>
      <c r="AE73" t="s">
        <v>315</v>
      </c>
      <c r="AF73">
        <v>5</v>
      </c>
      <c r="AG73">
        <v>40</v>
      </c>
    </row>
    <row r="74" spans="1:33" x14ac:dyDescent="0.2">
      <c r="A74" t="s">
        <v>356</v>
      </c>
      <c r="B74" t="s">
        <v>406</v>
      </c>
      <c r="C74" t="s">
        <v>313</v>
      </c>
      <c r="D74">
        <v>99</v>
      </c>
      <c r="F74">
        <v>1975</v>
      </c>
      <c r="H74" t="s">
        <v>322</v>
      </c>
      <c r="I74" s="32">
        <v>0.10025316455696202</v>
      </c>
      <c r="K74" t="s">
        <v>315</v>
      </c>
      <c r="M74">
        <v>-20</v>
      </c>
      <c r="N74">
        <v>40</v>
      </c>
      <c r="O74">
        <v>3.95</v>
      </c>
      <c r="P74" s="33">
        <f t="shared" si="2"/>
        <v>44.262662483191392</v>
      </c>
      <c r="Q74" s="33"/>
      <c r="R74" s="34"/>
      <c r="T74">
        <v>75.900000000000006</v>
      </c>
      <c r="AA74">
        <v>4.8</v>
      </c>
      <c r="AB74">
        <v>30</v>
      </c>
      <c r="AC74">
        <v>45</v>
      </c>
      <c r="AD74">
        <v>500</v>
      </c>
      <c r="AE74" t="s">
        <v>315</v>
      </c>
    </row>
    <row r="75" spans="1:33" x14ac:dyDescent="0.2">
      <c r="A75" t="s">
        <v>407</v>
      </c>
      <c r="B75" t="s">
        <v>408</v>
      </c>
      <c r="C75" t="s">
        <v>313</v>
      </c>
      <c r="D75">
        <v>200</v>
      </c>
      <c r="E75">
        <v>2000</v>
      </c>
      <c r="F75">
        <v>2000</v>
      </c>
      <c r="G75">
        <v>400</v>
      </c>
      <c r="H75" t="s">
        <v>322</v>
      </c>
      <c r="I75" s="32">
        <v>0.15</v>
      </c>
      <c r="J75">
        <v>1</v>
      </c>
      <c r="K75" t="s">
        <v>315</v>
      </c>
      <c r="L75">
        <v>8600</v>
      </c>
      <c r="M75">
        <v>-20</v>
      </c>
      <c r="N75">
        <v>35</v>
      </c>
      <c r="O75">
        <v>4.5</v>
      </c>
      <c r="P75" s="33">
        <f t="shared" si="2"/>
        <v>50.425818018825638</v>
      </c>
      <c r="Q75" s="33"/>
      <c r="R75" s="34"/>
      <c r="T75">
        <v>66.7</v>
      </c>
      <c r="Y75">
        <v>80000</v>
      </c>
      <c r="AA75">
        <v>5</v>
      </c>
      <c r="AB75">
        <v>35</v>
      </c>
      <c r="AC75">
        <v>36</v>
      </c>
      <c r="AD75">
        <v>400</v>
      </c>
      <c r="AE75" t="s">
        <v>315</v>
      </c>
    </row>
    <row r="76" spans="1:33" x14ac:dyDescent="0.2">
      <c r="A76" t="s">
        <v>323</v>
      </c>
      <c r="B76" t="s">
        <v>409</v>
      </c>
      <c r="C76" t="s">
        <v>321</v>
      </c>
      <c r="F76">
        <v>2000</v>
      </c>
      <c r="H76" t="s">
        <v>314</v>
      </c>
      <c r="I76" s="32"/>
      <c r="O76">
        <v>4.5</v>
      </c>
      <c r="P76" s="33">
        <f t="shared" si="2"/>
        <v>50.425818018825638</v>
      </c>
      <c r="Q76" s="33"/>
      <c r="R76" s="34"/>
      <c r="T76">
        <v>66.7</v>
      </c>
      <c r="AB76">
        <v>30</v>
      </c>
      <c r="AC76">
        <v>36</v>
      </c>
      <c r="AD76">
        <v>400</v>
      </c>
    </row>
    <row r="77" spans="1:33" x14ac:dyDescent="0.2">
      <c r="A77" t="s">
        <v>384</v>
      </c>
      <c r="B77" t="s">
        <v>410</v>
      </c>
      <c r="C77" t="s">
        <v>321</v>
      </c>
      <c r="D77">
        <v>300</v>
      </c>
      <c r="E77">
        <v>1600</v>
      </c>
      <c r="F77">
        <v>2000</v>
      </c>
      <c r="G77">
        <v>10</v>
      </c>
      <c r="H77" t="s">
        <v>322</v>
      </c>
      <c r="I77" s="32">
        <v>5.2499999999999998E-2</v>
      </c>
      <c r="J77">
        <v>20</v>
      </c>
      <c r="K77" t="s">
        <v>316</v>
      </c>
      <c r="L77">
        <v>8568</v>
      </c>
      <c r="M77">
        <v>-20</v>
      </c>
      <c r="N77">
        <v>45</v>
      </c>
      <c r="O77">
        <v>4.8</v>
      </c>
      <c r="P77" s="33">
        <f t="shared" si="2"/>
        <v>53.787539220080681</v>
      </c>
      <c r="Q77" s="33"/>
      <c r="R77" s="34">
        <v>0.33</v>
      </c>
      <c r="S77">
        <v>80</v>
      </c>
      <c r="T77">
        <v>62.5</v>
      </c>
      <c r="U77">
        <v>95.5</v>
      </c>
      <c r="V77">
        <v>40</v>
      </c>
      <c r="W77">
        <v>90</v>
      </c>
      <c r="X77">
        <v>5</v>
      </c>
      <c r="Y77">
        <v>70000</v>
      </c>
      <c r="Z77">
        <v>70000</v>
      </c>
      <c r="AA77">
        <v>2.7</v>
      </c>
      <c r="AB77">
        <v>1</v>
      </c>
      <c r="AC77">
        <v>33.64</v>
      </c>
      <c r="AD77">
        <v>373.8</v>
      </c>
      <c r="AE77" t="s">
        <v>316</v>
      </c>
      <c r="AF77">
        <v>5</v>
      </c>
      <c r="AG77">
        <v>750</v>
      </c>
    </row>
    <row r="78" spans="1:33" x14ac:dyDescent="0.2">
      <c r="A78" t="s">
        <v>377</v>
      </c>
      <c r="B78" t="s">
        <v>411</v>
      </c>
      <c r="C78" t="s">
        <v>313</v>
      </c>
      <c r="F78">
        <v>2350</v>
      </c>
      <c r="G78">
        <v>11000</v>
      </c>
      <c r="H78" t="s">
        <v>322</v>
      </c>
      <c r="I78" s="32"/>
      <c r="K78" t="s">
        <v>315</v>
      </c>
      <c r="R78" s="34"/>
      <c r="AA78">
        <v>5</v>
      </c>
      <c r="AB78">
        <v>20</v>
      </c>
      <c r="AC78">
        <v>36</v>
      </c>
      <c r="AD78">
        <v>400</v>
      </c>
      <c r="AE78" t="s">
        <v>315</v>
      </c>
    </row>
    <row r="79" spans="1:33" x14ac:dyDescent="0.2">
      <c r="A79" t="s">
        <v>346</v>
      </c>
      <c r="B79" t="s">
        <v>412</v>
      </c>
      <c r="C79" t="s">
        <v>313</v>
      </c>
      <c r="D79">
        <v>200</v>
      </c>
      <c r="E79">
        <v>2000</v>
      </c>
      <c r="F79">
        <v>2400</v>
      </c>
      <c r="G79">
        <v>400</v>
      </c>
      <c r="H79" t="s">
        <v>330</v>
      </c>
      <c r="I79" s="32">
        <v>1.1666666666666667E-2</v>
      </c>
      <c r="J79">
        <v>15</v>
      </c>
      <c r="K79" t="s">
        <v>315</v>
      </c>
      <c r="L79">
        <v>8650</v>
      </c>
      <c r="M79">
        <v>-40</v>
      </c>
      <c r="N79">
        <v>35</v>
      </c>
      <c r="O79">
        <v>4.8</v>
      </c>
      <c r="P79" s="33">
        <f>((1000*O79)/0.08924)/1000</f>
        <v>53.787539220080681</v>
      </c>
      <c r="Q79" s="33"/>
      <c r="R79" s="34">
        <v>0.16666666666666666</v>
      </c>
      <c r="S79">
        <v>62</v>
      </c>
      <c r="T79">
        <v>62.5</v>
      </c>
      <c r="V79">
        <v>25</v>
      </c>
      <c r="W79">
        <v>75</v>
      </c>
      <c r="X79">
        <v>0.1</v>
      </c>
      <c r="Y79">
        <v>80000</v>
      </c>
      <c r="Z79">
        <v>8600</v>
      </c>
      <c r="AA79">
        <v>3.8</v>
      </c>
      <c r="AB79">
        <v>40</v>
      </c>
      <c r="AC79">
        <v>35.6</v>
      </c>
      <c r="AD79">
        <v>395.6</v>
      </c>
      <c r="AE79" t="s">
        <v>315</v>
      </c>
      <c r="AF79">
        <v>5</v>
      </c>
      <c r="AG79">
        <v>40</v>
      </c>
    </row>
    <row r="80" spans="1:33" x14ac:dyDescent="0.2">
      <c r="A80" t="s">
        <v>413</v>
      </c>
      <c r="B80" t="s">
        <v>414</v>
      </c>
      <c r="C80" t="s">
        <v>397</v>
      </c>
      <c r="D80">
        <v>135</v>
      </c>
      <c r="F80">
        <v>2475</v>
      </c>
      <c r="H80" t="s">
        <v>322</v>
      </c>
      <c r="I80" s="32">
        <v>0.12121212121212122</v>
      </c>
      <c r="M80">
        <v>-20</v>
      </c>
      <c r="N80">
        <v>40</v>
      </c>
      <c r="O80">
        <v>3.6</v>
      </c>
      <c r="P80" s="33">
        <f>((1000*O80)/0.08924)/1000</f>
        <v>40.340654415060513</v>
      </c>
      <c r="Q80" s="33">
        <v>16</v>
      </c>
      <c r="R80" s="34"/>
      <c r="T80" s="35">
        <f>(120/(P80*3.6))*100</f>
        <v>82.629629629629633</v>
      </c>
      <c r="AB80">
        <v>4.5</v>
      </c>
      <c r="AC80">
        <v>67.5</v>
      </c>
      <c r="AD80">
        <v>750</v>
      </c>
    </row>
    <row r="81" spans="1:33" x14ac:dyDescent="0.2">
      <c r="A81" t="s">
        <v>391</v>
      </c>
      <c r="B81" t="s">
        <v>415</v>
      </c>
      <c r="C81" t="s">
        <v>313</v>
      </c>
      <c r="D81">
        <v>125</v>
      </c>
      <c r="E81">
        <v>2500</v>
      </c>
      <c r="F81">
        <v>2500</v>
      </c>
      <c r="G81">
        <v>400</v>
      </c>
      <c r="H81" t="s">
        <v>330</v>
      </c>
      <c r="I81" s="32">
        <v>2.4E-2</v>
      </c>
      <c r="J81">
        <v>30</v>
      </c>
      <c r="K81" t="s">
        <v>315</v>
      </c>
      <c r="L81">
        <v>8322</v>
      </c>
      <c r="M81">
        <v>-20</v>
      </c>
      <c r="N81">
        <v>40</v>
      </c>
      <c r="R81" s="34"/>
      <c r="S81">
        <v>60</v>
      </c>
      <c r="X81">
        <v>0.1</v>
      </c>
      <c r="AA81">
        <v>3.5</v>
      </c>
      <c r="AC81">
        <v>45</v>
      </c>
      <c r="AD81">
        <v>500</v>
      </c>
      <c r="AE81" t="s">
        <v>316</v>
      </c>
      <c r="AF81">
        <v>5</v>
      </c>
      <c r="AG81">
        <v>30</v>
      </c>
    </row>
    <row r="82" spans="1:33" x14ac:dyDescent="0.2">
      <c r="A82" t="s">
        <v>384</v>
      </c>
      <c r="B82" t="s">
        <v>416</v>
      </c>
      <c r="C82" t="s">
        <v>321</v>
      </c>
      <c r="D82">
        <v>300</v>
      </c>
      <c r="E82">
        <v>2400</v>
      </c>
      <c r="F82">
        <v>3000</v>
      </c>
      <c r="G82">
        <v>10</v>
      </c>
      <c r="H82" t="s">
        <v>322</v>
      </c>
      <c r="I82" s="32">
        <v>3.5000000000000003E-2</v>
      </c>
      <c r="J82">
        <v>5</v>
      </c>
      <c r="K82" t="s">
        <v>316</v>
      </c>
      <c r="L82">
        <v>8568</v>
      </c>
      <c r="M82">
        <v>-20</v>
      </c>
      <c r="N82">
        <v>45</v>
      </c>
      <c r="O82">
        <v>4.5</v>
      </c>
      <c r="P82" s="33">
        <f t="shared" ref="P82:P87" si="3">((1000*O82)/0.08924)/1000</f>
        <v>50.425818018825638</v>
      </c>
      <c r="Q82" s="33"/>
      <c r="R82" s="34">
        <v>0.33</v>
      </c>
      <c r="S82">
        <v>80</v>
      </c>
      <c r="T82">
        <v>66.7</v>
      </c>
      <c r="U82">
        <v>99.7</v>
      </c>
      <c r="V82">
        <v>40</v>
      </c>
      <c r="W82">
        <v>90</v>
      </c>
      <c r="X82">
        <v>5</v>
      </c>
      <c r="Y82">
        <v>80000</v>
      </c>
      <c r="Z82">
        <v>80000</v>
      </c>
      <c r="AA82">
        <v>3</v>
      </c>
      <c r="AB82">
        <v>30</v>
      </c>
      <c r="AC82">
        <v>50.46</v>
      </c>
      <c r="AD82">
        <v>560.70000000000005</v>
      </c>
      <c r="AE82" t="s">
        <v>316</v>
      </c>
      <c r="AF82">
        <v>5</v>
      </c>
      <c r="AG82">
        <v>750</v>
      </c>
    </row>
    <row r="83" spans="1:33" x14ac:dyDescent="0.2">
      <c r="A83" t="s">
        <v>407</v>
      </c>
      <c r="B83" t="s">
        <v>417</v>
      </c>
      <c r="C83" t="s">
        <v>313</v>
      </c>
      <c r="D83">
        <v>300</v>
      </c>
      <c r="E83">
        <v>3000</v>
      </c>
      <c r="F83">
        <v>3000</v>
      </c>
      <c r="G83">
        <v>400</v>
      </c>
      <c r="H83" t="s">
        <v>322</v>
      </c>
      <c r="I83" s="32">
        <v>0.1</v>
      </c>
      <c r="J83">
        <v>1</v>
      </c>
      <c r="K83" t="s">
        <v>315</v>
      </c>
      <c r="L83">
        <v>8600</v>
      </c>
      <c r="M83">
        <v>-20</v>
      </c>
      <c r="N83">
        <v>35</v>
      </c>
      <c r="O83">
        <v>4.5</v>
      </c>
      <c r="P83" s="33">
        <f t="shared" si="3"/>
        <v>50.425818018825638</v>
      </c>
      <c r="Q83" s="33"/>
      <c r="R83" s="34"/>
      <c r="T83">
        <v>66.7</v>
      </c>
      <c r="Y83">
        <v>80000</v>
      </c>
      <c r="AA83">
        <v>5</v>
      </c>
      <c r="AB83">
        <v>35</v>
      </c>
      <c r="AC83">
        <v>54</v>
      </c>
      <c r="AD83">
        <v>600</v>
      </c>
      <c r="AE83" t="s">
        <v>315</v>
      </c>
    </row>
    <row r="84" spans="1:33" x14ac:dyDescent="0.2">
      <c r="A84" t="s">
        <v>407</v>
      </c>
      <c r="B84" t="s">
        <v>418</v>
      </c>
      <c r="C84" t="s">
        <v>313</v>
      </c>
      <c r="D84">
        <v>400</v>
      </c>
      <c r="E84">
        <v>4000</v>
      </c>
      <c r="F84">
        <v>4000</v>
      </c>
      <c r="G84">
        <v>400</v>
      </c>
      <c r="H84" t="s">
        <v>322</v>
      </c>
      <c r="I84" s="32">
        <v>0.1</v>
      </c>
      <c r="J84">
        <v>1</v>
      </c>
      <c r="K84" t="s">
        <v>315</v>
      </c>
      <c r="L84">
        <v>8600</v>
      </c>
      <c r="M84">
        <v>-20</v>
      </c>
      <c r="N84">
        <v>35</v>
      </c>
      <c r="O84">
        <v>4.5</v>
      </c>
      <c r="P84" s="33">
        <f t="shared" si="3"/>
        <v>50.425818018825638</v>
      </c>
      <c r="Q84" s="33"/>
      <c r="R84" s="34"/>
      <c r="T84">
        <v>66.7</v>
      </c>
      <c r="Y84">
        <v>80000</v>
      </c>
      <c r="AA84">
        <v>5</v>
      </c>
      <c r="AB84">
        <v>35</v>
      </c>
      <c r="AC84">
        <v>72</v>
      </c>
      <c r="AD84">
        <v>800</v>
      </c>
      <c r="AE84" t="s">
        <v>315</v>
      </c>
    </row>
    <row r="85" spans="1:33" x14ac:dyDescent="0.2">
      <c r="A85" t="s">
        <v>323</v>
      </c>
      <c r="B85" t="s">
        <v>419</v>
      </c>
      <c r="C85" t="s">
        <v>321</v>
      </c>
      <c r="F85">
        <v>4000</v>
      </c>
      <c r="H85" t="s">
        <v>314</v>
      </c>
      <c r="I85" s="32"/>
      <c r="O85">
        <v>4.5</v>
      </c>
      <c r="P85" s="33">
        <f t="shared" si="3"/>
        <v>50.425818018825638</v>
      </c>
      <c r="Q85" s="33"/>
      <c r="R85" s="34"/>
      <c r="T85">
        <v>66.7</v>
      </c>
      <c r="AB85">
        <v>30</v>
      </c>
      <c r="AC85">
        <v>72</v>
      </c>
      <c r="AD85">
        <v>800</v>
      </c>
    </row>
    <row r="86" spans="1:33" x14ac:dyDescent="0.2">
      <c r="A86" t="s">
        <v>407</v>
      </c>
      <c r="B86" t="s">
        <v>420</v>
      </c>
      <c r="C86" t="s">
        <v>313</v>
      </c>
      <c r="D86">
        <v>500</v>
      </c>
      <c r="E86">
        <v>5000</v>
      </c>
      <c r="F86">
        <v>5000</v>
      </c>
      <c r="G86">
        <v>400</v>
      </c>
      <c r="H86" t="s">
        <v>322</v>
      </c>
      <c r="I86" s="32">
        <v>0.08</v>
      </c>
      <c r="J86">
        <v>1</v>
      </c>
      <c r="K86" t="s">
        <v>315</v>
      </c>
      <c r="L86">
        <v>8600</v>
      </c>
      <c r="M86">
        <v>-20</v>
      </c>
      <c r="N86">
        <v>35</v>
      </c>
      <c r="O86">
        <v>4.5</v>
      </c>
      <c r="P86" s="33">
        <f t="shared" si="3"/>
        <v>50.425818018825638</v>
      </c>
      <c r="Q86" s="33"/>
      <c r="R86" s="34"/>
      <c r="T86">
        <v>66.7</v>
      </c>
      <c r="Y86">
        <v>80000</v>
      </c>
      <c r="AA86">
        <v>5</v>
      </c>
      <c r="AB86">
        <v>35</v>
      </c>
      <c r="AC86">
        <v>90</v>
      </c>
      <c r="AD86">
        <v>1000</v>
      </c>
      <c r="AE86" t="s">
        <v>315</v>
      </c>
    </row>
    <row r="87" spans="1:33" x14ac:dyDescent="0.2">
      <c r="A87" t="s">
        <v>391</v>
      </c>
      <c r="B87" t="s">
        <v>421</v>
      </c>
      <c r="C87" t="s">
        <v>313</v>
      </c>
      <c r="D87">
        <v>250</v>
      </c>
      <c r="E87">
        <v>5000</v>
      </c>
      <c r="F87">
        <v>5000</v>
      </c>
      <c r="G87">
        <v>400</v>
      </c>
      <c r="H87" t="s">
        <v>330</v>
      </c>
      <c r="I87" s="32">
        <v>1.7999999999999999E-2</v>
      </c>
      <c r="J87">
        <v>30</v>
      </c>
      <c r="K87" t="s">
        <v>315</v>
      </c>
      <c r="L87">
        <v>8322</v>
      </c>
      <c r="M87">
        <v>-20</v>
      </c>
      <c r="N87">
        <v>40</v>
      </c>
      <c r="O87">
        <v>4.4000000000000004</v>
      </c>
      <c r="P87" s="33">
        <f t="shared" si="3"/>
        <v>49.305244285073961</v>
      </c>
      <c r="Q87" s="33"/>
      <c r="R87" s="34"/>
      <c r="S87">
        <v>60</v>
      </c>
      <c r="X87">
        <v>0.1</v>
      </c>
      <c r="AA87">
        <v>3.5</v>
      </c>
      <c r="AC87">
        <v>90</v>
      </c>
      <c r="AD87">
        <v>1</v>
      </c>
      <c r="AE87" t="s">
        <v>316</v>
      </c>
      <c r="AF87">
        <v>5</v>
      </c>
      <c r="AG87">
        <v>30</v>
      </c>
    </row>
    <row r="88" spans="1:33" x14ac:dyDescent="0.2">
      <c r="A88" t="s">
        <v>388</v>
      </c>
      <c r="B88" t="s">
        <v>422</v>
      </c>
      <c r="C88" t="s">
        <v>313</v>
      </c>
      <c r="F88">
        <v>5000</v>
      </c>
      <c r="H88" t="s">
        <v>322</v>
      </c>
      <c r="I88" s="32">
        <v>2.4E-2</v>
      </c>
      <c r="J88">
        <v>30</v>
      </c>
      <c r="M88">
        <v>-20</v>
      </c>
      <c r="N88">
        <v>40</v>
      </c>
      <c r="R88" s="34"/>
      <c r="AA88">
        <v>5</v>
      </c>
      <c r="AB88">
        <v>40</v>
      </c>
      <c r="AC88">
        <v>90</v>
      </c>
      <c r="AD88">
        <v>1000</v>
      </c>
    </row>
    <row r="89" spans="1:33" x14ac:dyDescent="0.2">
      <c r="A89" t="s">
        <v>356</v>
      </c>
      <c r="B89" t="s">
        <v>423</v>
      </c>
      <c r="C89" t="s">
        <v>313</v>
      </c>
      <c r="D89">
        <v>215</v>
      </c>
      <c r="E89">
        <v>4300</v>
      </c>
      <c r="F89">
        <v>5375</v>
      </c>
      <c r="H89" t="s">
        <v>322</v>
      </c>
      <c r="I89" s="32"/>
      <c r="K89" t="s">
        <v>315</v>
      </c>
      <c r="M89">
        <v>5</v>
      </c>
      <c r="N89">
        <v>40</v>
      </c>
      <c r="O89">
        <v>4.3</v>
      </c>
      <c r="P89" s="33">
        <f>((1000*O89)/0.08924)/1000</f>
        <v>48.184670551322277</v>
      </c>
      <c r="Q89" s="33"/>
      <c r="R89" s="34"/>
      <c r="T89">
        <v>69.8</v>
      </c>
      <c r="AA89">
        <v>4</v>
      </c>
      <c r="AB89">
        <v>30</v>
      </c>
      <c r="AC89">
        <v>90</v>
      </c>
      <c r="AD89">
        <v>1000</v>
      </c>
      <c r="AE89" t="s">
        <v>316</v>
      </c>
    </row>
    <row r="90" spans="1:33" x14ac:dyDescent="0.2">
      <c r="A90" t="s">
        <v>424</v>
      </c>
      <c r="B90" t="s">
        <v>425</v>
      </c>
      <c r="C90" t="s">
        <v>397</v>
      </c>
      <c r="F90">
        <v>10000</v>
      </c>
      <c r="G90">
        <v>800</v>
      </c>
      <c r="H90" t="s">
        <v>314</v>
      </c>
      <c r="I90" s="32">
        <v>0</v>
      </c>
      <c r="M90">
        <v>-20</v>
      </c>
      <c r="N90">
        <v>45</v>
      </c>
      <c r="P90">
        <v>38.700000000000003</v>
      </c>
      <c r="Q90">
        <f>4.7*3.6</f>
        <v>16.920000000000002</v>
      </c>
      <c r="R90" s="34"/>
      <c r="T90" s="35">
        <f>(120/(P90*3.6))*100</f>
        <v>86.132644272179135</v>
      </c>
      <c r="Y90">
        <f>8760*5</f>
        <v>43800</v>
      </c>
      <c r="AB90">
        <v>1.004</v>
      </c>
      <c r="AC90">
        <v>259</v>
      </c>
    </row>
    <row r="91" spans="1:33" x14ac:dyDescent="0.2">
      <c r="A91" t="s">
        <v>424</v>
      </c>
      <c r="B91" t="s">
        <v>426</v>
      </c>
      <c r="C91" t="s">
        <v>396</v>
      </c>
      <c r="F91">
        <v>10000</v>
      </c>
      <c r="G91">
        <v>800</v>
      </c>
      <c r="H91" t="s">
        <v>314</v>
      </c>
      <c r="I91" s="32">
        <v>0</v>
      </c>
      <c r="M91">
        <v>-20</v>
      </c>
      <c r="N91">
        <v>45</v>
      </c>
      <c r="P91">
        <v>48.8</v>
      </c>
      <c r="R91" s="34"/>
      <c r="T91" s="35">
        <f>(120/(P91*3.6))*100</f>
        <v>68.30601092896174</v>
      </c>
      <c r="AB91">
        <v>1.004</v>
      </c>
      <c r="AC91">
        <v>259</v>
      </c>
    </row>
    <row r="92" spans="1:33" x14ac:dyDescent="0.2">
      <c r="A92" t="s">
        <v>391</v>
      </c>
      <c r="B92" t="s">
        <v>427</v>
      </c>
      <c r="C92" t="s">
        <v>313</v>
      </c>
      <c r="D92">
        <v>500</v>
      </c>
      <c r="E92">
        <v>10000</v>
      </c>
      <c r="F92">
        <v>10000</v>
      </c>
      <c r="G92">
        <v>400</v>
      </c>
      <c r="H92" t="s">
        <v>330</v>
      </c>
      <c r="I92" s="32">
        <v>1.7999999999999999E-2</v>
      </c>
      <c r="J92">
        <v>30</v>
      </c>
      <c r="K92" t="s">
        <v>315</v>
      </c>
      <c r="L92">
        <v>8322</v>
      </c>
      <c r="M92">
        <v>-20</v>
      </c>
      <c r="N92">
        <v>40</v>
      </c>
      <c r="O92">
        <v>4.8</v>
      </c>
      <c r="P92" s="33">
        <f>((1000*O92)/0.08924)/1000</f>
        <v>53.787539220080681</v>
      </c>
      <c r="Q92" s="33"/>
      <c r="R92" s="34"/>
      <c r="S92">
        <v>60</v>
      </c>
      <c r="X92">
        <v>0.1</v>
      </c>
      <c r="AA92">
        <v>3.5</v>
      </c>
      <c r="AC92">
        <v>180</v>
      </c>
      <c r="AD92">
        <v>2</v>
      </c>
      <c r="AE92" t="s">
        <v>316</v>
      </c>
      <c r="AF92">
        <v>5</v>
      </c>
      <c r="AG92">
        <v>30</v>
      </c>
    </row>
    <row r="93" spans="1:33" x14ac:dyDescent="0.2">
      <c r="A93" t="s">
        <v>377</v>
      </c>
      <c r="B93" t="s">
        <v>428</v>
      </c>
      <c r="C93" t="s">
        <v>313</v>
      </c>
      <c r="F93">
        <v>10070</v>
      </c>
      <c r="G93">
        <v>11000</v>
      </c>
      <c r="H93" t="s">
        <v>322</v>
      </c>
      <c r="I93" s="32"/>
      <c r="K93" t="s">
        <v>316</v>
      </c>
      <c r="R93" s="34"/>
      <c r="AA93">
        <v>5</v>
      </c>
      <c r="AB93">
        <v>20</v>
      </c>
      <c r="AC93">
        <v>168.75</v>
      </c>
      <c r="AD93">
        <v>1875</v>
      </c>
      <c r="AE93" t="s">
        <v>316</v>
      </c>
    </row>
    <row r="94" spans="1:33" x14ac:dyDescent="0.2">
      <c r="A94" t="s">
        <v>429</v>
      </c>
      <c r="B94" t="s">
        <v>430</v>
      </c>
      <c r="C94" t="s">
        <v>321</v>
      </c>
      <c r="D94">
        <v>4192</v>
      </c>
      <c r="F94">
        <v>10481</v>
      </c>
      <c r="H94" t="s">
        <v>322</v>
      </c>
      <c r="I94" s="32">
        <v>4.2934834462360461E-2</v>
      </c>
      <c r="M94">
        <v>5</v>
      </c>
      <c r="N94">
        <v>40</v>
      </c>
      <c r="O94">
        <v>4.7</v>
      </c>
      <c r="P94" s="33">
        <f>((1000*O94)/0.08924)/1000</f>
        <v>52.666965486328998</v>
      </c>
      <c r="Q94" s="33"/>
      <c r="R94" s="34"/>
      <c r="T94">
        <v>63.8</v>
      </c>
      <c r="W94">
        <v>85</v>
      </c>
      <c r="Y94">
        <v>90000</v>
      </c>
      <c r="AA94">
        <v>2.6</v>
      </c>
      <c r="AB94">
        <v>30</v>
      </c>
      <c r="AC94">
        <v>200.7</v>
      </c>
      <c r="AD94">
        <v>2230</v>
      </c>
    </row>
    <row r="95" spans="1:33" x14ac:dyDescent="0.2">
      <c r="A95" t="s">
        <v>391</v>
      </c>
      <c r="B95" t="s">
        <v>431</v>
      </c>
      <c r="C95" t="s">
        <v>313</v>
      </c>
      <c r="D95">
        <v>750</v>
      </c>
      <c r="E95">
        <v>15000</v>
      </c>
      <c r="F95">
        <v>15000</v>
      </c>
      <c r="G95">
        <v>400</v>
      </c>
      <c r="H95" t="s">
        <v>330</v>
      </c>
      <c r="I95" s="32">
        <v>1.7999999999999999E-2</v>
      </c>
      <c r="J95">
        <v>30</v>
      </c>
      <c r="K95" t="s">
        <v>315</v>
      </c>
      <c r="L95">
        <v>8322</v>
      </c>
      <c r="M95">
        <v>-20</v>
      </c>
      <c r="N95">
        <v>40</v>
      </c>
      <c r="O95">
        <v>4.8</v>
      </c>
      <c r="P95" s="33">
        <f>((1000*O95)/0.08924)/1000</f>
        <v>53.787539220080681</v>
      </c>
      <c r="Q95" s="33"/>
      <c r="R95" s="34"/>
      <c r="S95">
        <v>60</v>
      </c>
      <c r="X95">
        <v>0.1</v>
      </c>
      <c r="AA95">
        <v>3.5</v>
      </c>
      <c r="AC95">
        <v>270</v>
      </c>
      <c r="AD95">
        <v>3</v>
      </c>
      <c r="AE95" t="s">
        <v>316</v>
      </c>
      <c r="AF95">
        <v>5</v>
      </c>
      <c r="AG95">
        <v>30</v>
      </c>
    </row>
    <row r="96" spans="1:33" x14ac:dyDescent="0.2">
      <c r="A96" t="s">
        <v>432</v>
      </c>
      <c r="B96" t="s">
        <v>433</v>
      </c>
      <c r="C96" t="s">
        <v>321</v>
      </c>
      <c r="D96">
        <v>1800</v>
      </c>
      <c r="F96">
        <v>18000</v>
      </c>
      <c r="H96" t="s">
        <v>314</v>
      </c>
      <c r="I96" s="32">
        <v>0</v>
      </c>
      <c r="O96">
        <v>4.5</v>
      </c>
      <c r="P96" s="33">
        <f>((1000*O96)/0.08924)/1000</f>
        <v>50.425818018825638</v>
      </c>
      <c r="Q96" s="33"/>
      <c r="R96" s="34"/>
      <c r="T96">
        <v>66.7</v>
      </c>
      <c r="W96">
        <v>90</v>
      </c>
      <c r="AA96">
        <v>3</v>
      </c>
      <c r="AB96">
        <v>0</v>
      </c>
      <c r="AC96">
        <v>360</v>
      </c>
      <c r="AD96">
        <v>4000</v>
      </c>
      <c r="AE96" t="s">
        <v>316</v>
      </c>
    </row>
    <row r="97" spans="1:33" x14ac:dyDescent="0.2">
      <c r="A97" t="s">
        <v>391</v>
      </c>
      <c r="B97" t="s">
        <v>434</v>
      </c>
      <c r="C97" t="s">
        <v>313</v>
      </c>
      <c r="D97">
        <v>1000</v>
      </c>
      <c r="E97">
        <v>20000</v>
      </c>
      <c r="F97">
        <v>20000</v>
      </c>
      <c r="G97">
        <v>400</v>
      </c>
      <c r="H97" t="s">
        <v>330</v>
      </c>
      <c r="I97" s="32">
        <v>1.7999999999999999E-2</v>
      </c>
      <c r="J97">
        <v>30</v>
      </c>
      <c r="K97" t="s">
        <v>315</v>
      </c>
      <c r="L97">
        <v>8322</v>
      </c>
      <c r="M97">
        <v>-20</v>
      </c>
      <c r="N97">
        <v>40</v>
      </c>
      <c r="O97">
        <v>4.8</v>
      </c>
      <c r="P97" s="33">
        <f>((1000*O97)/0.08924)/1000</f>
        <v>53.787539220080681</v>
      </c>
      <c r="Q97" s="33"/>
      <c r="R97" s="34"/>
      <c r="S97">
        <v>60</v>
      </c>
      <c r="X97">
        <v>0.1</v>
      </c>
      <c r="AA97">
        <v>3.5</v>
      </c>
      <c r="AC97">
        <v>360</v>
      </c>
      <c r="AD97">
        <v>4</v>
      </c>
      <c r="AE97" t="s">
        <v>316</v>
      </c>
      <c r="AF97">
        <v>5</v>
      </c>
      <c r="AG97">
        <v>30</v>
      </c>
    </row>
    <row r="98" spans="1:33" x14ac:dyDescent="0.2">
      <c r="A98" t="s">
        <v>391</v>
      </c>
      <c r="B98" t="s">
        <v>435</v>
      </c>
      <c r="C98" t="s">
        <v>313</v>
      </c>
      <c r="G98">
        <v>400</v>
      </c>
      <c r="H98" t="s">
        <v>330</v>
      </c>
      <c r="I98" s="32"/>
      <c r="J98">
        <v>30</v>
      </c>
      <c r="K98" t="s">
        <v>315</v>
      </c>
      <c r="L98">
        <v>8322</v>
      </c>
      <c r="M98">
        <v>-20</v>
      </c>
      <c r="N98">
        <v>40</v>
      </c>
      <c r="R98" s="34"/>
      <c r="S98">
        <v>60</v>
      </c>
      <c r="X98">
        <v>0.1</v>
      </c>
      <c r="AA98">
        <v>3.5</v>
      </c>
      <c r="AE98" t="s">
        <v>316</v>
      </c>
      <c r="AF98">
        <v>5</v>
      </c>
      <c r="AG98">
        <v>30</v>
      </c>
    </row>
    <row r="99" spans="1:33" x14ac:dyDescent="0.2">
      <c r="A99" t="s">
        <v>388</v>
      </c>
      <c r="B99" t="s">
        <v>436</v>
      </c>
      <c r="C99" t="s">
        <v>313</v>
      </c>
      <c r="G99">
        <v>64</v>
      </c>
      <c r="I99" s="32"/>
      <c r="R99" s="34"/>
      <c r="V99">
        <v>5</v>
      </c>
      <c r="W99">
        <v>70</v>
      </c>
      <c r="Y99">
        <v>80000</v>
      </c>
      <c r="AC99">
        <v>4.5</v>
      </c>
      <c r="AD99">
        <v>50</v>
      </c>
    </row>
    <row r="100" spans="1:33" x14ac:dyDescent="0.2">
      <c r="A100" t="s">
        <v>388</v>
      </c>
      <c r="B100" t="s">
        <v>437</v>
      </c>
      <c r="C100" t="s">
        <v>313</v>
      </c>
      <c r="G100">
        <v>260</v>
      </c>
      <c r="I100" s="32"/>
      <c r="R100" s="34"/>
      <c r="V100">
        <v>5</v>
      </c>
      <c r="W100">
        <v>70</v>
      </c>
      <c r="Y100">
        <v>80000</v>
      </c>
      <c r="AC100">
        <v>18</v>
      </c>
      <c r="AD100">
        <v>200</v>
      </c>
    </row>
    <row r="101" spans="1:33" x14ac:dyDescent="0.2">
      <c r="A101" t="s">
        <v>388</v>
      </c>
      <c r="B101" t="s">
        <v>438</v>
      </c>
      <c r="C101" t="s">
        <v>313</v>
      </c>
      <c r="G101">
        <v>54</v>
      </c>
      <c r="I101" s="32"/>
      <c r="M101">
        <v>5</v>
      </c>
      <c r="N101">
        <v>70</v>
      </c>
      <c r="R101" s="34"/>
      <c r="Y101">
        <v>80000</v>
      </c>
      <c r="AC101">
        <v>0.9</v>
      </c>
      <c r="AD101">
        <v>10</v>
      </c>
    </row>
    <row r="102" spans="1:33" x14ac:dyDescent="0.2">
      <c r="A102" t="s">
        <v>388</v>
      </c>
      <c r="B102" t="s">
        <v>439</v>
      </c>
      <c r="C102" t="s">
        <v>313</v>
      </c>
      <c r="G102">
        <v>163</v>
      </c>
      <c r="I102" s="32"/>
      <c r="M102">
        <v>5</v>
      </c>
      <c r="N102">
        <v>70</v>
      </c>
      <c r="R102" s="34"/>
      <c r="Y102">
        <v>80000</v>
      </c>
      <c r="AC102">
        <v>2.7</v>
      </c>
      <c r="AD102">
        <v>30</v>
      </c>
    </row>
    <row r="103" spans="1:33" x14ac:dyDescent="0.2">
      <c r="A103" t="s">
        <v>440</v>
      </c>
      <c r="B103" t="s">
        <v>441</v>
      </c>
      <c r="C103" t="s">
        <v>313</v>
      </c>
      <c r="I103" s="32"/>
      <c r="J103">
        <v>10</v>
      </c>
      <c r="R103" s="34"/>
      <c r="AA103">
        <v>5</v>
      </c>
      <c r="AC103">
        <v>100</v>
      </c>
      <c r="AD103">
        <v>1111</v>
      </c>
    </row>
    <row r="104" spans="1:33" x14ac:dyDescent="0.2">
      <c r="A104" t="s">
        <v>440</v>
      </c>
      <c r="B104" t="s">
        <v>442</v>
      </c>
      <c r="C104" t="s">
        <v>313</v>
      </c>
      <c r="I104" s="32"/>
      <c r="J104">
        <v>10</v>
      </c>
      <c r="R104" s="34"/>
      <c r="AA104">
        <v>5</v>
      </c>
      <c r="AC104">
        <v>2000</v>
      </c>
      <c r="AD104">
        <v>22222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lci</vt:lpstr>
      <vt:lpstr>Final specifications</vt:lpstr>
      <vt:lpstr>Manufacturers' data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Terlouw Tom Mike</dc:creator>
  <cp:lastModifiedBy>Romain Sacchi</cp:lastModifiedBy>
  <dcterms:created xsi:type="dcterms:W3CDTF">2020-12-17T11:52:00Z</dcterms:created>
  <dcterms:modified xsi:type="dcterms:W3CDTF">2024-04-23T09:05:27Z</dcterms:modified>
</cp:coreProperties>
</file>