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910AF5E-2CC0-A344-A4A1-4F78AAD5C805}" xr6:coauthVersionLast="47" xr6:coauthVersionMax="47" xr10:uidLastSave="{00000000-0000-0000-0000-000000000000}"/>
  <bookViews>
    <workbookView xWindow="1440" yWindow="3320" windowWidth="28800" windowHeight="16320" xr2:uid="{00000000-000D-0000-FFFF-FFFF00000000}"/>
  </bookViews>
  <sheets>
    <sheet name="Battery - NMC" sheetId="1" r:id="rId1"/>
    <sheet name="disaggregated cobalt" sheetId="3" r:id="rId2"/>
    <sheet name="params" sheetId="2" r:id="rId3"/>
  </sheets>
  <definedNames>
    <definedName name="_xlnm._FilterDatabase" localSheetId="0" hidden="1">'Battery - NMC'!$A$1:$O$1259</definedName>
  </definedNam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8" i="1" l="1"/>
  <c r="B604" i="1"/>
  <c r="B593" i="1"/>
  <c r="B592" i="1"/>
  <c r="B591" i="1"/>
  <c r="B590" i="1"/>
  <c r="B629" i="1"/>
  <c r="B628" i="1"/>
  <c r="B627" i="1"/>
  <c r="B626" i="1"/>
  <c r="B698" i="1"/>
  <c r="B697" i="1"/>
  <c r="B661" i="1"/>
  <c r="B660" i="1"/>
  <c r="B625" i="1"/>
  <c r="B624" i="1"/>
  <c r="B589" i="1"/>
  <c r="B588" i="1"/>
  <c r="B623" i="1"/>
  <c r="B611" i="1"/>
  <c r="B609" i="1"/>
  <c r="B608" i="1" s="1"/>
  <c r="B607" i="1"/>
  <c r="B606" i="1"/>
  <c r="B605" i="1"/>
  <c r="B610" i="1"/>
  <c r="B587" i="1"/>
  <c r="B575" i="1"/>
  <c r="B574" i="1"/>
  <c r="B573" i="1"/>
  <c r="B572" i="1" s="1"/>
  <c r="B682" i="1"/>
  <c r="B681" i="1" s="1"/>
  <c r="B645" i="1"/>
  <c r="B644" i="1" s="1"/>
  <c r="B571" i="1"/>
  <c r="B570" i="1"/>
  <c r="B569" i="1"/>
  <c r="B680" i="1"/>
  <c r="B679" i="1"/>
  <c r="B696" i="1"/>
  <c r="B684" i="1"/>
  <c r="B678" i="1"/>
  <c r="B683" i="1"/>
  <c r="B187" i="3"/>
  <c r="B175" i="3"/>
  <c r="B154" i="3"/>
  <c r="B153" i="3"/>
  <c r="B152" i="3"/>
  <c r="B151" i="3"/>
  <c r="B150" i="3"/>
  <c r="B149" i="3"/>
  <c r="B148" i="3"/>
  <c r="B147" i="3"/>
  <c r="B146" i="3"/>
  <c r="B145" i="3"/>
  <c r="B144" i="3"/>
  <c r="B143" i="3"/>
  <c r="B142" i="3"/>
  <c r="B120" i="3"/>
  <c r="B119" i="3"/>
  <c r="B118" i="3"/>
  <c r="B117" i="3"/>
  <c r="B116" i="3"/>
  <c r="B115" i="3"/>
  <c r="B114" i="3"/>
  <c r="B113" i="3"/>
  <c r="B112" i="3"/>
  <c r="B111" i="3"/>
  <c r="B110" i="3"/>
  <c r="B109" i="3"/>
  <c r="B108" i="3"/>
  <c r="B93" i="3"/>
  <c r="B92" i="3"/>
  <c r="B89" i="3"/>
  <c r="B88" i="3"/>
  <c r="B87" i="3"/>
  <c r="B86" i="3"/>
  <c r="B85" i="3"/>
  <c r="B84" i="3"/>
  <c r="B83" i="3"/>
  <c r="B82" i="3"/>
  <c r="B68" i="3"/>
  <c r="B67" i="3"/>
  <c r="B64" i="3"/>
  <c r="B63" i="3"/>
  <c r="B62" i="3"/>
  <c r="B61" i="3"/>
  <c r="B60" i="3"/>
  <c r="B59" i="3"/>
  <c r="B58" i="3"/>
  <c r="B57" i="3"/>
  <c r="B45" i="3"/>
  <c r="B44" i="3"/>
  <c r="B43" i="3"/>
  <c r="B42" i="3"/>
  <c r="B29" i="3"/>
  <c r="B28" i="3"/>
  <c r="B27" i="3"/>
  <c r="B26" i="3"/>
  <c r="B659" i="1"/>
  <c r="B643" i="1"/>
  <c r="B642" i="1"/>
  <c r="B647" i="1"/>
  <c r="B646" i="1"/>
  <c r="B641" i="1"/>
  <c r="M23" i="2" l="1"/>
  <c r="M31" i="2" s="1"/>
  <c r="G28" i="2"/>
  <c r="E28" i="2"/>
  <c r="F27" i="2"/>
  <c r="D27" i="2"/>
  <c r="F26" i="2"/>
  <c r="D26" i="2"/>
  <c r="H24" i="2"/>
  <c r="H23" i="2"/>
  <c r="H22" i="2"/>
  <c r="H21" i="2"/>
  <c r="H20" i="2"/>
  <c r="H19" i="2"/>
  <c r="G18" i="2"/>
  <c r="E18" i="2"/>
  <c r="H17" i="2"/>
  <c r="G17" i="2"/>
  <c r="E17" i="2"/>
  <c r="H16" i="2"/>
  <c r="G16" i="2"/>
  <c r="E16" i="2"/>
  <c r="H15" i="2"/>
  <c r="G15" i="2"/>
  <c r="E15" i="2"/>
  <c r="G14" i="2"/>
  <c r="E14" i="2"/>
  <c r="H12" i="2"/>
  <c r="G12" i="2"/>
  <c r="F12" i="2"/>
  <c r="E12" i="2"/>
  <c r="D12" i="2"/>
  <c r="H10" i="2"/>
  <c r="H9" i="2"/>
  <c r="G9" i="2"/>
  <c r="E9" i="2"/>
  <c r="F8" i="2"/>
  <c r="D8" i="2"/>
  <c r="M30" i="2" l="1"/>
  <c r="B250" i="1"/>
  <c r="B251" i="1"/>
  <c r="B1173" i="1"/>
  <c r="B1174" i="1"/>
  <c r="B1175" i="1"/>
  <c r="B1176" i="1"/>
  <c r="B1177" i="1"/>
  <c r="B1178" i="1"/>
  <c r="B1179" i="1"/>
  <c r="B1180" i="1"/>
  <c r="B1181" i="1"/>
  <c r="B1193" i="1"/>
  <c r="B1194" i="1"/>
  <c r="B1195" i="1"/>
  <c r="B1196" i="1"/>
  <c r="B1197" i="1"/>
  <c r="B1198" i="1"/>
  <c r="B1199" i="1"/>
  <c r="B1200" i="1"/>
  <c r="B1201" i="1"/>
  <c r="B1202" i="1"/>
  <c r="B1203" i="1"/>
  <c r="B1204" i="1"/>
  <c r="B1205" i="1"/>
  <c r="B1217" i="1"/>
  <c r="B1218" i="1"/>
  <c r="B1219" i="1"/>
  <c r="B1231" i="1"/>
  <c r="B1232" i="1"/>
  <c r="B1233" i="1"/>
  <c r="B1234" i="1"/>
  <c r="B1241" i="1" s="1"/>
  <c r="B1235" i="1"/>
  <c r="B1236" i="1"/>
  <c r="B1237" i="1"/>
  <c r="B1238" i="1"/>
  <c r="B1239" i="1"/>
  <c r="B1240" i="1"/>
  <c r="B1253" i="1"/>
  <c r="B1254" i="1"/>
  <c r="B1255" i="1"/>
  <c r="B1256" i="1"/>
  <c r="B1257" i="1"/>
  <c r="B1258" i="1"/>
  <c r="B1259" i="1"/>
</calcChain>
</file>

<file path=xl/sharedStrings.xml><?xml version="1.0" encoding="utf-8"?>
<sst xmlns="http://schemas.openxmlformats.org/spreadsheetml/2006/main" count="5407" uniqueCount="514">
  <si>
    <t>Activity</t>
  </si>
  <si>
    <t>Battery BoP</t>
  </si>
  <si>
    <t>comment</t>
  </si>
  <si>
    <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</si>
  <si>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</si>
  <si>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</si>
  <si>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</si>
  <si>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</si>
  <si>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</si>
  <si>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</si>
  <si>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</si>
  <si>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</si>
  <si>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</si>
  <si>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</si>
  <si>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</si>
  <si>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</si>
  <si>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</si>
  <si>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</si>
  <si>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</si>
  <si>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market for impact extrusion of aluminium, 1 stroke</t>
  </si>
  <si>
    <t>impact extrusion of aluminium, 1 stroke</t>
  </si>
  <si>
    <t>packaging production, for Li-ion battery module</t>
  </si>
  <si>
    <t>battery module packaging, Li-ion</t>
  </si>
  <si>
    <t>management sytem production, for Li-ion battery</t>
  </si>
  <si>
    <t>management system, for Li-ion battery</t>
  </si>
  <si>
    <t>market for ethylene glycol</t>
  </si>
  <si>
    <t>ethylene glycol</t>
  </si>
  <si>
    <t>market for tap water</t>
  </si>
  <si>
    <t>RoW</t>
  </si>
  <si>
    <t>tap water</t>
  </si>
  <si>
    <t>market for reinforcing steel</t>
  </si>
  <si>
    <t>reinforcing steel</t>
  </si>
  <si>
    <t>market for sheet rolling, steel</t>
  </si>
  <si>
    <t>sheet rolling, steel</t>
  </si>
  <si>
    <t>market for electronic component, passive, unspecified</t>
  </si>
  <si>
    <t>electronic component, passive, unspecified</t>
  </si>
  <si>
    <t>market for injection moulding</t>
  </si>
  <si>
    <t>injection moulding</t>
  </si>
  <si>
    <t>market for polyethylene, high density, granulate</t>
  </si>
  <si>
    <t>polyethylene, high density, granulate</t>
  </si>
  <si>
    <t>market for sheet rolling, aluminium</t>
  </si>
  <si>
    <t>sheet rolling, aluminium</t>
  </si>
  <si>
    <t>market for copper, anode</t>
  </si>
  <si>
    <t>copper, anode</t>
  </si>
  <si>
    <t>market for sheet rolling, copper</t>
  </si>
  <si>
    <t>sheet rolling, copper</t>
  </si>
  <si>
    <t>market group for electricity, medium voltage</t>
  </si>
  <si>
    <t>kilowatt hour</t>
  </si>
  <si>
    <t>electricity, medium voltage</t>
  </si>
  <si>
    <t>market for glass fibre reinforced plastic, polyamide, injection moulded</t>
  </si>
  <si>
    <t>glass fibre reinforced plastic, polyamide, injection moulded</t>
  </si>
  <si>
    <t>market for metal working factory</t>
  </si>
  <si>
    <t>metal working factory</t>
  </si>
  <si>
    <t>market for transport, freight, aircraft, unspecified</t>
  </si>
  <si>
    <t>ton kilometer</t>
  </si>
  <si>
    <t>transport, freight, aircraft, unspecified</t>
  </si>
  <si>
    <t>market for transport, freight, lorry, unspecified</t>
  </si>
  <si>
    <t>transport, freight, lorry, unspecified</t>
  </si>
  <si>
    <t>market group for transport, freight, light commercial vehicle</t>
  </si>
  <si>
    <t>transport, freight, light commercial vehicle</t>
  </si>
  <si>
    <t>market group for transport, freight train</t>
  </si>
  <si>
    <t>transport, freight train</t>
  </si>
  <si>
    <t>market for transport, freight, sea, container ship</t>
  </si>
  <si>
    <t>transport, freight, sea, container ship</t>
  </si>
  <si>
    <t>market for extrusion, plastic film</t>
  </si>
  <si>
    <t>extrusion, plastic film</t>
  </si>
  <si>
    <t>integrated interface system production, for Li-ion battery</t>
  </si>
  <si>
    <t>integrated battery interface system, for Li-ion battery</t>
  </si>
  <si>
    <t>market for steel, low-alloyed</t>
  </si>
  <si>
    <t>steel, low-alloyed</t>
  </si>
  <si>
    <t>high voltage system, for Li-ion battery</t>
  </si>
  <si>
    <t>market for electronic component factory</t>
  </si>
  <si>
    <t>electronic component factory</t>
  </si>
  <si>
    <t>market for metal working, average for steel product manufacturing</t>
  </si>
  <si>
    <t>metal working, average for steel product manufacturing</t>
  </si>
  <si>
    <t>low voltage system, for Li-ion battery</t>
  </si>
  <si>
    <t>market for printed wiring board, surface mounted, unspecified, Pb free</t>
  </si>
  <si>
    <t>printed wiring board, surface mounted, unspecified, Pb free</t>
  </si>
  <si>
    <t>market for metal working, average for metal product manufacturing</t>
  </si>
  <si>
    <t>metal working, average for metal product manufacturing</t>
  </si>
  <si>
    <t>market for synthetic rubber</t>
  </si>
  <si>
    <t>synthetic rubber</t>
  </si>
  <si>
    <t>market for tin</t>
  </si>
  <si>
    <t>tin</t>
  </si>
  <si>
    <t>market for cable, ribbon cable, 20-pin, with plugs</t>
  </si>
  <si>
    <t>cable, ribbon cable, 20-pin, with plugs</t>
  </si>
  <si>
    <t>market for polyethylene terephthalate, granulate, amorphous</t>
  </si>
  <si>
    <t>polyethylene terephthalate, granulate, amorphous</t>
  </si>
  <si>
    <t>market for metal working, average for aluminium product manufacturing</t>
  </si>
  <si>
    <t>metal working, average for aluminium product manufacturing</t>
  </si>
  <si>
    <t>market for copper, cathode</t>
  </si>
  <si>
    <t>copper, cathode</t>
  </si>
  <si>
    <t>market for metal working, average for copper product manufacturing</t>
  </si>
  <si>
    <t>metal working, average for copper product manufacturing</t>
  </si>
  <si>
    <t>market for polyphenylene sulfide</t>
  </si>
  <si>
    <t>polyphenylene sulfide</t>
  </si>
  <si>
    <t>market for nylon 6-6</t>
  </si>
  <si>
    <t>RER</t>
  </si>
  <si>
    <t>nylon 6-6</t>
  </si>
  <si>
    <t>market for nylon 6</t>
  </si>
  <si>
    <t>nylon 6</t>
  </si>
  <si>
    <t>Originally from Ellingsen, L. A. W., Majeau‐Bettez, G., Singh, B., Srivastava, A. K., Valøen, L. O., &amp; Strømman, A. H. (2014). Life cycle assessment of a lithium‐ion battery vehicle pack. Journal of Industrial Ecology, 18(1), 113-124.
This dataset represents the production of 1 kg integrated battery interface system (IBIS), which is part of the Battery Management System (BMS) of a Li-ion battery. The IBIS is modelled according to the publication of Ellingsen et al. (2014). The IBIS functions include overseeing the battery charge and discharge strategies, providing vehicle-level high voltage 
precharge, contactor control, system isolation monitoring and charge/discharge current measurements. Proxies were used to approximate the production processes. It is assumed that the IBIS is manufactured at an electronic component production plant.
Adapted by Eleonora Crenna, EMPA, Switzerland.</t>
  </si>
  <si>
    <t>market for casting, brass</t>
  </si>
  <si>
    <t>casting, brass</t>
  </si>
  <si>
    <t>market for electric connector, wire clamp</t>
  </si>
  <si>
    <t>electric connector, wire clamp</t>
  </si>
  <si>
    <t>market for acrylonitrile-butadiene-styrene copolymer</t>
  </si>
  <si>
    <t>acrylonitrile-butadiene-styrene copolymer</t>
  </si>
  <si>
    <t>market for integrated circuit, logic type</t>
  </si>
  <si>
    <t>integrated circuit, logic type</t>
  </si>
  <si>
    <t>market for brass</t>
  </si>
  <si>
    <t>CH</t>
  </si>
  <si>
    <t>brass</t>
  </si>
  <si>
    <t>Battery cell, NMC-111</t>
  </si>
  <si>
    <t>Battery cell</t>
  </si>
  <si>
    <t>market for heat, district or industrial, natural gas</t>
  </si>
  <si>
    <t>megajoule</t>
  </si>
  <si>
    <t>heat, district or industrial, natural gas</t>
  </si>
  <si>
    <t>cathode, NMC-111, for Li-ion battery</t>
  </si>
  <si>
    <t>anode, graphite, for Li-ion battery</t>
  </si>
  <si>
    <t>electrolyte, for Li-ion battery</t>
  </si>
  <si>
    <t>copper collector foil, for Li-ion battery</t>
  </si>
  <si>
    <t>aluminium collector foil, for Li-ion battery</t>
  </si>
  <si>
    <t>battery separator</t>
  </si>
  <si>
    <t>market for polypropylene, granulate</t>
  </si>
  <si>
    <t>polypropylene, granulate</t>
  </si>
  <si>
    <t>market for chemical factory, organics</t>
  </si>
  <si>
    <t>chemical factory, organics</t>
  </si>
  <si>
    <t>market for transport, freight train</t>
  </si>
  <si>
    <t>market for carbon black</t>
  </si>
  <si>
    <t>carbon black</t>
  </si>
  <si>
    <t>market for polyvinylfluoride</t>
  </si>
  <si>
    <t>polyvinylfluoride</t>
  </si>
  <si>
    <t>market for N-methyl-2-pyrrolidone</t>
  </si>
  <si>
    <t>N-methyl-2-pyrrolidone</t>
  </si>
  <si>
    <t>NMC-111 oxide</t>
  </si>
  <si>
    <t>categories</t>
  </si>
  <si>
    <t>market for transport, freight, inland waterways, barge</t>
  </si>
  <si>
    <t>transport, freight, inland waterways, barge</t>
  </si>
  <si>
    <t>market for lithium carbonate</t>
  </si>
  <si>
    <t>lithium carbonate</t>
  </si>
  <si>
    <t>NMC-111 hydroxide</t>
  </si>
  <si>
    <t>Carbon dioxide, fossil</t>
  </si>
  <si>
    <t>air</t>
  </si>
  <si>
    <t>biosphere</t>
  </si>
  <si>
    <t>Water</t>
  </si>
  <si>
    <t>cubic meter</t>
  </si>
  <si>
    <t>air::non-urban air or from high stacks</t>
  </si>
  <si>
    <t>CN</t>
  </si>
  <si>
    <t>market for sodium hydroxide, without water, in 50% solution state</t>
  </si>
  <si>
    <t>sodium hydroxide, without water, in 50% solution state</t>
  </si>
  <si>
    <t>cobalt sulfate</t>
  </si>
  <si>
    <t>market for nickel sulfate</t>
  </si>
  <si>
    <t>nickel sulfate</t>
  </si>
  <si>
    <t>market for manganese sulfate</t>
  </si>
  <si>
    <t>manganese sulfate</t>
  </si>
  <si>
    <t>market for ammonia, anhydrous, liquid</t>
  </si>
  <si>
    <t>ammonia, anhydrous, liquid</t>
  </si>
  <si>
    <t>market for wastewater, average</t>
  </si>
  <si>
    <t>wastewater, average</t>
  </si>
  <si>
    <t>Ammonia</t>
  </si>
  <si>
    <t>Water, cooling, unspecified natural origin</t>
  </si>
  <si>
    <t>natural resource::in water</t>
  </si>
  <si>
    <t>synthetic graphite</t>
  </si>
  <si>
    <t>market for carboxymethyl cellulose, powder</t>
  </si>
  <si>
    <t>carboxymethyl cellulose, powder</t>
  </si>
  <si>
    <t>market for water, deionised</t>
  </si>
  <si>
    <t>water, deionised</t>
  </si>
  <si>
    <t>market for latex</t>
  </si>
  <si>
    <t>latex</t>
  </si>
  <si>
    <t>market for petroleum coke</t>
  </si>
  <si>
    <t>petroleum coke</t>
  </si>
  <si>
    <t>market for coal tar</t>
  </si>
  <si>
    <t>coal tar</t>
  </si>
  <si>
    <t>market for dimethyl carbonate</t>
  </si>
  <si>
    <t>dimethyl carbonate</t>
  </si>
  <si>
    <t>vinyl carbonate</t>
  </si>
  <si>
    <t>market for ethylene carbonate</t>
  </si>
  <si>
    <t>ethylene carbonate</t>
  </si>
  <si>
    <t>market for lithium hexafluorophosphate</t>
  </si>
  <si>
    <t>lithium hexafluorophosphate</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</si>
  <si>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</si>
  <si>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</si>
  <si>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</si>
  <si>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</si>
  <si>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</si>
  <si>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</si>
  <si>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</si>
  <si>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</si>
  <si>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</si>
  <si>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</si>
  <si>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</si>
  <si>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</si>
  <si>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</si>
  <si>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</si>
  <si>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</si>
  <si>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residue from shredder fraction from manual dismantling</t>
  </si>
  <si>
    <t>residue from shredder fraction from manual dismantling</t>
  </si>
  <si>
    <t>Battery cell, NMC-622</t>
  </si>
  <si>
    <t>cathode, NMC-622, for Li-ion battery</t>
  </si>
  <si>
    <t>NMC-622 oxide</t>
  </si>
  <si>
    <t>NMC-622 hydroxide</t>
  </si>
  <si>
    <t>Battery cell, NMC-811</t>
  </si>
  <si>
    <t>cathode, NMC-811, for Li-ion battery</t>
  </si>
  <si>
    <t>NMC-811 oxide</t>
  </si>
  <si>
    <t>market for lithium hydroxide</t>
  </si>
  <si>
    <t>lithium hydroxide</t>
  </si>
  <si>
    <t>NMC-811 hydroxide</t>
  </si>
  <si>
    <t>market for hazardous waste, for incineration</t>
  </si>
  <si>
    <t>hazardous waste, for incineration</t>
  </si>
  <si>
    <t>market for limestone, crushed, washed</t>
  </si>
  <si>
    <t>limestone, crushed, washed</t>
  </si>
  <si>
    <t>market for hydrochloric acid, without water, in 30% solution state</t>
  </si>
  <si>
    <t>hydrochloric acid, without water, in 30% solution state</t>
  </si>
  <si>
    <t>market for kerosene</t>
  </si>
  <si>
    <t>kerosene</t>
  </si>
  <si>
    <t>disodium disulphite</t>
  </si>
  <si>
    <t>cobalt hydroxide</t>
  </si>
  <si>
    <t>water</t>
  </si>
  <si>
    <t>Originally from Barbera et al. 2012. Sulfites, Thiosulfates, and Dithionites. Ullmann Encyclopedia of Industrial Chemistry. Available at: https://onlinelibrary.wiley.com/doi/pdf/10.1002/14356007.a25_477
Hischier et al. 2005. Establishing life cycle inventories of chemicals based on differing data availability (9 pp). The International Journal of Life Cycle Assessment, 10(1), 59-67.</t>
  </si>
  <si>
    <t>market group for transport, freight, inland waterways, barge</t>
  </si>
  <si>
    <t>market group for tap water</t>
  </si>
  <si>
    <t>market group for heat, district or industrial, natural gas</t>
  </si>
  <si>
    <t>market for sulfur dioxide, liquid</t>
  </si>
  <si>
    <t>sulfur dioxide, liquid</t>
  </si>
  <si>
    <t>market for nitrogen, liquid</t>
  </si>
  <si>
    <t>nitrogen, liquid</t>
  </si>
  <si>
    <t>Sulfur dioxide</t>
  </si>
  <si>
    <t>Sodium</t>
  </si>
  <si>
    <t>Water, well, in ground</t>
  </si>
  <si>
    <t>Nitrogen</t>
  </si>
  <si>
    <t>Water, river</t>
  </si>
  <si>
    <t>Sulfite</t>
  </si>
  <si>
    <t>market for triethyl amine</t>
  </si>
  <si>
    <t>triethyl amine</t>
  </si>
  <si>
    <t>market for inert waste, for final disposal</t>
  </si>
  <si>
    <t>inert waste, for final disposal</t>
  </si>
  <si>
    <t>market for chlorine, liquid</t>
  </si>
  <si>
    <t>chlorine, liquid</t>
  </si>
  <si>
    <t>Battery cell, NCA</t>
  </si>
  <si>
    <t>cathode, NCA, for Li-ion battery</t>
  </si>
  <si>
    <t>NCA oxide</t>
  </si>
  <si>
    <t>NCA hydroxide</t>
  </si>
  <si>
    <t>market for aluminium sulfate, powder</t>
  </si>
  <si>
    <t>aluminium sulfate, powder</t>
  </si>
  <si>
    <t>Battery cell, LFP</t>
  </si>
  <si>
    <t>database</t>
  </si>
  <si>
    <t>tag</t>
  </si>
  <si>
    <t>Car db</t>
  </si>
  <si>
    <t>Cathode paste, LFP</t>
  </si>
  <si>
    <t>JP</t>
  </si>
  <si>
    <t>Anode paste, LFP</t>
  </si>
  <si>
    <t>Cathode current collector, LFP</t>
  </si>
  <si>
    <t>Anode current collector, LFP</t>
  </si>
  <si>
    <t>Electrolyte, LFP</t>
  </si>
  <si>
    <t>Cell container</t>
  </si>
  <si>
    <t>see harmonization of inventory data</t>
  </si>
  <si>
    <t>market for water, decarbonised</t>
  </si>
  <si>
    <t>water, decarbonised</t>
  </si>
  <si>
    <t>ecoinvent</t>
  </si>
  <si>
    <t>This value is quite variable and drives the results.</t>
  </si>
  <si>
    <t>worksheet name</t>
  </si>
  <si>
    <t>refined</t>
  </si>
  <si>
    <t>LFP battery import</t>
  </si>
  <si>
    <t>market for anode, graphite, for lithium-ion battery</t>
  </si>
  <si>
    <t>ecoinvent 3.3 cutoff</t>
  </si>
  <si>
    <t>anode, graphite, for lithium-ion battery</t>
  </si>
  <si>
    <t>market for styrene butadiene rubber (SBR)</t>
  </si>
  <si>
    <t>NMC battery import</t>
  </si>
  <si>
    <t>styrene butadiene rubber (SBR)</t>
  </si>
  <si>
    <t>aluminium production, primary, ingot</t>
  </si>
  <si>
    <t>IAI Area, Asia, without China and GCC</t>
  </si>
  <si>
    <t>aluminium, primary, ingot</t>
  </si>
  <si>
    <t>Lithium iron phosphate [LiFePO4]</t>
  </si>
  <si>
    <t>Separator, LFP</t>
  </si>
  <si>
    <t>market for polyethylene, low density, granulate</t>
  </si>
  <si>
    <t>polyethylene, low density, granulate</t>
  </si>
  <si>
    <t>Heat, waste</t>
  </si>
  <si>
    <t>biosphere3</t>
  </si>
  <si>
    <t>Iron, ion</t>
  </si>
  <si>
    <t>Lithium, ion</t>
  </si>
  <si>
    <t>Phosphate</t>
  </si>
  <si>
    <t>market for heat, from steam, in chemical industry</t>
  </si>
  <si>
    <t>heat, from steam, in chemical industry</t>
  </si>
  <si>
    <t>market for iron sulfate</t>
  </si>
  <si>
    <t>iron sulfate</t>
  </si>
  <si>
    <t>market for phosphoric acid, industrial grade, without water, in 85% solution state</t>
  </si>
  <si>
    <t>phosphoric acid, industrial grade, without water, in 85% solution state</t>
  </si>
  <si>
    <t>Multilayer pouch</t>
  </si>
  <si>
    <t>Tab Aluminum</t>
  </si>
  <si>
    <t>Tab Copper</t>
  </si>
  <si>
    <t>Comment</t>
  </si>
  <si>
    <t>aluminium ingot, primary, to aluminium, wrought alloy market</t>
  </si>
  <si>
    <t>ecoinvent 3.5 cutoff</t>
  </si>
  <si>
    <t>market for packaging film, low density polyethylene</t>
  </si>
  <si>
    <t>packaging film, low density polyethylene</t>
  </si>
  <si>
    <t>market for plastic processing factory</t>
  </si>
  <si>
    <t>plastic processing factory</t>
  </si>
  <si>
    <t>specifications (amorphous vs. bottle grade) are missing in Ellingsen 2014</t>
  </si>
  <si>
    <t>process</t>
  </si>
  <si>
    <t>NMVOC, non-methane volatile organic compounds, unspecified origin</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</si>
  <si>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</si>
  <si>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</si>
  <si>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</si>
  <si>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</si>
  <si>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</si>
  <si>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</si>
  <si>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</si>
  <si>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</si>
  <si>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</si>
  <si>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</si>
  <si>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</si>
  <si>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heat, central or small-scale, natural gas</t>
  </si>
  <si>
    <t>treatment of wastewater, unpolluted, capacity 5E9l/year</t>
  </si>
  <si>
    <t>wastewater, unpolluted</t>
  </si>
  <si>
    <t>Battery cell, LTO</t>
  </si>
  <si>
    <t>Specific energy at cell, updated LCI, excluding BMS and cooling: 60 Wh/kg cell</t>
  </si>
  <si>
    <t>Additional Emissions and Cost from Storing Electricity in Stationary Battery Systems. Schmidt et al. 2019. https://doi.org/10.1021/acs.est.8b05313</t>
  </si>
  <si>
    <t>Anode paste, LTO</t>
  </si>
  <si>
    <t>Cathode current collector, LTO</t>
  </si>
  <si>
    <t>Anode current collector, LTO</t>
  </si>
  <si>
    <t>Electrolyte, LTO</t>
  </si>
  <si>
    <t>LTO electrode material (Li4Ti5O12)</t>
  </si>
  <si>
    <t>market for titanium dioxide</t>
  </si>
  <si>
    <t>titanium dioxide</t>
  </si>
  <si>
    <t>batteries</t>
  </si>
  <si>
    <t>coating of natural graphite</t>
  </si>
  <si>
    <t>Purified natural graphite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</si>
  <si>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</si>
  <si>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</si>
  <si>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</si>
  <si>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</si>
  <si>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</si>
  <si>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</si>
  <si>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</si>
  <si>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</si>
  <si>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</si>
  <si>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</si>
  <si>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</si>
  <si>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</si>
  <si>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</si>
  <si>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</si>
  <si>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</si>
  <si>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</si>
  <si>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</si>
  <si>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Purification process for natural graphite</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</si>
  <si>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</si>
  <si>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</si>
  <si>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</si>
  <si>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</si>
  <si>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</si>
  <si>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</si>
  <si>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</si>
  <si>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</si>
  <si>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</si>
  <si>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</si>
  <si>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</si>
  <si>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</si>
  <si>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</si>
  <si>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</si>
  <si>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</si>
  <si>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</si>
  <si>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</si>
  <si>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</si>
  <si>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</si>
  <si>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</si>
  <si>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</si>
  <si>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</si>
  <si>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</si>
  <si>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</si>
  <si>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Floation process for natural graphite. Missing input for pine oil, used as floation reagent. Missing ceramic grinding media.</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</si>
  <si>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</si>
  <si>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</si>
  <si>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</si>
  <si>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</si>
  <si>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</si>
  <si>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</si>
  <si>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</si>
  <si>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</si>
  <si>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</si>
  <si>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</si>
  <si>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</si>
  <si>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</si>
  <si>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</si>
  <si>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</si>
  <si>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</si>
  <si>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</si>
  <si>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Graphite ore mining. Diesel additive to ammonium nitrate is not used, as "market for explosive" is available instead.</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</si>
  <si>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</si>
  <si>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</si>
  <si>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</si>
  <si>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</si>
  <si>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</si>
  <si>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</si>
  <si>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</si>
  <si>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</si>
  <si>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</si>
  <si>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</si>
  <si>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(NMC-111)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</si>
  <si>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(NMC-622)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</si>
  <si>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(NMC-811) cathode and a graphite-based anode, liquid electrolyte and a porous plastic separator. Infrastructure is included as well in this dataset as "electronic component factory".
Updated by: Eleonora Crenna, EMPA, Switzerland, see https://doi.org/10.1016/j.resconrec.2021.105619</t>
  </si>
  <si>
    <t>Originally from Dai, Q., Kelly, J. C., Gaines, L., &amp; Wang, M. (2019). Life cycle analysis of lithium-ion batteries for automotive applications. Batteries, 5(2), 48.
The inventory is modelled according to the publication of Dai et al. (2019), in which a battery pack with gross pack energy of 23.5 kWh made of 140 3.6 V- 46Ah prismatic cells is presented. Cells are made of nicke-manganese-cobalt (NCA) cathode and a graphite-based anode, liquid electrolyte and a porous plastic separator. Infrastructure is included as well in this dataset as "electronic component factory".
Updated by: Eleonora Crenna, EMPA, Switzerland, see https://doi.org/10.1016/j.resconrec.2021.105619</t>
  </si>
  <si>
    <t>copper-cobalt mining, artisanal</t>
  </si>
  <si>
    <t>CD</t>
  </si>
  <si>
    <t>copper-cobalt ore</t>
  </si>
  <si>
    <t>Copper-cobalt artisanal mining, in the Democratic Republic of the Congo. It does not have any inputs from the technosphere. Arvidsson, R., Chordia, M. &amp; Nordelöf, A. Quantifying the life-cycle health impacts of a cobalt-containing lithium-ion battery. Int J Life Cycle Assess (2022). https://doi.org/10.1007/s11367-022-02084-3. Originally from Cobalt Life Cycle Analysis Update for the GREET Model, Dai et al. 2018.</t>
  </si>
  <si>
    <t>Cobalt, in ground</t>
  </si>
  <si>
    <t>natural resource::in ground</t>
  </si>
  <si>
    <t>Copper, in ground</t>
  </si>
  <si>
    <t>copper-cobalt mining, industrial, economic allocation</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</si>
  <si>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</si>
  <si>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Water, unspecified natural origin</t>
  </si>
  <si>
    <t>Particulates, &gt; 2.5 um, and &lt; 10um</t>
  </si>
  <si>
    <t>Particulates, &lt; 2.5 um</t>
  </si>
  <si>
    <t>copper-cobalt mining, industrial, mass allocation</t>
  </si>
  <si>
    <t>cobalt hydroxide, via hydrometallurigcal ore procesing, mass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</si>
  <si>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</si>
  <si>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market for electricity, medium voltage</t>
  </si>
  <si>
    <t>market for lime, hydraulic</t>
  </si>
  <si>
    <t>lime, hydraulic</t>
  </si>
  <si>
    <t>market for limestone, crushed, for mill</t>
  </si>
  <si>
    <t>limestone, crushed, for mill</t>
  </si>
  <si>
    <t>market for magnesium oxide</t>
  </si>
  <si>
    <t>magnesium oxide</t>
  </si>
  <si>
    <t>market for sulfur</t>
  </si>
  <si>
    <t>sulfur</t>
  </si>
  <si>
    <t>market group for transport, freight, lorry, unspecified</t>
  </si>
  <si>
    <t>market for transport, freight, sea, bulk carrier for dry goods</t>
  </si>
  <si>
    <t>transport, freight, sea, bulk carrier for dry goods</t>
  </si>
  <si>
    <t>market for non-sulfidic tailing, off-site</t>
  </si>
  <si>
    <t>market for sulfidic tailings, from copper mine operation</t>
  </si>
  <si>
    <t>ZM</t>
  </si>
  <si>
    <t>sulfidic tailings, from copper mine operation</t>
  </si>
  <si>
    <t>cobalt hydroxide, via hydrometallurigcal ore procesing, economic allocation</t>
  </si>
  <si>
    <t xml:space="preserve">Cobalt hydroxide from hydrometallurgical ore processing, in the Democratic Republic of the Congo. The cobalt-copper ore comes 20% from artisanal mines, 80% from industrial mines.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</si>
  <si>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battery-grade, mass allocation</t>
  </si>
  <si>
    <t>Cobalt sulfate production, in China, from cobalt hydroxide. Originally from Cobalt Life Cycle Analysis Update for the GREET Model, Dai et al. 2018.
In Dai et al., 2018., the inventory is given per kg Co-eq., not per kg CoSO4-eq. Hence, we multiply the inventory numbers by 0.38 (kg Co/kg CoSO4), to obtain per kg CoSO4.</t>
  </si>
  <si>
    <t>kg Co per kg CoSO4</t>
  </si>
  <si>
    <t>steam production, as energy carrier, in chemical industry</t>
  </si>
  <si>
    <t>market for ammonium bicarbonate</t>
  </si>
  <si>
    <t>ammonium bicarbonate</t>
  </si>
  <si>
    <t>market for soda ash, dense</t>
  </si>
  <si>
    <t>soda ash, dense</t>
  </si>
  <si>
    <t>cobalt sulfate production, battery-grade, economic allocation</t>
  </si>
  <si>
    <t>cobalt</t>
  </si>
  <si>
    <t>Cobalt metal refining in China, via electrolysis, from cobalt sulfate,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</si>
  <si>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metal production, from copper mining, via electrolysis, mass allocation</t>
  </si>
  <si>
    <t>cobalt metal production, from copper mining, via electrolysis, economic allocation</t>
  </si>
  <si>
    <t>skip</t>
  </si>
  <si>
    <t>Cobalt Life Cycle Analysis Update for the GREET Model, Dai et al., 2018.</t>
  </si>
  <si>
    <t>Mass allocation</t>
  </si>
  <si>
    <t>Economic allocation</t>
  </si>
  <si>
    <t>Mining</t>
  </si>
  <si>
    <t>Ore processing</t>
  </si>
  <si>
    <t>Cobalt sulfate</t>
  </si>
  <si>
    <t>Cobalt metal</t>
  </si>
  <si>
    <t>Co content in</t>
  </si>
  <si>
    <t>per kg mined ore</t>
  </si>
  <si>
    <t>per kg cobalt hydroxide</t>
  </si>
  <si>
    <t>per kg cobalt sulfate</t>
  </si>
  <si>
    <t>per kg cobalt metal</t>
  </si>
  <si>
    <t>Copper-cobalt ore</t>
  </si>
  <si>
    <t>Energy consumption</t>
  </si>
  <si>
    <t>Cobalt hydroxide</t>
  </si>
  <si>
    <t>Diesel</t>
  </si>
  <si>
    <t>Electricity</t>
  </si>
  <si>
    <t>Natural gas</t>
  </si>
  <si>
    <t>Water consumption</t>
  </si>
  <si>
    <t>Freshwater</t>
  </si>
  <si>
    <t>liter</t>
  </si>
  <si>
    <t>1 mmBtu equals</t>
  </si>
  <si>
    <t>Materials consumption</t>
  </si>
  <si>
    <t>megajoules</t>
  </si>
  <si>
    <t>Sulfur</t>
  </si>
  <si>
    <t>1 gallon equals</t>
  </si>
  <si>
    <t>Limestone</t>
  </si>
  <si>
    <t>L</t>
  </si>
  <si>
    <t>Lime</t>
  </si>
  <si>
    <t>NaOH</t>
  </si>
  <si>
    <t>Amount of copper-cobalt ore</t>
  </si>
  <si>
    <t>MgO</t>
  </si>
  <si>
    <t>per kg crude cobalt hydroxide</t>
  </si>
  <si>
    <t>H2SO4</t>
  </si>
  <si>
    <t>HCl</t>
  </si>
  <si>
    <t>Kerosene</t>
  </si>
  <si>
    <t>Na2S2O5</t>
  </si>
  <si>
    <t>NH4HCO3</t>
  </si>
  <si>
    <t>Na2CO3</t>
  </si>
  <si>
    <t>Non-fuel emissions</t>
  </si>
  <si>
    <t>PM10</t>
  </si>
  <si>
    <t>PM2.5</t>
  </si>
  <si>
    <t>SO2</t>
  </si>
  <si>
    <t>CO2</t>
  </si>
  <si>
    <t>mass allocation key</t>
  </si>
  <si>
    <t>economic allocation key</t>
  </si>
  <si>
    <t>Cobalt production [t/y]</t>
  </si>
  <si>
    <t>Ore grade</t>
  </si>
  <si>
    <t>Copper production [t/y]</t>
  </si>
  <si>
    <t>Total ore conusmption [t/y]</t>
  </si>
  <si>
    <t>Mass allocation key</t>
  </si>
  <si>
    <t>Economic allocation key</t>
  </si>
  <si>
    <t>Mass allocation [kg ore/kg]</t>
  </si>
  <si>
    <t>Economic allocation [kg ore/kg]</t>
  </si>
  <si>
    <t>Ore processg yield [%]</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</si>
  <si>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t>
  </si>
  <si>
    <t>cobalt sulfate production, from copper mining, mass allocation</t>
  </si>
  <si>
    <t>cobalt sulfate production, from copper mining, economic allocation</t>
  </si>
  <si>
    <t>Occupation, mineral extraction site</t>
  </si>
  <si>
    <t>square meter-year</t>
  </si>
  <si>
    <t>natural resource::land</t>
  </si>
  <si>
    <t>Transformation, from unspecified</t>
  </si>
  <si>
    <t>square meter</t>
  </si>
  <si>
    <t>Transformation, to mineral extraction site</t>
  </si>
  <si>
    <t>Cobalt metal refining in China, via electrolysis, from cobalt sulfate from teh RDC, from Dai et al., 2018. Refined metallic cobalt is produced from electrolysis of CoSO4 or CoCl2 solutions in
electrowinning cells (Donaldson 2005). The estimated electricity requirements for metallic
cobalt production via electrowinning range from 5,000 kWh to 6,500 kWh per t of cobalt metal
produced for plants based in Zambia and the DRC, and range from 3,100 kWh to 3,700 kWh per
t of cobalt metal produced for plants based in the rest of the world (Bleiwas 2011).
A fex exchanges (tailing, land occupation, etc.) have been added from ecoinvent, because missing in the Dai et al., 2018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</si>
</sst>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000"/>
    <numFmt numFmtId="165" formatCode="0.000"/>
    <numFmt numFmtId="166" formatCode="0.0"/>
    <numFmt numFmtId="167" formatCode="0.00000"/>
    <numFmt numFmtId="168" formatCode="0.000000"/>
    <numFmt numFmtId="169" formatCode="0.0%"/>
    <numFmt numFmtId="170" formatCode="_ * #,##0_ ;_ * \-#,##0_ ;_ * &quot;-&quot;??_ ;_ @_ "/>
  </numFmts>
  <fonts count="1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i/>
      <sz val="10"/>
      <color theme="1"/>
      <name val="Calibri"/>
      <family val="2"/>
      <scheme val="minor"/>
    </font>
    <font>
      <i/>
      <sz val="12"/>
      <color theme="1"/>
      <name val="Calibri"/>
      <family val="2"/>
      <scheme val="minor"/>
    </font>
    <font>
      <b/>
      <u/>
      <sz val="12"/>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9" fontId="9" fillId="0" borderId="0" applyFont="0" applyFill="0" applyBorder="0" applyAlignment="0" applyProtection="0"/>
    <xf numFmtId="0" fontId="2" fillId="0" borderId="0"/>
    <xf numFmtId="9" fontId="2" fillId="0" borderId="0" applyFont="0" applyFill="0" applyBorder="0" applyAlignment="0" applyProtection="0"/>
    <xf numFmtId="43" fontId="9" fillId="0" borderId="0" applyFont="0" applyFill="0" applyBorder="0" applyAlignment="0" applyProtection="0"/>
  </cellStyleXfs>
  <cellXfs count="59">
    <xf numFmtId="0" fontId="0" fillId="0" borderId="0" xfId="0"/>
    <xf numFmtId="0" fontId="4" fillId="0" borderId="0" xfId="0" applyFont="1"/>
    <xf numFmtId="0" fontId="0" fillId="0" borderId="0" xfId="0" applyAlignment="1"/>
    <xf numFmtId="0" fontId="3" fillId="0" borderId="0" xfId="0" applyFont="1"/>
    <xf numFmtId="11" fontId="0" fillId="0" borderId="0" xfId="0" applyNumberFormat="1"/>
    <xf numFmtId="165" fontId="0" fillId="0" borderId="0" xfId="0" applyNumberFormat="1"/>
    <xf numFmtId="2" fontId="0" fillId="0" borderId="0" xfId="0" applyNumberFormat="1"/>
    <xf numFmtId="0" fontId="5" fillId="0" borderId="0" xfId="0" applyFont="1"/>
    <xf numFmtId="166" fontId="0" fillId="0" borderId="0" xfId="0" applyNumberFormat="1"/>
    <xf numFmtId="0" fontId="0" fillId="0" borderId="0" xfId="0" applyFont="1"/>
    <xf numFmtId="0" fontId="4" fillId="0" borderId="0" xfId="0" applyFont="1" applyAlignment="1"/>
    <xf numFmtId="164" fontId="0" fillId="0" borderId="0" xfId="0" applyNumberFormat="1" applyAlignment="1"/>
    <xf numFmtId="11" fontId="0" fillId="0" borderId="0" xfId="0" applyNumberFormat="1" applyAlignment="1"/>
    <xf numFmtId="165" fontId="0" fillId="0" borderId="0" xfId="0" applyNumberFormat="1" applyAlignment="1"/>
    <xf numFmtId="1" fontId="0" fillId="0" borderId="0" xfId="0" applyNumberFormat="1" applyAlignment="1"/>
    <xf numFmtId="0" fontId="6" fillId="0" borderId="0" xfId="0" applyFont="1"/>
    <xf numFmtId="0" fontId="7" fillId="0" borderId="0" xfId="0" applyFont="1"/>
    <xf numFmtId="0" fontId="8" fillId="0" borderId="0" xfId="0" applyFont="1"/>
    <xf numFmtId="167" fontId="7" fillId="0" borderId="0" xfId="0" applyNumberFormat="1" applyFont="1"/>
    <xf numFmtId="167" fontId="0" fillId="0" borderId="0" xfId="0" applyNumberFormat="1"/>
    <xf numFmtId="168" fontId="7" fillId="0" borderId="0" xfId="0" applyNumberFormat="1" applyFont="1"/>
    <xf numFmtId="168" fontId="0" fillId="0" borderId="0" xfId="0" applyNumberFormat="1"/>
    <xf numFmtId="164" fontId="7" fillId="0" borderId="0" xfId="0" applyNumberFormat="1" applyFont="1"/>
    <xf numFmtId="164" fontId="0" fillId="0" borderId="0" xfId="0" applyNumberFormat="1"/>
    <xf numFmtId="0" fontId="2" fillId="0" borderId="0" xfId="2"/>
    <xf numFmtId="0" fontId="2" fillId="0" borderId="1" xfId="2" applyBorder="1"/>
    <xf numFmtId="0" fontId="2" fillId="0" borderId="2" xfId="2" applyBorder="1"/>
    <xf numFmtId="0" fontId="11" fillId="0" borderId="3" xfId="2" applyFont="1" applyBorder="1" applyAlignment="1">
      <alignment horizontal="right"/>
    </xf>
    <xf numFmtId="10" fontId="0" fillId="0" borderId="4" xfId="3" applyNumberFormat="1" applyFont="1" applyBorder="1"/>
    <xf numFmtId="9" fontId="0" fillId="0" borderId="4" xfId="3" applyFont="1" applyBorder="1"/>
    <xf numFmtId="2" fontId="2" fillId="0" borderId="0" xfId="2" applyNumberFormat="1"/>
    <xf numFmtId="0" fontId="11" fillId="0" borderId="5" xfId="2" applyFont="1" applyBorder="1" applyAlignment="1">
      <alignment horizontal="right"/>
    </xf>
    <xf numFmtId="9" fontId="0" fillId="0" borderId="6" xfId="3" applyFont="1" applyBorder="1"/>
    <xf numFmtId="0" fontId="2" fillId="0" borderId="0" xfId="2" applyAlignment="1">
      <alignment horizontal="left"/>
    </xf>
    <xf numFmtId="1" fontId="0" fillId="0" borderId="0" xfId="3" applyNumberFormat="1" applyFont="1" applyFill="1" applyBorder="1"/>
    <xf numFmtId="11" fontId="7" fillId="0" borderId="0" xfId="0" applyNumberFormat="1" applyFont="1"/>
    <xf numFmtId="169" fontId="7" fillId="0" borderId="0" xfId="1" applyNumberFormat="1" applyFont="1"/>
    <xf numFmtId="9" fontId="7" fillId="0" borderId="0" xfId="0" applyNumberFormat="1" applyFont="1"/>
    <xf numFmtId="0" fontId="2" fillId="0" borderId="7" xfId="2" applyBorder="1"/>
    <xf numFmtId="0" fontId="2" fillId="0" borderId="3" xfId="2" applyBorder="1"/>
    <xf numFmtId="0" fontId="2" fillId="0" borderId="0" xfId="2" applyBorder="1"/>
    <xf numFmtId="0" fontId="2" fillId="0" borderId="4" xfId="2" applyBorder="1"/>
    <xf numFmtId="0" fontId="10" fillId="0" borderId="0" xfId="2" applyFont="1" applyBorder="1"/>
    <xf numFmtId="0" fontId="10" fillId="0" borderId="4" xfId="2" applyFont="1" applyBorder="1"/>
    <xf numFmtId="0" fontId="12" fillId="0" borderId="3" xfId="2" applyFont="1" applyBorder="1"/>
    <xf numFmtId="0" fontId="13" fillId="0" borderId="0" xfId="2" applyFont="1" applyBorder="1"/>
    <xf numFmtId="165" fontId="2" fillId="0" borderId="0" xfId="2" applyNumberFormat="1" applyBorder="1"/>
    <xf numFmtId="2" fontId="2" fillId="0" borderId="0" xfId="2" applyNumberFormat="1" applyBorder="1"/>
    <xf numFmtId="11" fontId="2" fillId="0" borderId="0" xfId="2" applyNumberFormat="1" applyBorder="1"/>
    <xf numFmtId="0" fontId="13" fillId="0" borderId="8" xfId="2" applyFont="1" applyBorder="1"/>
    <xf numFmtId="0" fontId="2" fillId="0" borderId="8" xfId="2" applyBorder="1"/>
    <xf numFmtId="0" fontId="2" fillId="0" borderId="6" xfId="2" applyBorder="1"/>
    <xf numFmtId="0" fontId="1" fillId="0" borderId="0" xfId="2" applyFont="1"/>
    <xf numFmtId="9" fontId="2" fillId="0" borderId="0" xfId="1" applyFont="1"/>
    <xf numFmtId="10" fontId="2" fillId="0" borderId="0" xfId="1" applyNumberFormat="1" applyFont="1"/>
    <xf numFmtId="170" fontId="2" fillId="0" borderId="0" xfId="4" applyNumberFormat="1" applyFont="1"/>
    <xf numFmtId="43" fontId="2" fillId="0" borderId="0" xfId="2" applyNumberFormat="1"/>
    <xf numFmtId="0" fontId="7" fillId="0" borderId="0" xfId="0" applyFont="1" applyAlignment="1">
      <alignment horizontal="left"/>
    </xf>
    <xf numFmtId="0" fontId="2" fillId="0" borderId="7" xfId="2" applyBorder="1" applyAlignment="1">
      <alignment horizontal="center"/>
    </xf>
  </cellXfs>
  <cellStyles count="5">
    <cellStyle name="Comma" xfId="4" builtinId="3"/>
    <cellStyle name="Normal" xfId="0" builtinId="0"/>
    <cellStyle name="Normal 2" xfId="2" xr:uid="{0E23583C-AEE8-A14E-BBED-EFF8448F4281}"/>
    <cellStyle name="Per cent" xfId="1" builtinId="5"/>
    <cellStyle name="Per cent 2" xfId="3"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59"/>
  <sheetViews>
    <sheetView tabSelected="1" topLeftCell="A657" workbookViewId="0">
      <selection activeCell="B678" sqref="B678"/>
    </sheetView>
  </sheetViews>
  <sheetFormatPr baseColWidth="10" defaultColWidth="8.83203125" defaultRowHeight="15" x14ac:dyDescent="0.2"/>
  <cols>
    <col min="1" max="1" width="46.5" customWidth="1"/>
    <col min="2" max="2" width="11.6640625" style="2" bestFit="1" customWidth="1"/>
  </cols>
  <sheetData>
    <row r="1" spans="1:6" x14ac:dyDescent="0.2">
      <c r="A1" s="3" t="s">
        <v>246</v>
      </c>
      <c r="B1" s="2" t="s">
        <v>325</v>
      </c>
    </row>
    <row r="3" spans="1:6" ht="16" x14ac:dyDescent="0.2">
      <c r="A3" s="1" t="s">
        <v>0</v>
      </c>
      <c r="B3" s="10" t="s">
        <v>1</v>
      </c>
    </row>
    <row r="4" spans="1:6" x14ac:dyDescent="0.2">
      <c r="A4" t="s">
        <v>2</v>
      </c>
      <c r="B4" s="2" t="s">
        <v>3</v>
      </c>
    </row>
    <row r="5" spans="1:6" x14ac:dyDescent="0.2">
      <c r="A5" t="s">
        <v>4</v>
      </c>
      <c r="B5" s="2" t="s">
        <v>5</v>
      </c>
    </row>
    <row r="6" spans="1:6" x14ac:dyDescent="0.2">
      <c r="A6" t="s">
        <v>6</v>
      </c>
      <c r="B6" s="2">
        <v>1</v>
      </c>
    </row>
    <row r="7" spans="1:6" x14ac:dyDescent="0.2">
      <c r="A7" t="s">
        <v>7</v>
      </c>
      <c r="B7" s="2" t="s">
        <v>1</v>
      </c>
    </row>
    <row r="8" spans="1:6" x14ac:dyDescent="0.2">
      <c r="A8" t="s">
        <v>8</v>
      </c>
      <c r="B8" s="2" t="s">
        <v>9</v>
      </c>
    </row>
    <row r="9" spans="1:6" x14ac:dyDescent="0.2">
      <c r="A9" t="s">
        <v>10</v>
      </c>
      <c r="B9" s="2" t="s">
        <v>398</v>
      </c>
    </row>
    <row r="10" spans="1:6" x14ac:dyDescent="0.2">
      <c r="A10" s="3" t="s">
        <v>11</v>
      </c>
    </row>
    <row r="11" spans="1:6" x14ac:dyDescent="0.2">
      <c r="A11" t="s">
        <v>12</v>
      </c>
      <c r="B11" s="2" t="s">
        <v>13</v>
      </c>
      <c r="C11" t="s">
        <v>8</v>
      </c>
      <c r="D11" t="s">
        <v>4</v>
      </c>
      <c r="E11" t="s">
        <v>14</v>
      </c>
      <c r="F11" t="s">
        <v>7</v>
      </c>
    </row>
    <row r="12" spans="1:6" x14ac:dyDescent="0.2">
      <c r="A12" t="s">
        <v>1</v>
      </c>
      <c r="B12" s="2">
        <v>1</v>
      </c>
      <c r="C12" t="s">
        <v>9</v>
      </c>
      <c r="D12" t="s">
        <v>5</v>
      </c>
      <c r="E12" t="s">
        <v>15</v>
      </c>
      <c r="F12" t="s">
        <v>1</v>
      </c>
    </row>
    <row r="13" spans="1:6" x14ac:dyDescent="0.2">
      <c r="A13" t="s">
        <v>16</v>
      </c>
      <c r="B13" s="11">
        <v>0.49812105512787785</v>
      </c>
      <c r="C13" t="s">
        <v>9</v>
      </c>
      <c r="D13" t="s">
        <v>5</v>
      </c>
      <c r="E13" t="s">
        <v>17</v>
      </c>
      <c r="F13" t="s">
        <v>18</v>
      </c>
    </row>
    <row r="14" spans="1:6" x14ac:dyDescent="0.2">
      <c r="A14" t="s">
        <v>19</v>
      </c>
      <c r="B14" s="11">
        <v>0.49368777773723971</v>
      </c>
      <c r="C14" t="s">
        <v>9</v>
      </c>
      <c r="D14" t="s">
        <v>5</v>
      </c>
      <c r="E14" t="s">
        <v>17</v>
      </c>
      <c r="F14" t="s">
        <v>20</v>
      </c>
    </row>
    <row r="15" spans="1:6" x14ac:dyDescent="0.2">
      <c r="A15" t="s">
        <v>21</v>
      </c>
      <c r="B15" s="11">
        <v>0.20029917180488163</v>
      </c>
      <c r="C15" t="s">
        <v>9</v>
      </c>
      <c r="D15" t="s">
        <v>5</v>
      </c>
      <c r="E15" t="s">
        <v>17</v>
      </c>
      <c r="F15" t="s">
        <v>22</v>
      </c>
    </row>
    <row r="16" spans="1:6" x14ac:dyDescent="0.2">
      <c r="A16" t="s">
        <v>23</v>
      </c>
      <c r="B16" s="11">
        <v>8.8438104272319337E-2</v>
      </c>
      <c r="C16" t="s">
        <v>9</v>
      </c>
      <c r="D16" t="s">
        <v>5</v>
      </c>
      <c r="E16" t="s">
        <v>17</v>
      </c>
      <c r="F16" t="s">
        <v>24</v>
      </c>
    </row>
    <row r="17" spans="1:6" x14ac:dyDescent="0.2">
      <c r="A17" t="s">
        <v>25</v>
      </c>
      <c r="B17" s="11">
        <v>7.8477872231748722E-2</v>
      </c>
      <c r="C17" t="s">
        <v>9</v>
      </c>
      <c r="D17" t="s">
        <v>5</v>
      </c>
      <c r="E17" t="s">
        <v>17</v>
      </c>
      <c r="F17" t="s">
        <v>26</v>
      </c>
    </row>
    <row r="18" spans="1:6" x14ac:dyDescent="0.2">
      <c r="A18" t="s">
        <v>27</v>
      </c>
      <c r="B18" s="11">
        <v>7.8477872231748722E-2</v>
      </c>
      <c r="C18" t="s">
        <v>9</v>
      </c>
      <c r="D18" t="s">
        <v>28</v>
      </c>
      <c r="E18" t="s">
        <v>17</v>
      </c>
      <c r="F18" t="s">
        <v>29</v>
      </c>
    </row>
    <row r="19" spans="1:6" x14ac:dyDescent="0.2">
      <c r="A19" t="s">
        <v>30</v>
      </c>
      <c r="B19" s="11">
        <v>2.254733846546755E-2</v>
      </c>
      <c r="C19" t="s">
        <v>9</v>
      </c>
      <c r="D19" t="s">
        <v>5</v>
      </c>
      <c r="E19" t="s">
        <v>17</v>
      </c>
      <c r="F19" t="s">
        <v>31</v>
      </c>
    </row>
    <row r="20" spans="1:6" x14ac:dyDescent="0.2">
      <c r="A20" t="s">
        <v>32</v>
      </c>
      <c r="B20" s="11">
        <v>2.254733846546755E-2</v>
      </c>
      <c r="C20" t="s">
        <v>9</v>
      </c>
      <c r="D20" t="s">
        <v>5</v>
      </c>
      <c r="E20" t="s">
        <v>17</v>
      </c>
      <c r="F20" t="s">
        <v>33</v>
      </c>
    </row>
    <row r="21" spans="1:6" x14ac:dyDescent="0.2">
      <c r="A21" t="s">
        <v>34</v>
      </c>
      <c r="B21" s="11">
        <v>1.5688277573059947E-2</v>
      </c>
      <c r="C21" t="s">
        <v>9</v>
      </c>
      <c r="D21" t="s">
        <v>5</v>
      </c>
      <c r="E21" t="s">
        <v>17</v>
      </c>
      <c r="F21" t="s">
        <v>35</v>
      </c>
    </row>
    <row r="22" spans="1:6" x14ac:dyDescent="0.2">
      <c r="A22" t="s">
        <v>36</v>
      </c>
      <c r="B22" s="11">
        <v>1.5286949542121205E-2</v>
      </c>
      <c r="C22" t="s">
        <v>9</v>
      </c>
      <c r="D22" t="s">
        <v>5</v>
      </c>
      <c r="E22" t="s">
        <v>17</v>
      </c>
      <c r="F22" t="s">
        <v>37</v>
      </c>
    </row>
    <row r="23" spans="1:6" x14ac:dyDescent="0.2">
      <c r="A23" t="s">
        <v>38</v>
      </c>
      <c r="B23" s="11">
        <v>1.5286949542121205E-2</v>
      </c>
      <c r="C23" t="s">
        <v>9</v>
      </c>
      <c r="D23" t="s">
        <v>5</v>
      </c>
      <c r="E23" t="s">
        <v>17</v>
      </c>
      <c r="F23" t="s">
        <v>39</v>
      </c>
    </row>
    <row r="24" spans="1:6" x14ac:dyDescent="0.2">
      <c r="A24" t="s">
        <v>40</v>
      </c>
      <c r="B24" s="11">
        <v>4.4332773906381124E-3</v>
      </c>
      <c r="C24" t="s">
        <v>9</v>
      </c>
      <c r="D24" t="s">
        <v>5</v>
      </c>
      <c r="E24" t="s">
        <v>17</v>
      </c>
      <c r="F24" t="s">
        <v>41</v>
      </c>
    </row>
    <row r="25" spans="1:6" x14ac:dyDescent="0.2">
      <c r="A25" t="s">
        <v>42</v>
      </c>
      <c r="B25" s="11">
        <v>2.0066401546937141E-3</v>
      </c>
      <c r="C25" t="s">
        <v>9</v>
      </c>
      <c r="D25" t="s">
        <v>5</v>
      </c>
      <c r="E25" t="s">
        <v>17</v>
      </c>
      <c r="F25" t="s">
        <v>43</v>
      </c>
    </row>
    <row r="26" spans="1:6" x14ac:dyDescent="0.2">
      <c r="A26" t="s">
        <v>44</v>
      </c>
      <c r="B26" s="11">
        <v>2.0066401546937141E-3</v>
      </c>
      <c r="C26" t="s">
        <v>9</v>
      </c>
      <c r="D26" t="s">
        <v>5</v>
      </c>
      <c r="E26" t="s">
        <v>17</v>
      </c>
      <c r="F26" t="s">
        <v>45</v>
      </c>
    </row>
    <row r="27" spans="1:6" x14ac:dyDescent="0.2">
      <c r="A27" t="s">
        <v>46</v>
      </c>
      <c r="B27" s="11">
        <v>1.0215622605713453E-3</v>
      </c>
      <c r="C27" t="s">
        <v>47</v>
      </c>
      <c r="D27" t="s">
        <v>5</v>
      </c>
      <c r="E27" t="s">
        <v>17</v>
      </c>
      <c r="F27" t="s">
        <v>48</v>
      </c>
    </row>
    <row r="28" spans="1:6" x14ac:dyDescent="0.2">
      <c r="A28" t="s">
        <v>49</v>
      </c>
      <c r="B28" s="11">
        <v>6.5671859608157921E-4</v>
      </c>
      <c r="C28" t="s">
        <v>9</v>
      </c>
      <c r="D28" t="s">
        <v>5</v>
      </c>
      <c r="E28" t="s">
        <v>17</v>
      </c>
      <c r="F28" t="s">
        <v>50</v>
      </c>
    </row>
    <row r="29" spans="1:6" x14ac:dyDescent="0.2">
      <c r="A29" t="s">
        <v>51</v>
      </c>
      <c r="B29" s="12">
        <v>5.1594053564209211E-9</v>
      </c>
      <c r="C29" t="s">
        <v>8</v>
      </c>
      <c r="D29" t="s">
        <v>5</v>
      </c>
      <c r="E29" t="s">
        <v>17</v>
      </c>
      <c r="F29" t="s">
        <v>52</v>
      </c>
    </row>
    <row r="31" spans="1:6" ht="16" x14ac:dyDescent="0.2">
      <c r="A31" s="1" t="s">
        <v>0</v>
      </c>
      <c r="B31" s="10" t="s">
        <v>21</v>
      </c>
    </row>
    <row r="32" spans="1:6" x14ac:dyDescent="0.2">
      <c r="A32" t="s">
        <v>2</v>
      </c>
      <c r="B32" s="2" t="s">
        <v>3</v>
      </c>
    </row>
    <row r="33" spans="1:6" x14ac:dyDescent="0.2">
      <c r="A33" t="s">
        <v>4</v>
      </c>
      <c r="B33" s="2" t="s">
        <v>5</v>
      </c>
    </row>
    <row r="34" spans="1:6" x14ac:dyDescent="0.2">
      <c r="A34" t="s">
        <v>6</v>
      </c>
      <c r="B34" s="2">
        <v>1</v>
      </c>
    </row>
    <row r="35" spans="1:6" x14ac:dyDescent="0.2">
      <c r="A35" t="s">
        <v>7</v>
      </c>
      <c r="B35" s="2" t="s">
        <v>22</v>
      </c>
    </row>
    <row r="36" spans="1:6" x14ac:dyDescent="0.2">
      <c r="A36" t="s">
        <v>8</v>
      </c>
      <c r="B36" s="2" t="s">
        <v>9</v>
      </c>
    </row>
    <row r="37" spans="1:6" x14ac:dyDescent="0.2">
      <c r="A37" t="s">
        <v>10</v>
      </c>
      <c r="B37" s="2" t="s">
        <v>398</v>
      </c>
    </row>
    <row r="38" spans="1:6" x14ac:dyDescent="0.2">
      <c r="A38" s="3" t="s">
        <v>11</v>
      </c>
    </row>
    <row r="39" spans="1:6" x14ac:dyDescent="0.2">
      <c r="A39" t="s">
        <v>12</v>
      </c>
      <c r="B39" s="2" t="s">
        <v>13</v>
      </c>
      <c r="C39" t="s">
        <v>8</v>
      </c>
      <c r="D39" t="s">
        <v>4</v>
      </c>
      <c r="E39" t="s">
        <v>14</v>
      </c>
      <c r="F39" t="s">
        <v>7</v>
      </c>
    </row>
    <row r="40" spans="1:6" x14ac:dyDescent="0.2">
      <c r="A40" t="s">
        <v>21</v>
      </c>
      <c r="B40" s="2">
        <v>1</v>
      </c>
      <c r="C40" t="s">
        <v>9</v>
      </c>
      <c r="D40" t="s">
        <v>5</v>
      </c>
      <c r="E40" t="s">
        <v>15</v>
      </c>
      <c r="F40" t="s">
        <v>22</v>
      </c>
    </row>
    <row r="41" spans="1:6" x14ac:dyDescent="0.2">
      <c r="A41" t="s">
        <v>53</v>
      </c>
      <c r="B41" s="11">
        <v>6.2300000000000001E-2</v>
      </c>
      <c r="C41" t="s">
        <v>54</v>
      </c>
      <c r="D41" t="s">
        <v>5</v>
      </c>
      <c r="E41" t="s">
        <v>17</v>
      </c>
      <c r="F41" t="s">
        <v>55</v>
      </c>
    </row>
    <row r="42" spans="1:6" x14ac:dyDescent="0.2">
      <c r="A42" t="s">
        <v>56</v>
      </c>
      <c r="B42" s="11">
        <v>0.31</v>
      </c>
      <c r="C42" t="s">
        <v>54</v>
      </c>
      <c r="D42" t="s">
        <v>28</v>
      </c>
      <c r="E42" t="s">
        <v>17</v>
      </c>
      <c r="F42" t="s">
        <v>57</v>
      </c>
    </row>
    <row r="43" spans="1:6" x14ac:dyDescent="0.2">
      <c r="A43" t="s">
        <v>58</v>
      </c>
      <c r="B43" s="11">
        <v>9.5999999999999992E-3</v>
      </c>
      <c r="C43" t="s">
        <v>54</v>
      </c>
      <c r="D43" t="s">
        <v>5</v>
      </c>
      <c r="E43" t="s">
        <v>17</v>
      </c>
      <c r="F43" t="s">
        <v>59</v>
      </c>
    </row>
    <row r="44" spans="1:6" x14ac:dyDescent="0.2">
      <c r="A44" t="s">
        <v>60</v>
      </c>
      <c r="B44" s="11">
        <v>1.5299999999999999E-2</v>
      </c>
      <c r="C44" t="s">
        <v>54</v>
      </c>
      <c r="D44" t="s">
        <v>5</v>
      </c>
      <c r="E44" t="s">
        <v>17</v>
      </c>
      <c r="F44" t="s">
        <v>61</v>
      </c>
    </row>
    <row r="45" spans="1:6" x14ac:dyDescent="0.2">
      <c r="A45" t="s">
        <v>62</v>
      </c>
      <c r="B45" s="11">
        <v>0.73680000000000001</v>
      </c>
      <c r="C45" t="s">
        <v>54</v>
      </c>
      <c r="D45" t="s">
        <v>5</v>
      </c>
      <c r="E45" t="s">
        <v>17</v>
      </c>
      <c r="F45" t="s">
        <v>63</v>
      </c>
    </row>
    <row r="46" spans="1:6" x14ac:dyDescent="0.2">
      <c r="A46" t="s">
        <v>16</v>
      </c>
      <c r="B46" s="11">
        <v>0.79690949227373098</v>
      </c>
      <c r="C46" t="s">
        <v>9</v>
      </c>
      <c r="D46" t="s">
        <v>5</v>
      </c>
      <c r="E46" t="s">
        <v>17</v>
      </c>
      <c r="F46" t="s">
        <v>18</v>
      </c>
    </row>
    <row r="47" spans="1:6" x14ac:dyDescent="0.2">
      <c r="A47" t="s">
        <v>40</v>
      </c>
      <c r="B47" s="11">
        <v>0.43708609271523202</v>
      </c>
      <c r="C47" t="s">
        <v>9</v>
      </c>
      <c r="D47" t="s">
        <v>5</v>
      </c>
      <c r="E47" t="s">
        <v>17</v>
      </c>
      <c r="F47" t="s">
        <v>41</v>
      </c>
    </row>
    <row r="48" spans="1:6" x14ac:dyDescent="0.2">
      <c r="A48" t="s">
        <v>19</v>
      </c>
      <c r="B48" s="11">
        <v>0.35982339955849901</v>
      </c>
      <c r="C48" t="s">
        <v>9</v>
      </c>
      <c r="D48" t="s">
        <v>5</v>
      </c>
      <c r="E48" t="s">
        <v>17</v>
      </c>
      <c r="F48" t="s">
        <v>20</v>
      </c>
    </row>
    <row r="49" spans="1:6" x14ac:dyDescent="0.2">
      <c r="A49" t="s">
        <v>34</v>
      </c>
      <c r="B49" s="11">
        <v>0.12362030905077299</v>
      </c>
      <c r="C49" t="s">
        <v>9</v>
      </c>
      <c r="D49" t="s">
        <v>5</v>
      </c>
      <c r="E49" t="s">
        <v>17</v>
      </c>
      <c r="F49" t="s">
        <v>35</v>
      </c>
    </row>
    <row r="50" spans="1:6" x14ac:dyDescent="0.2">
      <c r="A50" t="s">
        <v>42</v>
      </c>
      <c r="B50" s="11">
        <v>4.7461368653421598E-2</v>
      </c>
      <c r="C50" t="s">
        <v>9</v>
      </c>
      <c r="D50" t="s">
        <v>5</v>
      </c>
      <c r="E50" t="s">
        <v>17</v>
      </c>
      <c r="F50" t="s">
        <v>43</v>
      </c>
    </row>
    <row r="51" spans="1:6" x14ac:dyDescent="0.2">
      <c r="A51" t="s">
        <v>44</v>
      </c>
      <c r="B51" s="11">
        <v>4.7461368653421598E-2</v>
      </c>
      <c r="C51" t="s">
        <v>9</v>
      </c>
      <c r="D51" t="s">
        <v>5</v>
      </c>
      <c r="E51" t="s">
        <v>17</v>
      </c>
      <c r="F51" t="s">
        <v>45</v>
      </c>
    </row>
    <row r="52" spans="1:6" x14ac:dyDescent="0.2">
      <c r="A52" t="s">
        <v>64</v>
      </c>
      <c r="B52" s="11">
        <v>1.9867549668874201E-2</v>
      </c>
      <c r="C52" t="s">
        <v>9</v>
      </c>
      <c r="D52" t="s">
        <v>5</v>
      </c>
      <c r="E52" t="s">
        <v>17</v>
      </c>
      <c r="F52" t="s">
        <v>65</v>
      </c>
    </row>
    <row r="53" spans="1:6" x14ac:dyDescent="0.2">
      <c r="A53" t="s">
        <v>38</v>
      </c>
      <c r="B53" s="11">
        <v>1.9867549668874201E-2</v>
      </c>
      <c r="C53" t="s">
        <v>9</v>
      </c>
      <c r="D53" t="s">
        <v>5</v>
      </c>
      <c r="E53" t="s">
        <v>17</v>
      </c>
      <c r="F53" t="s">
        <v>39</v>
      </c>
    </row>
    <row r="54" spans="1:6" x14ac:dyDescent="0.2">
      <c r="A54" t="s">
        <v>49</v>
      </c>
      <c r="B54" s="11">
        <v>1.2141280000000001E-2</v>
      </c>
      <c r="C54" t="s">
        <v>9</v>
      </c>
      <c r="D54" t="s">
        <v>5</v>
      </c>
      <c r="E54" t="s">
        <v>17</v>
      </c>
      <c r="F54" t="s">
        <v>50</v>
      </c>
    </row>
    <row r="55" spans="1:6" x14ac:dyDescent="0.2">
      <c r="A55" t="s">
        <v>51</v>
      </c>
      <c r="B55" s="12">
        <v>4.5800000000000002E-10</v>
      </c>
      <c r="C55" t="s">
        <v>8</v>
      </c>
      <c r="D55" t="s">
        <v>5</v>
      </c>
      <c r="E55" t="s">
        <v>17</v>
      </c>
      <c r="F55" t="s">
        <v>52</v>
      </c>
    </row>
    <row r="57" spans="1:6" ht="16" x14ac:dyDescent="0.2">
      <c r="A57" s="1" t="s">
        <v>0</v>
      </c>
      <c r="B57" s="10" t="s">
        <v>23</v>
      </c>
    </row>
    <row r="58" spans="1:6" x14ac:dyDescent="0.2">
      <c r="A58" t="s">
        <v>2</v>
      </c>
      <c r="B58" s="2" t="s">
        <v>3</v>
      </c>
    </row>
    <row r="59" spans="1:6" x14ac:dyDescent="0.2">
      <c r="A59" t="s">
        <v>4</v>
      </c>
      <c r="B59" s="2" t="s">
        <v>5</v>
      </c>
    </row>
    <row r="60" spans="1:6" x14ac:dyDescent="0.2">
      <c r="A60" t="s">
        <v>6</v>
      </c>
      <c r="B60" s="2">
        <v>1</v>
      </c>
    </row>
    <row r="61" spans="1:6" x14ac:dyDescent="0.2">
      <c r="A61" t="s">
        <v>7</v>
      </c>
      <c r="B61" s="2" t="s">
        <v>24</v>
      </c>
    </row>
    <row r="62" spans="1:6" x14ac:dyDescent="0.2">
      <c r="A62" t="s">
        <v>8</v>
      </c>
      <c r="B62" s="2" t="s">
        <v>9</v>
      </c>
    </row>
    <row r="63" spans="1:6" x14ac:dyDescent="0.2">
      <c r="A63" t="s">
        <v>10</v>
      </c>
      <c r="B63" s="2" t="s">
        <v>398</v>
      </c>
    </row>
    <row r="64" spans="1:6" x14ac:dyDescent="0.2">
      <c r="A64" s="3" t="s">
        <v>11</v>
      </c>
    </row>
    <row r="65" spans="1:6" x14ac:dyDescent="0.2">
      <c r="A65" t="s">
        <v>12</v>
      </c>
      <c r="B65" s="2" t="s">
        <v>13</v>
      </c>
      <c r="C65" t="s">
        <v>8</v>
      </c>
      <c r="D65" t="s">
        <v>4</v>
      </c>
      <c r="E65" t="s">
        <v>14</v>
      </c>
      <c r="F65" t="s">
        <v>7</v>
      </c>
    </row>
    <row r="66" spans="1:6" x14ac:dyDescent="0.2">
      <c r="A66" t="s">
        <v>23</v>
      </c>
      <c r="B66" s="2">
        <v>1</v>
      </c>
      <c r="C66" t="s">
        <v>9</v>
      </c>
      <c r="D66" t="s">
        <v>5</v>
      </c>
      <c r="E66" t="s">
        <v>15</v>
      </c>
      <c r="F66" t="s">
        <v>24</v>
      </c>
    </row>
    <row r="67" spans="1:6" x14ac:dyDescent="0.2">
      <c r="A67" t="s">
        <v>66</v>
      </c>
      <c r="B67" s="11">
        <v>0.48</v>
      </c>
      <c r="C67" t="s">
        <v>9</v>
      </c>
      <c r="D67" t="s">
        <v>5</v>
      </c>
      <c r="E67" t="s">
        <v>17</v>
      </c>
      <c r="F67" t="s">
        <v>67</v>
      </c>
    </row>
    <row r="68" spans="1:6" x14ac:dyDescent="0.2">
      <c r="A68" t="s">
        <v>68</v>
      </c>
      <c r="B68" s="11">
        <v>3.0000000000000001E-3</v>
      </c>
      <c r="C68" t="s">
        <v>9</v>
      </c>
      <c r="D68" t="s">
        <v>5</v>
      </c>
      <c r="E68" t="s">
        <v>17</v>
      </c>
      <c r="F68" t="s">
        <v>69</v>
      </c>
    </row>
    <row r="69" spans="1:6" x14ac:dyDescent="0.2">
      <c r="A69" t="s">
        <v>70</v>
      </c>
      <c r="B69" s="11">
        <v>0.3</v>
      </c>
      <c r="C69" t="s">
        <v>9</v>
      </c>
      <c r="D69" t="s">
        <v>5</v>
      </c>
      <c r="E69" t="s">
        <v>17</v>
      </c>
      <c r="F69" t="s">
        <v>70</v>
      </c>
    </row>
    <row r="70" spans="1:6" x14ac:dyDescent="0.2">
      <c r="A70" t="s">
        <v>71</v>
      </c>
      <c r="B70" s="11">
        <v>2E-8</v>
      </c>
      <c r="C70" t="s">
        <v>8</v>
      </c>
      <c r="D70" t="s">
        <v>5</v>
      </c>
      <c r="E70" t="s">
        <v>17</v>
      </c>
      <c r="F70" t="s">
        <v>72</v>
      </c>
    </row>
    <row r="71" spans="1:6" x14ac:dyDescent="0.2">
      <c r="A71" t="s">
        <v>73</v>
      </c>
      <c r="B71" s="11">
        <v>3.0000000000000001E-3</v>
      </c>
      <c r="C71" t="s">
        <v>9</v>
      </c>
      <c r="D71" t="s">
        <v>5</v>
      </c>
      <c r="E71" t="s">
        <v>17</v>
      </c>
      <c r="F71" t="s">
        <v>74</v>
      </c>
    </row>
    <row r="72" spans="1:6" x14ac:dyDescent="0.2">
      <c r="A72" t="s">
        <v>75</v>
      </c>
      <c r="B72" s="11">
        <v>0.13</v>
      </c>
      <c r="C72" t="s">
        <v>9</v>
      </c>
      <c r="D72" t="s">
        <v>5</v>
      </c>
      <c r="E72" t="s">
        <v>17</v>
      </c>
      <c r="F72" t="s">
        <v>75</v>
      </c>
    </row>
    <row r="73" spans="1:6" x14ac:dyDescent="0.2">
      <c r="A73" t="s">
        <v>76</v>
      </c>
      <c r="B73" s="11">
        <v>8.8999999999999996E-2</v>
      </c>
      <c r="C73" t="s">
        <v>9</v>
      </c>
      <c r="D73" t="s">
        <v>5</v>
      </c>
      <c r="E73" t="s">
        <v>17</v>
      </c>
      <c r="F73" t="s">
        <v>77</v>
      </c>
    </row>
    <row r="75" spans="1:6" ht="16" x14ac:dyDescent="0.2">
      <c r="A75" s="1" t="s">
        <v>0</v>
      </c>
      <c r="B75" s="10" t="s">
        <v>70</v>
      </c>
    </row>
    <row r="76" spans="1:6" x14ac:dyDescent="0.2">
      <c r="A76" t="s">
        <v>2</v>
      </c>
      <c r="B76" s="2" t="s">
        <v>3</v>
      </c>
    </row>
    <row r="77" spans="1:6" x14ac:dyDescent="0.2">
      <c r="A77" t="s">
        <v>4</v>
      </c>
      <c r="B77" s="2" t="s">
        <v>5</v>
      </c>
    </row>
    <row r="78" spans="1:6" x14ac:dyDescent="0.2">
      <c r="A78" t="s">
        <v>6</v>
      </c>
      <c r="B78" s="2">
        <v>1</v>
      </c>
    </row>
    <row r="79" spans="1:6" x14ac:dyDescent="0.2">
      <c r="A79" t="s">
        <v>7</v>
      </c>
      <c r="B79" s="2" t="s">
        <v>70</v>
      </c>
    </row>
    <row r="80" spans="1:6" x14ac:dyDescent="0.2">
      <c r="A80" t="s">
        <v>8</v>
      </c>
      <c r="B80" s="2" t="s">
        <v>9</v>
      </c>
    </row>
    <row r="81" spans="1:6" x14ac:dyDescent="0.2">
      <c r="A81" t="s">
        <v>10</v>
      </c>
      <c r="B81" s="2" t="s">
        <v>398</v>
      </c>
    </row>
    <row r="82" spans="1:6" x14ac:dyDescent="0.2">
      <c r="A82" s="3" t="s">
        <v>11</v>
      </c>
    </row>
    <row r="83" spans="1:6" x14ac:dyDescent="0.2">
      <c r="A83" t="s">
        <v>12</v>
      </c>
      <c r="B83" s="2" t="s">
        <v>13</v>
      </c>
      <c r="C83" t="s">
        <v>8</v>
      </c>
      <c r="D83" t="s">
        <v>4</v>
      </c>
      <c r="E83" t="s">
        <v>14</v>
      </c>
      <c r="F83" t="s">
        <v>7</v>
      </c>
    </row>
    <row r="84" spans="1:6" x14ac:dyDescent="0.2">
      <c r="A84" t="s">
        <v>70</v>
      </c>
      <c r="B84" s="2">
        <v>1</v>
      </c>
      <c r="C84" t="s">
        <v>9</v>
      </c>
      <c r="D84" t="s">
        <v>5</v>
      </c>
      <c r="E84" t="s">
        <v>15</v>
      </c>
      <c r="F84" t="s">
        <v>70</v>
      </c>
    </row>
    <row r="85" spans="1:6" x14ac:dyDescent="0.2">
      <c r="A85" t="s">
        <v>16</v>
      </c>
      <c r="B85" s="2">
        <v>0.12</v>
      </c>
      <c r="C85" t="s">
        <v>9</v>
      </c>
      <c r="D85" t="s">
        <v>5</v>
      </c>
      <c r="E85" t="s">
        <v>17</v>
      </c>
      <c r="F85" t="s">
        <v>18</v>
      </c>
    </row>
    <row r="86" spans="1:6" x14ac:dyDescent="0.2">
      <c r="A86" t="s">
        <v>78</v>
      </c>
      <c r="B86" s="2">
        <v>1.6E-2</v>
      </c>
      <c r="C86" t="s">
        <v>9</v>
      </c>
      <c r="D86" t="s">
        <v>5</v>
      </c>
      <c r="E86" t="s">
        <v>17</v>
      </c>
      <c r="F86" t="s">
        <v>79</v>
      </c>
    </row>
    <row r="87" spans="1:6" x14ac:dyDescent="0.2">
      <c r="A87" t="s">
        <v>36</v>
      </c>
      <c r="B87" s="2">
        <v>0.1366</v>
      </c>
      <c r="C87" t="s">
        <v>9</v>
      </c>
      <c r="D87" t="s">
        <v>5</v>
      </c>
      <c r="E87" t="s">
        <v>17</v>
      </c>
      <c r="F87" t="s">
        <v>37</v>
      </c>
    </row>
    <row r="88" spans="1:6" x14ac:dyDescent="0.2">
      <c r="A88" t="s">
        <v>80</v>
      </c>
      <c r="B88" s="2">
        <v>3.5999999999999999E-3</v>
      </c>
      <c r="C88" t="s">
        <v>9</v>
      </c>
      <c r="D88" t="s">
        <v>5</v>
      </c>
      <c r="E88" t="s">
        <v>17</v>
      </c>
      <c r="F88" t="s">
        <v>81</v>
      </c>
    </row>
    <row r="89" spans="1:6" x14ac:dyDescent="0.2">
      <c r="A89" t="s">
        <v>82</v>
      </c>
      <c r="B89" s="2">
        <v>1.6E-2</v>
      </c>
      <c r="C89" t="s">
        <v>9</v>
      </c>
      <c r="D89" t="s">
        <v>5</v>
      </c>
      <c r="E89" t="s">
        <v>17</v>
      </c>
      <c r="F89" t="s">
        <v>83</v>
      </c>
    </row>
    <row r="90" spans="1:6" x14ac:dyDescent="0.2">
      <c r="A90" t="s">
        <v>68</v>
      </c>
      <c r="B90" s="2">
        <v>1.4E-3</v>
      </c>
      <c r="C90" t="s">
        <v>9</v>
      </c>
      <c r="D90" t="s">
        <v>5</v>
      </c>
      <c r="E90" t="s">
        <v>17</v>
      </c>
      <c r="F90" t="s">
        <v>69</v>
      </c>
    </row>
    <row r="91" spans="1:6" x14ac:dyDescent="0.2">
      <c r="A91" t="s">
        <v>84</v>
      </c>
      <c r="B91" s="2">
        <v>0.45</v>
      </c>
      <c r="C91" t="s">
        <v>9</v>
      </c>
      <c r="D91" t="s">
        <v>5</v>
      </c>
      <c r="E91" t="s">
        <v>17</v>
      </c>
      <c r="F91" t="s">
        <v>85</v>
      </c>
    </row>
    <row r="92" spans="1:6" x14ac:dyDescent="0.2">
      <c r="A92" t="s">
        <v>86</v>
      </c>
      <c r="B92" s="2">
        <v>5.7000000000000002E-2</v>
      </c>
      <c r="C92" t="s">
        <v>9</v>
      </c>
      <c r="D92" t="s">
        <v>5</v>
      </c>
      <c r="E92" t="s">
        <v>17</v>
      </c>
      <c r="F92" t="s">
        <v>87</v>
      </c>
    </row>
    <row r="93" spans="1:6" x14ac:dyDescent="0.2">
      <c r="A93" t="s">
        <v>88</v>
      </c>
      <c r="B93" s="2">
        <v>0.12</v>
      </c>
      <c r="C93" t="s">
        <v>9</v>
      </c>
      <c r="D93" t="s">
        <v>5</v>
      </c>
      <c r="E93" t="s">
        <v>17</v>
      </c>
      <c r="F93" t="s">
        <v>89</v>
      </c>
    </row>
    <row r="94" spans="1:6" x14ac:dyDescent="0.2">
      <c r="A94" t="s">
        <v>73</v>
      </c>
      <c r="B94" s="2">
        <v>1.4E-3</v>
      </c>
      <c r="C94" t="s">
        <v>9</v>
      </c>
      <c r="D94" t="s">
        <v>5</v>
      </c>
      <c r="E94" t="s">
        <v>17</v>
      </c>
      <c r="F94" t="s">
        <v>74</v>
      </c>
    </row>
    <row r="95" spans="1:6" x14ac:dyDescent="0.2">
      <c r="A95" t="s">
        <v>71</v>
      </c>
      <c r="B95" s="12">
        <v>2E-8</v>
      </c>
      <c r="C95" t="s">
        <v>8</v>
      </c>
      <c r="D95" t="s">
        <v>5</v>
      </c>
      <c r="E95" t="s">
        <v>17</v>
      </c>
      <c r="F95" t="s">
        <v>72</v>
      </c>
    </row>
    <row r="96" spans="1:6" x14ac:dyDescent="0.2">
      <c r="A96" t="s">
        <v>90</v>
      </c>
      <c r="B96" s="2">
        <v>0.27</v>
      </c>
      <c r="C96" t="s">
        <v>9</v>
      </c>
      <c r="D96" t="s">
        <v>5</v>
      </c>
      <c r="E96" t="s">
        <v>17</v>
      </c>
      <c r="F96" t="s">
        <v>91</v>
      </c>
    </row>
    <row r="97" spans="1:6" x14ac:dyDescent="0.2">
      <c r="A97" t="s">
        <v>92</v>
      </c>
      <c r="B97" s="2">
        <v>0.27</v>
      </c>
      <c r="C97" t="s">
        <v>9</v>
      </c>
      <c r="D97" t="s">
        <v>5</v>
      </c>
      <c r="E97" t="s">
        <v>17</v>
      </c>
      <c r="F97" t="s">
        <v>93</v>
      </c>
    </row>
    <row r="98" spans="1:6" x14ac:dyDescent="0.2">
      <c r="A98" t="s">
        <v>94</v>
      </c>
      <c r="B98" s="2">
        <v>3.2000000000000001E-2</v>
      </c>
      <c r="C98" t="s">
        <v>9</v>
      </c>
      <c r="D98" t="s">
        <v>5</v>
      </c>
      <c r="E98" t="s">
        <v>17</v>
      </c>
      <c r="F98" t="s">
        <v>95</v>
      </c>
    </row>
    <row r="99" spans="1:6" x14ac:dyDescent="0.2">
      <c r="A99" t="s">
        <v>96</v>
      </c>
      <c r="B99" s="2">
        <v>1.4546063472129301E-2</v>
      </c>
      <c r="C99" t="s">
        <v>9</v>
      </c>
      <c r="D99" t="s">
        <v>97</v>
      </c>
      <c r="E99" t="s">
        <v>17</v>
      </c>
      <c r="F99" t="s">
        <v>98</v>
      </c>
    </row>
    <row r="100" spans="1:6" x14ac:dyDescent="0.2">
      <c r="A100" t="s">
        <v>96</v>
      </c>
      <c r="B100" s="2">
        <v>2.9453936527870699E-2</v>
      </c>
      <c r="C100" t="s">
        <v>9</v>
      </c>
      <c r="D100" t="s">
        <v>28</v>
      </c>
      <c r="E100" t="s">
        <v>17</v>
      </c>
      <c r="F100" t="s">
        <v>98</v>
      </c>
    </row>
    <row r="102" spans="1:6" ht="16" x14ac:dyDescent="0.2">
      <c r="A102" s="1" t="s">
        <v>0</v>
      </c>
      <c r="B102" s="10" t="s">
        <v>75</v>
      </c>
    </row>
    <row r="103" spans="1:6" x14ac:dyDescent="0.2">
      <c r="A103" t="s">
        <v>2</v>
      </c>
      <c r="B103" s="2" t="s">
        <v>3</v>
      </c>
    </row>
    <row r="104" spans="1:6" x14ac:dyDescent="0.2">
      <c r="A104" t="s">
        <v>4</v>
      </c>
      <c r="B104" s="2" t="s">
        <v>5</v>
      </c>
    </row>
    <row r="105" spans="1:6" x14ac:dyDescent="0.2">
      <c r="A105" t="s">
        <v>6</v>
      </c>
      <c r="B105" s="2">
        <v>1</v>
      </c>
    </row>
    <row r="106" spans="1:6" x14ac:dyDescent="0.2">
      <c r="A106" t="s">
        <v>7</v>
      </c>
      <c r="B106" s="2" t="s">
        <v>75</v>
      </c>
    </row>
    <row r="107" spans="1:6" x14ac:dyDescent="0.2">
      <c r="A107" t="s">
        <v>8</v>
      </c>
      <c r="B107" s="2" t="s">
        <v>9</v>
      </c>
    </row>
    <row r="108" spans="1:6" x14ac:dyDescent="0.2">
      <c r="A108" t="s">
        <v>10</v>
      </c>
      <c r="B108" s="2" t="s">
        <v>398</v>
      </c>
    </row>
    <row r="109" spans="1:6" x14ac:dyDescent="0.2">
      <c r="A109" s="3" t="s">
        <v>11</v>
      </c>
    </row>
    <row r="110" spans="1:6" x14ac:dyDescent="0.2">
      <c r="A110" t="s">
        <v>12</v>
      </c>
      <c r="B110" s="2" t="s">
        <v>13</v>
      </c>
      <c r="C110" t="s">
        <v>8</v>
      </c>
      <c r="D110" t="s">
        <v>4</v>
      </c>
      <c r="E110" t="s">
        <v>14</v>
      </c>
      <c r="F110" t="s">
        <v>7</v>
      </c>
    </row>
    <row r="111" spans="1:6" x14ac:dyDescent="0.2">
      <c r="A111" t="s">
        <v>75</v>
      </c>
      <c r="B111" s="2">
        <v>1</v>
      </c>
      <c r="C111" t="s">
        <v>9</v>
      </c>
      <c r="D111" t="s">
        <v>5</v>
      </c>
      <c r="E111" t="s">
        <v>15</v>
      </c>
      <c r="F111" t="s">
        <v>75</v>
      </c>
    </row>
    <row r="112" spans="1:6" x14ac:dyDescent="0.2">
      <c r="A112" t="s">
        <v>71</v>
      </c>
      <c r="B112" s="12">
        <v>2E-8</v>
      </c>
      <c r="C112" t="s">
        <v>8</v>
      </c>
      <c r="D112" t="s">
        <v>5</v>
      </c>
      <c r="E112" t="s">
        <v>17</v>
      </c>
      <c r="F112" t="s">
        <v>72</v>
      </c>
    </row>
    <row r="113" spans="1:6" x14ac:dyDescent="0.2">
      <c r="A113" t="s">
        <v>36</v>
      </c>
      <c r="B113" s="2">
        <v>2.9000000000000001E-2</v>
      </c>
      <c r="C113" t="s">
        <v>9</v>
      </c>
      <c r="D113" t="s">
        <v>5</v>
      </c>
      <c r="E113" t="s">
        <v>17</v>
      </c>
      <c r="F113" t="s">
        <v>37</v>
      </c>
    </row>
    <row r="114" spans="1:6" x14ac:dyDescent="0.2">
      <c r="A114" t="s">
        <v>34</v>
      </c>
      <c r="B114" s="2">
        <v>0.97</v>
      </c>
      <c r="C114" t="s">
        <v>9</v>
      </c>
      <c r="D114" t="s">
        <v>5</v>
      </c>
      <c r="E114" t="s">
        <v>17</v>
      </c>
      <c r="F114" t="s">
        <v>35</v>
      </c>
    </row>
    <row r="115" spans="1:6" x14ac:dyDescent="0.2">
      <c r="A115" t="s">
        <v>99</v>
      </c>
      <c r="B115" s="2">
        <v>9.5871781975397797E-3</v>
      </c>
      <c r="C115" t="s">
        <v>9</v>
      </c>
      <c r="D115" t="s">
        <v>97</v>
      </c>
      <c r="E115" t="s">
        <v>17</v>
      </c>
      <c r="F115" t="s">
        <v>100</v>
      </c>
    </row>
    <row r="116" spans="1:6" x14ac:dyDescent="0.2">
      <c r="A116" t="s">
        <v>99</v>
      </c>
      <c r="B116" s="2">
        <v>1.9412821802460199E-2</v>
      </c>
      <c r="C116" t="s">
        <v>9</v>
      </c>
      <c r="D116" t="s">
        <v>28</v>
      </c>
      <c r="E116" t="s">
        <v>17</v>
      </c>
      <c r="F116" t="s">
        <v>100</v>
      </c>
    </row>
    <row r="118" spans="1:6" ht="16" x14ac:dyDescent="0.2">
      <c r="A118" s="1" t="s">
        <v>0</v>
      </c>
      <c r="B118" s="10" t="s">
        <v>66</v>
      </c>
    </row>
    <row r="119" spans="1:6" x14ac:dyDescent="0.2">
      <c r="A119" t="s">
        <v>2</v>
      </c>
      <c r="B119" s="2" t="s">
        <v>3</v>
      </c>
    </row>
    <row r="120" spans="1:6" x14ac:dyDescent="0.2">
      <c r="A120" t="s">
        <v>4</v>
      </c>
      <c r="B120" s="2" t="s">
        <v>5</v>
      </c>
    </row>
    <row r="121" spans="1:6" x14ac:dyDescent="0.2">
      <c r="A121" t="s">
        <v>6</v>
      </c>
      <c r="B121" s="2">
        <v>1</v>
      </c>
    </row>
    <row r="122" spans="1:6" x14ac:dyDescent="0.2">
      <c r="A122" t="s">
        <v>7</v>
      </c>
      <c r="B122" s="2" t="s">
        <v>24</v>
      </c>
    </row>
    <row r="123" spans="1:6" x14ac:dyDescent="0.2">
      <c r="A123" t="s">
        <v>8</v>
      </c>
      <c r="B123" s="2" t="s">
        <v>9</v>
      </c>
    </row>
    <row r="124" spans="1:6" x14ac:dyDescent="0.2">
      <c r="A124" t="s">
        <v>10</v>
      </c>
      <c r="B124" s="2" t="s">
        <v>101</v>
      </c>
    </row>
    <row r="125" spans="1:6" x14ac:dyDescent="0.2">
      <c r="A125" s="3" t="s">
        <v>11</v>
      </c>
    </row>
    <row r="126" spans="1:6" x14ac:dyDescent="0.2">
      <c r="A126" t="s">
        <v>12</v>
      </c>
      <c r="B126" s="2" t="s">
        <v>13</v>
      </c>
      <c r="C126" t="s">
        <v>8</v>
      </c>
      <c r="D126" t="s">
        <v>4</v>
      </c>
      <c r="E126" t="s">
        <v>14</v>
      </c>
      <c r="F126" t="s">
        <v>7</v>
      </c>
    </row>
    <row r="127" spans="1:6" x14ac:dyDescent="0.2">
      <c r="A127" t="s">
        <v>66</v>
      </c>
      <c r="B127" s="2">
        <v>1</v>
      </c>
      <c r="C127" t="s">
        <v>9</v>
      </c>
      <c r="D127" t="s">
        <v>5</v>
      </c>
      <c r="E127" t="s">
        <v>15</v>
      </c>
      <c r="F127" t="s">
        <v>24</v>
      </c>
    </row>
    <row r="128" spans="1:6" x14ac:dyDescent="0.2">
      <c r="A128" t="s">
        <v>102</v>
      </c>
      <c r="B128" s="11">
        <v>5.7000000000000002E-3</v>
      </c>
      <c r="C128" t="s">
        <v>9</v>
      </c>
      <c r="D128" t="s">
        <v>5</v>
      </c>
      <c r="E128" t="s">
        <v>17</v>
      </c>
      <c r="F128" t="s">
        <v>103</v>
      </c>
    </row>
    <row r="129" spans="1:6" x14ac:dyDescent="0.2">
      <c r="A129" t="s">
        <v>73</v>
      </c>
      <c r="B129" s="11">
        <v>0.85</v>
      </c>
      <c r="C129" t="s">
        <v>9</v>
      </c>
      <c r="D129" t="s">
        <v>5</v>
      </c>
      <c r="E129" t="s">
        <v>17</v>
      </c>
      <c r="F129" t="s">
        <v>74</v>
      </c>
    </row>
    <row r="130" spans="1:6" x14ac:dyDescent="0.2">
      <c r="A130" t="s">
        <v>86</v>
      </c>
      <c r="B130" s="11">
        <v>6.7999999999999996E-3</v>
      </c>
      <c r="C130" t="s">
        <v>9</v>
      </c>
      <c r="D130" t="s">
        <v>5</v>
      </c>
      <c r="E130" t="s">
        <v>17</v>
      </c>
      <c r="F130" t="s">
        <v>87</v>
      </c>
    </row>
    <row r="131" spans="1:6" x14ac:dyDescent="0.2">
      <c r="A131" t="s">
        <v>104</v>
      </c>
      <c r="B131" s="11">
        <v>2.1000000000000001E-2</v>
      </c>
      <c r="C131" t="s">
        <v>9</v>
      </c>
      <c r="D131" t="s">
        <v>5</v>
      </c>
      <c r="E131" t="s">
        <v>17</v>
      </c>
      <c r="F131" t="s">
        <v>105</v>
      </c>
    </row>
    <row r="132" spans="1:6" x14ac:dyDescent="0.2">
      <c r="A132" t="s">
        <v>106</v>
      </c>
      <c r="B132" s="11">
        <v>2.0000000000000001E-4</v>
      </c>
      <c r="C132" t="s">
        <v>9</v>
      </c>
      <c r="D132" t="s">
        <v>5</v>
      </c>
      <c r="E132" t="s">
        <v>17</v>
      </c>
      <c r="F132" t="s">
        <v>107</v>
      </c>
    </row>
    <row r="133" spans="1:6" x14ac:dyDescent="0.2">
      <c r="A133" t="s">
        <v>36</v>
      </c>
      <c r="B133" s="11">
        <v>8.8999999999999999E-3</v>
      </c>
      <c r="C133" t="s">
        <v>9</v>
      </c>
      <c r="D133" t="s">
        <v>5</v>
      </c>
      <c r="E133" t="s">
        <v>17</v>
      </c>
      <c r="F133" t="s">
        <v>37</v>
      </c>
    </row>
    <row r="134" spans="1:6" x14ac:dyDescent="0.2">
      <c r="A134" t="s">
        <v>71</v>
      </c>
      <c r="B134" s="11">
        <v>2E-8</v>
      </c>
      <c r="C134" t="s">
        <v>8</v>
      </c>
      <c r="D134" t="s">
        <v>5</v>
      </c>
      <c r="E134" t="s">
        <v>17</v>
      </c>
      <c r="F134" t="s">
        <v>72</v>
      </c>
    </row>
    <row r="135" spans="1:6" x14ac:dyDescent="0.2">
      <c r="A135" t="s">
        <v>108</v>
      </c>
      <c r="B135" s="11">
        <v>1.7E-5</v>
      </c>
      <c r="C135" t="s">
        <v>9</v>
      </c>
      <c r="D135" t="s">
        <v>5</v>
      </c>
      <c r="E135" t="s">
        <v>17</v>
      </c>
      <c r="F135" t="s">
        <v>109</v>
      </c>
    </row>
    <row r="136" spans="1:6" x14ac:dyDescent="0.2">
      <c r="A136" t="s">
        <v>68</v>
      </c>
      <c r="B136" s="11">
        <v>0.85</v>
      </c>
      <c r="C136" t="s">
        <v>9</v>
      </c>
      <c r="D136" t="s">
        <v>5</v>
      </c>
      <c r="E136" t="s">
        <v>17</v>
      </c>
      <c r="F136" t="s">
        <v>69</v>
      </c>
    </row>
    <row r="137" spans="1:6" x14ac:dyDescent="0.2">
      <c r="A137" t="s">
        <v>76</v>
      </c>
      <c r="B137" s="11">
        <v>0.11</v>
      </c>
      <c r="C137" t="s">
        <v>9</v>
      </c>
      <c r="D137" t="s">
        <v>5</v>
      </c>
      <c r="E137" t="s">
        <v>17</v>
      </c>
      <c r="F137" t="s">
        <v>77</v>
      </c>
    </row>
    <row r="138" spans="1:6" x14ac:dyDescent="0.2">
      <c r="A138" t="s">
        <v>110</v>
      </c>
      <c r="B138" s="11">
        <v>2.8500000000000002E-5</v>
      </c>
      <c r="C138" t="s">
        <v>9</v>
      </c>
      <c r="D138" t="s">
        <v>111</v>
      </c>
      <c r="E138" t="s">
        <v>17</v>
      </c>
      <c r="F138" t="s">
        <v>112</v>
      </c>
    </row>
    <row r="139" spans="1:6" x14ac:dyDescent="0.2">
      <c r="A139" t="s">
        <v>110</v>
      </c>
      <c r="B139" s="11">
        <v>5.6715000000000003E-3</v>
      </c>
      <c r="C139" t="s">
        <v>9</v>
      </c>
      <c r="D139" t="s">
        <v>28</v>
      </c>
      <c r="E139" t="s">
        <v>17</v>
      </c>
      <c r="F139" t="s">
        <v>112</v>
      </c>
    </row>
    <row r="140" spans="1:6" x14ac:dyDescent="0.2">
      <c r="A140" t="s">
        <v>99</v>
      </c>
      <c r="B140" s="11">
        <v>6.2812546811467495E-4</v>
      </c>
      <c r="C140" t="s">
        <v>9</v>
      </c>
      <c r="D140" t="s">
        <v>97</v>
      </c>
      <c r="E140" t="s">
        <v>17</v>
      </c>
      <c r="F140" t="s">
        <v>100</v>
      </c>
    </row>
    <row r="141" spans="1:6" x14ac:dyDescent="0.2">
      <c r="A141" t="s">
        <v>99</v>
      </c>
      <c r="B141" s="11">
        <v>1.27187453188532E-3</v>
      </c>
      <c r="C141" t="s">
        <v>9</v>
      </c>
      <c r="D141" t="s">
        <v>28</v>
      </c>
      <c r="E141" t="s">
        <v>17</v>
      </c>
      <c r="F141" t="s">
        <v>100</v>
      </c>
    </row>
    <row r="143" spans="1:6" ht="16" x14ac:dyDescent="0.2">
      <c r="A143" s="1" t="s">
        <v>0</v>
      </c>
      <c r="B143" s="10" t="s">
        <v>113</v>
      </c>
    </row>
    <row r="144" spans="1:6" x14ac:dyDescent="0.2">
      <c r="A144" t="s">
        <v>2</v>
      </c>
      <c r="B144" s="2" t="s">
        <v>3</v>
      </c>
    </row>
    <row r="145" spans="1:6" x14ac:dyDescent="0.2">
      <c r="A145" t="s">
        <v>4</v>
      </c>
      <c r="B145" s="2" t="s">
        <v>5</v>
      </c>
    </row>
    <row r="146" spans="1:6" x14ac:dyDescent="0.2">
      <c r="A146" t="s">
        <v>6</v>
      </c>
      <c r="B146" s="2">
        <v>1</v>
      </c>
    </row>
    <row r="147" spans="1:6" x14ac:dyDescent="0.2">
      <c r="A147" t="s">
        <v>7</v>
      </c>
      <c r="B147" s="2" t="s">
        <v>114</v>
      </c>
    </row>
    <row r="148" spans="1:6" x14ac:dyDescent="0.2">
      <c r="A148" t="s">
        <v>8</v>
      </c>
      <c r="B148" s="2" t="s">
        <v>9</v>
      </c>
    </row>
    <row r="149" spans="1:6" x14ac:dyDescent="0.2">
      <c r="A149" t="s">
        <v>10</v>
      </c>
      <c r="B149" s="2" t="s">
        <v>398</v>
      </c>
    </row>
    <row r="150" spans="1:6" x14ac:dyDescent="0.2">
      <c r="A150" s="3" t="s">
        <v>11</v>
      </c>
    </row>
    <row r="151" spans="1:6" x14ac:dyDescent="0.2">
      <c r="A151" t="s">
        <v>12</v>
      </c>
      <c r="B151" s="2" t="s">
        <v>13</v>
      </c>
      <c r="C151" t="s">
        <v>8</v>
      </c>
      <c r="D151" t="s">
        <v>4</v>
      </c>
      <c r="E151" t="s">
        <v>14</v>
      </c>
      <c r="F151" t="s">
        <v>7</v>
      </c>
    </row>
    <row r="152" spans="1:6" x14ac:dyDescent="0.2">
      <c r="A152" t="s">
        <v>113</v>
      </c>
      <c r="B152" s="2">
        <v>1</v>
      </c>
      <c r="C152" t="s">
        <v>9</v>
      </c>
      <c r="D152" t="s">
        <v>5</v>
      </c>
      <c r="E152" t="s">
        <v>15</v>
      </c>
      <c r="F152" t="s">
        <v>114</v>
      </c>
    </row>
    <row r="153" spans="1:6" x14ac:dyDescent="0.2">
      <c r="A153" t="s">
        <v>115</v>
      </c>
      <c r="B153" s="11">
        <v>12.51</v>
      </c>
      <c r="C153" t="s">
        <v>116</v>
      </c>
      <c r="D153" t="s">
        <v>28</v>
      </c>
      <c r="E153" t="s">
        <v>17</v>
      </c>
      <c r="F153" t="s">
        <v>117</v>
      </c>
    </row>
    <row r="154" spans="1:6" x14ac:dyDescent="0.2">
      <c r="A154" t="s">
        <v>46</v>
      </c>
      <c r="B154" s="11">
        <v>1.1875</v>
      </c>
      <c r="C154" t="s">
        <v>47</v>
      </c>
      <c r="D154" t="s">
        <v>5</v>
      </c>
      <c r="E154" t="s">
        <v>17</v>
      </c>
      <c r="F154" t="s">
        <v>48</v>
      </c>
    </row>
    <row r="155" spans="1:6" x14ac:dyDescent="0.2">
      <c r="A155" t="s">
        <v>118</v>
      </c>
      <c r="B155" s="11">
        <v>0.41</v>
      </c>
      <c r="C155" t="s">
        <v>9</v>
      </c>
      <c r="D155" t="s">
        <v>5</v>
      </c>
      <c r="E155" t="s">
        <v>17</v>
      </c>
      <c r="F155" t="s">
        <v>118</v>
      </c>
    </row>
    <row r="156" spans="1:6" x14ac:dyDescent="0.2">
      <c r="A156" t="s">
        <v>119</v>
      </c>
      <c r="B156" s="11">
        <v>0.2</v>
      </c>
      <c r="C156" t="s">
        <v>9</v>
      </c>
      <c r="D156" t="s">
        <v>5</v>
      </c>
      <c r="E156" t="s">
        <v>17</v>
      </c>
      <c r="F156" t="s">
        <v>119</v>
      </c>
    </row>
    <row r="157" spans="1:6" x14ac:dyDescent="0.2">
      <c r="A157" t="s">
        <v>120</v>
      </c>
      <c r="B157" s="11">
        <v>0.14599999999999999</v>
      </c>
      <c r="C157" t="s">
        <v>9</v>
      </c>
      <c r="D157" t="s">
        <v>5</v>
      </c>
      <c r="E157" t="s">
        <v>17</v>
      </c>
      <c r="F157" t="s">
        <v>120</v>
      </c>
    </row>
    <row r="158" spans="1:6" x14ac:dyDescent="0.2">
      <c r="A158" t="s">
        <v>121</v>
      </c>
      <c r="B158" s="11">
        <v>0.12</v>
      </c>
      <c r="C158" t="s">
        <v>9</v>
      </c>
      <c r="D158" t="s">
        <v>5</v>
      </c>
      <c r="E158" t="s">
        <v>17</v>
      </c>
      <c r="F158" t="s">
        <v>121</v>
      </c>
    </row>
    <row r="159" spans="1:6" x14ac:dyDescent="0.2">
      <c r="A159" t="s">
        <v>44</v>
      </c>
      <c r="B159" s="11">
        <v>3.3500000000000002E-2</v>
      </c>
      <c r="C159" t="s">
        <v>9</v>
      </c>
      <c r="D159" t="s">
        <v>5</v>
      </c>
      <c r="E159" t="s">
        <v>17</v>
      </c>
      <c r="F159" t="s">
        <v>45</v>
      </c>
    </row>
    <row r="160" spans="1:6" x14ac:dyDescent="0.2">
      <c r="A160" t="s">
        <v>42</v>
      </c>
      <c r="B160" s="11">
        <v>3.3500000000000002E-2</v>
      </c>
      <c r="C160" t="s">
        <v>9</v>
      </c>
      <c r="D160" t="s">
        <v>5</v>
      </c>
      <c r="E160" t="s">
        <v>17</v>
      </c>
      <c r="F160" t="s">
        <v>43</v>
      </c>
    </row>
    <row r="161" spans="1:6" x14ac:dyDescent="0.2">
      <c r="A161" t="s">
        <v>122</v>
      </c>
      <c r="B161" s="11">
        <v>0.03</v>
      </c>
      <c r="C161" t="s">
        <v>9</v>
      </c>
      <c r="D161" t="s">
        <v>5</v>
      </c>
      <c r="E161" t="s">
        <v>17</v>
      </c>
      <c r="F161" t="s">
        <v>122</v>
      </c>
    </row>
    <row r="162" spans="1:6" x14ac:dyDescent="0.2">
      <c r="A162" t="s">
        <v>16</v>
      </c>
      <c r="B162" s="11">
        <v>2.8299999999999999E-2</v>
      </c>
      <c r="C162" t="s">
        <v>9</v>
      </c>
      <c r="D162" t="s">
        <v>5</v>
      </c>
      <c r="E162" t="s">
        <v>17</v>
      </c>
      <c r="F162" t="s">
        <v>18</v>
      </c>
    </row>
    <row r="163" spans="1:6" x14ac:dyDescent="0.2">
      <c r="A163" t="s">
        <v>40</v>
      </c>
      <c r="B163" s="11">
        <v>2.8299999999999999E-2</v>
      </c>
      <c r="C163" t="s">
        <v>9</v>
      </c>
      <c r="D163" t="s">
        <v>5</v>
      </c>
      <c r="E163" t="s">
        <v>17</v>
      </c>
      <c r="F163" t="s">
        <v>41</v>
      </c>
    </row>
    <row r="164" spans="1:6" x14ac:dyDescent="0.2">
      <c r="A164" t="s">
        <v>123</v>
      </c>
      <c r="B164" s="11">
        <v>0.02</v>
      </c>
      <c r="C164" t="s">
        <v>9</v>
      </c>
      <c r="D164" t="s">
        <v>5</v>
      </c>
      <c r="E164" t="s">
        <v>17</v>
      </c>
      <c r="F164" t="s">
        <v>123</v>
      </c>
    </row>
    <row r="165" spans="1:6" x14ac:dyDescent="0.2">
      <c r="A165" t="s">
        <v>64</v>
      </c>
      <c r="B165" s="11">
        <v>4.1000000000000003E-3</v>
      </c>
      <c r="C165" t="s">
        <v>9</v>
      </c>
      <c r="D165" t="s">
        <v>5</v>
      </c>
      <c r="E165" t="s">
        <v>17</v>
      </c>
      <c r="F165" t="s">
        <v>65</v>
      </c>
    </row>
    <row r="166" spans="1:6" x14ac:dyDescent="0.2">
      <c r="A166" t="s">
        <v>86</v>
      </c>
      <c r="B166" s="11">
        <v>2.8E-3</v>
      </c>
      <c r="C166" t="s">
        <v>9</v>
      </c>
      <c r="D166" t="s">
        <v>5</v>
      </c>
      <c r="E166" t="s">
        <v>17</v>
      </c>
      <c r="F166" t="s">
        <v>87</v>
      </c>
    </row>
    <row r="167" spans="1:6" x14ac:dyDescent="0.2">
      <c r="A167" t="s">
        <v>124</v>
      </c>
      <c r="B167" s="11">
        <v>1.2999999999999999E-3</v>
      </c>
      <c r="C167" t="s">
        <v>9</v>
      </c>
      <c r="D167" t="s">
        <v>5</v>
      </c>
      <c r="E167" t="s">
        <v>17</v>
      </c>
      <c r="F167" t="s">
        <v>125</v>
      </c>
    </row>
    <row r="168" spans="1:6" x14ac:dyDescent="0.2">
      <c r="A168" t="s">
        <v>126</v>
      </c>
      <c r="B168" s="12">
        <v>4.0000000000000001E-10</v>
      </c>
      <c r="C168" t="s">
        <v>8</v>
      </c>
      <c r="D168" t="s">
        <v>5</v>
      </c>
      <c r="E168" t="s">
        <v>17</v>
      </c>
      <c r="F168" t="s">
        <v>127</v>
      </c>
    </row>
    <row r="170" spans="1:6" ht="16" x14ac:dyDescent="0.2">
      <c r="A170" s="1" t="s">
        <v>0</v>
      </c>
      <c r="B170" s="10" t="s">
        <v>118</v>
      </c>
    </row>
    <row r="171" spans="1:6" x14ac:dyDescent="0.2">
      <c r="A171" t="s">
        <v>2</v>
      </c>
      <c r="B171" s="2" t="s">
        <v>3</v>
      </c>
    </row>
    <row r="172" spans="1:6" x14ac:dyDescent="0.2">
      <c r="A172" t="s">
        <v>4</v>
      </c>
      <c r="B172" s="2" t="s">
        <v>5</v>
      </c>
    </row>
    <row r="173" spans="1:6" x14ac:dyDescent="0.2">
      <c r="A173" t="s">
        <v>6</v>
      </c>
      <c r="B173" s="2">
        <v>1</v>
      </c>
    </row>
    <row r="174" spans="1:6" x14ac:dyDescent="0.2">
      <c r="A174" t="s">
        <v>7</v>
      </c>
      <c r="B174" s="2" t="s">
        <v>118</v>
      </c>
    </row>
    <row r="175" spans="1:6" x14ac:dyDescent="0.2">
      <c r="A175" t="s">
        <v>8</v>
      </c>
      <c r="B175" s="2" t="s">
        <v>9</v>
      </c>
    </row>
    <row r="176" spans="1:6" x14ac:dyDescent="0.2">
      <c r="A176" t="s">
        <v>10</v>
      </c>
      <c r="B176" s="2" t="s">
        <v>398</v>
      </c>
    </row>
    <row r="177" spans="1:7" x14ac:dyDescent="0.2">
      <c r="A177" s="3" t="s">
        <v>11</v>
      </c>
    </row>
    <row r="178" spans="1:7" x14ac:dyDescent="0.2">
      <c r="A178" t="s">
        <v>12</v>
      </c>
      <c r="B178" s="2" t="s">
        <v>13</v>
      </c>
      <c r="C178" t="s">
        <v>8</v>
      </c>
      <c r="D178" t="s">
        <v>4</v>
      </c>
      <c r="E178" t="s">
        <v>14</v>
      </c>
      <c r="F178" t="s">
        <v>7</v>
      </c>
    </row>
    <row r="179" spans="1:7" x14ac:dyDescent="0.2">
      <c r="A179" t="s">
        <v>118</v>
      </c>
      <c r="B179" s="2">
        <v>1</v>
      </c>
      <c r="C179" t="s">
        <v>9</v>
      </c>
      <c r="D179" t="s">
        <v>5</v>
      </c>
      <c r="E179" t="s">
        <v>15</v>
      </c>
      <c r="F179" t="s">
        <v>118</v>
      </c>
    </row>
    <row r="180" spans="1:7" x14ac:dyDescent="0.2">
      <c r="A180" t="s">
        <v>128</v>
      </c>
      <c r="B180" s="11">
        <v>2.7744750000000002E-3</v>
      </c>
      <c r="C180" t="s">
        <v>54</v>
      </c>
      <c r="D180" t="s">
        <v>28</v>
      </c>
      <c r="E180" t="s">
        <v>17</v>
      </c>
      <c r="F180" t="s">
        <v>61</v>
      </c>
    </row>
    <row r="181" spans="1:7" x14ac:dyDescent="0.2">
      <c r="A181" t="s">
        <v>56</v>
      </c>
      <c r="B181" s="11">
        <v>5.9188796000000002E-2</v>
      </c>
      <c r="C181" t="s">
        <v>54</v>
      </c>
      <c r="D181" t="s">
        <v>28</v>
      </c>
      <c r="E181" t="s">
        <v>17</v>
      </c>
      <c r="F181" t="s">
        <v>57</v>
      </c>
    </row>
    <row r="182" spans="1:7" x14ac:dyDescent="0.2">
      <c r="A182" t="s">
        <v>62</v>
      </c>
      <c r="B182" s="11">
        <v>0.20568106799999999</v>
      </c>
      <c r="C182" t="s">
        <v>54</v>
      </c>
      <c r="D182" t="s">
        <v>5</v>
      </c>
      <c r="E182" t="s">
        <v>17</v>
      </c>
      <c r="F182" t="s">
        <v>63</v>
      </c>
    </row>
    <row r="183" spans="1:7" x14ac:dyDescent="0.2">
      <c r="A183" t="s">
        <v>46</v>
      </c>
      <c r="B183" s="11">
        <v>0.440587837837838</v>
      </c>
      <c r="C183" t="s">
        <v>47</v>
      </c>
      <c r="D183" t="s">
        <v>5</v>
      </c>
      <c r="E183" t="s">
        <v>17</v>
      </c>
      <c r="F183" t="s">
        <v>48</v>
      </c>
    </row>
    <row r="184" spans="1:7" x14ac:dyDescent="0.2">
      <c r="A184" t="s">
        <v>129</v>
      </c>
      <c r="B184" s="11">
        <v>2.5000000000000001E-2</v>
      </c>
      <c r="C184" t="s">
        <v>9</v>
      </c>
      <c r="D184" t="s">
        <v>5</v>
      </c>
      <c r="E184" t="s">
        <v>17</v>
      </c>
      <c r="F184" t="s">
        <v>130</v>
      </c>
    </row>
    <row r="185" spans="1:7" x14ac:dyDescent="0.2">
      <c r="A185" t="s">
        <v>131</v>
      </c>
      <c r="B185" s="11">
        <v>2.5000000000000001E-2</v>
      </c>
      <c r="C185" t="s">
        <v>9</v>
      </c>
      <c r="D185" t="s">
        <v>5</v>
      </c>
      <c r="E185" t="s">
        <v>17</v>
      </c>
      <c r="F185" t="s">
        <v>132</v>
      </c>
    </row>
    <row r="186" spans="1:7" x14ac:dyDescent="0.2">
      <c r="A186" t="s">
        <v>115</v>
      </c>
      <c r="B186" s="11">
        <v>25.864634146341501</v>
      </c>
      <c r="C186" t="s">
        <v>116</v>
      </c>
      <c r="D186" t="s">
        <v>28</v>
      </c>
      <c r="E186" t="s">
        <v>17</v>
      </c>
      <c r="F186" t="s">
        <v>117</v>
      </c>
    </row>
    <row r="187" spans="1:7" x14ac:dyDescent="0.2">
      <c r="A187" t="s">
        <v>133</v>
      </c>
      <c r="B187" s="11">
        <v>5.5999999999999999E-3</v>
      </c>
      <c r="C187" t="s">
        <v>9</v>
      </c>
      <c r="D187" t="s">
        <v>5</v>
      </c>
      <c r="E187" t="s">
        <v>17</v>
      </c>
      <c r="F187" t="s">
        <v>134</v>
      </c>
    </row>
    <row r="188" spans="1:7" x14ac:dyDescent="0.2">
      <c r="A188" t="s">
        <v>126</v>
      </c>
      <c r="B188" s="12">
        <v>4.0000000000000001E-10</v>
      </c>
      <c r="C188" t="s">
        <v>8</v>
      </c>
      <c r="D188" t="s">
        <v>5</v>
      </c>
      <c r="E188" t="s">
        <v>17</v>
      </c>
      <c r="F188" t="s">
        <v>127</v>
      </c>
      <c r="G188" s="4"/>
    </row>
    <row r="189" spans="1:7" x14ac:dyDescent="0.2">
      <c r="A189" t="s">
        <v>135</v>
      </c>
      <c r="B189" s="11">
        <v>0.95</v>
      </c>
      <c r="C189" t="s">
        <v>9</v>
      </c>
      <c r="D189" t="s">
        <v>5</v>
      </c>
      <c r="E189" t="s">
        <v>17</v>
      </c>
      <c r="F189" t="s">
        <v>135</v>
      </c>
    </row>
    <row r="191" spans="1:7" ht="16" x14ac:dyDescent="0.2">
      <c r="A191" s="1" t="s">
        <v>0</v>
      </c>
      <c r="B191" s="10" t="s">
        <v>135</v>
      </c>
    </row>
    <row r="192" spans="1:7" x14ac:dyDescent="0.2">
      <c r="A192" t="s">
        <v>2</v>
      </c>
      <c r="B192" s="2" t="s">
        <v>3</v>
      </c>
    </row>
    <row r="193" spans="1:7" x14ac:dyDescent="0.2">
      <c r="A193" t="s">
        <v>4</v>
      </c>
      <c r="B193" s="2" t="s">
        <v>5</v>
      </c>
    </row>
    <row r="194" spans="1:7" x14ac:dyDescent="0.2">
      <c r="A194" t="s">
        <v>6</v>
      </c>
      <c r="B194" s="2">
        <v>1</v>
      </c>
    </row>
    <row r="195" spans="1:7" x14ac:dyDescent="0.2">
      <c r="A195" t="s">
        <v>7</v>
      </c>
      <c r="B195" s="2" t="s">
        <v>135</v>
      </c>
    </row>
    <row r="196" spans="1:7" x14ac:dyDescent="0.2">
      <c r="A196" t="s">
        <v>8</v>
      </c>
      <c r="B196" s="2" t="s">
        <v>9</v>
      </c>
    </row>
    <row r="197" spans="1:7" x14ac:dyDescent="0.2">
      <c r="A197" t="s">
        <v>10</v>
      </c>
      <c r="B197" s="2" t="s">
        <v>398</v>
      </c>
    </row>
    <row r="198" spans="1:7" x14ac:dyDescent="0.2">
      <c r="A198" s="3" t="s">
        <v>11</v>
      </c>
    </row>
    <row r="199" spans="1:7" x14ac:dyDescent="0.2">
      <c r="A199" t="s">
        <v>12</v>
      </c>
      <c r="B199" s="2" t="s">
        <v>13</v>
      </c>
      <c r="C199" t="s">
        <v>8</v>
      </c>
      <c r="D199" t="s">
        <v>136</v>
      </c>
      <c r="E199" t="s">
        <v>4</v>
      </c>
      <c r="F199" t="s">
        <v>14</v>
      </c>
      <c r="G199" t="s">
        <v>7</v>
      </c>
    </row>
    <row r="200" spans="1:7" x14ac:dyDescent="0.2">
      <c r="A200" t="s">
        <v>135</v>
      </c>
      <c r="B200" s="2">
        <v>1</v>
      </c>
      <c r="C200" t="s">
        <v>9</v>
      </c>
      <c r="E200" t="s">
        <v>5</v>
      </c>
      <c r="F200" t="s">
        <v>15</v>
      </c>
      <c r="G200" t="s">
        <v>135</v>
      </c>
    </row>
    <row r="201" spans="1:7" x14ac:dyDescent="0.2">
      <c r="A201" t="s">
        <v>128</v>
      </c>
      <c r="B201" s="13">
        <v>3.2859232000000002E-2</v>
      </c>
      <c r="C201" t="s">
        <v>54</v>
      </c>
      <c r="E201" t="s">
        <v>28</v>
      </c>
      <c r="F201" t="s">
        <v>17</v>
      </c>
      <c r="G201" t="s">
        <v>61</v>
      </c>
    </row>
    <row r="202" spans="1:7" x14ac:dyDescent="0.2">
      <c r="A202" t="s">
        <v>137</v>
      </c>
      <c r="B202" s="13">
        <v>2.6585139999999998E-3</v>
      </c>
      <c r="C202" t="s">
        <v>54</v>
      </c>
      <c r="E202" t="s">
        <v>28</v>
      </c>
      <c r="F202" t="s">
        <v>17</v>
      </c>
      <c r="G202" t="s">
        <v>138</v>
      </c>
    </row>
    <row r="203" spans="1:7" x14ac:dyDescent="0.2">
      <c r="A203" t="s">
        <v>62</v>
      </c>
      <c r="B203" s="13">
        <v>6.3697992999999994E-2</v>
      </c>
      <c r="C203" t="s">
        <v>54</v>
      </c>
      <c r="E203" t="s">
        <v>5</v>
      </c>
      <c r="F203" t="s">
        <v>17</v>
      </c>
      <c r="G203" t="s">
        <v>63</v>
      </c>
    </row>
    <row r="204" spans="1:7" x14ac:dyDescent="0.2">
      <c r="A204" t="s">
        <v>56</v>
      </c>
      <c r="B204" s="13">
        <v>2.2225175999999999E-2</v>
      </c>
      <c r="C204" t="s">
        <v>54</v>
      </c>
      <c r="E204" t="s">
        <v>28</v>
      </c>
      <c r="F204" t="s">
        <v>17</v>
      </c>
      <c r="G204" t="s">
        <v>57</v>
      </c>
    </row>
    <row r="205" spans="1:7" x14ac:dyDescent="0.2">
      <c r="A205" t="s">
        <v>46</v>
      </c>
      <c r="B205" s="13">
        <v>6.8736953390000002</v>
      </c>
      <c r="C205" t="s">
        <v>47</v>
      </c>
      <c r="E205" t="s">
        <v>5</v>
      </c>
      <c r="F205" t="s">
        <v>17</v>
      </c>
      <c r="G205" t="s">
        <v>48</v>
      </c>
    </row>
    <row r="206" spans="1:7" x14ac:dyDescent="0.2">
      <c r="A206" t="s">
        <v>139</v>
      </c>
      <c r="B206" s="13">
        <v>0.38300000000000001</v>
      </c>
      <c r="C206" t="s">
        <v>9</v>
      </c>
      <c r="E206" t="s">
        <v>5</v>
      </c>
      <c r="F206" t="s">
        <v>17</v>
      </c>
      <c r="G206" t="s">
        <v>140</v>
      </c>
    </row>
    <row r="207" spans="1:7" x14ac:dyDescent="0.2">
      <c r="A207" t="s">
        <v>141</v>
      </c>
      <c r="B207" s="13">
        <v>0.94899999999999995</v>
      </c>
      <c r="C207" t="s">
        <v>9</v>
      </c>
      <c r="E207" t="s">
        <v>5</v>
      </c>
      <c r="F207" t="s">
        <v>17</v>
      </c>
      <c r="G207" t="s">
        <v>141</v>
      </c>
    </row>
    <row r="208" spans="1:7" x14ac:dyDescent="0.2">
      <c r="A208" t="s">
        <v>126</v>
      </c>
      <c r="B208" s="12">
        <v>7.4100000000000003E-10</v>
      </c>
      <c r="C208" t="s">
        <v>8</v>
      </c>
      <c r="E208" t="s">
        <v>5</v>
      </c>
      <c r="F208" t="s">
        <v>17</v>
      </c>
      <c r="G208" t="s">
        <v>127</v>
      </c>
    </row>
    <row r="209" spans="1:7" x14ac:dyDescent="0.2">
      <c r="A209" t="s">
        <v>142</v>
      </c>
      <c r="B209" s="11">
        <v>0.20699999999999999</v>
      </c>
      <c r="C209" t="s">
        <v>9</v>
      </c>
      <c r="D209" t="s">
        <v>143</v>
      </c>
      <c r="F209" t="s">
        <v>144</v>
      </c>
    </row>
    <row r="210" spans="1:7" x14ac:dyDescent="0.2">
      <c r="A210" t="s">
        <v>145</v>
      </c>
      <c r="B210" s="11">
        <v>1.2504399999999999E-4</v>
      </c>
      <c r="C210" t="s">
        <v>146</v>
      </c>
      <c r="D210" t="s">
        <v>147</v>
      </c>
      <c r="F210" t="s">
        <v>144</v>
      </c>
    </row>
    <row r="211" spans="1:7" x14ac:dyDescent="0.2">
      <c r="G211" s="4"/>
    </row>
    <row r="212" spans="1:7" ht="16" x14ac:dyDescent="0.2">
      <c r="A212" s="1" t="s">
        <v>0</v>
      </c>
      <c r="B212" s="10" t="s">
        <v>141</v>
      </c>
    </row>
    <row r="213" spans="1:7" x14ac:dyDescent="0.2">
      <c r="A213" t="s">
        <v>2</v>
      </c>
      <c r="B213" s="2" t="s">
        <v>3</v>
      </c>
    </row>
    <row r="214" spans="1:7" x14ac:dyDescent="0.2">
      <c r="A214" t="s">
        <v>4</v>
      </c>
      <c r="B214" s="2" t="s">
        <v>5</v>
      </c>
    </row>
    <row r="215" spans="1:7" x14ac:dyDescent="0.2">
      <c r="A215" t="s">
        <v>6</v>
      </c>
      <c r="B215" s="2">
        <v>1</v>
      </c>
    </row>
    <row r="216" spans="1:7" x14ac:dyDescent="0.2">
      <c r="A216" t="s">
        <v>7</v>
      </c>
      <c r="B216" s="2" t="s">
        <v>141</v>
      </c>
    </row>
    <row r="217" spans="1:7" x14ac:dyDescent="0.2">
      <c r="A217" t="s">
        <v>8</v>
      </c>
      <c r="B217" s="2" t="s">
        <v>9</v>
      </c>
    </row>
    <row r="218" spans="1:7" x14ac:dyDescent="0.2">
      <c r="A218" t="s">
        <v>10</v>
      </c>
      <c r="B218" s="2" t="s">
        <v>398</v>
      </c>
    </row>
    <row r="219" spans="1:7" x14ac:dyDescent="0.2">
      <c r="A219" s="3" t="s">
        <v>11</v>
      </c>
    </row>
    <row r="220" spans="1:7" x14ac:dyDescent="0.2">
      <c r="A220" t="s">
        <v>12</v>
      </c>
      <c r="B220" s="2" t="s">
        <v>13</v>
      </c>
      <c r="C220" t="s">
        <v>8</v>
      </c>
      <c r="D220" t="s">
        <v>136</v>
      </c>
      <c r="E220" t="s">
        <v>4</v>
      </c>
      <c r="F220" t="s">
        <v>14</v>
      </c>
      <c r="G220" t="s">
        <v>7</v>
      </c>
    </row>
    <row r="221" spans="1:7" x14ac:dyDescent="0.2">
      <c r="A221" t="s">
        <v>141</v>
      </c>
      <c r="B221" s="2">
        <v>1</v>
      </c>
      <c r="C221" t="s">
        <v>9</v>
      </c>
      <c r="E221" t="s">
        <v>5</v>
      </c>
      <c r="F221" t="s">
        <v>15</v>
      </c>
      <c r="G221" t="s">
        <v>141</v>
      </c>
    </row>
    <row r="222" spans="1:7" x14ac:dyDescent="0.2">
      <c r="A222" t="s">
        <v>137</v>
      </c>
      <c r="B222" s="11">
        <v>2.6585139999999998E-3</v>
      </c>
      <c r="C222" t="s">
        <v>54</v>
      </c>
      <c r="E222" t="s">
        <v>28</v>
      </c>
      <c r="F222" t="s">
        <v>17</v>
      </c>
      <c r="G222" t="s">
        <v>138</v>
      </c>
    </row>
    <row r="223" spans="1:7" x14ac:dyDescent="0.2">
      <c r="A223" t="s">
        <v>56</v>
      </c>
      <c r="B223" s="11">
        <v>2.2225175999999999E-2</v>
      </c>
      <c r="C223" t="s">
        <v>54</v>
      </c>
      <c r="E223" t="s">
        <v>28</v>
      </c>
      <c r="F223" t="s">
        <v>17</v>
      </c>
      <c r="G223" t="s">
        <v>57</v>
      </c>
    </row>
    <row r="224" spans="1:7" x14ac:dyDescent="0.2">
      <c r="A224" t="s">
        <v>128</v>
      </c>
      <c r="B224" s="11">
        <v>3.2859232000000002E-2</v>
      </c>
      <c r="C224" t="s">
        <v>54</v>
      </c>
      <c r="E224" t="s">
        <v>148</v>
      </c>
      <c r="F224" t="s">
        <v>17</v>
      </c>
      <c r="G224" t="s">
        <v>61</v>
      </c>
    </row>
    <row r="225" spans="1:7" x14ac:dyDescent="0.2">
      <c r="A225" t="s">
        <v>62</v>
      </c>
      <c r="B225" s="11">
        <v>6.3697992999999994E-2</v>
      </c>
      <c r="C225" t="s">
        <v>54</v>
      </c>
      <c r="E225" t="s">
        <v>5</v>
      </c>
      <c r="F225" t="s">
        <v>17</v>
      </c>
      <c r="G225" t="s">
        <v>63</v>
      </c>
    </row>
    <row r="226" spans="1:7" x14ac:dyDescent="0.2">
      <c r="A226" t="s">
        <v>115</v>
      </c>
      <c r="B226" s="11">
        <v>39.556470381406903</v>
      </c>
      <c r="C226" t="s">
        <v>116</v>
      </c>
      <c r="E226" t="s">
        <v>28</v>
      </c>
      <c r="F226" t="s">
        <v>17</v>
      </c>
      <c r="G226" t="s">
        <v>117</v>
      </c>
    </row>
    <row r="227" spans="1:7" x14ac:dyDescent="0.2">
      <c r="A227" t="s">
        <v>149</v>
      </c>
      <c r="B227" s="11">
        <v>0.86360624003470599</v>
      </c>
      <c r="C227" t="s">
        <v>9</v>
      </c>
      <c r="E227" t="s">
        <v>5</v>
      </c>
      <c r="F227" t="s">
        <v>17</v>
      </c>
      <c r="G227" t="s">
        <v>150</v>
      </c>
    </row>
    <row r="228" spans="1:7" x14ac:dyDescent="0.2">
      <c r="A228" t="s">
        <v>506</v>
      </c>
      <c r="B228" s="11">
        <v>0.54792833284091502</v>
      </c>
      <c r="C228" t="s">
        <v>9</v>
      </c>
      <c r="E228" t="s">
        <v>148</v>
      </c>
      <c r="F228" t="s">
        <v>17</v>
      </c>
      <c r="G228" t="s">
        <v>151</v>
      </c>
    </row>
    <row r="229" spans="1:7" x14ac:dyDescent="0.2">
      <c r="A229" t="s">
        <v>152</v>
      </c>
      <c r="B229" s="11">
        <v>0.54707987329613395</v>
      </c>
      <c r="C229" t="s">
        <v>9</v>
      </c>
      <c r="E229" t="s">
        <v>5</v>
      </c>
      <c r="F229" t="s">
        <v>17</v>
      </c>
      <c r="G229" t="s">
        <v>153</v>
      </c>
    </row>
    <row r="230" spans="1:7" x14ac:dyDescent="0.2">
      <c r="A230" t="s">
        <v>154</v>
      </c>
      <c r="B230" s="11">
        <v>0.53382268735196303</v>
      </c>
      <c r="C230" t="s">
        <v>9</v>
      </c>
      <c r="E230" t="s">
        <v>5</v>
      </c>
      <c r="F230" t="s">
        <v>17</v>
      </c>
      <c r="G230" t="s">
        <v>155</v>
      </c>
    </row>
    <row r="231" spans="1:7" x14ac:dyDescent="0.2">
      <c r="A231" t="s">
        <v>156</v>
      </c>
      <c r="B231" s="11">
        <v>5.8764994003199598E-3</v>
      </c>
      <c r="C231" t="s">
        <v>9</v>
      </c>
      <c r="E231" t="s">
        <v>148</v>
      </c>
      <c r="F231" t="s">
        <v>17</v>
      </c>
      <c r="G231" t="s">
        <v>157</v>
      </c>
    </row>
    <row r="232" spans="1:7" x14ac:dyDescent="0.2">
      <c r="A232" t="s">
        <v>126</v>
      </c>
      <c r="B232" s="11">
        <v>7.1940002862808998E-10</v>
      </c>
      <c r="C232" t="s">
        <v>8</v>
      </c>
      <c r="E232" t="s">
        <v>5</v>
      </c>
      <c r="F232" t="s">
        <v>17</v>
      </c>
      <c r="G232" t="s">
        <v>127</v>
      </c>
    </row>
    <row r="233" spans="1:7" x14ac:dyDescent="0.2">
      <c r="A233" t="s">
        <v>158</v>
      </c>
      <c r="B233" s="11">
        <v>-6.1963397318955398E-4</v>
      </c>
      <c r="C233" t="s">
        <v>146</v>
      </c>
      <c r="E233" t="s">
        <v>28</v>
      </c>
      <c r="F233" t="s">
        <v>17</v>
      </c>
      <c r="G233" t="s">
        <v>159</v>
      </c>
    </row>
    <row r="234" spans="1:7" x14ac:dyDescent="0.2">
      <c r="A234" t="s">
        <v>160</v>
      </c>
      <c r="B234" s="11">
        <v>5.8764994003199598E-3</v>
      </c>
      <c r="C234" t="s">
        <v>9</v>
      </c>
      <c r="D234" t="s">
        <v>143</v>
      </c>
      <c r="F234" t="s">
        <v>144</v>
      </c>
    </row>
    <row r="235" spans="1:7" x14ac:dyDescent="0.2">
      <c r="A235" t="s">
        <v>161</v>
      </c>
      <c r="B235" s="11">
        <v>6.1963397318955398E-4</v>
      </c>
      <c r="C235" t="s">
        <v>146</v>
      </c>
      <c r="D235" t="s">
        <v>162</v>
      </c>
      <c r="F235" t="s">
        <v>144</v>
      </c>
    </row>
    <row r="237" spans="1:7" ht="16" x14ac:dyDescent="0.2">
      <c r="A237" s="1" t="s">
        <v>0</v>
      </c>
      <c r="B237" s="10" t="s">
        <v>119</v>
      </c>
    </row>
    <row r="238" spans="1:7" x14ac:dyDescent="0.2">
      <c r="A238" t="s">
        <v>2</v>
      </c>
      <c r="B238" s="2" t="s">
        <v>3</v>
      </c>
    </row>
    <row r="239" spans="1:7" x14ac:dyDescent="0.2">
      <c r="A239" t="s">
        <v>4</v>
      </c>
      <c r="B239" s="2" t="s">
        <v>5</v>
      </c>
    </row>
    <row r="240" spans="1:7" x14ac:dyDescent="0.2">
      <c r="A240" t="s">
        <v>6</v>
      </c>
      <c r="B240" s="2">
        <v>1</v>
      </c>
    </row>
    <row r="241" spans="1:7" x14ac:dyDescent="0.2">
      <c r="A241" t="s">
        <v>7</v>
      </c>
      <c r="B241" s="2" t="s">
        <v>119</v>
      </c>
    </row>
    <row r="242" spans="1:7" x14ac:dyDescent="0.2">
      <c r="A242" t="s">
        <v>8</v>
      </c>
      <c r="B242" s="2" t="s">
        <v>9</v>
      </c>
    </row>
    <row r="243" spans="1:7" x14ac:dyDescent="0.2">
      <c r="A243" t="s">
        <v>10</v>
      </c>
      <c r="B243" s="2" t="s">
        <v>398</v>
      </c>
    </row>
    <row r="244" spans="1:7" x14ac:dyDescent="0.2">
      <c r="A244" s="3" t="s">
        <v>11</v>
      </c>
    </row>
    <row r="245" spans="1:7" x14ac:dyDescent="0.2">
      <c r="A245" t="s">
        <v>12</v>
      </c>
      <c r="B245" s="2" t="s">
        <v>13</v>
      </c>
      <c r="C245" t="s">
        <v>8</v>
      </c>
      <c r="D245" t="s">
        <v>136</v>
      </c>
      <c r="E245" t="s">
        <v>4</v>
      </c>
      <c r="F245" t="s">
        <v>14</v>
      </c>
      <c r="G245" t="s">
        <v>7</v>
      </c>
    </row>
    <row r="246" spans="1:7" x14ac:dyDescent="0.2">
      <c r="A246" t="s">
        <v>119</v>
      </c>
      <c r="B246" s="2">
        <v>1</v>
      </c>
      <c r="C246" t="s">
        <v>9</v>
      </c>
      <c r="E246" t="s">
        <v>5</v>
      </c>
      <c r="F246" t="s">
        <v>15</v>
      </c>
      <c r="G246" t="s">
        <v>119</v>
      </c>
    </row>
    <row r="247" spans="1:7" x14ac:dyDescent="0.2">
      <c r="A247" t="s">
        <v>128</v>
      </c>
      <c r="B247" s="13">
        <v>2.7744750000000002E-3</v>
      </c>
      <c r="C247" t="s">
        <v>54</v>
      </c>
      <c r="E247" t="s">
        <v>148</v>
      </c>
      <c r="F247" t="s">
        <v>17</v>
      </c>
      <c r="G247" t="s">
        <v>61</v>
      </c>
    </row>
    <row r="248" spans="1:7" x14ac:dyDescent="0.2">
      <c r="A248" t="s">
        <v>62</v>
      </c>
      <c r="B248" s="13">
        <v>0.20568106799999999</v>
      </c>
      <c r="C248" t="s">
        <v>54</v>
      </c>
      <c r="E248" t="s">
        <v>5</v>
      </c>
      <c r="F248" t="s">
        <v>17</v>
      </c>
      <c r="G248" t="s">
        <v>63</v>
      </c>
    </row>
    <row r="249" spans="1:7" x14ac:dyDescent="0.2">
      <c r="A249" t="s">
        <v>56</v>
      </c>
      <c r="B249" s="13">
        <v>5.9188796000000002E-2</v>
      </c>
      <c r="C249" t="s">
        <v>54</v>
      </c>
      <c r="E249" t="s">
        <v>28</v>
      </c>
      <c r="F249" t="s">
        <v>17</v>
      </c>
      <c r="G249" t="s">
        <v>57</v>
      </c>
    </row>
    <row r="250" spans="1:7" x14ac:dyDescent="0.2">
      <c r="A250" t="s">
        <v>163</v>
      </c>
      <c r="B250" s="13">
        <f>0.94/2</f>
        <v>0.47</v>
      </c>
      <c r="C250" t="s">
        <v>9</v>
      </c>
      <c r="E250" t="s">
        <v>5</v>
      </c>
      <c r="F250" t="s">
        <v>17</v>
      </c>
      <c r="G250" t="s">
        <v>163</v>
      </c>
    </row>
    <row r="251" spans="1:7" x14ac:dyDescent="0.2">
      <c r="A251" t="s">
        <v>326</v>
      </c>
      <c r="B251" s="13">
        <f>0.94/2</f>
        <v>0.47</v>
      </c>
      <c r="C251" t="s">
        <v>9</v>
      </c>
      <c r="E251" t="s">
        <v>148</v>
      </c>
      <c r="F251" t="s">
        <v>17</v>
      </c>
      <c r="G251" t="s">
        <v>328</v>
      </c>
    </row>
    <row r="252" spans="1:7" x14ac:dyDescent="0.2">
      <c r="A252" t="s">
        <v>164</v>
      </c>
      <c r="B252" s="13">
        <v>0.03</v>
      </c>
      <c r="C252" t="s">
        <v>9</v>
      </c>
      <c r="E252" t="s">
        <v>5</v>
      </c>
      <c r="F252" t="s">
        <v>17</v>
      </c>
      <c r="G252" t="s">
        <v>165</v>
      </c>
    </row>
    <row r="253" spans="1:7" x14ac:dyDescent="0.2">
      <c r="A253" t="s">
        <v>46</v>
      </c>
      <c r="B253" s="13">
        <v>0.440587837837838</v>
      </c>
      <c r="C253" t="s">
        <v>47</v>
      </c>
      <c r="E253" t="s">
        <v>5</v>
      </c>
      <c r="F253" t="s">
        <v>17</v>
      </c>
      <c r="G253" t="s">
        <v>48</v>
      </c>
    </row>
    <row r="254" spans="1:7" x14ac:dyDescent="0.2">
      <c r="A254" t="s">
        <v>166</v>
      </c>
      <c r="B254" s="13">
        <v>1</v>
      </c>
      <c r="C254" t="s">
        <v>9</v>
      </c>
      <c r="E254" t="s">
        <v>28</v>
      </c>
      <c r="F254" t="s">
        <v>17</v>
      </c>
      <c r="G254" t="s">
        <v>167</v>
      </c>
    </row>
    <row r="255" spans="1:7" x14ac:dyDescent="0.2">
      <c r="A255" t="s">
        <v>129</v>
      </c>
      <c r="B255" s="13">
        <v>0.01</v>
      </c>
      <c r="C255" t="s">
        <v>9</v>
      </c>
      <c r="E255" t="s">
        <v>5</v>
      </c>
      <c r="F255" t="s">
        <v>17</v>
      </c>
      <c r="G255" t="s">
        <v>130</v>
      </c>
    </row>
    <row r="256" spans="1:7" x14ac:dyDescent="0.2">
      <c r="A256" t="s">
        <v>158</v>
      </c>
      <c r="B256" s="13">
        <v>-1E-3</v>
      </c>
      <c r="C256" t="s">
        <v>146</v>
      </c>
      <c r="E256" t="s">
        <v>28</v>
      </c>
      <c r="F256" t="s">
        <v>17</v>
      </c>
      <c r="G256" t="s">
        <v>159</v>
      </c>
    </row>
    <row r="257" spans="1:11" x14ac:dyDescent="0.2">
      <c r="A257" t="s">
        <v>126</v>
      </c>
      <c r="B257" s="12">
        <v>4.0000000000000001E-10</v>
      </c>
      <c r="C257" t="s">
        <v>8</v>
      </c>
      <c r="E257" t="s">
        <v>5</v>
      </c>
      <c r="F257" t="s">
        <v>17</v>
      </c>
      <c r="G257" t="s">
        <v>127</v>
      </c>
      <c r="K257" s="4"/>
    </row>
    <row r="258" spans="1:11" x14ac:dyDescent="0.2">
      <c r="A258" t="s">
        <v>115</v>
      </c>
      <c r="B258" s="13">
        <v>7.7593902439024403</v>
      </c>
      <c r="C258" t="s">
        <v>116</v>
      </c>
      <c r="E258" t="s">
        <v>28</v>
      </c>
      <c r="F258" t="s">
        <v>17</v>
      </c>
      <c r="G258" t="s">
        <v>117</v>
      </c>
    </row>
    <row r="259" spans="1:11" x14ac:dyDescent="0.2">
      <c r="A259" t="s">
        <v>168</v>
      </c>
      <c r="B259" s="13">
        <v>0.02</v>
      </c>
      <c r="C259" t="s">
        <v>9</v>
      </c>
      <c r="E259" t="s">
        <v>28</v>
      </c>
      <c r="F259" t="s">
        <v>17</v>
      </c>
      <c r="G259" t="s">
        <v>169</v>
      </c>
    </row>
    <row r="261" spans="1:11" ht="16" x14ac:dyDescent="0.2">
      <c r="A261" s="1" t="s">
        <v>0</v>
      </c>
      <c r="B261" s="10" t="s">
        <v>163</v>
      </c>
    </row>
    <row r="262" spans="1:11" x14ac:dyDescent="0.2">
      <c r="A262" t="s">
        <v>2</v>
      </c>
      <c r="B262" s="2" t="s">
        <v>3</v>
      </c>
    </row>
    <row r="263" spans="1:11" x14ac:dyDescent="0.2">
      <c r="A263" t="s">
        <v>4</v>
      </c>
      <c r="B263" s="2" t="s">
        <v>5</v>
      </c>
    </row>
    <row r="264" spans="1:11" x14ac:dyDescent="0.2">
      <c r="A264" t="s">
        <v>6</v>
      </c>
      <c r="B264" s="2">
        <v>1</v>
      </c>
    </row>
    <row r="265" spans="1:11" x14ac:dyDescent="0.2">
      <c r="A265" t="s">
        <v>7</v>
      </c>
      <c r="B265" s="2" t="s">
        <v>163</v>
      </c>
    </row>
    <row r="266" spans="1:11" x14ac:dyDescent="0.2">
      <c r="A266" t="s">
        <v>8</v>
      </c>
      <c r="B266" s="2" t="s">
        <v>9</v>
      </c>
    </row>
    <row r="267" spans="1:11" x14ac:dyDescent="0.2">
      <c r="A267" t="s">
        <v>10</v>
      </c>
      <c r="B267" s="2" t="s">
        <v>398</v>
      </c>
    </row>
    <row r="268" spans="1:11" x14ac:dyDescent="0.2">
      <c r="A268" s="3" t="s">
        <v>11</v>
      </c>
    </row>
    <row r="269" spans="1:11" x14ac:dyDescent="0.2">
      <c r="A269" t="s">
        <v>12</v>
      </c>
      <c r="B269" s="2" t="s">
        <v>13</v>
      </c>
      <c r="C269" t="s">
        <v>8</v>
      </c>
      <c r="D269" t="s">
        <v>136</v>
      </c>
      <c r="E269" t="s">
        <v>4</v>
      </c>
      <c r="F269" t="s">
        <v>14</v>
      </c>
      <c r="G269" t="s">
        <v>7</v>
      </c>
    </row>
    <row r="270" spans="1:11" x14ac:dyDescent="0.2">
      <c r="A270" t="s">
        <v>163</v>
      </c>
      <c r="B270" s="2">
        <v>1</v>
      </c>
      <c r="C270" t="s">
        <v>9</v>
      </c>
      <c r="E270" t="s">
        <v>5</v>
      </c>
      <c r="F270" t="s">
        <v>15</v>
      </c>
      <c r="G270" t="s">
        <v>163</v>
      </c>
    </row>
    <row r="271" spans="1:11" x14ac:dyDescent="0.2">
      <c r="A271" t="s">
        <v>62</v>
      </c>
      <c r="B271" s="2">
        <v>0.11147148699999999</v>
      </c>
      <c r="C271" t="s">
        <v>54</v>
      </c>
      <c r="E271" t="s">
        <v>5</v>
      </c>
      <c r="F271" t="s">
        <v>17</v>
      </c>
      <c r="G271" t="s">
        <v>63</v>
      </c>
    </row>
    <row r="272" spans="1:11" x14ac:dyDescent="0.2">
      <c r="A272" t="s">
        <v>137</v>
      </c>
      <c r="B272" s="2">
        <v>4.6523989999999998E-3</v>
      </c>
      <c r="C272" t="s">
        <v>54</v>
      </c>
      <c r="E272" t="s">
        <v>28</v>
      </c>
      <c r="F272" t="s">
        <v>17</v>
      </c>
      <c r="G272" t="s">
        <v>138</v>
      </c>
    </row>
    <row r="273" spans="1:7" x14ac:dyDescent="0.2">
      <c r="A273" t="s">
        <v>128</v>
      </c>
      <c r="B273" s="2">
        <v>5.7503655000000001E-2</v>
      </c>
      <c r="C273" t="s">
        <v>54</v>
      </c>
      <c r="E273" t="s">
        <v>28</v>
      </c>
      <c r="F273" t="s">
        <v>17</v>
      </c>
      <c r="G273" t="s">
        <v>61</v>
      </c>
    </row>
    <row r="274" spans="1:7" x14ac:dyDescent="0.2">
      <c r="A274" t="s">
        <v>56</v>
      </c>
      <c r="B274" s="2">
        <v>3.8894058000000002E-2</v>
      </c>
      <c r="C274" t="s">
        <v>54</v>
      </c>
      <c r="E274" t="s">
        <v>28</v>
      </c>
      <c r="F274" t="s">
        <v>17</v>
      </c>
      <c r="G274" t="s">
        <v>57</v>
      </c>
    </row>
    <row r="275" spans="1:7" x14ac:dyDescent="0.2">
      <c r="A275" t="s">
        <v>115</v>
      </c>
      <c r="B275" s="2">
        <v>5.43</v>
      </c>
      <c r="C275" t="s">
        <v>116</v>
      </c>
      <c r="E275" t="s">
        <v>28</v>
      </c>
      <c r="F275" t="s">
        <v>17</v>
      </c>
      <c r="G275" t="s">
        <v>117</v>
      </c>
    </row>
    <row r="276" spans="1:7" x14ac:dyDescent="0.2">
      <c r="A276" t="s">
        <v>170</v>
      </c>
      <c r="B276" s="2">
        <v>0.96</v>
      </c>
      <c r="C276" t="s">
        <v>9</v>
      </c>
      <c r="E276" t="s">
        <v>5</v>
      </c>
      <c r="F276" t="s">
        <v>17</v>
      </c>
      <c r="G276" t="s">
        <v>171</v>
      </c>
    </row>
    <row r="277" spans="1:7" x14ac:dyDescent="0.2">
      <c r="A277" t="s">
        <v>126</v>
      </c>
      <c r="B277" s="12">
        <v>4.0000000000000001E-10</v>
      </c>
      <c r="C277" t="s">
        <v>8</v>
      </c>
      <c r="E277" t="s">
        <v>5</v>
      </c>
      <c r="F277" t="s">
        <v>17</v>
      </c>
      <c r="G277" t="s">
        <v>127</v>
      </c>
    </row>
    <row r="278" spans="1:7" x14ac:dyDescent="0.2">
      <c r="A278" t="s">
        <v>46</v>
      </c>
      <c r="B278" s="2">
        <v>4.08</v>
      </c>
      <c r="C278" t="s">
        <v>47</v>
      </c>
      <c r="E278" t="s">
        <v>5</v>
      </c>
      <c r="F278" t="s">
        <v>17</v>
      </c>
      <c r="G278" t="s">
        <v>48</v>
      </c>
    </row>
    <row r="279" spans="1:7" x14ac:dyDescent="0.2">
      <c r="A279" t="s">
        <v>172</v>
      </c>
      <c r="B279" s="2">
        <v>0.24</v>
      </c>
      <c r="C279" t="s">
        <v>9</v>
      </c>
      <c r="E279" t="s">
        <v>5</v>
      </c>
      <c r="F279" t="s">
        <v>17</v>
      </c>
      <c r="G279" t="s">
        <v>173</v>
      </c>
    </row>
    <row r="281" spans="1:7" ht="16" x14ac:dyDescent="0.2">
      <c r="A281" s="1" t="s">
        <v>0</v>
      </c>
      <c r="B281" s="10" t="s">
        <v>120</v>
      </c>
    </row>
    <row r="282" spans="1:7" x14ac:dyDescent="0.2">
      <c r="A282" t="s">
        <v>2</v>
      </c>
      <c r="B282" s="2" t="s">
        <v>3</v>
      </c>
    </row>
    <row r="283" spans="1:7" x14ac:dyDescent="0.2">
      <c r="A283" t="s">
        <v>4</v>
      </c>
      <c r="B283" s="2" t="s">
        <v>5</v>
      </c>
    </row>
    <row r="284" spans="1:7" x14ac:dyDescent="0.2">
      <c r="A284" t="s">
        <v>6</v>
      </c>
      <c r="B284" s="2">
        <v>1</v>
      </c>
    </row>
    <row r="285" spans="1:7" x14ac:dyDescent="0.2">
      <c r="A285" t="s">
        <v>7</v>
      </c>
      <c r="B285" s="2" t="s">
        <v>120</v>
      </c>
    </row>
    <row r="286" spans="1:7" x14ac:dyDescent="0.2">
      <c r="A286" t="s">
        <v>8</v>
      </c>
      <c r="B286" s="2" t="s">
        <v>9</v>
      </c>
    </row>
    <row r="287" spans="1:7" x14ac:dyDescent="0.2">
      <c r="A287" t="s">
        <v>10</v>
      </c>
      <c r="B287" s="2" t="s">
        <v>398</v>
      </c>
    </row>
    <row r="288" spans="1:7" x14ac:dyDescent="0.2">
      <c r="A288" s="3" t="s">
        <v>11</v>
      </c>
    </row>
    <row r="289" spans="1:7" x14ac:dyDescent="0.2">
      <c r="A289" t="s">
        <v>12</v>
      </c>
      <c r="B289" s="2" t="s">
        <v>13</v>
      </c>
      <c r="C289" t="s">
        <v>8</v>
      </c>
      <c r="D289" t="s">
        <v>136</v>
      </c>
      <c r="E289" t="s">
        <v>4</v>
      </c>
      <c r="F289" t="s">
        <v>14</v>
      </c>
      <c r="G289" t="s">
        <v>7</v>
      </c>
    </row>
    <row r="290" spans="1:7" x14ac:dyDescent="0.2">
      <c r="A290" t="s">
        <v>120</v>
      </c>
      <c r="B290" s="2">
        <v>1</v>
      </c>
      <c r="C290" t="s">
        <v>9</v>
      </c>
      <c r="E290" t="s">
        <v>5</v>
      </c>
      <c r="F290" t="s">
        <v>15</v>
      </c>
      <c r="G290" t="s">
        <v>120</v>
      </c>
    </row>
    <row r="291" spans="1:7" x14ac:dyDescent="0.2">
      <c r="A291" t="s">
        <v>126</v>
      </c>
      <c r="B291" s="12">
        <v>4.0000000000000001E-10</v>
      </c>
      <c r="C291" t="s">
        <v>8</v>
      </c>
      <c r="E291" t="s">
        <v>5</v>
      </c>
      <c r="F291" t="s">
        <v>17</v>
      </c>
      <c r="G291" t="s">
        <v>127</v>
      </c>
    </row>
    <row r="292" spans="1:7" x14ac:dyDescent="0.2">
      <c r="A292" t="s">
        <v>174</v>
      </c>
      <c r="B292" s="2">
        <v>0.42499999999999999</v>
      </c>
      <c r="C292" t="s">
        <v>9</v>
      </c>
      <c r="E292" t="s">
        <v>5</v>
      </c>
      <c r="F292" t="s">
        <v>17</v>
      </c>
      <c r="G292" t="s">
        <v>175</v>
      </c>
    </row>
    <row r="293" spans="1:7" x14ac:dyDescent="0.2">
      <c r="A293" t="s">
        <v>176</v>
      </c>
      <c r="B293" s="2">
        <v>2.4E-2</v>
      </c>
      <c r="C293" t="s">
        <v>9</v>
      </c>
      <c r="E293" t="s">
        <v>5</v>
      </c>
      <c r="F293" t="s">
        <v>17</v>
      </c>
      <c r="G293" t="s">
        <v>176</v>
      </c>
    </row>
    <row r="294" spans="1:7" x14ac:dyDescent="0.2">
      <c r="A294" t="s">
        <v>177</v>
      </c>
      <c r="B294" s="2">
        <v>0.42499999999999999</v>
      </c>
      <c r="C294" t="s">
        <v>9</v>
      </c>
      <c r="E294" t="s">
        <v>5</v>
      </c>
      <c r="F294" t="s">
        <v>17</v>
      </c>
      <c r="G294" t="s">
        <v>178</v>
      </c>
    </row>
    <row r="295" spans="1:7" x14ac:dyDescent="0.2">
      <c r="A295" t="s">
        <v>46</v>
      </c>
      <c r="B295" s="2">
        <v>0.41599999999999998</v>
      </c>
      <c r="C295" t="s">
        <v>47</v>
      </c>
      <c r="E295" t="s">
        <v>5</v>
      </c>
      <c r="F295" t="s">
        <v>17</v>
      </c>
      <c r="G295" t="s">
        <v>48</v>
      </c>
    </row>
    <row r="296" spans="1:7" x14ac:dyDescent="0.2">
      <c r="A296" t="s">
        <v>179</v>
      </c>
      <c r="B296" s="2">
        <v>0.126</v>
      </c>
      <c r="C296" t="s">
        <v>9</v>
      </c>
      <c r="E296" t="s">
        <v>5</v>
      </c>
      <c r="F296" t="s">
        <v>17</v>
      </c>
      <c r="G296" t="s">
        <v>180</v>
      </c>
    </row>
    <row r="298" spans="1:7" ht="16" x14ac:dyDescent="0.2">
      <c r="A298" s="1" t="s">
        <v>0</v>
      </c>
      <c r="B298" s="10" t="s">
        <v>121</v>
      </c>
    </row>
    <row r="299" spans="1:7" x14ac:dyDescent="0.2">
      <c r="A299" t="s">
        <v>2</v>
      </c>
      <c r="B299" s="2" t="s">
        <v>3</v>
      </c>
    </row>
    <row r="300" spans="1:7" x14ac:dyDescent="0.2">
      <c r="A300" t="s">
        <v>4</v>
      </c>
      <c r="B300" s="2" t="s">
        <v>5</v>
      </c>
    </row>
    <row r="301" spans="1:7" x14ac:dyDescent="0.2">
      <c r="A301" t="s">
        <v>6</v>
      </c>
      <c r="B301" s="2">
        <v>1</v>
      </c>
    </row>
    <row r="302" spans="1:7" x14ac:dyDescent="0.2">
      <c r="A302" t="s">
        <v>7</v>
      </c>
      <c r="B302" s="2" t="s">
        <v>121</v>
      </c>
    </row>
    <row r="303" spans="1:7" x14ac:dyDescent="0.2">
      <c r="A303" t="s">
        <v>8</v>
      </c>
      <c r="B303" s="2" t="s">
        <v>9</v>
      </c>
    </row>
    <row r="304" spans="1:7" x14ac:dyDescent="0.2">
      <c r="A304" t="s">
        <v>10</v>
      </c>
      <c r="B304" s="2" t="s">
        <v>398</v>
      </c>
    </row>
    <row r="305" spans="1:7" x14ac:dyDescent="0.2">
      <c r="A305" s="3" t="s">
        <v>11</v>
      </c>
    </row>
    <row r="306" spans="1:7" x14ac:dyDescent="0.2">
      <c r="A306" t="s">
        <v>12</v>
      </c>
      <c r="B306" s="2" t="s">
        <v>13</v>
      </c>
      <c r="C306" t="s">
        <v>8</v>
      </c>
      <c r="D306" t="s">
        <v>136</v>
      </c>
      <c r="E306" t="s">
        <v>4</v>
      </c>
      <c r="F306" t="s">
        <v>14</v>
      </c>
      <c r="G306" t="s">
        <v>7</v>
      </c>
    </row>
    <row r="307" spans="1:7" x14ac:dyDescent="0.2">
      <c r="A307" t="s">
        <v>121</v>
      </c>
      <c r="B307" s="2">
        <v>1</v>
      </c>
      <c r="C307" t="s">
        <v>9</v>
      </c>
      <c r="E307" t="s">
        <v>5</v>
      </c>
      <c r="F307" t="s">
        <v>15</v>
      </c>
      <c r="G307" t="s">
        <v>121</v>
      </c>
    </row>
    <row r="308" spans="1:7" x14ac:dyDescent="0.2">
      <c r="A308" t="s">
        <v>60</v>
      </c>
      <c r="B308" s="13">
        <v>1.5299999999999999E-2</v>
      </c>
      <c r="C308" t="s">
        <v>54</v>
      </c>
      <c r="E308" t="s">
        <v>5</v>
      </c>
      <c r="F308" t="s">
        <v>17</v>
      </c>
      <c r="G308" t="s">
        <v>61</v>
      </c>
    </row>
    <row r="309" spans="1:7" x14ac:dyDescent="0.2">
      <c r="A309" t="s">
        <v>62</v>
      </c>
      <c r="B309" s="13">
        <v>1.1120000000000001</v>
      </c>
      <c r="C309" t="s">
        <v>54</v>
      </c>
      <c r="E309" t="s">
        <v>5</v>
      </c>
      <c r="F309" t="s">
        <v>17</v>
      </c>
      <c r="G309" t="s">
        <v>63</v>
      </c>
    </row>
    <row r="310" spans="1:7" x14ac:dyDescent="0.2">
      <c r="A310" t="s">
        <v>53</v>
      </c>
      <c r="B310" s="13">
        <v>6.2300000000000001E-2</v>
      </c>
      <c r="C310" t="s">
        <v>54</v>
      </c>
      <c r="E310" t="s">
        <v>5</v>
      </c>
      <c r="F310" t="s">
        <v>17</v>
      </c>
      <c r="G310" t="s">
        <v>55</v>
      </c>
    </row>
    <row r="311" spans="1:7" x14ac:dyDescent="0.2">
      <c r="A311" t="s">
        <v>58</v>
      </c>
      <c r="B311" s="13">
        <v>9.5999999999999992E-3</v>
      </c>
      <c r="C311" t="s">
        <v>54</v>
      </c>
      <c r="E311" t="s">
        <v>5</v>
      </c>
      <c r="F311" t="s">
        <v>17</v>
      </c>
      <c r="G311" t="s">
        <v>59</v>
      </c>
    </row>
    <row r="312" spans="1:7" x14ac:dyDescent="0.2">
      <c r="A312" t="s">
        <v>56</v>
      </c>
      <c r="B312" s="13">
        <v>0.31</v>
      </c>
      <c r="C312" t="s">
        <v>54</v>
      </c>
      <c r="E312" t="s">
        <v>28</v>
      </c>
      <c r="F312" t="s">
        <v>17</v>
      </c>
      <c r="G312" t="s">
        <v>57</v>
      </c>
    </row>
    <row r="313" spans="1:7" x14ac:dyDescent="0.2">
      <c r="A313" t="s">
        <v>44</v>
      </c>
      <c r="B313" s="13">
        <v>1</v>
      </c>
      <c r="C313" t="s">
        <v>9</v>
      </c>
      <c r="E313" t="s">
        <v>5</v>
      </c>
      <c r="F313" t="s">
        <v>17</v>
      </c>
      <c r="G313" t="s">
        <v>45</v>
      </c>
    </row>
    <row r="314" spans="1:7" x14ac:dyDescent="0.2">
      <c r="A314" t="s">
        <v>51</v>
      </c>
      <c r="B314" s="12">
        <v>4.5800000000000002E-10</v>
      </c>
      <c r="C314" t="s">
        <v>8</v>
      </c>
      <c r="E314" t="s">
        <v>5</v>
      </c>
      <c r="F314" t="s">
        <v>17</v>
      </c>
      <c r="G314" t="s">
        <v>52</v>
      </c>
    </row>
    <row r="315" spans="1:7" x14ac:dyDescent="0.2">
      <c r="A315" t="s">
        <v>90</v>
      </c>
      <c r="B315" s="2">
        <v>1</v>
      </c>
      <c r="C315" t="s">
        <v>9</v>
      </c>
      <c r="E315" t="s">
        <v>5</v>
      </c>
      <c r="F315" t="s">
        <v>17</v>
      </c>
      <c r="G315" t="s">
        <v>91</v>
      </c>
    </row>
    <row r="316" spans="1:7" x14ac:dyDescent="0.2">
      <c r="A316" t="s">
        <v>149</v>
      </c>
      <c r="B316" s="11">
        <v>0.33333333333333298</v>
      </c>
      <c r="C316" t="s">
        <v>9</v>
      </c>
      <c r="E316" t="s">
        <v>5</v>
      </c>
      <c r="F316" t="s">
        <v>17</v>
      </c>
      <c r="G316" t="s">
        <v>150</v>
      </c>
    </row>
    <row r="317" spans="1:7" x14ac:dyDescent="0.2">
      <c r="A317" t="s">
        <v>181</v>
      </c>
      <c r="B317" s="11">
        <v>-0.15072395996065299</v>
      </c>
      <c r="C317" t="s">
        <v>9</v>
      </c>
      <c r="E317" t="s">
        <v>182</v>
      </c>
      <c r="F317" t="s">
        <v>17</v>
      </c>
      <c r="G317" t="s">
        <v>183</v>
      </c>
    </row>
    <row r="318" spans="1:7" x14ac:dyDescent="0.2">
      <c r="A318" t="s">
        <v>181</v>
      </c>
      <c r="B318" s="11">
        <v>-3.5312295808540201E-3</v>
      </c>
      <c r="C318" t="s">
        <v>9</v>
      </c>
      <c r="E318" t="s">
        <v>111</v>
      </c>
      <c r="F318" t="s">
        <v>17</v>
      </c>
      <c r="G318" t="s">
        <v>183</v>
      </c>
    </row>
    <row r="319" spans="1:7" x14ac:dyDescent="0.2">
      <c r="A319" t="s">
        <v>181</v>
      </c>
      <c r="B319" s="11">
        <v>-0.38574481045849202</v>
      </c>
      <c r="C319" t="s">
        <v>9</v>
      </c>
      <c r="E319" t="s">
        <v>28</v>
      </c>
      <c r="F319" t="s">
        <v>17</v>
      </c>
      <c r="G319" t="s">
        <v>183</v>
      </c>
    </row>
    <row r="320" spans="1:7" x14ac:dyDescent="0.2">
      <c r="A320" t="s">
        <v>184</v>
      </c>
      <c r="B320" s="11">
        <v>2.3908585442532101E-2</v>
      </c>
      <c r="C320" t="s">
        <v>9</v>
      </c>
      <c r="E320" t="s">
        <v>97</v>
      </c>
      <c r="F320" t="s">
        <v>17</v>
      </c>
      <c r="G320" t="s">
        <v>185</v>
      </c>
    </row>
    <row r="321" spans="1:7" x14ac:dyDescent="0.2">
      <c r="A321" t="s">
        <v>184</v>
      </c>
      <c r="B321" s="11">
        <v>0.18275808122413401</v>
      </c>
      <c r="C321" t="s">
        <v>9</v>
      </c>
      <c r="E321" t="s">
        <v>28</v>
      </c>
      <c r="F321" t="s">
        <v>17</v>
      </c>
      <c r="G321" t="s">
        <v>185</v>
      </c>
    </row>
    <row r="323" spans="1:7" ht="16" x14ac:dyDescent="0.2">
      <c r="A323" s="1" t="s">
        <v>0</v>
      </c>
      <c r="B323" s="10" t="s">
        <v>122</v>
      </c>
    </row>
    <row r="324" spans="1:7" x14ac:dyDescent="0.2">
      <c r="A324" t="s">
        <v>2</v>
      </c>
      <c r="B324" s="2" t="s">
        <v>3</v>
      </c>
    </row>
    <row r="325" spans="1:7" x14ac:dyDescent="0.2">
      <c r="A325" t="s">
        <v>4</v>
      </c>
      <c r="B325" s="2" t="s">
        <v>5</v>
      </c>
    </row>
    <row r="326" spans="1:7" x14ac:dyDescent="0.2">
      <c r="A326" t="s">
        <v>6</v>
      </c>
      <c r="B326" s="2">
        <v>1</v>
      </c>
    </row>
    <row r="327" spans="1:7" x14ac:dyDescent="0.2">
      <c r="A327" t="s">
        <v>7</v>
      </c>
      <c r="B327" s="2" t="s">
        <v>122</v>
      </c>
    </row>
    <row r="328" spans="1:7" x14ac:dyDescent="0.2">
      <c r="A328" t="s">
        <v>8</v>
      </c>
      <c r="B328" s="2" t="s">
        <v>9</v>
      </c>
    </row>
    <row r="329" spans="1:7" x14ac:dyDescent="0.2">
      <c r="A329" t="s">
        <v>10</v>
      </c>
      <c r="B329" s="2" t="s">
        <v>398</v>
      </c>
    </row>
    <row r="330" spans="1:7" x14ac:dyDescent="0.2">
      <c r="A330" s="3" t="s">
        <v>11</v>
      </c>
    </row>
    <row r="331" spans="1:7" x14ac:dyDescent="0.2">
      <c r="A331" t="s">
        <v>12</v>
      </c>
      <c r="B331" s="2" t="s">
        <v>13</v>
      </c>
      <c r="C331" t="s">
        <v>8</v>
      </c>
      <c r="D331" t="s">
        <v>136</v>
      </c>
      <c r="E331" t="s">
        <v>4</v>
      </c>
      <c r="F331" t="s">
        <v>14</v>
      </c>
      <c r="G331" t="s">
        <v>7</v>
      </c>
    </row>
    <row r="332" spans="1:7" x14ac:dyDescent="0.2">
      <c r="A332" t="s">
        <v>122</v>
      </c>
      <c r="B332" s="2">
        <v>1</v>
      </c>
      <c r="C332" t="s">
        <v>9</v>
      </c>
      <c r="E332" t="s">
        <v>5</v>
      </c>
      <c r="F332" t="s">
        <v>15</v>
      </c>
      <c r="G332" t="s">
        <v>122</v>
      </c>
    </row>
    <row r="333" spans="1:7" x14ac:dyDescent="0.2">
      <c r="A333" t="s">
        <v>56</v>
      </c>
      <c r="B333" s="11">
        <v>0.31</v>
      </c>
      <c r="C333" t="s">
        <v>54</v>
      </c>
      <c r="E333" t="s">
        <v>28</v>
      </c>
      <c r="F333" t="s">
        <v>17</v>
      </c>
      <c r="G333" t="s">
        <v>57</v>
      </c>
    </row>
    <row r="334" spans="1:7" x14ac:dyDescent="0.2">
      <c r="A334" t="s">
        <v>62</v>
      </c>
      <c r="B334" s="11">
        <v>1.1120000000000001</v>
      </c>
      <c r="C334" t="s">
        <v>54</v>
      </c>
      <c r="E334" t="s">
        <v>5</v>
      </c>
      <c r="F334" t="s">
        <v>17</v>
      </c>
      <c r="G334" t="s">
        <v>63</v>
      </c>
    </row>
    <row r="335" spans="1:7" x14ac:dyDescent="0.2">
      <c r="A335" t="s">
        <v>53</v>
      </c>
      <c r="B335" s="11">
        <v>6.2300000000000001E-2</v>
      </c>
      <c r="C335" t="s">
        <v>54</v>
      </c>
      <c r="E335" t="s">
        <v>5</v>
      </c>
      <c r="F335" t="s">
        <v>17</v>
      </c>
      <c r="G335" t="s">
        <v>55</v>
      </c>
    </row>
    <row r="336" spans="1:7" x14ac:dyDescent="0.2">
      <c r="A336" t="s">
        <v>58</v>
      </c>
      <c r="B336" s="11">
        <v>9.5999999999999992E-3</v>
      </c>
      <c r="C336" t="s">
        <v>54</v>
      </c>
      <c r="E336" t="s">
        <v>5</v>
      </c>
      <c r="F336" t="s">
        <v>17</v>
      </c>
      <c r="G336" t="s">
        <v>59</v>
      </c>
    </row>
    <row r="337" spans="1:7" x14ac:dyDescent="0.2">
      <c r="A337" t="s">
        <v>60</v>
      </c>
      <c r="B337" s="11">
        <v>1.5299999999999999E-2</v>
      </c>
      <c r="C337" t="s">
        <v>54</v>
      </c>
      <c r="E337" t="s">
        <v>5</v>
      </c>
      <c r="F337" t="s">
        <v>17</v>
      </c>
      <c r="G337" t="s">
        <v>61</v>
      </c>
    </row>
    <row r="338" spans="1:7" x14ac:dyDescent="0.2">
      <c r="A338" t="s">
        <v>149</v>
      </c>
      <c r="B338" s="11">
        <v>0.33333333333333298</v>
      </c>
      <c r="C338" t="s">
        <v>9</v>
      </c>
      <c r="E338" t="s">
        <v>5</v>
      </c>
      <c r="F338" t="s">
        <v>17</v>
      </c>
      <c r="G338" t="s">
        <v>150</v>
      </c>
    </row>
    <row r="339" spans="1:7" x14ac:dyDescent="0.2">
      <c r="A339" t="s">
        <v>16</v>
      </c>
      <c r="B339" s="11">
        <v>1</v>
      </c>
      <c r="C339" t="s">
        <v>9</v>
      </c>
      <c r="E339" t="s">
        <v>5</v>
      </c>
      <c r="F339" t="s">
        <v>17</v>
      </c>
      <c r="G339" t="s">
        <v>18</v>
      </c>
    </row>
    <row r="340" spans="1:7" x14ac:dyDescent="0.2">
      <c r="A340" t="s">
        <v>40</v>
      </c>
      <c r="B340" s="11">
        <v>1</v>
      </c>
      <c r="C340" t="s">
        <v>9</v>
      </c>
      <c r="E340" t="s">
        <v>5</v>
      </c>
      <c r="F340" t="s">
        <v>17</v>
      </c>
      <c r="G340" t="s">
        <v>41</v>
      </c>
    </row>
    <row r="341" spans="1:7" x14ac:dyDescent="0.2">
      <c r="A341" t="s">
        <v>186</v>
      </c>
      <c r="B341" s="11">
        <v>1.5E-10</v>
      </c>
      <c r="C341" t="s">
        <v>8</v>
      </c>
      <c r="E341" t="s">
        <v>5</v>
      </c>
      <c r="F341" t="s">
        <v>17</v>
      </c>
      <c r="G341" t="s">
        <v>187</v>
      </c>
    </row>
    <row r="342" spans="1:7" x14ac:dyDescent="0.2">
      <c r="A342" t="s">
        <v>181</v>
      </c>
      <c r="B342" s="11">
        <v>-0.15072395996065299</v>
      </c>
      <c r="C342" t="s">
        <v>9</v>
      </c>
      <c r="E342" t="s">
        <v>182</v>
      </c>
      <c r="F342" t="s">
        <v>17</v>
      </c>
      <c r="G342" t="s">
        <v>183</v>
      </c>
    </row>
    <row r="343" spans="1:7" x14ac:dyDescent="0.2">
      <c r="A343" t="s">
        <v>181</v>
      </c>
      <c r="B343" s="11">
        <v>-3.5312295808540201E-3</v>
      </c>
      <c r="C343" t="s">
        <v>9</v>
      </c>
      <c r="E343" t="s">
        <v>111</v>
      </c>
      <c r="F343" t="s">
        <v>17</v>
      </c>
      <c r="G343" t="s">
        <v>183</v>
      </c>
    </row>
    <row r="344" spans="1:7" x14ac:dyDescent="0.2">
      <c r="A344" t="s">
        <v>181</v>
      </c>
      <c r="B344" s="11">
        <v>-0.38574481045849202</v>
      </c>
      <c r="C344" t="s">
        <v>9</v>
      </c>
      <c r="E344" t="s">
        <v>28</v>
      </c>
      <c r="F344" t="s">
        <v>17</v>
      </c>
      <c r="G344" t="s">
        <v>183</v>
      </c>
    </row>
    <row r="345" spans="1:7" x14ac:dyDescent="0.2">
      <c r="A345" t="s">
        <v>184</v>
      </c>
      <c r="B345" s="11">
        <v>2.3908585442532101E-2</v>
      </c>
      <c r="C345" t="s">
        <v>9</v>
      </c>
      <c r="E345" t="s">
        <v>97</v>
      </c>
      <c r="F345" t="s">
        <v>17</v>
      </c>
      <c r="G345" t="s">
        <v>185</v>
      </c>
    </row>
    <row r="346" spans="1:7" x14ac:dyDescent="0.2">
      <c r="A346" t="s">
        <v>184</v>
      </c>
      <c r="B346" s="11">
        <v>0.18275808122413401</v>
      </c>
      <c r="C346" t="s">
        <v>9</v>
      </c>
      <c r="E346" t="s">
        <v>28</v>
      </c>
      <c r="F346" t="s">
        <v>17</v>
      </c>
      <c r="G346" t="s">
        <v>185</v>
      </c>
    </row>
    <row r="348" spans="1:7" ht="16" x14ac:dyDescent="0.2">
      <c r="A348" s="1" t="s">
        <v>0</v>
      </c>
      <c r="B348" s="10" t="s">
        <v>123</v>
      </c>
    </row>
    <row r="349" spans="1:7" x14ac:dyDescent="0.2">
      <c r="A349" t="s">
        <v>2</v>
      </c>
      <c r="B349" s="2" t="s">
        <v>3</v>
      </c>
    </row>
    <row r="350" spans="1:7" x14ac:dyDescent="0.2">
      <c r="A350" t="s">
        <v>4</v>
      </c>
      <c r="B350" s="2" t="s">
        <v>5</v>
      </c>
    </row>
    <row r="351" spans="1:7" x14ac:dyDescent="0.2">
      <c r="A351" t="s">
        <v>6</v>
      </c>
      <c r="B351" s="2">
        <v>1</v>
      </c>
    </row>
    <row r="352" spans="1:7" x14ac:dyDescent="0.2">
      <c r="A352" t="s">
        <v>7</v>
      </c>
      <c r="B352" s="2" t="s">
        <v>123</v>
      </c>
    </row>
    <row r="353" spans="1:7" x14ac:dyDescent="0.2">
      <c r="A353" t="s">
        <v>8</v>
      </c>
      <c r="B353" s="2" t="s">
        <v>9</v>
      </c>
    </row>
    <row r="354" spans="1:7" x14ac:dyDescent="0.2">
      <c r="A354" t="s">
        <v>10</v>
      </c>
      <c r="B354" s="2" t="s">
        <v>398</v>
      </c>
    </row>
    <row r="355" spans="1:7" x14ac:dyDescent="0.2">
      <c r="A355" s="3" t="s">
        <v>11</v>
      </c>
    </row>
    <row r="356" spans="1:7" x14ac:dyDescent="0.2">
      <c r="A356" t="s">
        <v>12</v>
      </c>
      <c r="B356" s="2" t="s">
        <v>13</v>
      </c>
      <c r="C356" t="s">
        <v>8</v>
      </c>
      <c r="D356" t="s">
        <v>136</v>
      </c>
      <c r="E356" t="s">
        <v>4</v>
      </c>
      <c r="F356" t="s">
        <v>14</v>
      </c>
      <c r="G356" t="s">
        <v>7</v>
      </c>
    </row>
    <row r="357" spans="1:7" x14ac:dyDescent="0.2">
      <c r="A357" t="s">
        <v>123</v>
      </c>
      <c r="B357" s="2">
        <v>1</v>
      </c>
      <c r="C357" t="s">
        <v>9</v>
      </c>
      <c r="E357" t="s">
        <v>5</v>
      </c>
      <c r="F357" t="s">
        <v>15</v>
      </c>
      <c r="G357" t="s">
        <v>123</v>
      </c>
    </row>
    <row r="358" spans="1:7" x14ac:dyDescent="0.2">
      <c r="A358" t="s">
        <v>60</v>
      </c>
      <c r="B358" s="11">
        <v>0.02</v>
      </c>
      <c r="C358" t="s">
        <v>54</v>
      </c>
      <c r="E358" t="s">
        <v>5</v>
      </c>
      <c r="F358" t="s">
        <v>17</v>
      </c>
      <c r="G358" t="s">
        <v>61</v>
      </c>
    </row>
    <row r="359" spans="1:7" x14ac:dyDescent="0.2">
      <c r="A359" t="s">
        <v>56</v>
      </c>
      <c r="B359" s="11">
        <v>0.02</v>
      </c>
      <c r="C359" t="s">
        <v>54</v>
      </c>
      <c r="E359" t="s">
        <v>28</v>
      </c>
      <c r="F359" t="s">
        <v>17</v>
      </c>
      <c r="G359" t="s">
        <v>57</v>
      </c>
    </row>
    <row r="360" spans="1:7" x14ac:dyDescent="0.2">
      <c r="A360" t="s">
        <v>64</v>
      </c>
      <c r="B360" s="11">
        <v>0.35088000000000003</v>
      </c>
      <c r="C360" t="s">
        <v>9</v>
      </c>
      <c r="E360" t="s">
        <v>5</v>
      </c>
      <c r="F360" t="s">
        <v>17</v>
      </c>
      <c r="G360" t="s">
        <v>65</v>
      </c>
    </row>
    <row r="361" spans="1:7" x14ac:dyDescent="0.2">
      <c r="A361" t="s">
        <v>38</v>
      </c>
      <c r="B361" s="11">
        <v>0.35088000000000003</v>
      </c>
      <c r="C361" t="s">
        <v>9</v>
      </c>
      <c r="E361" t="s">
        <v>5</v>
      </c>
      <c r="F361" t="s">
        <v>17</v>
      </c>
      <c r="G361" t="s">
        <v>39</v>
      </c>
    </row>
    <row r="362" spans="1:7" x14ac:dyDescent="0.2">
      <c r="A362" t="s">
        <v>188</v>
      </c>
      <c r="B362" s="11">
        <v>0.29117999999999999</v>
      </c>
      <c r="C362" t="s">
        <v>9</v>
      </c>
      <c r="E362" t="s">
        <v>5</v>
      </c>
      <c r="F362" t="s">
        <v>17</v>
      </c>
      <c r="G362" t="s">
        <v>189</v>
      </c>
    </row>
    <row r="363" spans="1:7" x14ac:dyDescent="0.2">
      <c r="A363" t="s">
        <v>190</v>
      </c>
      <c r="B363" s="11">
        <v>0.21839</v>
      </c>
      <c r="C363" t="s">
        <v>9</v>
      </c>
      <c r="E363" t="s">
        <v>5</v>
      </c>
      <c r="F363" t="s">
        <v>17</v>
      </c>
      <c r="G363" t="s">
        <v>191</v>
      </c>
    </row>
    <row r="364" spans="1:7" x14ac:dyDescent="0.2">
      <c r="A364" t="s">
        <v>115</v>
      </c>
      <c r="B364" s="11">
        <v>0.19327</v>
      </c>
      <c r="C364" t="s">
        <v>116</v>
      </c>
      <c r="E364" t="s">
        <v>28</v>
      </c>
      <c r="F364" t="s">
        <v>17</v>
      </c>
      <c r="G364" t="s">
        <v>117</v>
      </c>
    </row>
    <row r="365" spans="1:7" x14ac:dyDescent="0.2">
      <c r="A365" t="s">
        <v>131</v>
      </c>
      <c r="B365" s="11">
        <v>0.19217999999999999</v>
      </c>
      <c r="C365" t="s">
        <v>9</v>
      </c>
      <c r="E365" t="s">
        <v>5</v>
      </c>
      <c r="F365" t="s">
        <v>17</v>
      </c>
      <c r="G365" t="s">
        <v>132</v>
      </c>
    </row>
    <row r="366" spans="1:7" x14ac:dyDescent="0.2">
      <c r="A366" t="s">
        <v>192</v>
      </c>
      <c r="B366" s="11">
        <v>2.6207000000000001E-2</v>
      </c>
      <c r="C366" t="s">
        <v>9</v>
      </c>
      <c r="E366" t="s">
        <v>5</v>
      </c>
      <c r="F366" t="s">
        <v>17</v>
      </c>
      <c r="G366" t="s">
        <v>193</v>
      </c>
    </row>
    <row r="367" spans="1:7" x14ac:dyDescent="0.2">
      <c r="A367" t="s">
        <v>194</v>
      </c>
      <c r="B367" s="11">
        <v>1.4376999999999999E-2</v>
      </c>
      <c r="C367" t="s">
        <v>9</v>
      </c>
      <c r="E367" t="s">
        <v>28</v>
      </c>
      <c r="F367" t="s">
        <v>17</v>
      </c>
      <c r="G367" t="s">
        <v>195</v>
      </c>
    </row>
    <row r="368" spans="1:7" x14ac:dyDescent="0.2">
      <c r="A368" t="s">
        <v>46</v>
      </c>
      <c r="B368" s="11">
        <v>2E-3</v>
      </c>
      <c r="C368" t="s">
        <v>47</v>
      </c>
      <c r="E368" t="s">
        <v>5</v>
      </c>
      <c r="F368" t="s">
        <v>17</v>
      </c>
      <c r="G368" t="s">
        <v>48</v>
      </c>
    </row>
    <row r="369" spans="1:7" x14ac:dyDescent="0.2">
      <c r="A369" t="s">
        <v>126</v>
      </c>
      <c r="B369" s="12">
        <v>4.0000000000000001E-10</v>
      </c>
      <c r="C369" t="s">
        <v>8</v>
      </c>
      <c r="E369" t="s">
        <v>5</v>
      </c>
      <c r="F369" t="s">
        <v>17</v>
      </c>
      <c r="G369" t="s">
        <v>127</v>
      </c>
    </row>
    <row r="370" spans="1:7" x14ac:dyDescent="0.2">
      <c r="A370" t="s">
        <v>196</v>
      </c>
      <c r="B370" s="11">
        <v>-5.3941999999999997E-2</v>
      </c>
      <c r="C370" t="s">
        <v>9</v>
      </c>
      <c r="E370" t="s">
        <v>28</v>
      </c>
      <c r="F370" t="s">
        <v>17</v>
      </c>
      <c r="G370" t="s">
        <v>197</v>
      </c>
    </row>
    <row r="372" spans="1:7" ht="16" x14ac:dyDescent="0.2">
      <c r="A372" s="1" t="s">
        <v>0</v>
      </c>
      <c r="B372" s="10" t="s">
        <v>198</v>
      </c>
    </row>
    <row r="373" spans="1:7" x14ac:dyDescent="0.2">
      <c r="A373" t="s">
        <v>2</v>
      </c>
      <c r="B373" s="2" t="s">
        <v>3</v>
      </c>
    </row>
    <row r="374" spans="1:7" x14ac:dyDescent="0.2">
      <c r="A374" t="s">
        <v>4</v>
      </c>
      <c r="B374" s="2" t="s">
        <v>5</v>
      </c>
    </row>
    <row r="375" spans="1:7" x14ac:dyDescent="0.2">
      <c r="A375" t="s">
        <v>6</v>
      </c>
      <c r="B375" s="2">
        <v>1</v>
      </c>
    </row>
    <row r="376" spans="1:7" x14ac:dyDescent="0.2">
      <c r="A376" t="s">
        <v>7</v>
      </c>
      <c r="B376" s="2" t="s">
        <v>114</v>
      </c>
    </row>
    <row r="377" spans="1:7" x14ac:dyDescent="0.2">
      <c r="A377" t="s">
        <v>8</v>
      </c>
      <c r="B377" s="2" t="s">
        <v>9</v>
      </c>
    </row>
    <row r="378" spans="1:7" x14ac:dyDescent="0.2">
      <c r="A378" t="s">
        <v>10</v>
      </c>
      <c r="B378" s="2" t="s">
        <v>399</v>
      </c>
    </row>
    <row r="379" spans="1:7" x14ac:dyDescent="0.2">
      <c r="A379" s="3" t="s">
        <v>11</v>
      </c>
    </row>
    <row r="380" spans="1:7" x14ac:dyDescent="0.2">
      <c r="A380" t="s">
        <v>12</v>
      </c>
      <c r="B380" s="2" t="s">
        <v>13</v>
      </c>
      <c r="C380" t="s">
        <v>8</v>
      </c>
      <c r="D380" t="s">
        <v>4</v>
      </c>
      <c r="E380" t="s">
        <v>14</v>
      </c>
      <c r="F380" t="s">
        <v>7</v>
      </c>
    </row>
    <row r="381" spans="1:7" x14ac:dyDescent="0.2">
      <c r="A381" t="s">
        <v>198</v>
      </c>
      <c r="B381" s="2">
        <v>1</v>
      </c>
      <c r="C381" t="s">
        <v>9</v>
      </c>
      <c r="D381" t="s">
        <v>5</v>
      </c>
      <c r="E381" t="s">
        <v>15</v>
      </c>
      <c r="F381" t="s">
        <v>114</v>
      </c>
    </row>
    <row r="382" spans="1:7" x14ac:dyDescent="0.2">
      <c r="A382" t="s">
        <v>115</v>
      </c>
      <c r="B382" s="11">
        <v>12.51</v>
      </c>
      <c r="C382" t="s">
        <v>116</v>
      </c>
      <c r="D382" t="s">
        <v>28</v>
      </c>
      <c r="E382" t="s">
        <v>17</v>
      </c>
      <c r="F382" t="s">
        <v>117</v>
      </c>
    </row>
    <row r="383" spans="1:7" x14ac:dyDescent="0.2">
      <c r="A383" t="s">
        <v>46</v>
      </c>
      <c r="B383" s="11">
        <v>1.1875</v>
      </c>
      <c r="C383" t="s">
        <v>47</v>
      </c>
      <c r="D383" t="s">
        <v>5</v>
      </c>
      <c r="E383" t="s">
        <v>17</v>
      </c>
      <c r="F383" t="s">
        <v>48</v>
      </c>
    </row>
    <row r="384" spans="1:7" x14ac:dyDescent="0.2">
      <c r="A384" t="s">
        <v>199</v>
      </c>
      <c r="B384" s="11">
        <v>0.41</v>
      </c>
      <c r="C384" t="s">
        <v>9</v>
      </c>
      <c r="D384" t="s">
        <v>5</v>
      </c>
      <c r="E384" t="s">
        <v>17</v>
      </c>
      <c r="F384" t="s">
        <v>199</v>
      </c>
    </row>
    <row r="385" spans="1:6" x14ac:dyDescent="0.2">
      <c r="A385" t="s">
        <v>119</v>
      </c>
      <c r="B385" s="11">
        <v>0.2</v>
      </c>
      <c r="C385" t="s">
        <v>9</v>
      </c>
      <c r="D385" t="s">
        <v>5</v>
      </c>
      <c r="E385" t="s">
        <v>17</v>
      </c>
      <c r="F385" t="s">
        <v>119</v>
      </c>
    </row>
    <row r="386" spans="1:6" x14ac:dyDescent="0.2">
      <c r="A386" t="s">
        <v>120</v>
      </c>
      <c r="B386" s="11">
        <v>0.14599999999999999</v>
      </c>
      <c r="C386" t="s">
        <v>9</v>
      </c>
      <c r="D386" t="s">
        <v>5</v>
      </c>
      <c r="E386" t="s">
        <v>17</v>
      </c>
      <c r="F386" t="s">
        <v>120</v>
      </c>
    </row>
    <row r="387" spans="1:6" x14ac:dyDescent="0.2">
      <c r="A387" t="s">
        <v>121</v>
      </c>
      <c r="B387" s="11">
        <v>0.12</v>
      </c>
      <c r="C387" t="s">
        <v>9</v>
      </c>
      <c r="D387" t="s">
        <v>5</v>
      </c>
      <c r="E387" t="s">
        <v>17</v>
      </c>
      <c r="F387" t="s">
        <v>121</v>
      </c>
    </row>
    <row r="388" spans="1:6" x14ac:dyDescent="0.2">
      <c r="A388" t="s">
        <v>44</v>
      </c>
      <c r="B388" s="11">
        <v>3.3500000000000002E-2</v>
      </c>
      <c r="C388" t="s">
        <v>9</v>
      </c>
      <c r="D388" t="s">
        <v>5</v>
      </c>
      <c r="E388" t="s">
        <v>17</v>
      </c>
      <c r="F388" t="s">
        <v>45</v>
      </c>
    </row>
    <row r="389" spans="1:6" x14ac:dyDescent="0.2">
      <c r="A389" t="s">
        <v>42</v>
      </c>
      <c r="B389" s="11">
        <v>3.3500000000000002E-2</v>
      </c>
      <c r="C389" t="s">
        <v>9</v>
      </c>
      <c r="D389" t="s">
        <v>5</v>
      </c>
      <c r="E389" t="s">
        <v>17</v>
      </c>
      <c r="F389" t="s">
        <v>43</v>
      </c>
    </row>
    <row r="390" spans="1:6" x14ac:dyDescent="0.2">
      <c r="A390" t="s">
        <v>122</v>
      </c>
      <c r="B390" s="11">
        <v>0.03</v>
      </c>
      <c r="C390" t="s">
        <v>9</v>
      </c>
      <c r="D390" t="s">
        <v>5</v>
      </c>
      <c r="E390" t="s">
        <v>17</v>
      </c>
      <c r="F390" t="s">
        <v>122</v>
      </c>
    </row>
    <row r="391" spans="1:6" x14ac:dyDescent="0.2">
      <c r="A391" t="s">
        <v>16</v>
      </c>
      <c r="B391" s="11">
        <v>2.8299999999999999E-2</v>
      </c>
      <c r="C391" t="s">
        <v>9</v>
      </c>
      <c r="D391" t="s">
        <v>5</v>
      </c>
      <c r="E391" t="s">
        <v>17</v>
      </c>
      <c r="F391" t="s">
        <v>18</v>
      </c>
    </row>
    <row r="392" spans="1:6" x14ac:dyDescent="0.2">
      <c r="A392" t="s">
        <v>40</v>
      </c>
      <c r="B392" s="11">
        <v>2.8299999999999999E-2</v>
      </c>
      <c r="C392" t="s">
        <v>9</v>
      </c>
      <c r="D392" t="s">
        <v>5</v>
      </c>
      <c r="E392" t="s">
        <v>17</v>
      </c>
      <c r="F392" t="s">
        <v>41</v>
      </c>
    </row>
    <row r="393" spans="1:6" x14ac:dyDescent="0.2">
      <c r="A393" t="s">
        <v>123</v>
      </c>
      <c r="B393" s="11">
        <v>0.02</v>
      </c>
      <c r="C393" t="s">
        <v>9</v>
      </c>
      <c r="D393" t="s">
        <v>5</v>
      </c>
      <c r="E393" t="s">
        <v>17</v>
      </c>
      <c r="F393" t="s">
        <v>123</v>
      </c>
    </row>
    <row r="394" spans="1:6" x14ac:dyDescent="0.2">
      <c r="A394" t="s">
        <v>64</v>
      </c>
      <c r="B394" s="11">
        <v>4.1000000000000003E-3</v>
      </c>
      <c r="C394" t="s">
        <v>9</v>
      </c>
      <c r="D394" t="s">
        <v>5</v>
      </c>
      <c r="E394" t="s">
        <v>17</v>
      </c>
      <c r="F394" t="s">
        <v>65</v>
      </c>
    </row>
    <row r="395" spans="1:6" x14ac:dyDescent="0.2">
      <c r="A395" t="s">
        <v>86</v>
      </c>
      <c r="B395" s="11">
        <v>2.8E-3</v>
      </c>
      <c r="C395" t="s">
        <v>9</v>
      </c>
      <c r="D395" t="s">
        <v>5</v>
      </c>
      <c r="E395" t="s">
        <v>17</v>
      </c>
      <c r="F395" t="s">
        <v>87</v>
      </c>
    </row>
    <row r="396" spans="1:6" x14ac:dyDescent="0.2">
      <c r="A396" t="s">
        <v>124</v>
      </c>
      <c r="B396" s="11">
        <v>1.2999999999999999E-3</v>
      </c>
      <c r="C396" t="s">
        <v>9</v>
      </c>
      <c r="D396" t="s">
        <v>5</v>
      </c>
      <c r="E396" t="s">
        <v>17</v>
      </c>
      <c r="F396" t="s">
        <v>125</v>
      </c>
    </row>
    <row r="397" spans="1:6" x14ac:dyDescent="0.2">
      <c r="A397" t="s">
        <v>126</v>
      </c>
      <c r="B397" s="12">
        <v>4.0000000000000001E-10</v>
      </c>
      <c r="C397" t="s">
        <v>8</v>
      </c>
      <c r="D397" t="s">
        <v>5</v>
      </c>
      <c r="E397" t="s">
        <v>17</v>
      </c>
      <c r="F397" t="s">
        <v>127</v>
      </c>
    </row>
    <row r="399" spans="1:6" ht="16" x14ac:dyDescent="0.2">
      <c r="A399" s="1" t="s">
        <v>0</v>
      </c>
      <c r="B399" s="10" t="s">
        <v>199</v>
      </c>
    </row>
    <row r="400" spans="1:6" x14ac:dyDescent="0.2">
      <c r="A400" t="s">
        <v>2</v>
      </c>
      <c r="B400" s="2" t="s">
        <v>3</v>
      </c>
    </row>
    <row r="401" spans="1:6" x14ac:dyDescent="0.2">
      <c r="A401" t="s">
        <v>4</v>
      </c>
      <c r="B401" s="2" t="s">
        <v>5</v>
      </c>
    </row>
    <row r="402" spans="1:6" x14ac:dyDescent="0.2">
      <c r="A402" t="s">
        <v>6</v>
      </c>
      <c r="B402" s="2">
        <v>1</v>
      </c>
    </row>
    <row r="403" spans="1:6" x14ac:dyDescent="0.2">
      <c r="A403" t="s">
        <v>7</v>
      </c>
      <c r="B403" s="2" t="s">
        <v>199</v>
      </c>
    </row>
    <row r="404" spans="1:6" x14ac:dyDescent="0.2">
      <c r="A404" t="s">
        <v>8</v>
      </c>
      <c r="B404" s="2" t="s">
        <v>9</v>
      </c>
    </row>
    <row r="405" spans="1:6" x14ac:dyDescent="0.2">
      <c r="A405" t="s">
        <v>10</v>
      </c>
      <c r="B405" s="2" t="s">
        <v>399</v>
      </c>
    </row>
    <row r="406" spans="1:6" x14ac:dyDescent="0.2">
      <c r="A406" s="3" t="s">
        <v>11</v>
      </c>
    </row>
    <row r="407" spans="1:6" x14ac:dyDescent="0.2">
      <c r="A407" t="s">
        <v>12</v>
      </c>
      <c r="B407" s="2" t="s">
        <v>13</v>
      </c>
      <c r="C407" t="s">
        <v>8</v>
      </c>
      <c r="D407" t="s">
        <v>4</v>
      </c>
      <c r="E407" t="s">
        <v>14</v>
      </c>
      <c r="F407" t="s">
        <v>7</v>
      </c>
    </row>
    <row r="408" spans="1:6" x14ac:dyDescent="0.2">
      <c r="A408" t="s">
        <v>199</v>
      </c>
      <c r="B408" s="2">
        <v>1</v>
      </c>
      <c r="C408" t="s">
        <v>9</v>
      </c>
      <c r="D408" t="s">
        <v>5</v>
      </c>
      <c r="E408" t="s">
        <v>15</v>
      </c>
      <c r="F408" t="s">
        <v>199</v>
      </c>
    </row>
    <row r="409" spans="1:6" x14ac:dyDescent="0.2">
      <c r="A409" t="s">
        <v>128</v>
      </c>
      <c r="B409" s="11">
        <v>2.7744750000000002E-3</v>
      </c>
      <c r="C409" t="s">
        <v>54</v>
      </c>
      <c r="D409" t="s">
        <v>28</v>
      </c>
      <c r="E409" t="s">
        <v>17</v>
      </c>
      <c r="F409" t="s">
        <v>61</v>
      </c>
    </row>
    <row r="410" spans="1:6" x14ac:dyDescent="0.2">
      <c r="A410" t="s">
        <v>56</v>
      </c>
      <c r="B410" s="11">
        <v>5.9188796000000002E-2</v>
      </c>
      <c r="C410" t="s">
        <v>54</v>
      </c>
      <c r="D410" t="s">
        <v>28</v>
      </c>
      <c r="E410" t="s">
        <v>17</v>
      </c>
      <c r="F410" t="s">
        <v>57</v>
      </c>
    </row>
    <row r="411" spans="1:6" x14ac:dyDescent="0.2">
      <c r="A411" t="s">
        <v>62</v>
      </c>
      <c r="B411" s="11">
        <v>0.20568106799999999</v>
      </c>
      <c r="C411" t="s">
        <v>54</v>
      </c>
      <c r="D411" t="s">
        <v>5</v>
      </c>
      <c r="E411" t="s">
        <v>17</v>
      </c>
      <c r="F411" t="s">
        <v>63</v>
      </c>
    </row>
    <row r="412" spans="1:6" x14ac:dyDescent="0.2">
      <c r="A412" t="s">
        <v>46</v>
      </c>
      <c r="B412" s="11">
        <v>0.440587837837838</v>
      </c>
      <c r="C412" t="s">
        <v>47</v>
      </c>
      <c r="D412" t="s">
        <v>5</v>
      </c>
      <c r="E412" t="s">
        <v>17</v>
      </c>
      <c r="F412" t="s">
        <v>48</v>
      </c>
    </row>
    <row r="413" spans="1:6" x14ac:dyDescent="0.2">
      <c r="A413" t="s">
        <v>129</v>
      </c>
      <c r="B413" s="11">
        <v>2.5000000000000001E-2</v>
      </c>
      <c r="C413" t="s">
        <v>9</v>
      </c>
      <c r="D413" t="s">
        <v>5</v>
      </c>
      <c r="E413" t="s">
        <v>17</v>
      </c>
      <c r="F413" t="s">
        <v>130</v>
      </c>
    </row>
    <row r="414" spans="1:6" x14ac:dyDescent="0.2">
      <c r="A414" t="s">
        <v>131</v>
      </c>
      <c r="B414" s="11">
        <v>2.5000000000000001E-2</v>
      </c>
      <c r="C414" t="s">
        <v>9</v>
      </c>
      <c r="D414" t="s">
        <v>5</v>
      </c>
      <c r="E414" t="s">
        <v>17</v>
      </c>
      <c r="F414" t="s">
        <v>132</v>
      </c>
    </row>
    <row r="415" spans="1:6" x14ac:dyDescent="0.2">
      <c r="A415" t="s">
        <v>115</v>
      </c>
      <c r="B415" s="11">
        <v>25.864634146341501</v>
      </c>
      <c r="C415" t="s">
        <v>116</v>
      </c>
      <c r="D415" t="s">
        <v>28</v>
      </c>
      <c r="E415" t="s">
        <v>17</v>
      </c>
      <c r="F415" t="s">
        <v>117</v>
      </c>
    </row>
    <row r="416" spans="1:6" x14ac:dyDescent="0.2">
      <c r="A416" t="s">
        <v>133</v>
      </c>
      <c r="B416" s="11">
        <v>5.5999999999999999E-3</v>
      </c>
      <c r="C416" t="s">
        <v>9</v>
      </c>
      <c r="D416" t="s">
        <v>5</v>
      </c>
      <c r="E416" t="s">
        <v>17</v>
      </c>
      <c r="F416" t="s">
        <v>134</v>
      </c>
    </row>
    <row r="417" spans="1:7" x14ac:dyDescent="0.2">
      <c r="A417" t="s">
        <v>126</v>
      </c>
      <c r="B417" s="12">
        <v>4.0000000000000001E-10</v>
      </c>
      <c r="C417" t="s">
        <v>8</v>
      </c>
      <c r="D417" t="s">
        <v>5</v>
      </c>
      <c r="E417" t="s">
        <v>17</v>
      </c>
      <c r="F417" t="s">
        <v>127</v>
      </c>
      <c r="G417" s="4"/>
    </row>
    <row r="418" spans="1:7" x14ac:dyDescent="0.2">
      <c r="A418" t="s">
        <v>200</v>
      </c>
      <c r="B418" s="11">
        <v>0.95</v>
      </c>
      <c r="C418" t="s">
        <v>9</v>
      </c>
      <c r="D418" t="s">
        <v>5</v>
      </c>
      <c r="E418" t="s">
        <v>17</v>
      </c>
      <c r="F418" t="s">
        <v>200</v>
      </c>
    </row>
    <row r="420" spans="1:7" ht="16" x14ac:dyDescent="0.2">
      <c r="A420" s="1" t="s">
        <v>0</v>
      </c>
      <c r="B420" s="10" t="s">
        <v>200</v>
      </c>
    </row>
    <row r="421" spans="1:7" x14ac:dyDescent="0.2">
      <c r="A421" t="s">
        <v>2</v>
      </c>
      <c r="B421" s="2" t="s">
        <v>3</v>
      </c>
    </row>
    <row r="422" spans="1:7" x14ac:dyDescent="0.2">
      <c r="A422" t="s">
        <v>4</v>
      </c>
      <c r="B422" s="2" t="s">
        <v>5</v>
      </c>
    </row>
    <row r="423" spans="1:7" x14ac:dyDescent="0.2">
      <c r="A423" t="s">
        <v>6</v>
      </c>
      <c r="B423" s="2">
        <v>1</v>
      </c>
    </row>
    <row r="424" spans="1:7" x14ac:dyDescent="0.2">
      <c r="A424" t="s">
        <v>7</v>
      </c>
      <c r="B424" s="2" t="s">
        <v>200</v>
      </c>
    </row>
    <row r="425" spans="1:7" x14ac:dyDescent="0.2">
      <c r="A425" t="s">
        <v>8</v>
      </c>
      <c r="B425" s="2" t="s">
        <v>9</v>
      </c>
    </row>
    <row r="426" spans="1:7" x14ac:dyDescent="0.2">
      <c r="A426" t="s">
        <v>10</v>
      </c>
      <c r="B426" s="2" t="s">
        <v>399</v>
      </c>
    </row>
    <row r="427" spans="1:7" x14ac:dyDescent="0.2">
      <c r="A427" s="3" t="s">
        <v>11</v>
      </c>
    </row>
    <row r="428" spans="1:7" x14ac:dyDescent="0.2">
      <c r="A428" t="s">
        <v>12</v>
      </c>
      <c r="B428" s="2" t="s">
        <v>13</v>
      </c>
      <c r="C428" t="s">
        <v>8</v>
      </c>
      <c r="D428" t="s">
        <v>136</v>
      </c>
      <c r="E428" t="s">
        <v>4</v>
      </c>
      <c r="F428" t="s">
        <v>14</v>
      </c>
      <c r="G428" t="s">
        <v>7</v>
      </c>
    </row>
    <row r="429" spans="1:7" x14ac:dyDescent="0.2">
      <c r="A429" t="s">
        <v>200</v>
      </c>
      <c r="B429" s="2">
        <v>1</v>
      </c>
      <c r="C429" t="s">
        <v>9</v>
      </c>
      <c r="E429" t="s">
        <v>5</v>
      </c>
      <c r="F429" t="s">
        <v>15</v>
      </c>
      <c r="G429" t="s">
        <v>200</v>
      </c>
    </row>
    <row r="430" spans="1:7" x14ac:dyDescent="0.2">
      <c r="A430" t="s">
        <v>128</v>
      </c>
      <c r="B430" s="11">
        <v>3.2859232000000002E-2</v>
      </c>
      <c r="C430" t="s">
        <v>54</v>
      </c>
      <c r="E430" t="s">
        <v>148</v>
      </c>
      <c r="F430" t="s">
        <v>17</v>
      </c>
      <c r="G430" t="s">
        <v>61</v>
      </c>
    </row>
    <row r="431" spans="1:7" x14ac:dyDescent="0.2">
      <c r="A431" t="s">
        <v>137</v>
      </c>
      <c r="B431" s="11">
        <v>2.6585139999999998E-3</v>
      </c>
      <c r="C431" t="s">
        <v>54</v>
      </c>
      <c r="E431" t="s">
        <v>28</v>
      </c>
      <c r="F431" t="s">
        <v>17</v>
      </c>
      <c r="G431" t="s">
        <v>138</v>
      </c>
    </row>
    <row r="432" spans="1:7" x14ac:dyDescent="0.2">
      <c r="A432" t="s">
        <v>62</v>
      </c>
      <c r="B432" s="11">
        <v>6.3697992999999994E-2</v>
      </c>
      <c r="C432" t="s">
        <v>54</v>
      </c>
      <c r="E432" t="s">
        <v>5</v>
      </c>
      <c r="F432" t="s">
        <v>17</v>
      </c>
      <c r="G432" t="s">
        <v>63</v>
      </c>
    </row>
    <row r="433" spans="1:7" x14ac:dyDescent="0.2">
      <c r="A433" t="s">
        <v>56</v>
      </c>
      <c r="B433" s="11">
        <v>2.2225175999999999E-2</v>
      </c>
      <c r="C433" t="s">
        <v>54</v>
      </c>
      <c r="E433" t="s">
        <v>28</v>
      </c>
      <c r="F433" t="s">
        <v>17</v>
      </c>
      <c r="G433" t="s">
        <v>57</v>
      </c>
    </row>
    <row r="434" spans="1:7" x14ac:dyDescent="0.2">
      <c r="A434" t="s">
        <v>46</v>
      </c>
      <c r="B434" s="11">
        <v>6.8736953390000002</v>
      </c>
      <c r="C434" t="s">
        <v>47</v>
      </c>
      <c r="E434" t="s">
        <v>5</v>
      </c>
      <c r="F434" t="s">
        <v>17</v>
      </c>
      <c r="G434" t="s">
        <v>48</v>
      </c>
    </row>
    <row r="435" spans="1:7" x14ac:dyDescent="0.2">
      <c r="A435" t="s">
        <v>139</v>
      </c>
      <c r="B435" s="11">
        <v>0.38300000000000001</v>
      </c>
      <c r="C435" t="s">
        <v>9</v>
      </c>
      <c r="E435" t="s">
        <v>5</v>
      </c>
      <c r="F435" t="s">
        <v>17</v>
      </c>
      <c r="G435" t="s">
        <v>140</v>
      </c>
    </row>
    <row r="436" spans="1:7" x14ac:dyDescent="0.2">
      <c r="A436" t="s">
        <v>201</v>
      </c>
      <c r="B436" s="11">
        <v>0.94899999999999995</v>
      </c>
      <c r="C436" t="s">
        <v>9</v>
      </c>
      <c r="E436" t="s">
        <v>5</v>
      </c>
      <c r="F436" t="s">
        <v>17</v>
      </c>
      <c r="G436" t="s">
        <v>201</v>
      </c>
    </row>
    <row r="437" spans="1:7" x14ac:dyDescent="0.2">
      <c r="A437" t="s">
        <v>126</v>
      </c>
      <c r="B437" s="12">
        <v>7.4100000000000003E-10</v>
      </c>
      <c r="C437" t="s">
        <v>8</v>
      </c>
      <c r="E437" t="s">
        <v>5</v>
      </c>
      <c r="F437" t="s">
        <v>17</v>
      </c>
      <c r="G437" t="s">
        <v>127</v>
      </c>
    </row>
    <row r="438" spans="1:7" x14ac:dyDescent="0.2">
      <c r="A438" t="s">
        <v>142</v>
      </c>
      <c r="B438" s="11">
        <v>0.20699999999999999</v>
      </c>
      <c r="C438" t="s">
        <v>9</v>
      </c>
      <c r="D438" t="s">
        <v>143</v>
      </c>
      <c r="F438" t="s">
        <v>144</v>
      </c>
    </row>
    <row r="439" spans="1:7" x14ac:dyDescent="0.2">
      <c r="A439" t="s">
        <v>145</v>
      </c>
      <c r="B439" s="11">
        <v>1.2504399999999999E-4</v>
      </c>
      <c r="C439" t="s">
        <v>146</v>
      </c>
      <c r="D439" t="s">
        <v>147</v>
      </c>
      <c r="F439" t="s">
        <v>144</v>
      </c>
    </row>
    <row r="440" spans="1:7" x14ac:dyDescent="0.2">
      <c r="G440" s="4"/>
    </row>
    <row r="441" spans="1:7" ht="16" x14ac:dyDescent="0.2">
      <c r="A441" s="1" t="s">
        <v>0</v>
      </c>
      <c r="B441" s="10" t="s">
        <v>201</v>
      </c>
    </row>
    <row r="442" spans="1:7" x14ac:dyDescent="0.2">
      <c r="A442" t="s">
        <v>2</v>
      </c>
      <c r="B442" s="2" t="s">
        <v>3</v>
      </c>
    </row>
    <row r="443" spans="1:7" x14ac:dyDescent="0.2">
      <c r="A443" t="s">
        <v>4</v>
      </c>
      <c r="B443" s="2" t="s">
        <v>5</v>
      </c>
    </row>
    <row r="444" spans="1:7" x14ac:dyDescent="0.2">
      <c r="A444" t="s">
        <v>6</v>
      </c>
      <c r="B444" s="2">
        <v>1</v>
      </c>
    </row>
    <row r="445" spans="1:7" x14ac:dyDescent="0.2">
      <c r="A445" t="s">
        <v>7</v>
      </c>
      <c r="B445" s="2" t="s">
        <v>201</v>
      </c>
    </row>
    <row r="446" spans="1:7" x14ac:dyDescent="0.2">
      <c r="A446" t="s">
        <v>8</v>
      </c>
      <c r="B446" s="2" t="s">
        <v>9</v>
      </c>
    </row>
    <row r="447" spans="1:7" x14ac:dyDescent="0.2">
      <c r="A447" t="s">
        <v>10</v>
      </c>
      <c r="B447" s="2" t="s">
        <v>399</v>
      </c>
    </row>
    <row r="448" spans="1:7" x14ac:dyDescent="0.2">
      <c r="A448" s="3" t="s">
        <v>11</v>
      </c>
    </row>
    <row r="449" spans="1:14" x14ac:dyDescent="0.2">
      <c r="A449" t="s">
        <v>12</v>
      </c>
      <c r="B449" s="2" t="s">
        <v>13</v>
      </c>
      <c r="C449" t="s">
        <v>8</v>
      </c>
      <c r="D449" t="s">
        <v>136</v>
      </c>
      <c r="E449" t="s">
        <v>4</v>
      </c>
      <c r="F449" t="s">
        <v>14</v>
      </c>
      <c r="G449" t="s">
        <v>7</v>
      </c>
    </row>
    <row r="450" spans="1:14" x14ac:dyDescent="0.2">
      <c r="A450" t="s">
        <v>201</v>
      </c>
      <c r="B450" s="2">
        <v>1</v>
      </c>
      <c r="C450" t="s">
        <v>9</v>
      </c>
      <c r="E450" t="s">
        <v>5</v>
      </c>
      <c r="F450" t="s">
        <v>15</v>
      </c>
      <c r="G450" t="s">
        <v>201</v>
      </c>
    </row>
    <row r="451" spans="1:14" x14ac:dyDescent="0.2">
      <c r="A451" t="s">
        <v>137</v>
      </c>
      <c r="B451" s="11">
        <v>2.6585139999999998E-3</v>
      </c>
      <c r="C451" t="s">
        <v>54</v>
      </c>
      <c r="E451" t="s">
        <v>28</v>
      </c>
      <c r="F451" t="s">
        <v>17</v>
      </c>
      <c r="G451" t="s">
        <v>138</v>
      </c>
    </row>
    <row r="452" spans="1:14" x14ac:dyDescent="0.2">
      <c r="A452" t="s">
        <v>56</v>
      </c>
      <c r="B452" s="11">
        <v>2.2225175999999999E-2</v>
      </c>
      <c r="C452" t="s">
        <v>54</v>
      </c>
      <c r="E452" t="s">
        <v>28</v>
      </c>
      <c r="F452" t="s">
        <v>17</v>
      </c>
      <c r="G452" t="s">
        <v>57</v>
      </c>
    </row>
    <row r="453" spans="1:14" x14ac:dyDescent="0.2">
      <c r="A453" t="s">
        <v>128</v>
      </c>
      <c r="B453" s="11">
        <v>3.2859232000000002E-2</v>
      </c>
      <c r="C453" t="s">
        <v>54</v>
      </c>
      <c r="E453" t="s">
        <v>148</v>
      </c>
      <c r="F453" t="s">
        <v>17</v>
      </c>
      <c r="G453" t="s">
        <v>61</v>
      </c>
    </row>
    <row r="454" spans="1:14" x14ac:dyDescent="0.2">
      <c r="A454" t="s">
        <v>62</v>
      </c>
      <c r="B454" s="11">
        <v>6.3697992999999994E-2</v>
      </c>
      <c r="C454" t="s">
        <v>54</v>
      </c>
      <c r="E454" t="s">
        <v>5</v>
      </c>
      <c r="F454" t="s">
        <v>17</v>
      </c>
      <c r="G454" t="s">
        <v>63</v>
      </c>
    </row>
    <row r="455" spans="1:14" x14ac:dyDescent="0.2">
      <c r="A455" t="s">
        <v>115</v>
      </c>
      <c r="B455" s="11">
        <v>39.556470381406903</v>
      </c>
      <c r="C455" t="s">
        <v>116</v>
      </c>
      <c r="E455" t="s">
        <v>28</v>
      </c>
      <c r="F455" t="s">
        <v>17</v>
      </c>
      <c r="G455" t="s">
        <v>117</v>
      </c>
    </row>
    <row r="456" spans="1:14" x14ac:dyDescent="0.2">
      <c r="A456" t="s">
        <v>149</v>
      </c>
      <c r="B456" s="11">
        <v>0.86360624003470599</v>
      </c>
      <c r="C456" t="s">
        <v>9</v>
      </c>
      <c r="E456" t="s">
        <v>5</v>
      </c>
      <c r="F456" t="s">
        <v>17</v>
      </c>
      <c r="G456" t="s">
        <v>150</v>
      </c>
    </row>
    <row r="457" spans="1:14" x14ac:dyDescent="0.2">
      <c r="A457" t="s">
        <v>506</v>
      </c>
      <c r="B457" s="11">
        <v>0.32600000000000001</v>
      </c>
      <c r="C457" t="s">
        <v>9</v>
      </c>
      <c r="E457" t="s">
        <v>148</v>
      </c>
      <c r="F457" t="s">
        <v>17</v>
      </c>
      <c r="G457" t="s">
        <v>151</v>
      </c>
    </row>
    <row r="458" spans="1:14" x14ac:dyDescent="0.2">
      <c r="A458" t="s">
        <v>152</v>
      </c>
      <c r="B458" s="11">
        <v>0.97799999999999998</v>
      </c>
      <c r="C458" t="s">
        <v>9</v>
      </c>
      <c r="E458" t="s">
        <v>5</v>
      </c>
      <c r="F458" t="s">
        <v>17</v>
      </c>
      <c r="G458" t="s">
        <v>153</v>
      </c>
    </row>
    <row r="459" spans="1:14" x14ac:dyDescent="0.2">
      <c r="A459" t="s">
        <v>154</v>
      </c>
      <c r="B459" s="11">
        <v>0.32600000000000001</v>
      </c>
      <c r="C459" t="s">
        <v>9</v>
      </c>
      <c r="E459" t="s">
        <v>5</v>
      </c>
      <c r="F459" t="s">
        <v>17</v>
      </c>
      <c r="G459" t="s">
        <v>155</v>
      </c>
    </row>
    <row r="460" spans="1:14" x14ac:dyDescent="0.2">
      <c r="A460" t="s">
        <v>156</v>
      </c>
      <c r="B460" s="11">
        <v>5.8764994003199598E-3</v>
      </c>
      <c r="C460" t="s">
        <v>9</v>
      </c>
      <c r="E460" t="s">
        <v>148</v>
      </c>
      <c r="F460" t="s">
        <v>17</v>
      </c>
      <c r="G460" t="s">
        <v>157</v>
      </c>
      <c r="N460" s="6"/>
    </row>
    <row r="461" spans="1:14" x14ac:dyDescent="0.2">
      <c r="A461" t="s">
        <v>126</v>
      </c>
      <c r="B461" s="11">
        <v>7.1940002862808998E-10</v>
      </c>
      <c r="C461" t="s">
        <v>8</v>
      </c>
      <c r="E461" t="s">
        <v>5</v>
      </c>
      <c r="F461" t="s">
        <v>17</v>
      </c>
      <c r="G461" t="s">
        <v>127</v>
      </c>
    </row>
    <row r="462" spans="1:14" x14ac:dyDescent="0.2">
      <c r="A462" t="s">
        <v>158</v>
      </c>
      <c r="B462" s="11">
        <v>-6.1963397318955398E-4</v>
      </c>
      <c r="C462" t="s">
        <v>146</v>
      </c>
      <c r="E462" t="s">
        <v>28</v>
      </c>
      <c r="F462" t="s">
        <v>17</v>
      </c>
      <c r="G462" t="s">
        <v>159</v>
      </c>
    </row>
    <row r="463" spans="1:14" x14ac:dyDescent="0.2">
      <c r="A463" t="s">
        <v>160</v>
      </c>
      <c r="B463" s="11">
        <v>5.8764994003199598E-3</v>
      </c>
      <c r="C463" t="s">
        <v>9</v>
      </c>
      <c r="D463" t="s">
        <v>143</v>
      </c>
      <c r="F463" t="s">
        <v>144</v>
      </c>
    </row>
    <row r="464" spans="1:14" x14ac:dyDescent="0.2">
      <c r="A464" t="s">
        <v>161</v>
      </c>
      <c r="B464" s="11">
        <v>6.1963397318955398E-4</v>
      </c>
      <c r="C464" t="s">
        <v>146</v>
      </c>
      <c r="D464" t="s">
        <v>162</v>
      </c>
      <c r="F464" t="s">
        <v>144</v>
      </c>
    </row>
    <row r="466" spans="1:6" ht="16" x14ac:dyDescent="0.2">
      <c r="A466" s="1" t="s">
        <v>0</v>
      </c>
      <c r="B466" s="10" t="s">
        <v>202</v>
      </c>
    </row>
    <row r="467" spans="1:6" x14ac:dyDescent="0.2">
      <c r="A467" t="s">
        <v>2</v>
      </c>
      <c r="B467" s="2" t="s">
        <v>3</v>
      </c>
    </row>
    <row r="468" spans="1:6" x14ac:dyDescent="0.2">
      <c r="A468" t="s">
        <v>4</v>
      </c>
      <c r="B468" s="2" t="s">
        <v>5</v>
      </c>
    </row>
    <row r="469" spans="1:6" x14ac:dyDescent="0.2">
      <c r="A469" t="s">
        <v>6</v>
      </c>
      <c r="B469" s="2">
        <v>1</v>
      </c>
    </row>
    <row r="470" spans="1:6" x14ac:dyDescent="0.2">
      <c r="A470" t="s">
        <v>7</v>
      </c>
      <c r="B470" s="2" t="s">
        <v>114</v>
      </c>
    </row>
    <row r="471" spans="1:6" x14ac:dyDescent="0.2">
      <c r="A471" t="s">
        <v>8</v>
      </c>
      <c r="B471" s="2" t="s">
        <v>9</v>
      </c>
    </row>
    <row r="472" spans="1:6" x14ac:dyDescent="0.2">
      <c r="A472" t="s">
        <v>10</v>
      </c>
      <c r="B472" s="2" t="s">
        <v>400</v>
      </c>
    </row>
    <row r="473" spans="1:6" x14ac:dyDescent="0.2">
      <c r="A473" s="3" t="s">
        <v>11</v>
      </c>
    </row>
    <row r="474" spans="1:6" x14ac:dyDescent="0.2">
      <c r="A474" t="s">
        <v>12</v>
      </c>
      <c r="B474" s="2" t="s">
        <v>13</v>
      </c>
      <c r="C474" t="s">
        <v>8</v>
      </c>
      <c r="D474" t="s">
        <v>4</v>
      </c>
      <c r="E474" t="s">
        <v>14</v>
      </c>
      <c r="F474" t="s">
        <v>7</v>
      </c>
    </row>
    <row r="475" spans="1:6" x14ac:dyDescent="0.2">
      <c r="A475" t="s">
        <v>202</v>
      </c>
      <c r="B475" s="2">
        <v>1</v>
      </c>
      <c r="C475" t="s">
        <v>9</v>
      </c>
      <c r="D475" t="s">
        <v>5</v>
      </c>
      <c r="E475" t="s">
        <v>15</v>
      </c>
      <c r="F475" t="s">
        <v>114</v>
      </c>
    </row>
    <row r="476" spans="1:6" x14ac:dyDescent="0.2">
      <c r="A476" t="s">
        <v>115</v>
      </c>
      <c r="B476" s="11">
        <v>13.29</v>
      </c>
      <c r="C476" t="s">
        <v>116</v>
      </c>
      <c r="D476" t="s">
        <v>28</v>
      </c>
      <c r="E476" t="s">
        <v>17</v>
      </c>
      <c r="F476" t="s">
        <v>117</v>
      </c>
    </row>
    <row r="477" spans="1:6" x14ac:dyDescent="0.2">
      <c r="A477" t="s">
        <v>46</v>
      </c>
      <c r="B477" s="11">
        <v>1.2616000000000001</v>
      </c>
      <c r="C477" t="s">
        <v>47</v>
      </c>
      <c r="D477" t="s">
        <v>5</v>
      </c>
      <c r="E477" t="s">
        <v>17</v>
      </c>
      <c r="F477" t="s">
        <v>48</v>
      </c>
    </row>
    <row r="478" spans="1:6" x14ac:dyDescent="0.2">
      <c r="A478" t="s">
        <v>203</v>
      </c>
      <c r="B478" s="11">
        <v>0.37730000000000002</v>
      </c>
      <c r="C478" t="s">
        <v>9</v>
      </c>
      <c r="D478" t="s">
        <v>5</v>
      </c>
      <c r="E478" t="s">
        <v>17</v>
      </c>
      <c r="F478" t="s">
        <v>203</v>
      </c>
    </row>
    <row r="479" spans="1:6" x14ac:dyDescent="0.2">
      <c r="A479" t="s">
        <v>119</v>
      </c>
      <c r="B479" s="11">
        <v>0.21809999999999999</v>
      </c>
      <c r="C479" t="s">
        <v>9</v>
      </c>
      <c r="D479" t="s">
        <v>5</v>
      </c>
      <c r="E479" t="s">
        <v>17</v>
      </c>
      <c r="F479" t="s">
        <v>119</v>
      </c>
    </row>
    <row r="480" spans="1:6" x14ac:dyDescent="0.2">
      <c r="A480" t="s">
        <v>120</v>
      </c>
      <c r="B480" s="11">
        <v>0.16830000000000001</v>
      </c>
      <c r="C480" t="s">
        <v>9</v>
      </c>
      <c r="D480" t="s">
        <v>5</v>
      </c>
      <c r="E480" t="s">
        <v>17</v>
      </c>
      <c r="F480" t="s">
        <v>120</v>
      </c>
    </row>
    <row r="481" spans="1:6" x14ac:dyDescent="0.2">
      <c r="A481" t="s">
        <v>121</v>
      </c>
      <c r="B481" s="11">
        <v>0.12429999999999999</v>
      </c>
      <c r="C481" t="s">
        <v>9</v>
      </c>
      <c r="D481" t="s">
        <v>5</v>
      </c>
      <c r="E481" t="s">
        <v>17</v>
      </c>
      <c r="F481" t="s">
        <v>121</v>
      </c>
    </row>
    <row r="482" spans="1:6" x14ac:dyDescent="0.2">
      <c r="A482" t="s">
        <v>44</v>
      </c>
      <c r="B482" s="11">
        <v>3.3000000000000002E-2</v>
      </c>
      <c r="C482" t="s">
        <v>9</v>
      </c>
      <c r="D482" t="s">
        <v>5</v>
      </c>
      <c r="E482" t="s">
        <v>17</v>
      </c>
      <c r="F482" t="s">
        <v>45</v>
      </c>
    </row>
    <row r="483" spans="1:6" x14ac:dyDescent="0.2">
      <c r="A483" t="s">
        <v>42</v>
      </c>
      <c r="B483" s="11">
        <v>3.3000000000000002E-2</v>
      </c>
      <c r="C483" t="s">
        <v>9</v>
      </c>
      <c r="D483" t="s">
        <v>5</v>
      </c>
      <c r="E483" t="s">
        <v>17</v>
      </c>
      <c r="F483" t="s">
        <v>43</v>
      </c>
    </row>
    <row r="484" spans="1:6" x14ac:dyDescent="0.2">
      <c r="A484" t="s">
        <v>122</v>
      </c>
      <c r="B484" s="11">
        <v>2.8400000000000002E-2</v>
      </c>
      <c r="C484" t="s">
        <v>9</v>
      </c>
      <c r="D484" t="s">
        <v>5</v>
      </c>
      <c r="E484" t="s">
        <v>17</v>
      </c>
      <c r="F484" t="s">
        <v>122</v>
      </c>
    </row>
    <row r="485" spans="1:6" x14ac:dyDescent="0.2">
      <c r="A485" t="s">
        <v>16</v>
      </c>
      <c r="B485" s="11">
        <v>2.8400000000000002E-2</v>
      </c>
      <c r="C485" t="s">
        <v>9</v>
      </c>
      <c r="D485" t="s">
        <v>5</v>
      </c>
      <c r="E485" t="s">
        <v>17</v>
      </c>
      <c r="F485" t="s">
        <v>18</v>
      </c>
    </row>
    <row r="486" spans="1:6" x14ac:dyDescent="0.2">
      <c r="A486" t="s">
        <v>40</v>
      </c>
      <c r="B486" s="11">
        <v>2.8400000000000002E-2</v>
      </c>
      <c r="C486" t="s">
        <v>9</v>
      </c>
      <c r="D486" t="s">
        <v>5</v>
      </c>
      <c r="E486" t="s">
        <v>17</v>
      </c>
      <c r="F486" t="s">
        <v>41</v>
      </c>
    </row>
    <row r="487" spans="1:6" x14ac:dyDescent="0.2">
      <c r="A487" t="s">
        <v>123</v>
      </c>
      <c r="B487" s="11">
        <v>1.8200000000000001E-2</v>
      </c>
      <c r="C487" t="s">
        <v>9</v>
      </c>
      <c r="D487" t="s">
        <v>5</v>
      </c>
      <c r="E487" t="s">
        <v>17</v>
      </c>
      <c r="F487" t="s">
        <v>123</v>
      </c>
    </row>
    <row r="488" spans="1:6" x14ac:dyDescent="0.2">
      <c r="A488" t="s">
        <v>64</v>
      </c>
      <c r="B488" s="11">
        <v>4.1000000000000003E-3</v>
      </c>
      <c r="C488" t="s">
        <v>9</v>
      </c>
      <c r="D488" t="s">
        <v>5</v>
      </c>
      <c r="E488" t="s">
        <v>17</v>
      </c>
      <c r="F488" t="s">
        <v>65</v>
      </c>
    </row>
    <row r="489" spans="1:6" x14ac:dyDescent="0.2">
      <c r="A489" t="s">
        <v>86</v>
      </c>
      <c r="B489" s="11">
        <v>2.8E-3</v>
      </c>
      <c r="C489" t="s">
        <v>9</v>
      </c>
      <c r="D489" t="s">
        <v>5</v>
      </c>
      <c r="E489" t="s">
        <v>17</v>
      </c>
      <c r="F489" t="s">
        <v>87</v>
      </c>
    </row>
    <row r="490" spans="1:6" x14ac:dyDescent="0.2">
      <c r="A490" t="s">
        <v>124</v>
      </c>
      <c r="B490" s="11">
        <v>1.2999999999999999E-3</v>
      </c>
      <c r="C490" t="s">
        <v>9</v>
      </c>
      <c r="D490" t="s">
        <v>5</v>
      </c>
      <c r="E490" t="s">
        <v>17</v>
      </c>
      <c r="F490" t="s">
        <v>125</v>
      </c>
    </row>
    <row r="491" spans="1:6" x14ac:dyDescent="0.2">
      <c r="A491" t="s">
        <v>126</v>
      </c>
      <c r="B491" s="12">
        <v>4.0000000000000001E-10</v>
      </c>
      <c r="C491" t="s">
        <v>8</v>
      </c>
      <c r="D491" t="s">
        <v>5</v>
      </c>
      <c r="E491" t="s">
        <v>17</v>
      </c>
      <c r="F491" t="s">
        <v>127</v>
      </c>
    </row>
    <row r="493" spans="1:6" ht="16" x14ac:dyDescent="0.2">
      <c r="A493" s="1" t="s">
        <v>0</v>
      </c>
      <c r="B493" s="10" t="s">
        <v>203</v>
      </c>
    </row>
    <row r="494" spans="1:6" x14ac:dyDescent="0.2">
      <c r="A494" t="s">
        <v>2</v>
      </c>
      <c r="B494" s="2" t="s">
        <v>3</v>
      </c>
    </row>
    <row r="495" spans="1:6" x14ac:dyDescent="0.2">
      <c r="A495" t="s">
        <v>4</v>
      </c>
      <c r="B495" s="2" t="s">
        <v>5</v>
      </c>
    </row>
    <row r="496" spans="1:6" x14ac:dyDescent="0.2">
      <c r="A496" t="s">
        <v>6</v>
      </c>
      <c r="B496" s="2">
        <v>1</v>
      </c>
    </row>
    <row r="497" spans="1:7" x14ac:dyDescent="0.2">
      <c r="A497" t="s">
        <v>7</v>
      </c>
      <c r="B497" s="2" t="s">
        <v>203</v>
      </c>
    </row>
    <row r="498" spans="1:7" x14ac:dyDescent="0.2">
      <c r="A498" t="s">
        <v>8</v>
      </c>
      <c r="B498" s="2" t="s">
        <v>9</v>
      </c>
    </row>
    <row r="499" spans="1:7" x14ac:dyDescent="0.2">
      <c r="A499" t="s">
        <v>10</v>
      </c>
      <c r="B499" s="2" t="s">
        <v>400</v>
      </c>
    </row>
    <row r="500" spans="1:7" x14ac:dyDescent="0.2">
      <c r="A500" s="3" t="s">
        <v>11</v>
      </c>
    </row>
    <row r="501" spans="1:7" x14ac:dyDescent="0.2">
      <c r="A501" t="s">
        <v>12</v>
      </c>
      <c r="B501" s="2" t="s">
        <v>13</v>
      </c>
      <c r="C501" t="s">
        <v>8</v>
      </c>
      <c r="D501" t="s">
        <v>4</v>
      </c>
      <c r="E501" t="s">
        <v>14</v>
      </c>
      <c r="F501" t="s">
        <v>7</v>
      </c>
    </row>
    <row r="502" spans="1:7" x14ac:dyDescent="0.2">
      <c r="A502" t="s">
        <v>203</v>
      </c>
      <c r="B502" s="2">
        <v>1</v>
      </c>
      <c r="C502" t="s">
        <v>9</v>
      </c>
      <c r="D502" t="s">
        <v>5</v>
      </c>
      <c r="E502" t="s">
        <v>15</v>
      </c>
      <c r="F502" t="s">
        <v>203</v>
      </c>
    </row>
    <row r="503" spans="1:7" x14ac:dyDescent="0.2">
      <c r="A503" t="s">
        <v>128</v>
      </c>
      <c r="B503" s="11">
        <v>2.7744750000000002E-3</v>
      </c>
      <c r="C503" t="s">
        <v>54</v>
      </c>
      <c r="D503" t="s">
        <v>148</v>
      </c>
      <c r="E503" t="s">
        <v>17</v>
      </c>
      <c r="F503" t="s">
        <v>61</v>
      </c>
    </row>
    <row r="504" spans="1:7" x14ac:dyDescent="0.2">
      <c r="A504" t="s">
        <v>56</v>
      </c>
      <c r="B504" s="11">
        <v>5.9188796000000002E-2</v>
      </c>
      <c r="C504" t="s">
        <v>54</v>
      </c>
      <c r="D504" t="s">
        <v>28</v>
      </c>
      <c r="E504" t="s">
        <v>17</v>
      </c>
      <c r="F504" t="s">
        <v>57</v>
      </c>
    </row>
    <row r="505" spans="1:7" x14ac:dyDescent="0.2">
      <c r="A505" t="s">
        <v>62</v>
      </c>
      <c r="B505" s="11">
        <v>0.20568106799999999</v>
      </c>
      <c r="C505" t="s">
        <v>54</v>
      </c>
      <c r="D505" t="s">
        <v>5</v>
      </c>
      <c r="E505" t="s">
        <v>17</v>
      </c>
      <c r="F505" t="s">
        <v>63</v>
      </c>
    </row>
    <row r="506" spans="1:7" x14ac:dyDescent="0.2">
      <c r="A506" t="s">
        <v>46</v>
      </c>
      <c r="B506" s="11">
        <v>0.440587837837838</v>
      </c>
      <c r="C506" t="s">
        <v>47</v>
      </c>
      <c r="D506" t="s">
        <v>5</v>
      </c>
      <c r="E506" t="s">
        <v>17</v>
      </c>
      <c r="F506" t="s">
        <v>48</v>
      </c>
    </row>
    <row r="507" spans="1:7" x14ac:dyDescent="0.2">
      <c r="A507" t="s">
        <v>129</v>
      </c>
      <c r="B507" s="11">
        <v>2.5000000000000001E-2</v>
      </c>
      <c r="C507" t="s">
        <v>9</v>
      </c>
      <c r="D507" t="s">
        <v>5</v>
      </c>
      <c r="E507" t="s">
        <v>17</v>
      </c>
      <c r="F507" t="s">
        <v>130</v>
      </c>
    </row>
    <row r="508" spans="1:7" x14ac:dyDescent="0.2">
      <c r="A508" t="s">
        <v>131</v>
      </c>
      <c r="B508" s="11">
        <v>2.5000000000000001E-2</v>
      </c>
      <c r="C508" t="s">
        <v>9</v>
      </c>
      <c r="D508" t="s">
        <v>5</v>
      </c>
      <c r="E508" t="s">
        <v>17</v>
      </c>
      <c r="F508" t="s">
        <v>132</v>
      </c>
    </row>
    <row r="509" spans="1:7" x14ac:dyDescent="0.2">
      <c r="A509" t="s">
        <v>115</v>
      </c>
      <c r="B509" s="11">
        <v>28.074000000000002</v>
      </c>
      <c r="C509" t="s">
        <v>116</v>
      </c>
      <c r="D509" t="s">
        <v>28</v>
      </c>
      <c r="E509" t="s">
        <v>17</v>
      </c>
      <c r="F509" t="s">
        <v>117</v>
      </c>
    </row>
    <row r="510" spans="1:7" x14ac:dyDescent="0.2">
      <c r="A510" t="s">
        <v>133</v>
      </c>
      <c r="B510" s="11">
        <v>5.5999999999999999E-3</v>
      </c>
      <c r="C510" t="s">
        <v>9</v>
      </c>
      <c r="D510" t="s">
        <v>5</v>
      </c>
      <c r="E510" t="s">
        <v>17</v>
      </c>
      <c r="F510" t="s">
        <v>134</v>
      </c>
    </row>
    <row r="511" spans="1:7" x14ac:dyDescent="0.2">
      <c r="A511" t="s">
        <v>126</v>
      </c>
      <c r="B511" s="12">
        <v>4.0000000000000001E-10</v>
      </c>
      <c r="C511" t="s">
        <v>8</v>
      </c>
      <c r="D511" t="s">
        <v>5</v>
      </c>
      <c r="E511" t="s">
        <v>17</v>
      </c>
      <c r="F511" t="s">
        <v>127</v>
      </c>
      <c r="G511" s="4"/>
    </row>
    <row r="512" spans="1:7" x14ac:dyDescent="0.2">
      <c r="A512" t="s">
        <v>204</v>
      </c>
      <c r="B512" s="11">
        <v>0.95</v>
      </c>
      <c r="C512" t="s">
        <v>9</v>
      </c>
      <c r="D512" t="s">
        <v>5</v>
      </c>
      <c r="E512" t="s">
        <v>17</v>
      </c>
      <c r="F512" t="s">
        <v>204</v>
      </c>
    </row>
    <row r="514" spans="1:7" ht="16" x14ac:dyDescent="0.2">
      <c r="A514" s="1" t="s">
        <v>0</v>
      </c>
      <c r="B514" s="10" t="s">
        <v>204</v>
      </c>
    </row>
    <row r="515" spans="1:7" x14ac:dyDescent="0.2">
      <c r="A515" t="s">
        <v>2</v>
      </c>
      <c r="B515" s="2" t="s">
        <v>3</v>
      </c>
    </row>
    <row r="516" spans="1:7" x14ac:dyDescent="0.2">
      <c r="A516" t="s">
        <v>4</v>
      </c>
      <c r="B516" s="2" t="s">
        <v>5</v>
      </c>
    </row>
    <row r="517" spans="1:7" x14ac:dyDescent="0.2">
      <c r="A517" t="s">
        <v>6</v>
      </c>
      <c r="B517" s="2">
        <v>1</v>
      </c>
    </row>
    <row r="518" spans="1:7" x14ac:dyDescent="0.2">
      <c r="A518" t="s">
        <v>7</v>
      </c>
      <c r="B518" s="2" t="s">
        <v>204</v>
      </c>
    </row>
    <row r="519" spans="1:7" x14ac:dyDescent="0.2">
      <c r="A519" t="s">
        <v>8</v>
      </c>
      <c r="B519" s="2" t="s">
        <v>9</v>
      </c>
    </row>
    <row r="520" spans="1:7" x14ac:dyDescent="0.2">
      <c r="A520" t="s">
        <v>10</v>
      </c>
      <c r="B520" s="2" t="s">
        <v>400</v>
      </c>
    </row>
    <row r="521" spans="1:7" x14ac:dyDescent="0.2">
      <c r="A521" s="3" t="s">
        <v>11</v>
      </c>
    </row>
    <row r="522" spans="1:7" x14ac:dyDescent="0.2">
      <c r="A522" t="s">
        <v>12</v>
      </c>
      <c r="B522" s="2" t="s">
        <v>13</v>
      </c>
      <c r="C522" t="s">
        <v>8</v>
      </c>
      <c r="D522" t="s">
        <v>136</v>
      </c>
      <c r="E522" t="s">
        <v>4</v>
      </c>
      <c r="F522" t="s">
        <v>14</v>
      </c>
      <c r="G522" t="s">
        <v>7</v>
      </c>
    </row>
    <row r="523" spans="1:7" x14ac:dyDescent="0.2">
      <c r="A523" t="s">
        <v>204</v>
      </c>
      <c r="B523" s="2">
        <v>1</v>
      </c>
      <c r="C523" t="s">
        <v>9</v>
      </c>
      <c r="E523" t="s">
        <v>5</v>
      </c>
      <c r="F523" t="s">
        <v>15</v>
      </c>
      <c r="G523" t="s">
        <v>204</v>
      </c>
    </row>
    <row r="524" spans="1:7" x14ac:dyDescent="0.2">
      <c r="A524" t="s">
        <v>128</v>
      </c>
      <c r="B524" s="11">
        <v>3.2859232000000002E-2</v>
      </c>
      <c r="C524" t="s">
        <v>54</v>
      </c>
      <c r="E524" t="s">
        <v>148</v>
      </c>
      <c r="F524" t="s">
        <v>17</v>
      </c>
      <c r="G524" t="s">
        <v>61</v>
      </c>
    </row>
    <row r="525" spans="1:7" x14ac:dyDescent="0.2">
      <c r="A525" t="s">
        <v>137</v>
      </c>
      <c r="B525" s="11">
        <v>2.6585139999999998E-3</v>
      </c>
      <c r="C525" t="s">
        <v>54</v>
      </c>
      <c r="E525" t="s">
        <v>28</v>
      </c>
      <c r="F525" t="s">
        <v>17</v>
      </c>
      <c r="G525" t="s">
        <v>138</v>
      </c>
    </row>
    <row r="526" spans="1:7" x14ac:dyDescent="0.2">
      <c r="A526" t="s">
        <v>62</v>
      </c>
      <c r="B526" s="11">
        <v>6.3697992999999994E-2</v>
      </c>
      <c r="C526" t="s">
        <v>54</v>
      </c>
      <c r="E526" t="s">
        <v>5</v>
      </c>
      <c r="F526" t="s">
        <v>17</v>
      </c>
      <c r="G526" t="s">
        <v>63</v>
      </c>
    </row>
    <row r="527" spans="1:7" x14ac:dyDescent="0.2">
      <c r="A527" t="s">
        <v>56</v>
      </c>
      <c r="B527" s="11">
        <v>2.2225175999999999E-2</v>
      </c>
      <c r="C527" t="s">
        <v>54</v>
      </c>
      <c r="E527" t="s">
        <v>28</v>
      </c>
      <c r="F527" t="s">
        <v>17</v>
      </c>
      <c r="G527" t="s">
        <v>57</v>
      </c>
    </row>
    <row r="528" spans="1:7" x14ac:dyDescent="0.2">
      <c r="A528" t="s">
        <v>46</v>
      </c>
      <c r="B528" s="11">
        <v>7.26</v>
      </c>
      <c r="C528" t="s">
        <v>47</v>
      </c>
      <c r="E528" t="s">
        <v>5</v>
      </c>
      <c r="F528" t="s">
        <v>17</v>
      </c>
      <c r="G528" t="s">
        <v>48</v>
      </c>
    </row>
    <row r="529" spans="1:7" x14ac:dyDescent="0.2">
      <c r="A529" t="s">
        <v>205</v>
      </c>
      <c r="B529" s="11">
        <v>0.246</v>
      </c>
      <c r="C529" t="s">
        <v>9</v>
      </c>
      <c r="E529" t="s">
        <v>5</v>
      </c>
      <c r="F529" t="s">
        <v>17</v>
      </c>
      <c r="G529" t="s">
        <v>206</v>
      </c>
    </row>
    <row r="530" spans="1:7" x14ac:dyDescent="0.2">
      <c r="A530" t="s">
        <v>207</v>
      </c>
      <c r="B530" s="11">
        <v>0.94899999999999995</v>
      </c>
      <c r="C530" t="s">
        <v>9</v>
      </c>
      <c r="E530" t="s">
        <v>5</v>
      </c>
      <c r="F530" t="s">
        <v>17</v>
      </c>
      <c r="G530" t="s">
        <v>207</v>
      </c>
    </row>
    <row r="531" spans="1:7" x14ac:dyDescent="0.2">
      <c r="A531" t="s">
        <v>126</v>
      </c>
      <c r="B531" s="12">
        <v>7.4100000000000003E-10</v>
      </c>
      <c r="C531" t="s">
        <v>8</v>
      </c>
      <c r="E531" t="s">
        <v>5</v>
      </c>
      <c r="F531" t="s">
        <v>17</v>
      </c>
      <c r="G531" t="s">
        <v>127</v>
      </c>
    </row>
    <row r="532" spans="1:7" x14ac:dyDescent="0.2">
      <c r="A532" t="s">
        <v>145</v>
      </c>
      <c r="B532" s="11">
        <v>1.9562E-4</v>
      </c>
      <c r="C532" t="s">
        <v>146</v>
      </c>
      <c r="D532" t="s">
        <v>147</v>
      </c>
      <c r="F532" t="s">
        <v>144</v>
      </c>
    </row>
    <row r="533" spans="1:7" x14ac:dyDescent="0.2">
      <c r="G533" s="4"/>
    </row>
    <row r="534" spans="1:7" ht="16" x14ac:dyDescent="0.2">
      <c r="A534" s="1" t="s">
        <v>0</v>
      </c>
      <c r="B534" s="10" t="s">
        <v>207</v>
      </c>
    </row>
    <row r="535" spans="1:7" x14ac:dyDescent="0.2">
      <c r="A535" t="s">
        <v>2</v>
      </c>
      <c r="B535" s="2" t="s">
        <v>3</v>
      </c>
    </row>
    <row r="536" spans="1:7" x14ac:dyDescent="0.2">
      <c r="A536" t="s">
        <v>4</v>
      </c>
      <c r="B536" s="2" t="s">
        <v>5</v>
      </c>
    </row>
    <row r="537" spans="1:7" x14ac:dyDescent="0.2">
      <c r="A537" t="s">
        <v>6</v>
      </c>
      <c r="B537" s="2">
        <v>1</v>
      </c>
    </row>
    <row r="538" spans="1:7" x14ac:dyDescent="0.2">
      <c r="A538" t="s">
        <v>7</v>
      </c>
      <c r="B538" s="2" t="s">
        <v>207</v>
      </c>
    </row>
    <row r="539" spans="1:7" x14ac:dyDescent="0.2">
      <c r="A539" t="s">
        <v>8</v>
      </c>
      <c r="B539" s="2" t="s">
        <v>9</v>
      </c>
    </row>
    <row r="540" spans="1:7" x14ac:dyDescent="0.2">
      <c r="A540" t="s">
        <v>10</v>
      </c>
      <c r="B540" s="2" t="s">
        <v>400</v>
      </c>
    </row>
    <row r="541" spans="1:7" x14ac:dyDescent="0.2">
      <c r="A541" s="3" t="s">
        <v>11</v>
      </c>
    </row>
    <row r="542" spans="1:7" x14ac:dyDescent="0.2">
      <c r="A542" t="s">
        <v>12</v>
      </c>
      <c r="B542" s="2" t="s">
        <v>13</v>
      </c>
      <c r="C542" t="s">
        <v>8</v>
      </c>
      <c r="D542" t="s">
        <v>136</v>
      </c>
      <c r="E542" t="s">
        <v>4</v>
      </c>
      <c r="F542" t="s">
        <v>14</v>
      </c>
      <c r="G542" t="s">
        <v>7</v>
      </c>
    </row>
    <row r="543" spans="1:7" x14ac:dyDescent="0.2">
      <c r="A543" t="s">
        <v>207</v>
      </c>
      <c r="B543" s="2">
        <v>1</v>
      </c>
      <c r="C543" t="s">
        <v>9</v>
      </c>
      <c r="E543" t="s">
        <v>5</v>
      </c>
      <c r="F543" t="s">
        <v>15</v>
      </c>
      <c r="G543" t="s">
        <v>207</v>
      </c>
    </row>
    <row r="544" spans="1:7" x14ac:dyDescent="0.2">
      <c r="A544" t="s">
        <v>137</v>
      </c>
      <c r="B544" s="11">
        <v>2.6585139999999998E-3</v>
      </c>
      <c r="C544" t="s">
        <v>54</v>
      </c>
      <c r="E544" t="s">
        <v>28</v>
      </c>
      <c r="F544" t="s">
        <v>17</v>
      </c>
      <c r="G544" t="s">
        <v>138</v>
      </c>
    </row>
    <row r="545" spans="1:14" x14ac:dyDescent="0.2">
      <c r="A545" t="s">
        <v>56</v>
      </c>
      <c r="B545" s="11">
        <v>2.2225175999999999E-2</v>
      </c>
      <c r="C545" t="s">
        <v>54</v>
      </c>
      <c r="E545" t="s">
        <v>28</v>
      </c>
      <c r="F545" t="s">
        <v>17</v>
      </c>
      <c r="G545" t="s">
        <v>57</v>
      </c>
    </row>
    <row r="546" spans="1:14" x14ac:dyDescent="0.2">
      <c r="A546" t="s">
        <v>128</v>
      </c>
      <c r="B546" s="11">
        <v>3.2859232000000002E-2</v>
      </c>
      <c r="C546" t="s">
        <v>54</v>
      </c>
      <c r="E546" t="s">
        <v>148</v>
      </c>
      <c r="F546" t="s">
        <v>17</v>
      </c>
      <c r="G546" t="s">
        <v>61</v>
      </c>
    </row>
    <row r="547" spans="1:14" x14ac:dyDescent="0.2">
      <c r="A547" t="s">
        <v>62</v>
      </c>
      <c r="B547" s="11">
        <v>6.3697992999999994E-2</v>
      </c>
      <c r="C547" t="s">
        <v>54</v>
      </c>
      <c r="E547" t="s">
        <v>5</v>
      </c>
      <c r="F547" t="s">
        <v>17</v>
      </c>
      <c r="G547" t="s">
        <v>63</v>
      </c>
    </row>
    <row r="548" spans="1:14" x14ac:dyDescent="0.2">
      <c r="A548" t="s">
        <v>115</v>
      </c>
      <c r="B548" s="11">
        <v>39.106000000000002</v>
      </c>
      <c r="C548" t="s">
        <v>116</v>
      </c>
      <c r="E548" t="s">
        <v>28</v>
      </c>
      <c r="F548" t="s">
        <v>17</v>
      </c>
      <c r="G548" t="s">
        <v>117</v>
      </c>
    </row>
    <row r="549" spans="1:14" x14ac:dyDescent="0.2">
      <c r="A549" t="s">
        <v>149</v>
      </c>
      <c r="B549" s="11">
        <v>0.85377999999999998</v>
      </c>
      <c r="C549" t="s">
        <v>9</v>
      </c>
      <c r="E549" t="s">
        <v>5</v>
      </c>
      <c r="F549" t="s">
        <v>17</v>
      </c>
      <c r="G549" t="s">
        <v>150</v>
      </c>
    </row>
    <row r="550" spans="1:14" x14ac:dyDescent="0.2">
      <c r="A550" t="s">
        <v>506</v>
      </c>
      <c r="B550" s="11">
        <v>0.16106999999999999</v>
      </c>
      <c r="C550" t="s">
        <v>9</v>
      </c>
      <c r="E550" t="s">
        <v>148</v>
      </c>
      <c r="F550" t="s">
        <v>17</v>
      </c>
      <c r="G550" t="s">
        <v>151</v>
      </c>
    </row>
    <row r="551" spans="1:14" x14ac:dyDescent="0.2">
      <c r="A551" t="s">
        <v>152</v>
      </c>
      <c r="B551" s="11">
        <v>1.2865</v>
      </c>
      <c r="C551" t="s">
        <v>9</v>
      </c>
      <c r="E551" t="s">
        <v>5</v>
      </c>
      <c r="F551" t="s">
        <v>17</v>
      </c>
      <c r="G551" t="s">
        <v>153</v>
      </c>
    </row>
    <row r="552" spans="1:14" x14ac:dyDescent="0.2">
      <c r="A552" t="s">
        <v>154</v>
      </c>
      <c r="B552" s="11">
        <v>0.15692</v>
      </c>
      <c r="C552" t="s">
        <v>9</v>
      </c>
      <c r="E552" t="s">
        <v>5</v>
      </c>
      <c r="F552" t="s">
        <v>17</v>
      </c>
      <c r="G552" t="s">
        <v>155</v>
      </c>
    </row>
    <row r="553" spans="1:14" x14ac:dyDescent="0.2">
      <c r="A553" t="s">
        <v>156</v>
      </c>
      <c r="B553" s="11">
        <v>5.7999999999999996E-3</v>
      </c>
      <c r="C553" t="s">
        <v>9</v>
      </c>
      <c r="E553" t="s">
        <v>148</v>
      </c>
      <c r="F553" t="s">
        <v>17</v>
      </c>
      <c r="G553" t="s">
        <v>157</v>
      </c>
      <c r="N553" s="6"/>
    </row>
    <row r="554" spans="1:14" x14ac:dyDescent="0.2">
      <c r="A554" t="s">
        <v>126</v>
      </c>
      <c r="B554" s="11">
        <v>7.1940002862808998E-10</v>
      </c>
      <c r="C554" t="s">
        <v>8</v>
      </c>
      <c r="E554" t="s">
        <v>5</v>
      </c>
      <c r="F554" t="s">
        <v>17</v>
      </c>
      <c r="G554" t="s">
        <v>127</v>
      </c>
    </row>
    <row r="555" spans="1:14" x14ac:dyDescent="0.2">
      <c r="A555" t="s">
        <v>158</v>
      </c>
      <c r="B555" s="11">
        <v>-6.1963397318955398E-4</v>
      </c>
      <c r="C555" t="s">
        <v>146</v>
      </c>
      <c r="E555" t="s">
        <v>28</v>
      </c>
      <c r="F555" t="s">
        <v>17</v>
      </c>
      <c r="G555" t="s">
        <v>159</v>
      </c>
    </row>
    <row r="556" spans="1:14" x14ac:dyDescent="0.2">
      <c r="A556" t="s">
        <v>160</v>
      </c>
      <c r="B556" s="11">
        <v>5.7999999999999996E-3</v>
      </c>
      <c r="C556" t="s">
        <v>9</v>
      </c>
      <c r="D556" t="s">
        <v>143</v>
      </c>
      <c r="F556" t="s">
        <v>144</v>
      </c>
    </row>
    <row r="557" spans="1:14" x14ac:dyDescent="0.2">
      <c r="A557" t="s">
        <v>161</v>
      </c>
      <c r="B557" s="11">
        <v>6.1963397318955398E-4</v>
      </c>
      <c r="C557" t="s">
        <v>146</v>
      </c>
      <c r="D557" t="s">
        <v>162</v>
      </c>
      <c r="F557" t="s">
        <v>144</v>
      </c>
    </row>
    <row r="559" spans="1:14" ht="16" x14ac:dyDescent="0.2">
      <c r="A559" s="15" t="s">
        <v>0</v>
      </c>
      <c r="B559" s="15" t="s">
        <v>505</v>
      </c>
      <c r="C559" s="15"/>
      <c r="D559" s="16"/>
      <c r="E559" s="16"/>
      <c r="F559" s="16"/>
      <c r="G559" s="16"/>
      <c r="H559" s="16"/>
      <c r="I559" s="16"/>
      <c r="J559" s="16"/>
      <c r="K559" s="16"/>
    </row>
    <row r="560" spans="1:14" x14ac:dyDescent="0.2">
      <c r="A560" s="16" t="s">
        <v>4</v>
      </c>
      <c r="B560" s="16" t="s">
        <v>148</v>
      </c>
      <c r="C560" s="16"/>
      <c r="D560" s="16"/>
      <c r="E560" s="16"/>
      <c r="F560" s="16"/>
      <c r="G560" s="16"/>
      <c r="H560" s="16"/>
      <c r="I560" s="16"/>
      <c r="J560" s="16"/>
      <c r="K560" s="16"/>
    </row>
    <row r="561" spans="1:11" x14ac:dyDescent="0.2">
      <c r="A561" s="16" t="s">
        <v>6</v>
      </c>
      <c r="B561" s="16">
        <v>1</v>
      </c>
      <c r="C561" s="16"/>
      <c r="D561" s="16"/>
      <c r="E561" s="16"/>
      <c r="F561" s="16"/>
      <c r="G561" s="16"/>
      <c r="H561" s="16"/>
      <c r="I561" s="16"/>
      <c r="J561" s="16"/>
      <c r="K561" s="16"/>
    </row>
    <row r="562" spans="1:11" x14ac:dyDescent="0.2">
      <c r="A562" s="16" t="s">
        <v>7</v>
      </c>
      <c r="B562" s="16" t="s">
        <v>151</v>
      </c>
      <c r="C562" s="16"/>
      <c r="D562" s="16"/>
      <c r="E562" s="16"/>
      <c r="F562" s="16"/>
      <c r="G562" s="16"/>
      <c r="H562" s="16"/>
      <c r="I562" s="16"/>
      <c r="J562" s="16"/>
      <c r="K562" s="16"/>
    </row>
    <row r="563" spans="1:11" x14ac:dyDescent="0.2">
      <c r="A563" s="16" t="s">
        <v>8</v>
      </c>
      <c r="B563" s="16" t="s">
        <v>9</v>
      </c>
      <c r="C563" s="16"/>
      <c r="D563" s="16"/>
      <c r="E563" s="16"/>
      <c r="F563" s="16"/>
      <c r="G563" s="16"/>
      <c r="H563" s="16"/>
      <c r="I563" s="16"/>
      <c r="J563" s="16"/>
      <c r="K563" s="16"/>
    </row>
    <row r="564" spans="1:11" x14ac:dyDescent="0.2">
      <c r="A564" s="16" t="s">
        <v>2</v>
      </c>
      <c r="B564" s="57" t="s">
        <v>504</v>
      </c>
      <c r="C564" s="16"/>
      <c r="D564" s="16"/>
      <c r="E564" s="16"/>
      <c r="F564" s="16"/>
      <c r="G564" s="16"/>
      <c r="H564" s="16"/>
      <c r="I564" s="16"/>
      <c r="J564" s="16"/>
      <c r="K564" s="16"/>
    </row>
    <row r="565" spans="1:11" x14ac:dyDescent="0.2">
      <c r="A565" s="17" t="s">
        <v>11</v>
      </c>
      <c r="B565" s="16"/>
      <c r="C565" s="16"/>
      <c r="D565" s="16"/>
      <c r="E565" s="16"/>
      <c r="F565" s="16"/>
      <c r="G565" s="16"/>
      <c r="H565" s="16"/>
      <c r="I565" s="16"/>
      <c r="J565" s="16"/>
      <c r="K565" s="16"/>
    </row>
    <row r="566" spans="1:11" x14ac:dyDescent="0.2">
      <c r="A566" s="16" t="s">
        <v>12</v>
      </c>
      <c r="B566" s="16" t="s">
        <v>13</v>
      </c>
      <c r="C566" s="16" t="s">
        <v>8</v>
      </c>
      <c r="D566" s="16" t="s">
        <v>136</v>
      </c>
      <c r="E566" s="16" t="s">
        <v>4</v>
      </c>
      <c r="F566" s="16" t="s">
        <v>14</v>
      </c>
      <c r="G566" s="16" t="s">
        <v>7</v>
      </c>
      <c r="H566" s="16"/>
      <c r="I566" s="16"/>
      <c r="J566" s="16"/>
      <c r="K566" s="16"/>
    </row>
    <row r="567" spans="1:11" x14ac:dyDescent="0.2">
      <c r="A567" s="16" t="s">
        <v>505</v>
      </c>
      <c r="B567" s="16">
        <v>1</v>
      </c>
      <c r="C567" s="16" t="s">
        <v>9</v>
      </c>
      <c r="D567" s="16"/>
      <c r="E567" s="16" t="s">
        <v>148</v>
      </c>
      <c r="F567" s="16" t="s">
        <v>15</v>
      </c>
      <c r="G567" s="16" t="s">
        <v>151</v>
      </c>
      <c r="H567" s="16"/>
      <c r="I567" s="16"/>
      <c r="J567" s="16"/>
      <c r="K567" s="16"/>
    </row>
    <row r="568" spans="1:11" x14ac:dyDescent="0.2">
      <c r="A568" s="16" t="s">
        <v>406</v>
      </c>
      <c r="B568" s="18">
        <f>0.38*1.2</f>
        <v>0.45599999999999996</v>
      </c>
      <c r="C568" s="16" t="s">
        <v>9</v>
      </c>
      <c r="D568" s="16" t="s">
        <v>407</v>
      </c>
      <c r="E568" s="16"/>
      <c r="F568" s="16" t="s">
        <v>144</v>
      </c>
      <c r="G568" s="16"/>
      <c r="H568" s="16"/>
      <c r="I568" s="16"/>
      <c r="J568" s="16"/>
      <c r="K568" s="16"/>
    </row>
    <row r="569" spans="1:11" x14ac:dyDescent="0.2">
      <c r="A569" t="s">
        <v>333</v>
      </c>
      <c r="B569" s="19">
        <f>8.202*1055/1000</f>
        <v>8.6531099999999999</v>
      </c>
      <c r="C569" s="16" t="s">
        <v>116</v>
      </c>
      <c r="E569" t="s">
        <v>5</v>
      </c>
      <c r="F569" s="16" t="s">
        <v>17</v>
      </c>
      <c r="G569" t="s">
        <v>334</v>
      </c>
      <c r="H569" s="16"/>
      <c r="I569" s="16"/>
      <c r="J569" s="16"/>
      <c r="K569" s="16"/>
    </row>
    <row r="570" spans="1:11" x14ac:dyDescent="0.2">
      <c r="A570" t="s">
        <v>412</v>
      </c>
      <c r="B570" s="18">
        <f>21236/1000/1000</f>
        <v>2.1236000000000001E-2</v>
      </c>
      <c r="C570" s="16" t="s">
        <v>9</v>
      </c>
      <c r="D570" s="16" t="s">
        <v>143</v>
      </c>
      <c r="F570" s="16" t="s">
        <v>144</v>
      </c>
      <c r="H570" s="16"/>
      <c r="I570" s="16"/>
      <c r="J570" s="16"/>
      <c r="K570" s="16"/>
    </row>
    <row r="571" spans="1:11" x14ac:dyDescent="0.2">
      <c r="A571" t="s">
        <v>413</v>
      </c>
      <c r="B571" s="19">
        <f>2192/1000/1000</f>
        <v>2.1920000000000004E-3</v>
      </c>
      <c r="C571" s="16" t="s">
        <v>9</v>
      </c>
      <c r="D571" s="16" t="s">
        <v>143</v>
      </c>
      <c r="F571" s="16" t="s">
        <v>144</v>
      </c>
      <c r="H571" s="16"/>
      <c r="I571" s="16"/>
      <c r="J571" s="16"/>
      <c r="K571" s="16"/>
    </row>
    <row r="572" spans="1:11" x14ac:dyDescent="0.2">
      <c r="A572" t="s">
        <v>417</v>
      </c>
      <c r="B572">
        <f>(6.481*1055/1000)-B573</f>
        <v>5.6859811111111114</v>
      </c>
      <c r="C572" t="s">
        <v>47</v>
      </c>
      <c r="E572" t="s">
        <v>403</v>
      </c>
      <c r="F572" t="s">
        <v>17</v>
      </c>
      <c r="G572" t="s">
        <v>48</v>
      </c>
      <c r="H572" s="16"/>
      <c r="I572" s="16"/>
      <c r="J572" s="16"/>
      <c r="K572" s="16"/>
    </row>
    <row r="573" spans="1:11" x14ac:dyDescent="0.2">
      <c r="A573" t="s">
        <v>46</v>
      </c>
      <c r="B573" s="6">
        <f>params!H9</f>
        <v>1.1514738888888889</v>
      </c>
      <c r="C573" t="s">
        <v>47</v>
      </c>
      <c r="E573" t="s">
        <v>148</v>
      </c>
      <c r="F573" t="s">
        <v>17</v>
      </c>
      <c r="G573" t="s">
        <v>48</v>
      </c>
      <c r="H573" s="16"/>
      <c r="I573" s="16"/>
      <c r="J573" s="16"/>
      <c r="K573" s="16"/>
    </row>
    <row r="574" spans="1:11" x14ac:dyDescent="0.2">
      <c r="A574" t="s">
        <v>438</v>
      </c>
      <c r="B574" s="23">
        <f>10.205*1055/1000</f>
        <v>10.766275</v>
      </c>
      <c r="C574" t="s">
        <v>116</v>
      </c>
      <c r="E574" t="s">
        <v>28</v>
      </c>
      <c r="F574" t="s">
        <v>17</v>
      </c>
      <c r="G574" t="s">
        <v>283</v>
      </c>
    </row>
    <row r="575" spans="1:11" x14ac:dyDescent="0.2">
      <c r="A575" t="s">
        <v>27</v>
      </c>
      <c r="B575" s="23">
        <f>9069*params!L15/1000</f>
        <v>34.329792599999998</v>
      </c>
      <c r="C575" t="s">
        <v>9</v>
      </c>
      <c r="E575" t="s">
        <v>28</v>
      </c>
      <c r="F575" t="s">
        <v>17</v>
      </c>
      <c r="G575" t="s">
        <v>29</v>
      </c>
    </row>
    <row r="576" spans="1:11" x14ac:dyDescent="0.2">
      <c r="A576" t="s">
        <v>424</v>
      </c>
      <c r="B576" s="22">
        <v>0.27400000000000002</v>
      </c>
      <c r="C576" s="16" t="s">
        <v>9</v>
      </c>
      <c r="E576" s="16" t="s">
        <v>5</v>
      </c>
      <c r="F576" s="16" t="s">
        <v>17</v>
      </c>
      <c r="G576" t="s">
        <v>425</v>
      </c>
    </row>
    <row r="577" spans="1:7" x14ac:dyDescent="0.2">
      <c r="A577" t="s">
        <v>210</v>
      </c>
      <c r="B577" s="23">
        <v>0.378</v>
      </c>
      <c r="C577" t="s">
        <v>9</v>
      </c>
      <c r="E577" t="s">
        <v>28</v>
      </c>
      <c r="F577" t="s">
        <v>17</v>
      </c>
      <c r="G577" t="s">
        <v>211</v>
      </c>
    </row>
    <row r="578" spans="1:7" x14ac:dyDescent="0.2">
      <c r="A578" t="s">
        <v>358</v>
      </c>
      <c r="B578" s="23">
        <v>0.13800000000000001</v>
      </c>
      <c r="C578" t="s">
        <v>9</v>
      </c>
      <c r="E578" t="s">
        <v>28</v>
      </c>
      <c r="F578" t="s">
        <v>17</v>
      </c>
      <c r="G578" t="s">
        <v>359</v>
      </c>
    </row>
    <row r="579" spans="1:7" x14ac:dyDescent="0.2">
      <c r="A579" t="s">
        <v>149</v>
      </c>
      <c r="B579" s="23">
        <v>1.056</v>
      </c>
      <c r="C579" t="s">
        <v>9</v>
      </c>
      <c r="E579" t="s">
        <v>5</v>
      </c>
      <c r="F579" t="s">
        <v>17</v>
      </c>
      <c r="G579" t="s">
        <v>150</v>
      </c>
    </row>
    <row r="580" spans="1:7" x14ac:dyDescent="0.2">
      <c r="A580" t="s">
        <v>422</v>
      </c>
      <c r="B580" s="22">
        <v>0.44700000000000001</v>
      </c>
      <c r="C580" s="16" t="s">
        <v>9</v>
      </c>
      <c r="E580" s="16" t="s">
        <v>5</v>
      </c>
      <c r="F580" s="16" t="s">
        <v>17</v>
      </c>
      <c r="G580" t="s">
        <v>423</v>
      </c>
    </row>
    <row r="581" spans="1:7" x14ac:dyDescent="0.2">
      <c r="A581" t="s">
        <v>184</v>
      </c>
      <c r="B581" s="23">
        <v>0.97699999999999998</v>
      </c>
      <c r="C581" t="s">
        <v>9</v>
      </c>
      <c r="E581" t="s">
        <v>28</v>
      </c>
      <c r="F581" t="s">
        <v>17</v>
      </c>
      <c r="G581" t="s">
        <v>185</v>
      </c>
    </row>
    <row r="582" spans="1:7" x14ac:dyDescent="0.2">
      <c r="A582" t="s">
        <v>212</v>
      </c>
      <c r="B582" s="23">
        <v>0.53600000000000003</v>
      </c>
      <c r="C582" t="s">
        <v>9</v>
      </c>
      <c r="E582" t="s">
        <v>28</v>
      </c>
      <c r="F582" t="s">
        <v>17</v>
      </c>
      <c r="G582" t="s">
        <v>213</v>
      </c>
    </row>
    <row r="583" spans="1:7" x14ac:dyDescent="0.2">
      <c r="A583" t="s">
        <v>214</v>
      </c>
      <c r="B583" s="23">
        <v>1.7999999999999999E-2</v>
      </c>
      <c r="C583" t="s">
        <v>9</v>
      </c>
      <c r="E583" t="s">
        <v>28</v>
      </c>
      <c r="F583" t="s">
        <v>17</v>
      </c>
      <c r="G583" t="s">
        <v>215</v>
      </c>
    </row>
    <row r="584" spans="1:7" x14ac:dyDescent="0.2">
      <c r="A584" t="s">
        <v>216</v>
      </c>
      <c r="B584" s="23">
        <v>0.03</v>
      </c>
      <c r="C584" t="s">
        <v>9</v>
      </c>
      <c r="E584" t="s">
        <v>5</v>
      </c>
      <c r="F584" t="s">
        <v>17</v>
      </c>
      <c r="G584" t="s">
        <v>216</v>
      </c>
    </row>
    <row r="585" spans="1:7" x14ac:dyDescent="0.2">
      <c r="A585" t="s">
        <v>439</v>
      </c>
      <c r="B585" s="23">
        <v>0.218</v>
      </c>
      <c r="C585" t="s">
        <v>9</v>
      </c>
      <c r="E585" t="s">
        <v>28</v>
      </c>
      <c r="F585" t="s">
        <v>17</v>
      </c>
      <c r="G585" t="s">
        <v>440</v>
      </c>
    </row>
    <row r="586" spans="1:7" x14ac:dyDescent="0.2">
      <c r="A586" t="s">
        <v>441</v>
      </c>
      <c r="B586" s="23">
        <v>3.4000000000000002E-2</v>
      </c>
      <c r="C586" t="s">
        <v>9</v>
      </c>
      <c r="E586" t="s">
        <v>5</v>
      </c>
      <c r="F586" t="s">
        <v>17</v>
      </c>
      <c r="G586" t="s">
        <v>442</v>
      </c>
    </row>
    <row r="587" spans="1:7" x14ac:dyDescent="0.2">
      <c r="A587" t="s">
        <v>227</v>
      </c>
      <c r="B587" s="22">
        <f>2500/1000/1000</f>
        <v>2.5000000000000001E-3</v>
      </c>
      <c r="C587" s="16" t="s">
        <v>9</v>
      </c>
      <c r="D587" t="s">
        <v>143</v>
      </c>
      <c r="F587" s="16" t="s">
        <v>144</v>
      </c>
    </row>
    <row r="588" spans="1:7" x14ac:dyDescent="0.2">
      <c r="A588" t="s">
        <v>429</v>
      </c>
      <c r="B588" s="22">
        <f>-22*1.08</f>
        <v>-23.76</v>
      </c>
      <c r="C588" s="16" t="s">
        <v>9</v>
      </c>
      <c r="E588" s="16" t="s">
        <v>5</v>
      </c>
      <c r="F588" s="16" t="s">
        <v>17</v>
      </c>
      <c r="G588" t="s">
        <v>385</v>
      </c>
    </row>
    <row r="589" spans="1:7" x14ac:dyDescent="0.2">
      <c r="A589" t="s">
        <v>430</v>
      </c>
      <c r="B589" s="22">
        <f>-22*1.08</f>
        <v>-23.76</v>
      </c>
      <c r="C589" s="16" t="s">
        <v>9</v>
      </c>
      <c r="E589" s="16" t="s">
        <v>431</v>
      </c>
      <c r="F589" s="16" t="s">
        <v>17</v>
      </c>
      <c r="G589" t="s">
        <v>432</v>
      </c>
    </row>
    <row r="590" spans="1:7" x14ac:dyDescent="0.2">
      <c r="A590" t="s">
        <v>408</v>
      </c>
      <c r="B590">
        <f>2.38921785984693*0.38</f>
        <v>0.90790278674183345</v>
      </c>
      <c r="C590" t="s">
        <v>9</v>
      </c>
      <c r="D590" t="s">
        <v>407</v>
      </c>
      <c r="F590" t="s">
        <v>144</v>
      </c>
    </row>
    <row r="591" spans="1:7" x14ac:dyDescent="0.2">
      <c r="A591" t="s">
        <v>507</v>
      </c>
      <c r="B591">
        <f>0.013976542015926*0.38</f>
        <v>5.3110859660518801E-3</v>
      </c>
      <c r="C591" t="s">
        <v>508</v>
      </c>
      <c r="D591" t="s">
        <v>509</v>
      </c>
      <c r="F591" t="s">
        <v>144</v>
      </c>
    </row>
    <row r="592" spans="1:7" x14ac:dyDescent="0.2">
      <c r="A592" t="s">
        <v>510</v>
      </c>
      <c r="B592">
        <f>0.000805316789123233*0.38</f>
        <v>3.0602037986682859E-4</v>
      </c>
      <c r="C592" t="s">
        <v>511</v>
      </c>
      <c r="D592" t="s">
        <v>509</v>
      </c>
      <c r="F592" t="s">
        <v>144</v>
      </c>
    </row>
    <row r="593" spans="1:11" x14ac:dyDescent="0.2">
      <c r="A593" t="s">
        <v>512</v>
      </c>
      <c r="B593">
        <f>0.000464599534598369*0.38</f>
        <v>1.7654782314738022E-4</v>
      </c>
      <c r="C593" t="s">
        <v>511</v>
      </c>
      <c r="D593" t="s">
        <v>509</v>
      </c>
      <c r="F593" t="s">
        <v>144</v>
      </c>
    </row>
    <row r="595" spans="1:11" ht="16" x14ac:dyDescent="0.2">
      <c r="A595" s="15" t="s">
        <v>0</v>
      </c>
      <c r="B595" s="15" t="s">
        <v>506</v>
      </c>
      <c r="C595" s="15"/>
      <c r="D595" s="16"/>
      <c r="E595" s="16"/>
      <c r="F595" s="16"/>
      <c r="G595" s="16"/>
      <c r="H595" s="16"/>
      <c r="I595" s="16"/>
      <c r="J595" s="16"/>
      <c r="K595" s="16"/>
    </row>
    <row r="596" spans="1:11" x14ac:dyDescent="0.2">
      <c r="A596" s="16" t="s">
        <v>4</v>
      </c>
      <c r="B596" s="16" t="s">
        <v>148</v>
      </c>
      <c r="C596" s="16"/>
      <c r="D596" s="16"/>
      <c r="E596" s="16"/>
      <c r="F596" s="16"/>
      <c r="G596" s="16"/>
      <c r="H596" s="16"/>
      <c r="I596" s="16"/>
      <c r="J596" s="16"/>
      <c r="K596" s="16"/>
    </row>
    <row r="597" spans="1:11" x14ac:dyDescent="0.2">
      <c r="A597" s="16" t="s">
        <v>6</v>
      </c>
      <c r="B597" s="16">
        <v>1</v>
      </c>
      <c r="C597" s="16"/>
      <c r="D597" s="16"/>
      <c r="E597" s="16"/>
      <c r="F597" s="16"/>
      <c r="G597" s="16"/>
      <c r="H597" s="16"/>
      <c r="I597" s="16"/>
      <c r="J597" s="16"/>
      <c r="K597" s="16"/>
    </row>
    <row r="598" spans="1:11" x14ac:dyDescent="0.2">
      <c r="A598" s="16" t="s">
        <v>7</v>
      </c>
      <c r="B598" s="16" t="s">
        <v>151</v>
      </c>
      <c r="C598" s="16"/>
      <c r="D598" s="16"/>
      <c r="E598" s="16"/>
      <c r="F598" s="16"/>
      <c r="G598" s="16"/>
      <c r="H598" s="16"/>
      <c r="I598" s="16"/>
      <c r="J598" s="16"/>
      <c r="K598" s="16"/>
    </row>
    <row r="599" spans="1:11" x14ac:dyDescent="0.2">
      <c r="A599" s="16" t="s">
        <v>8</v>
      </c>
      <c r="B599" s="16" t="s">
        <v>9</v>
      </c>
      <c r="C599" s="16"/>
      <c r="D599" s="16"/>
      <c r="E599" s="16"/>
      <c r="F599" s="16"/>
      <c r="G599" s="16"/>
      <c r="H599" s="16"/>
      <c r="I599" s="16"/>
      <c r="J599" s="16"/>
      <c r="K599" s="16"/>
    </row>
    <row r="600" spans="1:11" x14ac:dyDescent="0.2">
      <c r="A600" s="16" t="s">
        <v>2</v>
      </c>
      <c r="B600" s="57" t="s">
        <v>504</v>
      </c>
      <c r="C600" s="16"/>
      <c r="D600" s="16"/>
      <c r="E600" s="16"/>
      <c r="F600" s="16"/>
      <c r="G600" s="16"/>
      <c r="H600" s="16"/>
      <c r="I600" s="16"/>
      <c r="J600" s="16"/>
      <c r="K600" s="16"/>
    </row>
    <row r="601" spans="1:11" x14ac:dyDescent="0.2">
      <c r="A601" s="17" t="s">
        <v>11</v>
      </c>
      <c r="B601" s="16"/>
      <c r="C601" s="16"/>
      <c r="D601" s="16"/>
      <c r="E601" s="16"/>
      <c r="F601" s="16"/>
      <c r="G601" s="16"/>
      <c r="H601" s="16"/>
      <c r="I601" s="16"/>
      <c r="J601" s="16"/>
      <c r="K601" s="16"/>
    </row>
    <row r="602" spans="1:11" x14ac:dyDescent="0.2">
      <c r="A602" s="16" t="s">
        <v>12</v>
      </c>
      <c r="B602" s="16" t="s">
        <v>13</v>
      </c>
      <c r="C602" s="16" t="s">
        <v>8</v>
      </c>
      <c r="D602" s="16" t="s">
        <v>136</v>
      </c>
      <c r="E602" s="16" t="s">
        <v>4</v>
      </c>
      <c r="F602" s="16" t="s">
        <v>14</v>
      </c>
      <c r="G602" s="16" t="s">
        <v>7</v>
      </c>
      <c r="H602" s="16"/>
      <c r="I602" s="16"/>
      <c r="J602" s="16"/>
      <c r="K602" s="16"/>
    </row>
    <row r="603" spans="1:11" x14ac:dyDescent="0.2">
      <c r="A603" s="16" t="s">
        <v>506</v>
      </c>
      <c r="B603" s="16">
        <v>1</v>
      </c>
      <c r="C603" s="16" t="s">
        <v>9</v>
      </c>
      <c r="D603" s="16"/>
      <c r="E603" s="16" t="s">
        <v>148</v>
      </c>
      <c r="F603" s="16" t="s">
        <v>15</v>
      </c>
      <c r="G603" s="16" t="s">
        <v>151</v>
      </c>
      <c r="H603" s="16"/>
      <c r="I603" s="16"/>
      <c r="J603" s="16"/>
      <c r="K603" s="16"/>
    </row>
    <row r="604" spans="1:11" x14ac:dyDescent="0.2">
      <c r="A604" s="16" t="s">
        <v>406</v>
      </c>
      <c r="B604" s="18">
        <f>0.38*1.2</f>
        <v>0.45599999999999996</v>
      </c>
      <c r="C604" s="16" t="s">
        <v>9</v>
      </c>
      <c r="D604" s="16" t="s">
        <v>407</v>
      </c>
      <c r="E604" s="16"/>
      <c r="F604" s="16" t="s">
        <v>144</v>
      </c>
      <c r="G604" s="16"/>
      <c r="H604" s="16"/>
      <c r="I604" s="16"/>
      <c r="J604" s="16"/>
      <c r="K604" s="16"/>
    </row>
    <row r="605" spans="1:11" x14ac:dyDescent="0.2">
      <c r="A605" t="s">
        <v>333</v>
      </c>
      <c r="B605" s="19">
        <f>26.963*1055/1000</f>
        <v>28.445965000000001</v>
      </c>
      <c r="C605" s="16" t="s">
        <v>116</v>
      </c>
      <c r="E605" t="s">
        <v>5</v>
      </c>
      <c r="F605" s="16" t="s">
        <v>17</v>
      </c>
      <c r="G605" t="s">
        <v>334</v>
      </c>
      <c r="H605" s="16"/>
      <c r="I605" s="16"/>
      <c r="J605" s="16"/>
      <c r="K605" s="16"/>
    </row>
    <row r="606" spans="1:11" x14ac:dyDescent="0.2">
      <c r="A606" t="s">
        <v>412</v>
      </c>
      <c r="B606" s="18">
        <f>69809/1000/1000</f>
        <v>6.9808999999999996E-2</v>
      </c>
      <c r="C606" s="16" t="s">
        <v>9</v>
      </c>
      <c r="D606" s="16" t="s">
        <v>143</v>
      </c>
      <c r="F606" s="16" t="s">
        <v>144</v>
      </c>
      <c r="H606" s="16"/>
      <c r="I606" s="16"/>
      <c r="J606" s="16"/>
      <c r="K606" s="16"/>
    </row>
    <row r="607" spans="1:11" x14ac:dyDescent="0.2">
      <c r="A607" t="s">
        <v>413</v>
      </c>
      <c r="B607" s="19">
        <f>7205/1000/1000</f>
        <v>7.2050000000000005E-3</v>
      </c>
      <c r="C607" s="16" t="s">
        <v>9</v>
      </c>
      <c r="D607" s="16" t="s">
        <v>143</v>
      </c>
      <c r="F607" s="16" t="s">
        <v>144</v>
      </c>
      <c r="H607" s="16"/>
      <c r="I607" s="16"/>
      <c r="J607" s="16"/>
      <c r="K607" s="16"/>
    </row>
    <row r="608" spans="1:11" x14ac:dyDescent="0.2">
      <c r="A608" t="s">
        <v>417</v>
      </c>
      <c r="B608">
        <f>(15.085*1055/1000)-B609</f>
        <v>14.763201111111112</v>
      </c>
      <c r="C608" t="s">
        <v>47</v>
      </c>
      <c r="E608" t="s">
        <v>403</v>
      </c>
      <c r="F608" t="s">
        <v>17</v>
      </c>
      <c r="G608" t="s">
        <v>48</v>
      </c>
      <c r="H608" s="16"/>
      <c r="I608" s="16"/>
      <c r="J608" s="16"/>
      <c r="K608" s="16"/>
    </row>
    <row r="609" spans="1:11" x14ac:dyDescent="0.2">
      <c r="A609" t="s">
        <v>46</v>
      </c>
      <c r="B609" s="6">
        <f>params!H9</f>
        <v>1.1514738888888889</v>
      </c>
      <c r="C609" t="s">
        <v>47</v>
      </c>
      <c r="E609" t="s">
        <v>148</v>
      </c>
      <c r="F609" t="s">
        <v>17</v>
      </c>
      <c r="G609" t="s">
        <v>48</v>
      </c>
      <c r="H609" s="16"/>
      <c r="I609" s="16"/>
      <c r="J609" s="16"/>
      <c r="K609" s="16"/>
    </row>
    <row r="610" spans="1:11" x14ac:dyDescent="0.2">
      <c r="A610" t="s">
        <v>438</v>
      </c>
      <c r="B610" s="23">
        <f>10.205*1055/1000</f>
        <v>10.766275</v>
      </c>
      <c r="C610" t="s">
        <v>116</v>
      </c>
      <c r="E610" t="s">
        <v>28</v>
      </c>
      <c r="F610" t="s">
        <v>17</v>
      </c>
      <c r="G610" t="s">
        <v>283</v>
      </c>
    </row>
    <row r="611" spans="1:11" x14ac:dyDescent="0.2">
      <c r="A611" t="s">
        <v>27</v>
      </c>
      <c r="B611" s="23">
        <f>22142*params!L15/1000</f>
        <v>83.816326799999999</v>
      </c>
      <c r="C611" t="s">
        <v>9</v>
      </c>
      <c r="E611" t="s">
        <v>28</v>
      </c>
      <c r="F611" t="s">
        <v>17</v>
      </c>
      <c r="G611" t="s">
        <v>29</v>
      </c>
    </row>
    <row r="612" spans="1:11" x14ac:dyDescent="0.2">
      <c r="A612" t="s">
        <v>424</v>
      </c>
      <c r="B612" s="22">
        <v>1.1990000000000001</v>
      </c>
      <c r="C612" s="16" t="s">
        <v>9</v>
      </c>
      <c r="E612" s="16" t="s">
        <v>5</v>
      </c>
      <c r="F612" s="16" t="s">
        <v>17</v>
      </c>
      <c r="G612" t="s">
        <v>425</v>
      </c>
    </row>
    <row r="613" spans="1:11" x14ac:dyDescent="0.2">
      <c r="A613" t="s">
        <v>210</v>
      </c>
      <c r="B613" s="23">
        <v>1.581</v>
      </c>
      <c r="C613" t="s">
        <v>9</v>
      </c>
      <c r="E613" t="s">
        <v>28</v>
      </c>
      <c r="F613" t="s">
        <v>17</v>
      </c>
      <c r="G613" t="s">
        <v>211</v>
      </c>
    </row>
    <row r="614" spans="1:11" x14ac:dyDescent="0.2">
      <c r="A614" t="s">
        <v>358</v>
      </c>
      <c r="B614" s="23">
        <v>0.57699999999999996</v>
      </c>
      <c r="C614" t="s">
        <v>9</v>
      </c>
      <c r="E614" t="s">
        <v>28</v>
      </c>
      <c r="F614" t="s">
        <v>17</v>
      </c>
      <c r="G614" t="s">
        <v>359</v>
      </c>
    </row>
    <row r="615" spans="1:11" x14ac:dyDescent="0.2">
      <c r="A615" t="s">
        <v>149</v>
      </c>
      <c r="B615" s="23">
        <v>1.1080000000000001</v>
      </c>
      <c r="C615" t="s">
        <v>9</v>
      </c>
      <c r="E615" t="s">
        <v>5</v>
      </c>
      <c r="F615" t="s">
        <v>17</v>
      </c>
      <c r="G615" t="s">
        <v>150</v>
      </c>
    </row>
    <row r="616" spans="1:11" x14ac:dyDescent="0.2">
      <c r="A616" t="s">
        <v>422</v>
      </c>
      <c r="B616" s="22">
        <v>0.44700000000000001</v>
      </c>
      <c r="C616" s="16" t="s">
        <v>9</v>
      </c>
      <c r="E616" s="16" t="s">
        <v>5</v>
      </c>
      <c r="F616" s="16" t="s">
        <v>17</v>
      </c>
      <c r="G616" t="s">
        <v>423</v>
      </c>
    </row>
    <row r="617" spans="1:11" x14ac:dyDescent="0.2">
      <c r="A617" t="s">
        <v>184</v>
      </c>
      <c r="B617" s="23">
        <v>0.97699999999999998</v>
      </c>
      <c r="C617" t="s">
        <v>9</v>
      </c>
      <c r="E617" t="s">
        <v>28</v>
      </c>
      <c r="F617" t="s">
        <v>17</v>
      </c>
      <c r="G617" t="s">
        <v>185</v>
      </c>
    </row>
    <row r="618" spans="1:11" x14ac:dyDescent="0.2">
      <c r="A618" t="s">
        <v>212</v>
      </c>
      <c r="B618" s="23">
        <v>0.53600000000000003</v>
      </c>
      <c r="C618" t="s">
        <v>9</v>
      </c>
      <c r="E618" t="s">
        <v>28</v>
      </c>
      <c r="F618" t="s">
        <v>17</v>
      </c>
      <c r="G618" t="s">
        <v>213</v>
      </c>
    </row>
    <row r="619" spans="1:11" x14ac:dyDescent="0.2">
      <c r="A619" t="s">
        <v>214</v>
      </c>
      <c r="B619" s="23">
        <v>1.7999999999999999E-2</v>
      </c>
      <c r="C619" t="s">
        <v>9</v>
      </c>
      <c r="E619" t="s">
        <v>28</v>
      </c>
      <c r="F619" t="s">
        <v>17</v>
      </c>
      <c r="G619" t="s">
        <v>215</v>
      </c>
    </row>
    <row r="620" spans="1:11" x14ac:dyDescent="0.2">
      <c r="A620" t="s">
        <v>216</v>
      </c>
      <c r="B620" s="23">
        <v>0.03</v>
      </c>
      <c r="C620" t="s">
        <v>9</v>
      </c>
      <c r="E620" t="s">
        <v>5</v>
      </c>
      <c r="F620" t="s">
        <v>17</v>
      </c>
      <c r="G620" t="s">
        <v>216</v>
      </c>
    </row>
    <row r="621" spans="1:11" x14ac:dyDescent="0.2">
      <c r="A621" t="s">
        <v>439</v>
      </c>
      <c r="B621" s="23">
        <v>0.218</v>
      </c>
      <c r="C621" t="s">
        <v>9</v>
      </c>
      <c r="E621" t="s">
        <v>28</v>
      </c>
      <c r="F621" t="s">
        <v>17</v>
      </c>
      <c r="G621" t="s">
        <v>440</v>
      </c>
    </row>
    <row r="622" spans="1:11" x14ac:dyDescent="0.2">
      <c r="A622" t="s">
        <v>441</v>
      </c>
      <c r="B622" s="23">
        <v>3.4000000000000002E-2</v>
      </c>
      <c r="C622" t="s">
        <v>9</v>
      </c>
      <c r="E622" t="s">
        <v>5</v>
      </c>
      <c r="F622" t="s">
        <v>17</v>
      </c>
      <c r="G622" t="s">
        <v>442</v>
      </c>
    </row>
    <row r="623" spans="1:11" x14ac:dyDescent="0.2">
      <c r="A623" t="s">
        <v>227</v>
      </c>
      <c r="B623" s="22">
        <f>10936/1000/1000</f>
        <v>1.0936E-2</v>
      </c>
      <c r="C623" s="16" t="s">
        <v>9</v>
      </c>
      <c r="D623" t="s">
        <v>143</v>
      </c>
      <c r="F623" s="16" t="s">
        <v>144</v>
      </c>
    </row>
    <row r="624" spans="1:11" x14ac:dyDescent="0.2">
      <c r="A624" t="s">
        <v>429</v>
      </c>
      <c r="B624" s="22">
        <f>-22*1.08</f>
        <v>-23.76</v>
      </c>
      <c r="C624" s="16" t="s">
        <v>9</v>
      </c>
      <c r="E624" s="16" t="s">
        <v>5</v>
      </c>
      <c r="F624" s="16" t="s">
        <v>17</v>
      </c>
      <c r="G624" t="s">
        <v>385</v>
      </c>
    </row>
    <row r="625" spans="1:11" x14ac:dyDescent="0.2">
      <c r="A625" t="s">
        <v>430</v>
      </c>
      <c r="B625" s="22">
        <f>-22*1.08</f>
        <v>-23.76</v>
      </c>
      <c r="C625" s="16" t="s">
        <v>9</v>
      </c>
      <c r="E625" s="16" t="s">
        <v>431</v>
      </c>
      <c r="F625" s="16" t="s">
        <v>17</v>
      </c>
      <c r="G625" t="s">
        <v>432</v>
      </c>
    </row>
    <row r="626" spans="1:11" x14ac:dyDescent="0.2">
      <c r="A626" t="s">
        <v>408</v>
      </c>
      <c r="B626">
        <f>2.38921785984693*0.38</f>
        <v>0.90790278674183345</v>
      </c>
      <c r="C626" t="s">
        <v>9</v>
      </c>
      <c r="D626" t="s">
        <v>407</v>
      </c>
      <c r="F626" t="s">
        <v>144</v>
      </c>
    </row>
    <row r="627" spans="1:11" x14ac:dyDescent="0.2">
      <c r="A627" t="s">
        <v>507</v>
      </c>
      <c r="B627">
        <f>0.013976542015926*0.38</f>
        <v>5.3110859660518801E-3</v>
      </c>
      <c r="C627" t="s">
        <v>508</v>
      </c>
      <c r="D627" t="s">
        <v>509</v>
      </c>
      <c r="F627" t="s">
        <v>144</v>
      </c>
    </row>
    <row r="628" spans="1:11" x14ac:dyDescent="0.2">
      <c r="A628" t="s">
        <v>510</v>
      </c>
      <c r="B628">
        <f>0.000805316789123233*0.38</f>
        <v>3.0602037986682859E-4</v>
      </c>
      <c r="C628" t="s">
        <v>511</v>
      </c>
      <c r="D628" t="s">
        <v>509</v>
      </c>
      <c r="F628" t="s">
        <v>144</v>
      </c>
    </row>
    <row r="629" spans="1:11" x14ac:dyDescent="0.2">
      <c r="A629" t="s">
        <v>512</v>
      </c>
      <c r="B629">
        <f>0.000464599534598369*0.38</f>
        <v>1.7654782314738022E-4</v>
      </c>
      <c r="C629" t="s">
        <v>511</v>
      </c>
      <c r="D629" t="s">
        <v>509</v>
      </c>
      <c r="F629" t="s">
        <v>144</v>
      </c>
    </row>
    <row r="631" spans="1:11" ht="16" x14ac:dyDescent="0.2">
      <c r="A631" s="15" t="s">
        <v>0</v>
      </c>
      <c r="B631" s="15" t="s">
        <v>446</v>
      </c>
      <c r="C631" s="15"/>
      <c r="D631" s="16"/>
      <c r="E631" s="16"/>
      <c r="F631" s="16"/>
      <c r="G631" s="16"/>
      <c r="H631" s="16"/>
      <c r="I631" s="16"/>
      <c r="J631" s="16"/>
      <c r="K631" s="16"/>
    </row>
    <row r="632" spans="1:11" x14ac:dyDescent="0.2">
      <c r="A632" s="16" t="s">
        <v>4</v>
      </c>
      <c r="B632" s="16" t="s">
        <v>148</v>
      </c>
      <c r="C632" s="16"/>
      <c r="D632" s="16"/>
      <c r="E632" s="16"/>
      <c r="F632" s="16"/>
      <c r="G632" s="16"/>
      <c r="H632" s="16"/>
      <c r="I632" s="16"/>
      <c r="J632" s="16"/>
      <c r="K632" s="16"/>
    </row>
    <row r="633" spans="1:11" x14ac:dyDescent="0.2">
      <c r="A633" s="16" t="s">
        <v>6</v>
      </c>
      <c r="B633" s="16">
        <v>1</v>
      </c>
      <c r="C633" s="16"/>
      <c r="D633" s="16"/>
      <c r="E633" s="16"/>
      <c r="F633" s="16"/>
      <c r="G633" s="16"/>
      <c r="H633" s="16"/>
      <c r="I633" s="16"/>
      <c r="J633" s="16"/>
      <c r="K633" s="16"/>
    </row>
    <row r="634" spans="1:11" x14ac:dyDescent="0.2">
      <c r="A634" s="16" t="s">
        <v>7</v>
      </c>
      <c r="B634" s="16" t="s">
        <v>444</v>
      </c>
      <c r="C634" s="16"/>
      <c r="D634" s="16"/>
      <c r="E634" s="16"/>
      <c r="F634" s="16"/>
      <c r="G634" s="16"/>
      <c r="H634" s="16"/>
      <c r="I634" s="16"/>
      <c r="J634" s="16"/>
      <c r="K634" s="16"/>
    </row>
    <row r="635" spans="1:11" x14ac:dyDescent="0.2">
      <c r="A635" s="16" t="s">
        <v>8</v>
      </c>
      <c r="B635" s="16" t="s">
        <v>9</v>
      </c>
      <c r="C635" s="16"/>
      <c r="D635" s="16"/>
      <c r="E635" s="16"/>
      <c r="F635" s="16"/>
      <c r="G635" s="16"/>
      <c r="H635" s="16"/>
      <c r="I635" s="16"/>
      <c r="J635" s="16"/>
      <c r="K635" s="16"/>
    </row>
    <row r="636" spans="1:11" x14ac:dyDescent="0.2">
      <c r="A636" s="16" t="s">
        <v>2</v>
      </c>
      <c r="B636" s="57" t="s">
        <v>513</v>
      </c>
      <c r="C636" s="16"/>
      <c r="D636" s="16"/>
      <c r="E636" s="16"/>
      <c r="F636" s="16"/>
      <c r="G636" s="16"/>
      <c r="H636" s="16"/>
      <c r="I636" s="16"/>
      <c r="J636" s="16"/>
      <c r="K636" s="16"/>
    </row>
    <row r="637" spans="1:11" x14ac:dyDescent="0.2">
      <c r="A637" s="17" t="s">
        <v>11</v>
      </c>
      <c r="B637" s="16"/>
      <c r="C637" s="16"/>
      <c r="D637" s="16"/>
      <c r="E637" s="16"/>
      <c r="F637" s="16"/>
      <c r="G637" s="16"/>
      <c r="H637" s="16"/>
      <c r="I637" s="16"/>
      <c r="J637" s="16"/>
      <c r="K637" s="16"/>
    </row>
    <row r="638" spans="1:11" x14ac:dyDescent="0.2">
      <c r="A638" s="16" t="s">
        <v>12</v>
      </c>
      <c r="B638" s="16" t="s">
        <v>13</v>
      </c>
      <c r="C638" s="16" t="s">
        <v>8</v>
      </c>
      <c r="D638" s="16" t="s">
        <v>136</v>
      </c>
      <c r="E638" s="16" t="s">
        <v>4</v>
      </c>
      <c r="F638" s="16" t="s">
        <v>14</v>
      </c>
      <c r="G638" s="16" t="s">
        <v>7</v>
      </c>
      <c r="H638" s="16"/>
      <c r="I638" s="16"/>
      <c r="J638" s="16"/>
      <c r="K638" s="16"/>
    </row>
    <row r="639" spans="1:11" x14ac:dyDescent="0.2">
      <c r="A639" s="16" t="s">
        <v>446</v>
      </c>
      <c r="B639" s="16">
        <v>1</v>
      </c>
      <c r="C639" s="16" t="s">
        <v>9</v>
      </c>
      <c r="D639" s="16"/>
      <c r="E639" s="16" t="s">
        <v>148</v>
      </c>
      <c r="F639" s="16" t="s">
        <v>15</v>
      </c>
      <c r="G639" s="16" t="s">
        <v>444</v>
      </c>
      <c r="H639" s="16"/>
      <c r="I639" s="16"/>
      <c r="J639" s="16"/>
      <c r="K639" s="16"/>
    </row>
    <row r="640" spans="1:11" x14ac:dyDescent="0.2">
      <c r="A640" s="16" t="s">
        <v>406</v>
      </c>
      <c r="B640" s="18">
        <v>1.2</v>
      </c>
      <c r="C640" s="16" t="s">
        <v>9</v>
      </c>
      <c r="D640" s="16" t="s">
        <v>407</v>
      </c>
      <c r="E640" s="16"/>
      <c r="F640" s="16" t="s">
        <v>144</v>
      </c>
      <c r="G640" s="16"/>
      <c r="H640" s="16"/>
      <c r="I640" s="16"/>
      <c r="J640" s="16"/>
      <c r="K640" s="16"/>
    </row>
    <row r="641" spans="1:11" x14ac:dyDescent="0.2">
      <c r="A641" t="s">
        <v>333</v>
      </c>
      <c r="B641" s="19">
        <f>21.571*1055/1000</f>
        <v>22.757405000000002</v>
      </c>
      <c r="C641" s="16" t="s">
        <v>116</v>
      </c>
      <c r="E641" t="s">
        <v>5</v>
      </c>
      <c r="F641" s="16" t="s">
        <v>17</v>
      </c>
      <c r="G641" t="s">
        <v>334</v>
      </c>
      <c r="H641" s="16"/>
      <c r="I641" s="16"/>
      <c r="J641" s="16"/>
      <c r="K641" s="16"/>
    </row>
    <row r="642" spans="1:11" x14ac:dyDescent="0.2">
      <c r="A642" t="s">
        <v>412</v>
      </c>
      <c r="B642" s="18">
        <f>55849/1000/1000</f>
        <v>5.5848999999999996E-2</v>
      </c>
      <c r="C642" s="16" t="s">
        <v>9</v>
      </c>
      <c r="D642" s="16" t="s">
        <v>143</v>
      </c>
      <c r="F642" s="16" t="s">
        <v>144</v>
      </c>
      <c r="H642" s="16"/>
      <c r="I642" s="16"/>
      <c r="J642" s="16"/>
      <c r="K642" s="16"/>
    </row>
    <row r="643" spans="1:11" x14ac:dyDescent="0.2">
      <c r="A643" t="s">
        <v>413</v>
      </c>
      <c r="B643" s="19">
        <f>5764/1000/1000</f>
        <v>5.764E-3</v>
      </c>
      <c r="C643" s="16" t="s">
        <v>9</v>
      </c>
      <c r="D643" s="16" t="s">
        <v>143</v>
      </c>
      <c r="F643" s="16" t="s">
        <v>144</v>
      </c>
      <c r="H643" s="16"/>
      <c r="I643" s="16"/>
      <c r="J643" s="16"/>
      <c r="K643" s="16"/>
    </row>
    <row r="644" spans="1:11" x14ac:dyDescent="0.2">
      <c r="A644" t="s">
        <v>417</v>
      </c>
      <c r="B644">
        <f>(27.571*1055/1000)-B645</f>
        <v>24.535931111111115</v>
      </c>
      <c r="C644" t="s">
        <v>47</v>
      </c>
      <c r="E644" t="s">
        <v>403</v>
      </c>
      <c r="F644" t="s">
        <v>17</v>
      </c>
      <c r="G644" t="s">
        <v>48</v>
      </c>
      <c r="H644" s="16"/>
      <c r="I644" s="16"/>
      <c r="J644" s="16"/>
      <c r="K644" s="16"/>
    </row>
    <row r="645" spans="1:11" x14ac:dyDescent="0.2">
      <c r="A645" t="s">
        <v>46</v>
      </c>
      <c r="B645" s="6">
        <f>params!I9+params!H9</f>
        <v>4.5514738888888893</v>
      </c>
      <c r="C645" t="s">
        <v>47</v>
      </c>
      <c r="E645" t="s">
        <v>148</v>
      </c>
      <c r="F645" t="s">
        <v>17</v>
      </c>
      <c r="G645" t="s">
        <v>48</v>
      </c>
      <c r="H645" s="16"/>
      <c r="I645" s="16"/>
      <c r="J645" s="16"/>
      <c r="K645" s="16"/>
    </row>
    <row r="646" spans="1:11" x14ac:dyDescent="0.2">
      <c r="A646" t="s">
        <v>438</v>
      </c>
      <c r="B646" s="23">
        <f>26.838*1055/1000</f>
        <v>28.31409</v>
      </c>
      <c r="C646" t="s">
        <v>116</v>
      </c>
      <c r="E646" t="s">
        <v>28</v>
      </c>
      <c r="F646" t="s">
        <v>17</v>
      </c>
      <c r="G646" t="s">
        <v>283</v>
      </c>
    </row>
    <row r="647" spans="1:11" x14ac:dyDescent="0.2">
      <c r="A647" t="s">
        <v>27</v>
      </c>
      <c r="B647" s="23">
        <f>23850*params!L15/1000</f>
        <v>90.281790000000015</v>
      </c>
      <c r="C647" t="s">
        <v>9</v>
      </c>
      <c r="E647" t="s">
        <v>28</v>
      </c>
      <c r="F647" t="s">
        <v>17</v>
      </c>
      <c r="G647" t="s">
        <v>29</v>
      </c>
    </row>
    <row r="648" spans="1:11" x14ac:dyDescent="0.2">
      <c r="A648" t="s">
        <v>424</v>
      </c>
      <c r="B648" s="22">
        <v>0.72099999999999997</v>
      </c>
      <c r="C648" s="16" t="s">
        <v>9</v>
      </c>
      <c r="E648" s="16" t="s">
        <v>5</v>
      </c>
      <c r="F648" s="16" t="s">
        <v>17</v>
      </c>
      <c r="G648" t="s">
        <v>425</v>
      </c>
    </row>
    <row r="649" spans="1:11" x14ac:dyDescent="0.2">
      <c r="A649" t="s">
        <v>210</v>
      </c>
      <c r="B649" s="23">
        <v>0.99399999999999999</v>
      </c>
      <c r="C649" t="s">
        <v>9</v>
      </c>
      <c r="E649" t="s">
        <v>28</v>
      </c>
      <c r="F649" t="s">
        <v>17</v>
      </c>
      <c r="G649" t="s">
        <v>211</v>
      </c>
    </row>
    <row r="650" spans="1:11" x14ac:dyDescent="0.2">
      <c r="A650" t="s">
        <v>358</v>
      </c>
      <c r="B650" s="23">
        <v>0.36399999999999999</v>
      </c>
      <c r="C650" t="s">
        <v>9</v>
      </c>
      <c r="E650" t="s">
        <v>28</v>
      </c>
      <c r="F650" t="s">
        <v>17</v>
      </c>
      <c r="G650" t="s">
        <v>359</v>
      </c>
    </row>
    <row r="651" spans="1:11" x14ac:dyDescent="0.2">
      <c r="A651" t="s">
        <v>149</v>
      </c>
      <c r="B651" s="23">
        <v>2.7759999999999998</v>
      </c>
      <c r="C651" t="s">
        <v>9</v>
      </c>
      <c r="E651" t="s">
        <v>5</v>
      </c>
      <c r="F651" t="s">
        <v>17</v>
      </c>
      <c r="G651" t="s">
        <v>150</v>
      </c>
    </row>
    <row r="652" spans="1:11" x14ac:dyDescent="0.2">
      <c r="A652" t="s">
        <v>422</v>
      </c>
      <c r="B652" s="22">
        <v>1.175</v>
      </c>
      <c r="C652" s="16" t="s">
        <v>9</v>
      </c>
      <c r="E652" s="16" t="s">
        <v>5</v>
      </c>
      <c r="F652" s="16" t="s">
        <v>17</v>
      </c>
      <c r="G652" t="s">
        <v>423</v>
      </c>
    </row>
    <row r="653" spans="1:11" x14ac:dyDescent="0.2">
      <c r="A653" t="s">
        <v>184</v>
      </c>
      <c r="B653" s="23">
        <v>2.57</v>
      </c>
      <c r="C653" t="s">
        <v>9</v>
      </c>
      <c r="E653" t="s">
        <v>28</v>
      </c>
      <c r="F653" t="s">
        <v>17</v>
      </c>
      <c r="G653" t="s">
        <v>185</v>
      </c>
    </row>
    <row r="654" spans="1:11" x14ac:dyDescent="0.2">
      <c r="A654" t="s">
        <v>212</v>
      </c>
      <c r="B654" s="23">
        <v>1.409</v>
      </c>
      <c r="C654" t="s">
        <v>9</v>
      </c>
      <c r="E654" t="s">
        <v>28</v>
      </c>
      <c r="F654" t="s">
        <v>17</v>
      </c>
      <c r="G654" t="s">
        <v>213</v>
      </c>
    </row>
    <row r="655" spans="1:11" x14ac:dyDescent="0.2">
      <c r="A655" t="s">
        <v>214</v>
      </c>
      <c r="B655" s="23">
        <v>4.7E-2</v>
      </c>
      <c r="C655" t="s">
        <v>9</v>
      </c>
      <c r="E655" t="s">
        <v>28</v>
      </c>
      <c r="F655" t="s">
        <v>17</v>
      </c>
      <c r="G655" t="s">
        <v>215</v>
      </c>
    </row>
    <row r="656" spans="1:11" x14ac:dyDescent="0.2">
      <c r="A656" t="s">
        <v>216</v>
      </c>
      <c r="B656" s="23">
        <v>0.08</v>
      </c>
      <c r="C656" t="s">
        <v>9</v>
      </c>
      <c r="E656" t="s">
        <v>5</v>
      </c>
      <c r="F656" t="s">
        <v>17</v>
      </c>
      <c r="G656" t="s">
        <v>216</v>
      </c>
    </row>
    <row r="657" spans="1:11" x14ac:dyDescent="0.2">
      <c r="A657" t="s">
        <v>439</v>
      </c>
      <c r="B657" s="23">
        <v>0.57399999999999995</v>
      </c>
      <c r="C657" t="s">
        <v>9</v>
      </c>
      <c r="E657" t="s">
        <v>28</v>
      </c>
      <c r="F657" t="s">
        <v>17</v>
      </c>
      <c r="G657" t="s">
        <v>440</v>
      </c>
    </row>
    <row r="658" spans="1:11" x14ac:dyDescent="0.2">
      <c r="A658" t="s">
        <v>441</v>
      </c>
      <c r="B658" s="23">
        <v>8.7999999999999995E-2</v>
      </c>
      <c r="C658" t="s">
        <v>9</v>
      </c>
      <c r="E658" t="s">
        <v>5</v>
      </c>
      <c r="F658" t="s">
        <v>17</v>
      </c>
      <c r="G658" t="s">
        <v>442</v>
      </c>
    </row>
    <row r="659" spans="1:11" x14ac:dyDescent="0.2">
      <c r="A659" t="s">
        <v>227</v>
      </c>
      <c r="B659" s="22">
        <f>6575/1000/1000</f>
        <v>6.5750000000000001E-3</v>
      </c>
      <c r="C659" s="16" t="s">
        <v>9</v>
      </c>
      <c r="D659" t="s">
        <v>143</v>
      </c>
      <c r="F659" s="16" t="s">
        <v>144</v>
      </c>
    </row>
    <row r="660" spans="1:11" x14ac:dyDescent="0.2">
      <c r="A660" t="s">
        <v>429</v>
      </c>
      <c r="B660" s="22">
        <f>-22*1.08*2.63</f>
        <v>-62.488800000000005</v>
      </c>
      <c r="C660" s="16" t="s">
        <v>9</v>
      </c>
      <c r="E660" s="16" t="s">
        <v>5</v>
      </c>
      <c r="F660" s="16" t="s">
        <v>17</v>
      </c>
      <c r="G660" t="s">
        <v>385</v>
      </c>
    </row>
    <row r="661" spans="1:11" x14ac:dyDescent="0.2">
      <c r="A661" t="s">
        <v>430</v>
      </c>
      <c r="B661" s="22">
        <f>-22*1.08*2.63</f>
        <v>-62.488800000000005</v>
      </c>
      <c r="C661" s="16" t="s">
        <v>9</v>
      </c>
      <c r="E661" s="16" t="s">
        <v>431</v>
      </c>
      <c r="F661" s="16" t="s">
        <v>17</v>
      </c>
      <c r="G661" t="s">
        <v>432</v>
      </c>
    </row>
    <row r="662" spans="1:11" x14ac:dyDescent="0.2">
      <c r="A662" t="s">
        <v>408</v>
      </c>
      <c r="B662">
        <v>2.389217859846934</v>
      </c>
      <c r="C662" t="s">
        <v>9</v>
      </c>
      <c r="D662" t="s">
        <v>407</v>
      </c>
      <c r="F662" t="s">
        <v>144</v>
      </c>
    </row>
    <row r="663" spans="1:11" x14ac:dyDescent="0.2">
      <c r="A663" t="s">
        <v>507</v>
      </c>
      <c r="B663">
        <v>1.3976542015925989E-2</v>
      </c>
      <c r="C663" t="s">
        <v>508</v>
      </c>
      <c r="D663" t="s">
        <v>509</v>
      </c>
      <c r="F663" t="s">
        <v>144</v>
      </c>
    </row>
    <row r="664" spans="1:11" x14ac:dyDescent="0.2">
      <c r="A664" t="s">
        <v>510</v>
      </c>
      <c r="B664">
        <v>8.0531678912323294E-4</v>
      </c>
      <c r="C664" t="s">
        <v>511</v>
      </c>
      <c r="D664" t="s">
        <v>509</v>
      </c>
      <c r="F664" t="s">
        <v>144</v>
      </c>
    </row>
    <row r="665" spans="1:11" x14ac:dyDescent="0.2">
      <c r="A665" t="s">
        <v>512</v>
      </c>
      <c r="B665">
        <v>4.6459953459836861E-4</v>
      </c>
      <c r="C665" t="s">
        <v>511</v>
      </c>
      <c r="D665" t="s">
        <v>509</v>
      </c>
      <c r="F665" t="s">
        <v>144</v>
      </c>
    </row>
    <row r="666" spans="1:11" x14ac:dyDescent="0.2">
      <c r="B666" s="22"/>
      <c r="C666" s="16"/>
      <c r="F666" s="16"/>
    </row>
    <row r="667" spans="1:11" x14ac:dyDescent="0.2">
      <c r="A667" s="16"/>
      <c r="B667" s="16"/>
      <c r="C667" s="16"/>
      <c r="D667" s="16"/>
      <c r="E667" s="16"/>
      <c r="F667" s="16"/>
      <c r="G667" s="16"/>
      <c r="H667" s="16"/>
      <c r="I667" s="16"/>
      <c r="J667" s="16"/>
      <c r="K667" s="16"/>
    </row>
    <row r="668" spans="1:11" ht="16" x14ac:dyDescent="0.2">
      <c r="A668" s="15" t="s">
        <v>0</v>
      </c>
      <c r="B668" s="15" t="s">
        <v>447</v>
      </c>
      <c r="C668" s="15"/>
      <c r="D668" s="16"/>
      <c r="E668" s="16"/>
      <c r="F668" s="16"/>
      <c r="G668" s="16"/>
      <c r="H668" s="16"/>
      <c r="I668" s="16"/>
      <c r="J668" s="16"/>
      <c r="K668" s="16"/>
    </row>
    <row r="669" spans="1:11" x14ac:dyDescent="0.2">
      <c r="A669" s="16" t="s">
        <v>4</v>
      </c>
      <c r="B669" s="16" t="s">
        <v>148</v>
      </c>
      <c r="C669" s="16"/>
      <c r="D669" s="16"/>
      <c r="E669" s="16"/>
      <c r="F669" s="16"/>
      <c r="G669" s="16"/>
      <c r="H669" s="16"/>
      <c r="I669" s="16"/>
      <c r="J669" s="16"/>
      <c r="K669" s="16"/>
    </row>
    <row r="670" spans="1:11" x14ac:dyDescent="0.2">
      <c r="A670" s="16" t="s">
        <v>6</v>
      </c>
      <c r="B670" s="16">
        <v>1</v>
      </c>
      <c r="C670" s="16"/>
      <c r="D670" s="16"/>
      <c r="E670" s="16"/>
      <c r="F670" s="16"/>
      <c r="G670" s="16"/>
      <c r="H670" s="16"/>
      <c r="I670" s="16"/>
      <c r="J670" s="16"/>
      <c r="K670" s="16"/>
    </row>
    <row r="671" spans="1:11" x14ac:dyDescent="0.2">
      <c r="A671" s="16" t="s">
        <v>7</v>
      </c>
      <c r="B671" s="16" t="s">
        <v>444</v>
      </c>
      <c r="C671" s="16"/>
      <c r="D671" s="16"/>
      <c r="E671" s="16"/>
      <c r="F671" s="16"/>
      <c r="G671" s="16"/>
      <c r="H671" s="16"/>
      <c r="I671" s="16"/>
      <c r="J671" s="16"/>
      <c r="K671" s="16"/>
    </row>
    <row r="672" spans="1:11" x14ac:dyDescent="0.2">
      <c r="A672" s="16" t="s">
        <v>8</v>
      </c>
      <c r="B672" s="16" t="s">
        <v>9</v>
      </c>
      <c r="C672" s="16"/>
      <c r="D672" s="16"/>
      <c r="E672" s="16"/>
      <c r="F672" s="16"/>
      <c r="G672" s="16"/>
      <c r="H672" s="16"/>
      <c r="I672" s="16"/>
      <c r="J672" s="16"/>
      <c r="K672" s="16"/>
    </row>
    <row r="673" spans="1:11" x14ac:dyDescent="0.2">
      <c r="A673" s="16" t="s">
        <v>2</v>
      </c>
      <c r="B673" s="57" t="s">
        <v>504</v>
      </c>
      <c r="C673" s="16"/>
      <c r="D673" s="16"/>
      <c r="E673" s="16"/>
      <c r="F673" s="16"/>
      <c r="G673" s="16"/>
      <c r="H673" s="16"/>
      <c r="I673" s="16"/>
      <c r="J673" s="16"/>
      <c r="K673" s="16"/>
    </row>
    <row r="674" spans="1:11" x14ac:dyDescent="0.2">
      <c r="A674" s="17" t="s">
        <v>11</v>
      </c>
      <c r="B674" s="16"/>
      <c r="C674" s="16"/>
      <c r="D674" s="16"/>
      <c r="E674" s="16"/>
      <c r="F674" s="16"/>
      <c r="G674" s="16"/>
      <c r="H674" s="16"/>
      <c r="I674" s="16"/>
      <c r="J674" s="16"/>
      <c r="K674" s="16"/>
    </row>
    <row r="675" spans="1:11" x14ac:dyDescent="0.2">
      <c r="A675" s="16" t="s">
        <v>12</v>
      </c>
      <c r="B675" s="16" t="s">
        <v>13</v>
      </c>
      <c r="C675" s="16" t="s">
        <v>8</v>
      </c>
      <c r="D675" s="16" t="s">
        <v>136</v>
      </c>
      <c r="E675" s="16" t="s">
        <v>4</v>
      </c>
      <c r="F675" s="16" t="s">
        <v>14</v>
      </c>
      <c r="G675" s="16" t="s">
        <v>7</v>
      </c>
      <c r="H675" s="16"/>
      <c r="I675" s="16"/>
      <c r="J675" s="16"/>
      <c r="K675" s="16"/>
    </row>
    <row r="676" spans="1:11" x14ac:dyDescent="0.2">
      <c r="A676" s="16" t="s">
        <v>447</v>
      </c>
      <c r="B676" s="16">
        <v>1</v>
      </c>
      <c r="C676" s="16" t="s">
        <v>9</v>
      </c>
      <c r="D676" s="16"/>
      <c r="E676" s="16" t="s">
        <v>148</v>
      </c>
      <c r="F676" s="16" t="s">
        <v>15</v>
      </c>
      <c r="G676" s="16" t="s">
        <v>444</v>
      </c>
      <c r="H676" s="16"/>
      <c r="I676" s="16"/>
      <c r="J676" s="16"/>
      <c r="K676" s="16"/>
    </row>
    <row r="677" spans="1:11" x14ac:dyDescent="0.2">
      <c r="A677" s="16" t="s">
        <v>406</v>
      </c>
      <c r="B677" s="18">
        <v>1.2</v>
      </c>
      <c r="C677" s="16" t="s">
        <v>9</v>
      </c>
      <c r="D677" s="16" t="s">
        <v>407</v>
      </c>
      <c r="E677" s="16"/>
      <c r="F677" s="16" t="s">
        <v>144</v>
      </c>
      <c r="G677" s="16"/>
      <c r="H677" s="16"/>
      <c r="I677" s="16"/>
      <c r="J677" s="16"/>
      <c r="K677" s="16"/>
    </row>
    <row r="678" spans="1:11" x14ac:dyDescent="0.2">
      <c r="A678" t="s">
        <v>333</v>
      </c>
      <c r="B678" s="19">
        <f>70.909*1055/1000</f>
        <v>74.80899500000001</v>
      </c>
      <c r="C678" s="16" t="s">
        <v>116</v>
      </c>
      <c r="E678" t="s">
        <v>5</v>
      </c>
      <c r="F678" s="16" t="s">
        <v>17</v>
      </c>
      <c r="G678" t="s">
        <v>334</v>
      </c>
      <c r="H678" s="16"/>
      <c r="I678" s="16"/>
      <c r="J678" s="16"/>
      <c r="K678" s="16"/>
    </row>
    <row r="679" spans="1:11" x14ac:dyDescent="0.2">
      <c r="A679" t="s">
        <v>412</v>
      </c>
      <c r="B679" s="18">
        <f>183592/1000/1000</f>
        <v>0.18359200000000001</v>
      </c>
      <c r="C679" s="16" t="s">
        <v>9</v>
      </c>
      <c r="D679" s="16" t="s">
        <v>143</v>
      </c>
      <c r="F679" s="16" t="s">
        <v>144</v>
      </c>
      <c r="H679" s="16"/>
      <c r="I679" s="16"/>
      <c r="J679" s="16"/>
      <c r="K679" s="16"/>
    </row>
    <row r="680" spans="1:11" x14ac:dyDescent="0.2">
      <c r="A680" t="s">
        <v>413</v>
      </c>
      <c r="B680" s="19">
        <f>18949/1000/1000</f>
        <v>1.8949000000000001E-2</v>
      </c>
      <c r="C680" s="16" t="s">
        <v>9</v>
      </c>
      <c r="D680" s="16" t="s">
        <v>143</v>
      </c>
      <c r="F680" s="16" t="s">
        <v>144</v>
      </c>
      <c r="H680" s="16"/>
      <c r="I680" s="16"/>
      <c r="J680" s="16"/>
      <c r="K680" s="16"/>
    </row>
    <row r="681" spans="1:11" x14ac:dyDescent="0.2">
      <c r="A681" t="s">
        <v>417</v>
      </c>
      <c r="B681">
        <f>(50.198*1055/1000)-B682</f>
        <v>48.407416111111104</v>
      </c>
      <c r="C681" t="s">
        <v>47</v>
      </c>
      <c r="E681" t="s">
        <v>403</v>
      </c>
      <c r="F681" t="s">
        <v>17</v>
      </c>
      <c r="G681" t="s">
        <v>48</v>
      </c>
      <c r="H681" s="16"/>
      <c r="I681" s="16"/>
      <c r="J681" s="16"/>
      <c r="K681" s="16"/>
    </row>
    <row r="682" spans="1:11" x14ac:dyDescent="0.2">
      <c r="A682" t="s">
        <v>46</v>
      </c>
      <c r="B682" s="6">
        <f>params!I9+params!H9</f>
        <v>4.5514738888888893</v>
      </c>
      <c r="C682" t="s">
        <v>47</v>
      </c>
      <c r="E682" t="s">
        <v>148</v>
      </c>
      <c r="F682" t="s">
        <v>17</v>
      </c>
      <c r="G682" t="s">
        <v>48</v>
      </c>
      <c r="H682" s="16"/>
      <c r="I682" s="16"/>
      <c r="J682" s="16"/>
      <c r="K682" s="16"/>
    </row>
    <row r="683" spans="1:11" x14ac:dyDescent="0.2">
      <c r="A683" t="s">
        <v>438</v>
      </c>
      <c r="B683" s="23">
        <f>26.838*1055/1000</f>
        <v>28.31409</v>
      </c>
      <c r="C683" t="s">
        <v>116</v>
      </c>
      <c r="E683" t="s">
        <v>28</v>
      </c>
      <c r="F683" t="s">
        <v>17</v>
      </c>
      <c r="G683" t="s">
        <v>283</v>
      </c>
    </row>
    <row r="684" spans="1:11" x14ac:dyDescent="0.2">
      <c r="A684" t="s">
        <v>27</v>
      </c>
      <c r="B684" s="23">
        <f>58233*params!L15/1000</f>
        <v>220.4351982</v>
      </c>
      <c r="C684" t="s">
        <v>9</v>
      </c>
      <c r="E684" t="s">
        <v>28</v>
      </c>
      <c r="F684" t="s">
        <v>17</v>
      </c>
      <c r="G684" t="s">
        <v>29</v>
      </c>
    </row>
    <row r="685" spans="1:11" x14ac:dyDescent="0.2">
      <c r="A685" t="s">
        <v>424</v>
      </c>
      <c r="B685" s="22">
        <v>3.153</v>
      </c>
      <c r="C685" s="16" t="s">
        <v>9</v>
      </c>
      <c r="E685" s="16" t="s">
        <v>5</v>
      </c>
      <c r="F685" s="16" t="s">
        <v>17</v>
      </c>
      <c r="G685" t="s">
        <v>425</v>
      </c>
    </row>
    <row r="686" spans="1:11" x14ac:dyDescent="0.2">
      <c r="A686" t="s">
        <v>210</v>
      </c>
      <c r="B686" s="23">
        <v>4.1580000000000004</v>
      </c>
      <c r="C686" t="s">
        <v>9</v>
      </c>
      <c r="E686" t="s">
        <v>28</v>
      </c>
      <c r="F686" t="s">
        <v>17</v>
      </c>
      <c r="G686" t="s">
        <v>211</v>
      </c>
    </row>
    <row r="687" spans="1:11" x14ac:dyDescent="0.2">
      <c r="A687" t="s">
        <v>358</v>
      </c>
      <c r="B687" s="23">
        <v>1.516</v>
      </c>
      <c r="C687" t="s">
        <v>9</v>
      </c>
      <c r="E687" t="s">
        <v>28</v>
      </c>
      <c r="F687" t="s">
        <v>17</v>
      </c>
      <c r="G687" t="s">
        <v>359</v>
      </c>
    </row>
    <row r="688" spans="1:11" x14ac:dyDescent="0.2">
      <c r="A688" t="s">
        <v>149</v>
      </c>
      <c r="B688" s="23">
        <v>2.915</v>
      </c>
      <c r="C688" t="s">
        <v>9</v>
      </c>
      <c r="E688" t="s">
        <v>5</v>
      </c>
      <c r="F688" t="s">
        <v>17</v>
      </c>
      <c r="G688" t="s">
        <v>150</v>
      </c>
    </row>
    <row r="689" spans="1:11" x14ac:dyDescent="0.2">
      <c r="A689" t="s">
        <v>422</v>
      </c>
      <c r="B689" s="22">
        <v>1.175</v>
      </c>
      <c r="C689" s="16" t="s">
        <v>9</v>
      </c>
      <c r="E689" s="16" t="s">
        <v>5</v>
      </c>
      <c r="F689" s="16" t="s">
        <v>17</v>
      </c>
      <c r="G689" t="s">
        <v>423</v>
      </c>
    </row>
    <row r="690" spans="1:11" x14ac:dyDescent="0.2">
      <c r="A690" t="s">
        <v>184</v>
      </c>
      <c r="B690" s="23">
        <v>2.57</v>
      </c>
      <c r="C690" t="s">
        <v>9</v>
      </c>
      <c r="E690" t="s">
        <v>28</v>
      </c>
      <c r="F690" t="s">
        <v>17</v>
      </c>
      <c r="G690" t="s">
        <v>185</v>
      </c>
    </row>
    <row r="691" spans="1:11" x14ac:dyDescent="0.2">
      <c r="A691" t="s">
        <v>212</v>
      </c>
      <c r="B691" s="23">
        <v>1.409</v>
      </c>
      <c r="C691" t="s">
        <v>9</v>
      </c>
      <c r="E691" t="s">
        <v>28</v>
      </c>
      <c r="F691" t="s">
        <v>17</v>
      </c>
      <c r="G691" t="s">
        <v>213</v>
      </c>
    </row>
    <row r="692" spans="1:11" x14ac:dyDescent="0.2">
      <c r="A692" t="s">
        <v>214</v>
      </c>
      <c r="B692" s="23">
        <v>4.7E-2</v>
      </c>
      <c r="C692" t="s">
        <v>9</v>
      </c>
      <c r="E692" t="s">
        <v>28</v>
      </c>
      <c r="F692" t="s">
        <v>17</v>
      </c>
      <c r="G692" t="s">
        <v>215</v>
      </c>
    </row>
    <row r="693" spans="1:11" x14ac:dyDescent="0.2">
      <c r="A693" t="s">
        <v>216</v>
      </c>
      <c r="B693" s="23">
        <v>0.08</v>
      </c>
      <c r="C693" t="s">
        <v>9</v>
      </c>
      <c r="E693" t="s">
        <v>5</v>
      </c>
      <c r="F693" t="s">
        <v>17</v>
      </c>
      <c r="G693" t="s">
        <v>216</v>
      </c>
    </row>
    <row r="694" spans="1:11" x14ac:dyDescent="0.2">
      <c r="A694" t="s">
        <v>439</v>
      </c>
      <c r="B694" s="23">
        <v>0.57399999999999995</v>
      </c>
      <c r="C694" t="s">
        <v>9</v>
      </c>
      <c r="E694" t="s">
        <v>28</v>
      </c>
      <c r="F694" t="s">
        <v>17</v>
      </c>
      <c r="G694" t="s">
        <v>440</v>
      </c>
    </row>
    <row r="695" spans="1:11" x14ac:dyDescent="0.2">
      <c r="A695" t="s">
        <v>441</v>
      </c>
      <c r="B695" s="23">
        <v>8.7999999999999995E-2</v>
      </c>
      <c r="C695" t="s">
        <v>9</v>
      </c>
      <c r="E695" t="s">
        <v>5</v>
      </c>
      <c r="F695" t="s">
        <v>17</v>
      </c>
      <c r="G695" t="s">
        <v>442</v>
      </c>
    </row>
    <row r="696" spans="1:11" x14ac:dyDescent="0.2">
      <c r="A696" t="s">
        <v>227</v>
      </c>
      <c r="B696" s="22">
        <f>28760/1000/1000</f>
        <v>2.8760000000000001E-2</v>
      </c>
      <c r="C696" s="16" t="s">
        <v>9</v>
      </c>
      <c r="D696" t="s">
        <v>143</v>
      </c>
      <c r="F696" s="16" t="s">
        <v>144</v>
      </c>
    </row>
    <row r="697" spans="1:11" x14ac:dyDescent="0.2">
      <c r="A697" t="s">
        <v>429</v>
      </c>
      <c r="B697" s="22">
        <f>-22*1.08*2.63</f>
        <v>-62.488800000000005</v>
      </c>
      <c r="C697" s="16" t="s">
        <v>9</v>
      </c>
      <c r="E697" s="16" t="s">
        <v>5</v>
      </c>
      <c r="F697" s="16" t="s">
        <v>17</v>
      </c>
      <c r="G697" t="s">
        <v>385</v>
      </c>
    </row>
    <row r="698" spans="1:11" x14ac:dyDescent="0.2">
      <c r="A698" t="s">
        <v>430</v>
      </c>
      <c r="B698" s="22">
        <f>-22*1.08*2.63</f>
        <v>-62.488800000000005</v>
      </c>
      <c r="C698" s="16" t="s">
        <v>9</v>
      </c>
      <c r="E698" s="16" t="s">
        <v>431</v>
      </c>
      <c r="F698" s="16" t="s">
        <v>17</v>
      </c>
      <c r="G698" t="s">
        <v>432</v>
      </c>
    </row>
    <row r="699" spans="1:11" x14ac:dyDescent="0.2">
      <c r="A699" t="s">
        <v>408</v>
      </c>
      <c r="B699">
        <v>2.389217859846934</v>
      </c>
      <c r="C699" t="s">
        <v>9</v>
      </c>
      <c r="D699" t="s">
        <v>407</v>
      </c>
      <c r="F699" t="s">
        <v>144</v>
      </c>
    </row>
    <row r="700" spans="1:11" x14ac:dyDescent="0.2">
      <c r="A700" t="s">
        <v>507</v>
      </c>
      <c r="B700">
        <v>1.3976542015925989E-2</v>
      </c>
      <c r="C700" t="s">
        <v>508</v>
      </c>
      <c r="D700" t="s">
        <v>509</v>
      </c>
      <c r="F700" t="s">
        <v>144</v>
      </c>
    </row>
    <row r="701" spans="1:11" x14ac:dyDescent="0.2">
      <c r="A701" t="s">
        <v>510</v>
      </c>
      <c r="B701">
        <v>8.0531678912323294E-4</v>
      </c>
      <c r="C701" t="s">
        <v>511</v>
      </c>
      <c r="D701" t="s">
        <v>509</v>
      </c>
      <c r="F701" t="s">
        <v>144</v>
      </c>
    </row>
    <row r="702" spans="1:11" x14ac:dyDescent="0.2">
      <c r="A702" t="s">
        <v>512</v>
      </c>
      <c r="B702">
        <v>4.6459953459836861E-4</v>
      </c>
      <c r="C702" t="s">
        <v>511</v>
      </c>
      <c r="D702" t="s">
        <v>509</v>
      </c>
      <c r="F702" t="s">
        <v>144</v>
      </c>
    </row>
    <row r="703" spans="1:11" x14ac:dyDescent="0.2">
      <c r="A703" s="16"/>
      <c r="B703" s="16"/>
      <c r="C703" s="16"/>
      <c r="D703" s="16"/>
      <c r="E703" s="16"/>
      <c r="F703" s="16"/>
      <c r="G703" s="16"/>
      <c r="H703" s="16"/>
      <c r="I703" s="16"/>
      <c r="J703" s="16"/>
      <c r="K703" s="16"/>
    </row>
    <row r="704" spans="1:11" ht="16" x14ac:dyDescent="0.2">
      <c r="A704" s="1" t="s">
        <v>0</v>
      </c>
      <c r="B704" s="10" t="s">
        <v>216</v>
      </c>
    </row>
    <row r="705" spans="1:7" x14ac:dyDescent="0.2">
      <c r="A705" t="s">
        <v>2</v>
      </c>
      <c r="B705" s="2" t="s">
        <v>3</v>
      </c>
    </row>
    <row r="706" spans="1:7" x14ac:dyDescent="0.2">
      <c r="A706" t="s">
        <v>4</v>
      </c>
      <c r="B706" s="2" t="s">
        <v>5</v>
      </c>
    </row>
    <row r="707" spans="1:7" x14ac:dyDescent="0.2">
      <c r="A707" t="s">
        <v>6</v>
      </c>
      <c r="B707" s="2">
        <v>1</v>
      </c>
    </row>
    <row r="708" spans="1:7" x14ac:dyDescent="0.2">
      <c r="A708" t="s">
        <v>7</v>
      </c>
      <c r="B708" s="2" t="s">
        <v>216</v>
      </c>
    </row>
    <row r="709" spans="1:7" x14ac:dyDescent="0.2">
      <c r="A709" t="s">
        <v>8</v>
      </c>
      <c r="B709" s="2" t="s">
        <v>9</v>
      </c>
    </row>
    <row r="710" spans="1:7" x14ac:dyDescent="0.2">
      <c r="A710" t="s">
        <v>10</v>
      </c>
      <c r="B710" s="2" t="s">
        <v>219</v>
      </c>
    </row>
    <row r="711" spans="1:7" x14ac:dyDescent="0.2">
      <c r="A711" s="3" t="s">
        <v>11</v>
      </c>
    </row>
    <row r="712" spans="1:7" x14ac:dyDescent="0.2">
      <c r="A712" t="s">
        <v>12</v>
      </c>
      <c r="B712" s="2" t="s">
        <v>13</v>
      </c>
      <c r="C712" t="s">
        <v>8</v>
      </c>
      <c r="D712" t="s">
        <v>136</v>
      </c>
      <c r="E712" t="s">
        <v>4</v>
      </c>
      <c r="F712" t="s">
        <v>14</v>
      </c>
      <c r="G712" t="s">
        <v>7</v>
      </c>
    </row>
    <row r="713" spans="1:7" x14ac:dyDescent="0.2">
      <c r="A713" t="s">
        <v>216</v>
      </c>
      <c r="B713" s="2">
        <v>1</v>
      </c>
      <c r="C713" t="s">
        <v>9</v>
      </c>
      <c r="E713" t="s">
        <v>5</v>
      </c>
      <c r="F713" t="s">
        <v>15</v>
      </c>
      <c r="G713" t="s">
        <v>216</v>
      </c>
    </row>
    <row r="714" spans="1:7" x14ac:dyDescent="0.2">
      <c r="A714" t="s">
        <v>220</v>
      </c>
      <c r="B714" s="2">
        <v>2.46E-2</v>
      </c>
      <c r="C714" t="s">
        <v>54</v>
      </c>
      <c r="E714" t="s">
        <v>5</v>
      </c>
      <c r="F714" t="s">
        <v>17</v>
      </c>
      <c r="G714" t="s">
        <v>138</v>
      </c>
    </row>
    <row r="715" spans="1:7" x14ac:dyDescent="0.2">
      <c r="A715" t="s">
        <v>56</v>
      </c>
      <c r="B715" s="2">
        <v>0.20880000000000001</v>
      </c>
      <c r="C715" t="s">
        <v>54</v>
      </c>
      <c r="E715" t="s">
        <v>28</v>
      </c>
      <c r="F715" t="s">
        <v>17</v>
      </c>
      <c r="G715" t="s">
        <v>57</v>
      </c>
    </row>
    <row r="716" spans="1:7" x14ac:dyDescent="0.2">
      <c r="A716" t="s">
        <v>62</v>
      </c>
      <c r="B716" s="2">
        <v>0.59899999999999998</v>
      </c>
      <c r="C716" t="s">
        <v>54</v>
      </c>
      <c r="E716" t="s">
        <v>5</v>
      </c>
      <c r="F716" t="s">
        <v>17</v>
      </c>
      <c r="G716" t="s">
        <v>63</v>
      </c>
    </row>
    <row r="717" spans="1:7" x14ac:dyDescent="0.2">
      <c r="A717" t="s">
        <v>60</v>
      </c>
      <c r="B717" s="2">
        <v>0.30909999999999999</v>
      </c>
      <c r="C717" t="s">
        <v>54</v>
      </c>
      <c r="E717" t="s">
        <v>5</v>
      </c>
      <c r="F717" t="s">
        <v>17</v>
      </c>
      <c r="G717" t="s">
        <v>61</v>
      </c>
    </row>
    <row r="718" spans="1:7" x14ac:dyDescent="0.2">
      <c r="A718" t="s">
        <v>149</v>
      </c>
      <c r="B718" s="2">
        <v>0.44298591783325703</v>
      </c>
      <c r="C718" t="s">
        <v>9</v>
      </c>
      <c r="E718" t="s">
        <v>5</v>
      </c>
      <c r="F718" t="s">
        <v>17</v>
      </c>
      <c r="G718" t="s">
        <v>150</v>
      </c>
    </row>
    <row r="719" spans="1:7" x14ac:dyDescent="0.2">
      <c r="A719" t="s">
        <v>221</v>
      </c>
      <c r="B719" s="2">
        <v>2.5999999999999999E-2</v>
      </c>
      <c r="C719" t="s">
        <v>9</v>
      </c>
      <c r="E719" t="s">
        <v>5</v>
      </c>
      <c r="F719" t="s">
        <v>17</v>
      </c>
      <c r="G719" t="s">
        <v>29</v>
      </c>
    </row>
    <row r="720" spans="1:7" x14ac:dyDescent="0.2">
      <c r="A720" t="s">
        <v>46</v>
      </c>
      <c r="B720" s="2">
        <v>0.41599999999999998</v>
      </c>
      <c r="C720" t="s">
        <v>47</v>
      </c>
      <c r="E720" t="s">
        <v>5</v>
      </c>
      <c r="F720" t="s">
        <v>17</v>
      </c>
      <c r="G720" t="s">
        <v>48</v>
      </c>
    </row>
    <row r="721" spans="1:12" x14ac:dyDescent="0.2">
      <c r="A721" t="s">
        <v>126</v>
      </c>
      <c r="B721" s="12">
        <v>4.0000000000000001E-10</v>
      </c>
      <c r="C721" t="s">
        <v>8</v>
      </c>
      <c r="E721" t="s">
        <v>5</v>
      </c>
      <c r="F721" t="s">
        <v>17</v>
      </c>
      <c r="G721" t="s">
        <v>127</v>
      </c>
      <c r="L721" s="4"/>
    </row>
    <row r="722" spans="1:12" x14ac:dyDescent="0.2">
      <c r="A722" t="s">
        <v>222</v>
      </c>
      <c r="B722" s="2">
        <v>2.35</v>
      </c>
      <c r="C722" t="s">
        <v>116</v>
      </c>
      <c r="E722" t="s">
        <v>5</v>
      </c>
      <c r="F722" t="s">
        <v>17</v>
      </c>
      <c r="G722" t="s">
        <v>117</v>
      </c>
    </row>
    <row r="723" spans="1:12" x14ac:dyDescent="0.2">
      <c r="A723" t="s">
        <v>158</v>
      </c>
      <c r="B723" s="12">
        <v>-8.4364552406030698E-7</v>
      </c>
      <c r="C723" t="s">
        <v>146</v>
      </c>
      <c r="E723" t="s">
        <v>182</v>
      </c>
      <c r="F723" t="s">
        <v>17</v>
      </c>
      <c r="G723" t="s">
        <v>159</v>
      </c>
      <c r="L723" s="4"/>
    </row>
    <row r="724" spans="1:12" x14ac:dyDescent="0.2">
      <c r="A724" t="s">
        <v>158</v>
      </c>
      <c r="B724" s="12">
        <v>-9.1266630702019795E-8</v>
      </c>
      <c r="C724" t="s">
        <v>146</v>
      </c>
      <c r="E724" t="s">
        <v>111</v>
      </c>
      <c r="F724" t="s">
        <v>17</v>
      </c>
      <c r="G724" t="s">
        <v>159</v>
      </c>
      <c r="L724" s="4"/>
    </row>
    <row r="725" spans="1:12" x14ac:dyDescent="0.2">
      <c r="A725" t="s">
        <v>158</v>
      </c>
      <c r="B725" s="12">
        <v>-1.7650878452376699E-6</v>
      </c>
      <c r="C725" t="s">
        <v>146</v>
      </c>
      <c r="E725" t="s">
        <v>28</v>
      </c>
      <c r="F725" t="s">
        <v>17</v>
      </c>
      <c r="G725" t="s">
        <v>159</v>
      </c>
      <c r="L725" s="4"/>
    </row>
    <row r="726" spans="1:12" x14ac:dyDescent="0.2">
      <c r="A726" t="s">
        <v>223</v>
      </c>
      <c r="B726" s="2">
        <v>0.20331400193753199</v>
      </c>
      <c r="C726" t="s">
        <v>9</v>
      </c>
      <c r="E726" t="s">
        <v>97</v>
      </c>
      <c r="F726" t="s">
        <v>17</v>
      </c>
      <c r="G726" t="s">
        <v>224</v>
      </c>
    </row>
    <row r="727" spans="1:12" x14ac:dyDescent="0.2">
      <c r="A727" t="s">
        <v>223</v>
      </c>
      <c r="B727" s="2">
        <v>0.50608380196448799</v>
      </c>
      <c r="C727" t="s">
        <v>9</v>
      </c>
      <c r="E727" t="s">
        <v>28</v>
      </c>
      <c r="F727" t="s">
        <v>17</v>
      </c>
      <c r="G727" t="s">
        <v>224</v>
      </c>
    </row>
    <row r="728" spans="1:12" x14ac:dyDescent="0.2">
      <c r="A728" t="s">
        <v>225</v>
      </c>
      <c r="B728" s="2">
        <v>4.09211487463271E-3</v>
      </c>
      <c r="C728" t="s">
        <v>9</v>
      </c>
      <c r="E728" t="s">
        <v>97</v>
      </c>
      <c r="F728" t="s">
        <v>17</v>
      </c>
      <c r="G728" t="s">
        <v>226</v>
      </c>
    </row>
    <row r="729" spans="1:12" x14ac:dyDescent="0.2">
      <c r="A729" t="s">
        <v>225</v>
      </c>
      <c r="B729" s="2">
        <v>1.4907885125367301E-2</v>
      </c>
      <c r="C729" t="s">
        <v>9</v>
      </c>
      <c r="E729" t="s">
        <v>28</v>
      </c>
      <c r="F729" t="s">
        <v>17</v>
      </c>
      <c r="G729" t="s">
        <v>226</v>
      </c>
    </row>
    <row r="730" spans="1:12" x14ac:dyDescent="0.2">
      <c r="A730" t="s">
        <v>227</v>
      </c>
      <c r="B730" s="2">
        <v>1.41879560780404E-3</v>
      </c>
      <c r="C730" t="s">
        <v>9</v>
      </c>
      <c r="D730" t="s">
        <v>143</v>
      </c>
      <c r="F730" t="s">
        <v>144</v>
      </c>
    </row>
    <row r="731" spans="1:12" x14ac:dyDescent="0.2">
      <c r="A731" t="s">
        <v>161</v>
      </c>
      <c r="B731" s="2">
        <v>1.6400000000000001E-2</v>
      </c>
      <c r="C731" t="s">
        <v>146</v>
      </c>
      <c r="D731" t="s">
        <v>162</v>
      </c>
      <c r="F731" t="s">
        <v>144</v>
      </c>
    </row>
    <row r="732" spans="1:12" x14ac:dyDescent="0.2">
      <c r="A732" t="s">
        <v>228</v>
      </c>
      <c r="B732" s="2">
        <v>1.3403674933189301E-3</v>
      </c>
      <c r="C732" t="s">
        <v>9</v>
      </c>
      <c r="D732" t="s">
        <v>218</v>
      </c>
      <c r="F732" t="s">
        <v>144</v>
      </c>
    </row>
    <row r="733" spans="1:12" x14ac:dyDescent="0.2">
      <c r="A733" t="s">
        <v>229</v>
      </c>
      <c r="B733" s="2">
        <v>8.3000000000000001E-4</v>
      </c>
      <c r="C733" t="s">
        <v>146</v>
      </c>
      <c r="D733" t="s">
        <v>162</v>
      </c>
      <c r="F733" t="s">
        <v>144</v>
      </c>
    </row>
    <row r="734" spans="1:12" x14ac:dyDescent="0.2">
      <c r="A734" t="s">
        <v>230</v>
      </c>
      <c r="B734" s="2">
        <v>1.9E-2</v>
      </c>
      <c r="C734" t="s">
        <v>9</v>
      </c>
      <c r="D734" t="s">
        <v>143</v>
      </c>
      <c r="F734" t="s">
        <v>144</v>
      </c>
    </row>
    <row r="735" spans="1:12" x14ac:dyDescent="0.2">
      <c r="A735" t="s">
        <v>231</v>
      </c>
      <c r="B735" s="2">
        <v>8.5999999999999998E-4</v>
      </c>
      <c r="C735" t="s">
        <v>146</v>
      </c>
      <c r="D735" t="s">
        <v>162</v>
      </c>
      <c r="F735" t="s">
        <v>144</v>
      </c>
    </row>
    <row r="736" spans="1:12" x14ac:dyDescent="0.2">
      <c r="A736" t="s">
        <v>232</v>
      </c>
      <c r="B736" s="2">
        <v>4.4886196299122301E-3</v>
      </c>
      <c r="C736" t="s">
        <v>9</v>
      </c>
      <c r="D736" t="s">
        <v>218</v>
      </c>
      <c r="F736" t="s">
        <v>144</v>
      </c>
    </row>
    <row r="737" spans="1:7" x14ac:dyDescent="0.2">
      <c r="A737" t="s">
        <v>145</v>
      </c>
      <c r="B737" s="2">
        <v>1.67E-2</v>
      </c>
      <c r="C737" t="s">
        <v>146</v>
      </c>
      <c r="D737" t="s">
        <v>218</v>
      </c>
      <c r="F737" t="s">
        <v>144</v>
      </c>
    </row>
    <row r="738" spans="1:7" x14ac:dyDescent="0.2">
      <c r="A738" t="s">
        <v>145</v>
      </c>
      <c r="B738" s="2">
        <v>1.4E-3</v>
      </c>
      <c r="C738" t="s">
        <v>146</v>
      </c>
      <c r="D738" t="s">
        <v>143</v>
      </c>
      <c r="F738" t="s">
        <v>144</v>
      </c>
    </row>
    <row r="740" spans="1:7" ht="16" x14ac:dyDescent="0.2">
      <c r="A740" s="1" t="s">
        <v>0</v>
      </c>
      <c r="B740" s="10" t="s">
        <v>176</v>
      </c>
    </row>
    <row r="741" spans="1:7" x14ac:dyDescent="0.2">
      <c r="A741" t="s">
        <v>2</v>
      </c>
      <c r="B741" s="2" t="s">
        <v>3</v>
      </c>
    </row>
    <row r="742" spans="1:7" x14ac:dyDescent="0.2">
      <c r="A742" t="s">
        <v>4</v>
      </c>
      <c r="B742" s="2" t="s">
        <v>5</v>
      </c>
    </row>
    <row r="743" spans="1:7" x14ac:dyDescent="0.2">
      <c r="A743" t="s">
        <v>6</v>
      </c>
      <c r="B743" s="2">
        <v>1</v>
      </c>
    </row>
    <row r="744" spans="1:7" x14ac:dyDescent="0.2">
      <c r="A744" t="s">
        <v>7</v>
      </c>
      <c r="B744" s="2" t="s">
        <v>216</v>
      </c>
    </row>
    <row r="745" spans="1:7" x14ac:dyDescent="0.2">
      <c r="A745" t="s">
        <v>8</v>
      </c>
      <c r="B745" s="2" t="s">
        <v>9</v>
      </c>
    </row>
    <row r="746" spans="1:7" x14ac:dyDescent="0.2">
      <c r="A746" t="s">
        <v>10</v>
      </c>
      <c r="B746" s="2" t="s">
        <v>219</v>
      </c>
    </row>
    <row r="747" spans="1:7" x14ac:dyDescent="0.2">
      <c r="A747" s="3" t="s">
        <v>11</v>
      </c>
    </row>
    <row r="748" spans="1:7" x14ac:dyDescent="0.2">
      <c r="A748" t="s">
        <v>12</v>
      </c>
      <c r="B748" s="2" t="s">
        <v>13</v>
      </c>
      <c r="C748" t="s">
        <v>8</v>
      </c>
      <c r="D748" t="s">
        <v>136</v>
      </c>
      <c r="E748" t="s">
        <v>4</v>
      </c>
      <c r="F748" t="s">
        <v>14</v>
      </c>
      <c r="G748" t="s">
        <v>7</v>
      </c>
    </row>
    <row r="749" spans="1:7" x14ac:dyDescent="0.2">
      <c r="A749" t="s">
        <v>176</v>
      </c>
      <c r="B749" s="2">
        <v>1</v>
      </c>
      <c r="C749" t="s">
        <v>9</v>
      </c>
      <c r="E749" t="s">
        <v>5</v>
      </c>
      <c r="F749" t="s">
        <v>15</v>
      </c>
      <c r="G749" t="s">
        <v>176</v>
      </c>
    </row>
    <row r="750" spans="1:7" x14ac:dyDescent="0.2">
      <c r="A750" t="s">
        <v>62</v>
      </c>
      <c r="B750" s="2">
        <v>0.59899999999999998</v>
      </c>
      <c r="C750" t="s">
        <v>54</v>
      </c>
      <c r="E750" t="s">
        <v>5</v>
      </c>
      <c r="F750" t="s">
        <v>17</v>
      </c>
      <c r="G750" t="s">
        <v>63</v>
      </c>
    </row>
    <row r="751" spans="1:7" x14ac:dyDescent="0.2">
      <c r="A751" t="s">
        <v>56</v>
      </c>
      <c r="B751" s="2">
        <v>0.20880000000000001</v>
      </c>
      <c r="C751" t="s">
        <v>54</v>
      </c>
      <c r="E751" t="s">
        <v>28</v>
      </c>
      <c r="F751" t="s">
        <v>17</v>
      </c>
      <c r="G751" t="s">
        <v>57</v>
      </c>
    </row>
    <row r="752" spans="1:7" x14ac:dyDescent="0.2">
      <c r="A752" t="s">
        <v>60</v>
      </c>
      <c r="B752" s="2">
        <v>0.30909999999999999</v>
      </c>
      <c r="C752" t="s">
        <v>54</v>
      </c>
      <c r="E752" t="s">
        <v>5</v>
      </c>
      <c r="F752" t="s">
        <v>17</v>
      </c>
      <c r="G752" t="s">
        <v>61</v>
      </c>
    </row>
    <row r="753" spans="1:11" x14ac:dyDescent="0.2">
      <c r="A753" t="s">
        <v>220</v>
      </c>
      <c r="B753" s="2">
        <v>2.46E-2</v>
      </c>
      <c r="C753" t="s">
        <v>54</v>
      </c>
      <c r="E753" t="s">
        <v>5</v>
      </c>
      <c r="F753" t="s">
        <v>17</v>
      </c>
      <c r="G753" t="s">
        <v>138</v>
      </c>
    </row>
    <row r="754" spans="1:11" x14ac:dyDescent="0.2">
      <c r="A754" t="s">
        <v>221</v>
      </c>
      <c r="B754" s="2">
        <v>2.5999999999999999E-2</v>
      </c>
      <c r="C754" t="s">
        <v>9</v>
      </c>
      <c r="E754" t="s">
        <v>5</v>
      </c>
      <c r="F754" t="s">
        <v>17</v>
      </c>
      <c r="G754" t="s">
        <v>29</v>
      </c>
    </row>
    <row r="755" spans="1:11" x14ac:dyDescent="0.2">
      <c r="A755" t="s">
        <v>46</v>
      </c>
      <c r="B755" s="2">
        <v>0.41599999999999998</v>
      </c>
      <c r="C755" t="s">
        <v>47</v>
      </c>
      <c r="E755" t="s">
        <v>5</v>
      </c>
      <c r="F755" t="s">
        <v>17</v>
      </c>
      <c r="G755" t="s">
        <v>48</v>
      </c>
    </row>
    <row r="756" spans="1:11" x14ac:dyDescent="0.2">
      <c r="A756" t="s">
        <v>126</v>
      </c>
      <c r="B756" s="12">
        <v>4.0000000000000001E-10</v>
      </c>
      <c r="C756" t="s">
        <v>8</v>
      </c>
      <c r="E756" t="s">
        <v>5</v>
      </c>
      <c r="F756" t="s">
        <v>17</v>
      </c>
      <c r="G756" t="s">
        <v>127</v>
      </c>
    </row>
    <row r="757" spans="1:11" x14ac:dyDescent="0.2">
      <c r="A757" t="s">
        <v>222</v>
      </c>
      <c r="B757" s="2">
        <v>2.35</v>
      </c>
      <c r="C757" t="s">
        <v>116</v>
      </c>
      <c r="E757" t="s">
        <v>5</v>
      </c>
      <c r="F757" t="s">
        <v>17</v>
      </c>
      <c r="G757" t="s">
        <v>117</v>
      </c>
    </row>
    <row r="758" spans="1:11" x14ac:dyDescent="0.2">
      <c r="A758" t="s">
        <v>233</v>
      </c>
      <c r="B758" s="2">
        <v>1.23826772231672</v>
      </c>
      <c r="C758" t="s">
        <v>9</v>
      </c>
      <c r="E758" t="s">
        <v>5</v>
      </c>
      <c r="F758" t="s">
        <v>17</v>
      </c>
      <c r="G758" t="s">
        <v>234</v>
      </c>
    </row>
    <row r="759" spans="1:11" x14ac:dyDescent="0.2">
      <c r="A759" t="s">
        <v>177</v>
      </c>
      <c r="B759" s="2">
        <v>1.0773504325799399</v>
      </c>
      <c r="C759" t="s">
        <v>9</v>
      </c>
      <c r="E759" t="s">
        <v>5</v>
      </c>
      <c r="F759" t="s">
        <v>17</v>
      </c>
      <c r="G759" t="s">
        <v>178</v>
      </c>
      <c r="K759" s="4"/>
    </row>
    <row r="760" spans="1:11" x14ac:dyDescent="0.2">
      <c r="A760" t="s">
        <v>225</v>
      </c>
      <c r="B760" s="2">
        <v>4.09211487463271E-3</v>
      </c>
      <c r="C760" t="s">
        <v>9</v>
      </c>
      <c r="E760" t="s">
        <v>97</v>
      </c>
      <c r="F760" t="s">
        <v>17</v>
      </c>
      <c r="G760" t="s">
        <v>226</v>
      </c>
    </row>
    <row r="761" spans="1:11" x14ac:dyDescent="0.2">
      <c r="A761" t="s">
        <v>225</v>
      </c>
      <c r="B761" s="2">
        <v>1.4907885125367301E-2</v>
      </c>
      <c r="C761" t="s">
        <v>9</v>
      </c>
      <c r="E761" t="s">
        <v>28</v>
      </c>
      <c r="F761" t="s">
        <v>17</v>
      </c>
      <c r="G761" t="s">
        <v>226</v>
      </c>
    </row>
    <row r="762" spans="1:11" x14ac:dyDescent="0.2">
      <c r="A762" t="s">
        <v>158</v>
      </c>
      <c r="B762" s="12">
        <v>-8.4364552406030698E-7</v>
      </c>
      <c r="C762" t="s">
        <v>146</v>
      </c>
      <c r="E762" t="s">
        <v>182</v>
      </c>
      <c r="F762" t="s">
        <v>17</v>
      </c>
      <c r="G762" t="s">
        <v>159</v>
      </c>
    </row>
    <row r="763" spans="1:11" x14ac:dyDescent="0.2">
      <c r="A763" t="s">
        <v>158</v>
      </c>
      <c r="B763" s="12">
        <v>-9.1266630702019795E-8</v>
      </c>
      <c r="C763" t="s">
        <v>146</v>
      </c>
      <c r="E763" t="s">
        <v>111</v>
      </c>
      <c r="F763" t="s">
        <v>17</v>
      </c>
      <c r="G763" t="s">
        <v>159</v>
      </c>
    </row>
    <row r="764" spans="1:11" x14ac:dyDescent="0.2">
      <c r="A764" t="s">
        <v>158</v>
      </c>
      <c r="B764" s="12">
        <v>-1.7650878452376699E-6</v>
      </c>
      <c r="C764" t="s">
        <v>146</v>
      </c>
      <c r="E764" t="s">
        <v>28</v>
      </c>
      <c r="F764" t="s">
        <v>17</v>
      </c>
      <c r="G764" t="s">
        <v>159</v>
      </c>
    </row>
    <row r="765" spans="1:11" x14ac:dyDescent="0.2">
      <c r="A765" t="s">
        <v>235</v>
      </c>
      <c r="B765" s="2">
        <v>-3.2378916563019001E-3</v>
      </c>
      <c r="C765" t="s">
        <v>9</v>
      </c>
      <c r="E765" t="s">
        <v>111</v>
      </c>
      <c r="F765" t="s">
        <v>17</v>
      </c>
      <c r="G765" t="s">
        <v>236</v>
      </c>
      <c r="K765" s="4"/>
    </row>
    <row r="766" spans="1:11" x14ac:dyDescent="0.2">
      <c r="A766" t="s">
        <v>235</v>
      </c>
      <c r="B766" s="2">
        <v>-0.49735210834369797</v>
      </c>
      <c r="C766" t="s">
        <v>9</v>
      </c>
      <c r="E766" t="s">
        <v>28</v>
      </c>
      <c r="F766" t="s">
        <v>17</v>
      </c>
      <c r="G766" t="s">
        <v>236</v>
      </c>
      <c r="K766" s="4"/>
    </row>
    <row r="767" spans="1:11" x14ac:dyDescent="0.2">
      <c r="A767" t="s">
        <v>237</v>
      </c>
      <c r="B767" s="2">
        <v>0.144590178265634</v>
      </c>
      <c r="C767" t="s">
        <v>9</v>
      </c>
      <c r="E767" t="s">
        <v>97</v>
      </c>
      <c r="F767" t="s">
        <v>17</v>
      </c>
      <c r="G767" t="s">
        <v>238</v>
      </c>
      <c r="K767" s="4"/>
    </row>
    <row r="768" spans="1:11" x14ac:dyDescent="0.2">
      <c r="A768" t="s">
        <v>237</v>
      </c>
      <c r="B768" s="2">
        <v>0.72281543479071697</v>
      </c>
      <c r="C768" t="s">
        <v>9</v>
      </c>
      <c r="E768" t="s">
        <v>28</v>
      </c>
      <c r="F768" t="s">
        <v>17</v>
      </c>
      <c r="G768" t="s">
        <v>238</v>
      </c>
    </row>
    <row r="770" spans="1:6" ht="16" x14ac:dyDescent="0.2">
      <c r="A770" s="1" t="s">
        <v>0</v>
      </c>
      <c r="B770" s="10" t="s">
        <v>239</v>
      </c>
    </row>
    <row r="771" spans="1:6" x14ac:dyDescent="0.2">
      <c r="A771" t="s">
        <v>2</v>
      </c>
      <c r="B771" s="2" t="s">
        <v>3</v>
      </c>
    </row>
    <row r="772" spans="1:6" x14ac:dyDescent="0.2">
      <c r="A772" t="s">
        <v>4</v>
      </c>
      <c r="B772" s="2" t="s">
        <v>5</v>
      </c>
    </row>
    <row r="773" spans="1:6" x14ac:dyDescent="0.2">
      <c r="A773" t="s">
        <v>6</v>
      </c>
      <c r="B773" s="2">
        <v>1</v>
      </c>
    </row>
    <row r="774" spans="1:6" x14ac:dyDescent="0.2">
      <c r="A774" t="s">
        <v>7</v>
      </c>
      <c r="B774" s="2" t="s">
        <v>114</v>
      </c>
    </row>
    <row r="775" spans="1:6" x14ac:dyDescent="0.2">
      <c r="A775" t="s">
        <v>8</v>
      </c>
      <c r="B775" s="2" t="s">
        <v>9</v>
      </c>
    </row>
    <row r="776" spans="1:6" x14ac:dyDescent="0.2">
      <c r="A776" t="s">
        <v>10</v>
      </c>
      <c r="B776" s="2" t="s">
        <v>401</v>
      </c>
    </row>
    <row r="777" spans="1:6" x14ac:dyDescent="0.2">
      <c r="A777" s="3" t="s">
        <v>11</v>
      </c>
    </row>
    <row r="778" spans="1:6" x14ac:dyDescent="0.2">
      <c r="A778" t="s">
        <v>12</v>
      </c>
      <c r="B778" s="2" t="s">
        <v>13</v>
      </c>
      <c r="C778" t="s">
        <v>8</v>
      </c>
      <c r="D778" t="s">
        <v>4</v>
      </c>
      <c r="E778" t="s">
        <v>14</v>
      </c>
      <c r="F778" t="s">
        <v>7</v>
      </c>
    </row>
    <row r="779" spans="1:6" x14ac:dyDescent="0.2">
      <c r="A779" t="s">
        <v>239</v>
      </c>
      <c r="B779" s="2">
        <v>1</v>
      </c>
      <c r="C779" t="s">
        <v>9</v>
      </c>
      <c r="D779" t="s">
        <v>5</v>
      </c>
      <c r="E779" t="s">
        <v>15</v>
      </c>
      <c r="F779" t="s">
        <v>114</v>
      </c>
    </row>
    <row r="780" spans="1:6" x14ac:dyDescent="0.2">
      <c r="A780" t="s">
        <v>115</v>
      </c>
      <c r="B780" s="11">
        <v>14.225</v>
      </c>
      <c r="C780" t="s">
        <v>116</v>
      </c>
      <c r="D780" t="s">
        <v>28</v>
      </c>
      <c r="E780" t="s">
        <v>17</v>
      </c>
      <c r="F780" t="s">
        <v>117</v>
      </c>
    </row>
    <row r="781" spans="1:6" x14ac:dyDescent="0.2">
      <c r="A781" t="s">
        <v>46</v>
      </c>
      <c r="B781" s="11">
        <v>1.35</v>
      </c>
      <c r="C781" t="s">
        <v>47</v>
      </c>
      <c r="D781" t="s">
        <v>5</v>
      </c>
      <c r="E781" t="s">
        <v>17</v>
      </c>
      <c r="F781" t="s">
        <v>48</v>
      </c>
    </row>
    <row r="782" spans="1:6" x14ac:dyDescent="0.2">
      <c r="A782" t="s">
        <v>240</v>
      </c>
      <c r="B782" s="11">
        <v>0.37380000000000002</v>
      </c>
      <c r="C782" t="s">
        <v>9</v>
      </c>
      <c r="D782" t="s">
        <v>5</v>
      </c>
      <c r="E782" t="s">
        <v>17</v>
      </c>
      <c r="F782" t="s">
        <v>240</v>
      </c>
    </row>
    <row r="783" spans="1:6" x14ac:dyDescent="0.2">
      <c r="A783" t="s">
        <v>119</v>
      </c>
      <c r="B783" s="11">
        <v>0.2306</v>
      </c>
      <c r="C783" t="s">
        <v>9</v>
      </c>
      <c r="D783" t="s">
        <v>5</v>
      </c>
      <c r="E783" t="s">
        <v>17</v>
      </c>
      <c r="F783" t="s">
        <v>119</v>
      </c>
    </row>
    <row r="784" spans="1:6" x14ac:dyDescent="0.2">
      <c r="A784" t="s">
        <v>120</v>
      </c>
      <c r="B784" s="11">
        <v>0.1484</v>
      </c>
      <c r="C784" t="s">
        <v>9</v>
      </c>
      <c r="D784" t="s">
        <v>5</v>
      </c>
      <c r="E784" t="s">
        <v>17</v>
      </c>
      <c r="F784" t="s">
        <v>120</v>
      </c>
    </row>
    <row r="785" spans="1:6" x14ac:dyDescent="0.2">
      <c r="A785" t="s">
        <v>121</v>
      </c>
      <c r="B785" s="11">
        <v>0.13170000000000001</v>
      </c>
      <c r="C785" t="s">
        <v>9</v>
      </c>
      <c r="D785" t="s">
        <v>5</v>
      </c>
      <c r="E785" t="s">
        <v>17</v>
      </c>
      <c r="F785" t="s">
        <v>121</v>
      </c>
    </row>
    <row r="786" spans="1:6" x14ac:dyDescent="0.2">
      <c r="A786" t="s">
        <v>44</v>
      </c>
      <c r="B786" s="11">
        <v>3.5000000000000003E-2</v>
      </c>
      <c r="C786" t="s">
        <v>9</v>
      </c>
      <c r="D786" t="s">
        <v>5</v>
      </c>
      <c r="E786" t="s">
        <v>17</v>
      </c>
      <c r="F786" t="s">
        <v>45</v>
      </c>
    </row>
    <row r="787" spans="1:6" x14ac:dyDescent="0.2">
      <c r="A787" t="s">
        <v>42</v>
      </c>
      <c r="B787" s="11">
        <v>3.5000000000000003E-2</v>
      </c>
      <c r="C787" t="s">
        <v>9</v>
      </c>
      <c r="D787" t="s">
        <v>5</v>
      </c>
      <c r="E787" t="s">
        <v>17</v>
      </c>
      <c r="F787" t="s">
        <v>43</v>
      </c>
    </row>
    <row r="788" spans="1:6" x14ac:dyDescent="0.2">
      <c r="A788" t="s">
        <v>122</v>
      </c>
      <c r="B788" s="11">
        <v>2.81E-2</v>
      </c>
      <c r="C788" t="s">
        <v>9</v>
      </c>
      <c r="D788" t="s">
        <v>5</v>
      </c>
      <c r="E788" t="s">
        <v>17</v>
      </c>
      <c r="F788" t="s">
        <v>122</v>
      </c>
    </row>
    <row r="789" spans="1:6" x14ac:dyDescent="0.2">
      <c r="A789" t="s">
        <v>16</v>
      </c>
      <c r="B789" s="11">
        <v>2.81E-2</v>
      </c>
      <c r="C789" t="s">
        <v>9</v>
      </c>
      <c r="D789" t="s">
        <v>5</v>
      </c>
      <c r="E789" t="s">
        <v>17</v>
      </c>
      <c r="F789" t="s">
        <v>18</v>
      </c>
    </row>
    <row r="790" spans="1:6" x14ac:dyDescent="0.2">
      <c r="A790" t="s">
        <v>40</v>
      </c>
      <c r="B790" s="11">
        <v>2.81E-2</v>
      </c>
      <c r="C790" t="s">
        <v>9</v>
      </c>
      <c r="D790" t="s">
        <v>5</v>
      </c>
      <c r="E790" t="s">
        <v>17</v>
      </c>
      <c r="F790" t="s">
        <v>41</v>
      </c>
    </row>
    <row r="791" spans="1:6" x14ac:dyDescent="0.2">
      <c r="A791" t="s">
        <v>123</v>
      </c>
      <c r="B791" s="11">
        <v>1.84E-2</v>
      </c>
      <c r="C791" t="s">
        <v>9</v>
      </c>
      <c r="D791" t="s">
        <v>5</v>
      </c>
      <c r="E791" t="s">
        <v>17</v>
      </c>
      <c r="F791" t="s">
        <v>123</v>
      </c>
    </row>
    <row r="792" spans="1:6" x14ac:dyDescent="0.2">
      <c r="A792" t="s">
        <v>64</v>
      </c>
      <c r="B792" s="11">
        <v>4.3E-3</v>
      </c>
      <c r="C792" t="s">
        <v>9</v>
      </c>
      <c r="D792" t="s">
        <v>5</v>
      </c>
      <c r="E792" t="s">
        <v>17</v>
      </c>
      <c r="F792" t="s">
        <v>65</v>
      </c>
    </row>
    <row r="793" spans="1:6" x14ac:dyDescent="0.2">
      <c r="A793" t="s">
        <v>86</v>
      </c>
      <c r="B793" s="11">
        <v>3.0000000000000001E-3</v>
      </c>
      <c r="C793" t="s">
        <v>9</v>
      </c>
      <c r="D793" t="s">
        <v>5</v>
      </c>
      <c r="E793" t="s">
        <v>17</v>
      </c>
      <c r="F793" t="s">
        <v>87</v>
      </c>
    </row>
    <row r="794" spans="1:6" x14ac:dyDescent="0.2">
      <c r="A794" t="s">
        <v>124</v>
      </c>
      <c r="B794" s="11">
        <v>1.2999999999999999E-3</v>
      </c>
      <c r="C794" t="s">
        <v>9</v>
      </c>
      <c r="D794" t="s">
        <v>5</v>
      </c>
      <c r="E794" t="s">
        <v>17</v>
      </c>
      <c r="F794" t="s">
        <v>125</v>
      </c>
    </row>
    <row r="795" spans="1:6" x14ac:dyDescent="0.2">
      <c r="A795" t="s">
        <v>126</v>
      </c>
      <c r="B795" s="12">
        <v>4.0000000000000001E-10</v>
      </c>
      <c r="C795" t="s">
        <v>8</v>
      </c>
      <c r="D795" t="s">
        <v>5</v>
      </c>
      <c r="E795" t="s">
        <v>17</v>
      </c>
      <c r="F795" t="s">
        <v>127</v>
      </c>
    </row>
    <row r="797" spans="1:6" ht="16" x14ac:dyDescent="0.2">
      <c r="A797" s="1" t="s">
        <v>0</v>
      </c>
      <c r="B797" s="10" t="s">
        <v>240</v>
      </c>
    </row>
    <row r="798" spans="1:6" x14ac:dyDescent="0.2">
      <c r="A798" t="s">
        <v>2</v>
      </c>
      <c r="B798" s="2" t="s">
        <v>3</v>
      </c>
    </row>
    <row r="799" spans="1:6" x14ac:dyDescent="0.2">
      <c r="A799" t="s">
        <v>4</v>
      </c>
      <c r="B799" s="2" t="s">
        <v>5</v>
      </c>
    </row>
    <row r="800" spans="1:6" x14ac:dyDescent="0.2">
      <c r="A800" t="s">
        <v>6</v>
      </c>
      <c r="B800" s="2">
        <v>1</v>
      </c>
    </row>
    <row r="801" spans="1:7" x14ac:dyDescent="0.2">
      <c r="A801" t="s">
        <v>7</v>
      </c>
      <c r="B801" s="2" t="s">
        <v>240</v>
      </c>
    </row>
    <row r="802" spans="1:7" x14ac:dyDescent="0.2">
      <c r="A802" t="s">
        <v>8</v>
      </c>
      <c r="B802" s="2" t="s">
        <v>9</v>
      </c>
    </row>
    <row r="803" spans="1:7" x14ac:dyDescent="0.2">
      <c r="A803" t="s">
        <v>10</v>
      </c>
      <c r="B803" s="2" t="s">
        <v>401</v>
      </c>
    </row>
    <row r="804" spans="1:7" x14ac:dyDescent="0.2">
      <c r="A804" s="3" t="s">
        <v>11</v>
      </c>
    </row>
    <row r="805" spans="1:7" x14ac:dyDescent="0.2">
      <c r="A805" t="s">
        <v>12</v>
      </c>
      <c r="B805" s="2" t="s">
        <v>13</v>
      </c>
      <c r="C805" t="s">
        <v>8</v>
      </c>
      <c r="D805" t="s">
        <v>4</v>
      </c>
      <c r="E805" t="s">
        <v>14</v>
      </c>
      <c r="F805" t="s">
        <v>7</v>
      </c>
    </row>
    <row r="806" spans="1:7" x14ac:dyDescent="0.2">
      <c r="A806" t="s">
        <v>240</v>
      </c>
      <c r="B806" s="2">
        <v>1</v>
      </c>
      <c r="C806" t="s">
        <v>9</v>
      </c>
      <c r="D806" t="s">
        <v>5</v>
      </c>
      <c r="E806" t="s">
        <v>15</v>
      </c>
      <c r="F806" t="s">
        <v>240</v>
      </c>
    </row>
    <row r="807" spans="1:7" x14ac:dyDescent="0.2">
      <c r="A807" t="s">
        <v>128</v>
      </c>
      <c r="B807" s="11">
        <v>2.7744750000000002E-3</v>
      </c>
      <c r="C807" t="s">
        <v>54</v>
      </c>
      <c r="D807" t="s">
        <v>28</v>
      </c>
      <c r="E807" t="s">
        <v>17</v>
      </c>
      <c r="F807" t="s">
        <v>61</v>
      </c>
    </row>
    <row r="808" spans="1:7" x14ac:dyDescent="0.2">
      <c r="A808" t="s">
        <v>56</v>
      </c>
      <c r="B808" s="11">
        <v>5.9188796000000002E-2</v>
      </c>
      <c r="C808" t="s">
        <v>54</v>
      </c>
      <c r="D808" t="s">
        <v>28</v>
      </c>
      <c r="E808" t="s">
        <v>17</v>
      </c>
      <c r="F808" t="s">
        <v>57</v>
      </c>
    </row>
    <row r="809" spans="1:7" x14ac:dyDescent="0.2">
      <c r="A809" t="s">
        <v>62</v>
      </c>
      <c r="B809" s="11">
        <v>0.20568106799999999</v>
      </c>
      <c r="C809" t="s">
        <v>54</v>
      </c>
      <c r="D809" t="s">
        <v>5</v>
      </c>
      <c r="E809" t="s">
        <v>17</v>
      </c>
      <c r="F809" t="s">
        <v>63</v>
      </c>
    </row>
    <row r="810" spans="1:7" x14ac:dyDescent="0.2">
      <c r="A810" t="s">
        <v>46</v>
      </c>
      <c r="B810" s="11">
        <v>0.440587837837838</v>
      </c>
      <c r="C810" t="s">
        <v>47</v>
      </c>
      <c r="D810" t="s">
        <v>5</v>
      </c>
      <c r="E810" t="s">
        <v>17</v>
      </c>
      <c r="F810" t="s">
        <v>48</v>
      </c>
    </row>
    <row r="811" spans="1:7" x14ac:dyDescent="0.2">
      <c r="A811" t="s">
        <v>129</v>
      </c>
      <c r="B811" s="11">
        <v>2.5000000000000001E-2</v>
      </c>
      <c r="C811" t="s">
        <v>9</v>
      </c>
      <c r="D811" t="s">
        <v>5</v>
      </c>
      <c r="E811" t="s">
        <v>17</v>
      </c>
      <c r="F811" t="s">
        <v>130</v>
      </c>
    </row>
    <row r="812" spans="1:7" x14ac:dyDescent="0.2">
      <c r="A812" t="s">
        <v>131</v>
      </c>
      <c r="B812" s="11">
        <v>2.5000000000000001E-2</v>
      </c>
      <c r="C812" t="s">
        <v>9</v>
      </c>
      <c r="D812" t="s">
        <v>5</v>
      </c>
      <c r="E812" t="s">
        <v>17</v>
      </c>
      <c r="F812" t="s">
        <v>132</v>
      </c>
    </row>
    <row r="813" spans="1:7" x14ac:dyDescent="0.2">
      <c r="A813" t="s">
        <v>115</v>
      </c>
      <c r="B813" s="11">
        <v>27.8</v>
      </c>
      <c r="C813" t="s">
        <v>116</v>
      </c>
      <c r="D813" t="s">
        <v>28</v>
      </c>
      <c r="E813" t="s">
        <v>17</v>
      </c>
      <c r="F813" t="s">
        <v>117</v>
      </c>
    </row>
    <row r="814" spans="1:7" x14ac:dyDescent="0.2">
      <c r="A814" t="s">
        <v>133</v>
      </c>
      <c r="B814" s="11">
        <v>5.5999999999999999E-3</v>
      </c>
      <c r="C814" t="s">
        <v>9</v>
      </c>
      <c r="D814" t="s">
        <v>5</v>
      </c>
      <c r="E814" t="s">
        <v>17</v>
      </c>
      <c r="F814" t="s">
        <v>134</v>
      </c>
    </row>
    <row r="815" spans="1:7" x14ac:dyDescent="0.2">
      <c r="A815" t="s">
        <v>126</v>
      </c>
      <c r="B815" s="12">
        <v>4.0000000000000001E-10</v>
      </c>
      <c r="C815" t="s">
        <v>8</v>
      </c>
      <c r="D815" t="s">
        <v>5</v>
      </c>
      <c r="E815" t="s">
        <v>17</v>
      </c>
      <c r="F815" t="s">
        <v>127</v>
      </c>
      <c r="G815" s="4"/>
    </row>
    <row r="816" spans="1:7" x14ac:dyDescent="0.2">
      <c r="A816" t="s">
        <v>241</v>
      </c>
      <c r="B816" s="11">
        <v>0.95</v>
      </c>
      <c r="C816" t="s">
        <v>9</v>
      </c>
      <c r="D816" t="s">
        <v>5</v>
      </c>
      <c r="E816" t="s">
        <v>17</v>
      </c>
      <c r="F816" t="s">
        <v>241</v>
      </c>
    </row>
    <row r="818" spans="1:7" ht="16" x14ac:dyDescent="0.2">
      <c r="A818" s="1" t="s">
        <v>0</v>
      </c>
      <c r="B818" s="10" t="s">
        <v>241</v>
      </c>
    </row>
    <row r="819" spans="1:7" x14ac:dyDescent="0.2">
      <c r="A819" t="s">
        <v>2</v>
      </c>
      <c r="B819" s="2" t="s">
        <v>3</v>
      </c>
    </row>
    <row r="820" spans="1:7" x14ac:dyDescent="0.2">
      <c r="A820" t="s">
        <v>4</v>
      </c>
      <c r="B820" s="2" t="s">
        <v>5</v>
      </c>
    </row>
    <row r="821" spans="1:7" x14ac:dyDescent="0.2">
      <c r="A821" t="s">
        <v>6</v>
      </c>
      <c r="B821" s="2">
        <v>1</v>
      </c>
    </row>
    <row r="822" spans="1:7" x14ac:dyDescent="0.2">
      <c r="A822" t="s">
        <v>7</v>
      </c>
      <c r="B822" s="2" t="s">
        <v>241</v>
      </c>
    </row>
    <row r="823" spans="1:7" x14ac:dyDescent="0.2">
      <c r="A823" t="s">
        <v>8</v>
      </c>
      <c r="B823" s="2" t="s">
        <v>9</v>
      </c>
    </row>
    <row r="824" spans="1:7" x14ac:dyDescent="0.2">
      <c r="A824" t="s">
        <v>10</v>
      </c>
      <c r="B824" s="2" t="s">
        <v>401</v>
      </c>
    </row>
    <row r="825" spans="1:7" x14ac:dyDescent="0.2">
      <c r="A825" s="3" t="s">
        <v>11</v>
      </c>
    </row>
    <row r="826" spans="1:7" x14ac:dyDescent="0.2">
      <c r="A826" t="s">
        <v>12</v>
      </c>
      <c r="B826" s="2" t="s">
        <v>13</v>
      </c>
      <c r="C826" t="s">
        <v>8</v>
      </c>
      <c r="D826" t="s">
        <v>136</v>
      </c>
      <c r="E826" t="s">
        <v>4</v>
      </c>
      <c r="F826" t="s">
        <v>14</v>
      </c>
      <c r="G826" t="s">
        <v>7</v>
      </c>
    </row>
    <row r="827" spans="1:7" x14ac:dyDescent="0.2">
      <c r="A827" t="s">
        <v>241</v>
      </c>
      <c r="B827" s="2">
        <v>1</v>
      </c>
      <c r="C827" t="s">
        <v>9</v>
      </c>
      <c r="E827" t="s">
        <v>5</v>
      </c>
      <c r="F827" t="s">
        <v>15</v>
      </c>
      <c r="G827" t="s">
        <v>241</v>
      </c>
    </row>
    <row r="828" spans="1:7" x14ac:dyDescent="0.2">
      <c r="A828" t="s">
        <v>128</v>
      </c>
      <c r="B828" s="11">
        <v>3.2859232000000002E-2</v>
      </c>
      <c r="C828" t="s">
        <v>54</v>
      </c>
      <c r="E828" t="s">
        <v>28</v>
      </c>
      <c r="F828" t="s">
        <v>17</v>
      </c>
      <c r="G828" t="s">
        <v>61</v>
      </c>
    </row>
    <row r="829" spans="1:7" x14ac:dyDescent="0.2">
      <c r="A829" t="s">
        <v>137</v>
      </c>
      <c r="B829" s="11">
        <v>2.6585139999999998E-3</v>
      </c>
      <c r="C829" t="s">
        <v>54</v>
      </c>
      <c r="E829" t="s">
        <v>28</v>
      </c>
      <c r="F829" t="s">
        <v>17</v>
      </c>
      <c r="G829" t="s">
        <v>138</v>
      </c>
    </row>
    <row r="830" spans="1:7" x14ac:dyDescent="0.2">
      <c r="A830" t="s">
        <v>62</v>
      </c>
      <c r="B830" s="11">
        <v>6.3697992999999994E-2</v>
      </c>
      <c r="C830" t="s">
        <v>54</v>
      </c>
      <c r="E830" t="s">
        <v>5</v>
      </c>
      <c r="F830" t="s">
        <v>17</v>
      </c>
      <c r="G830" t="s">
        <v>63</v>
      </c>
    </row>
    <row r="831" spans="1:7" x14ac:dyDescent="0.2">
      <c r="A831" t="s">
        <v>56</v>
      </c>
      <c r="B831" s="11">
        <v>2.2225175999999999E-2</v>
      </c>
      <c r="C831" t="s">
        <v>54</v>
      </c>
      <c r="E831" t="s">
        <v>28</v>
      </c>
      <c r="F831" t="s">
        <v>17</v>
      </c>
      <c r="G831" t="s">
        <v>57</v>
      </c>
    </row>
    <row r="832" spans="1:7" x14ac:dyDescent="0.2">
      <c r="A832" t="s">
        <v>46</v>
      </c>
      <c r="B832" s="11">
        <v>7.26</v>
      </c>
      <c r="C832" t="s">
        <v>47</v>
      </c>
      <c r="E832" t="s">
        <v>5</v>
      </c>
      <c r="F832" t="s">
        <v>17</v>
      </c>
      <c r="G832" t="s">
        <v>48</v>
      </c>
    </row>
    <row r="833" spans="1:7" x14ac:dyDescent="0.2">
      <c r="A833" t="s">
        <v>205</v>
      </c>
      <c r="B833" s="11">
        <v>0.25</v>
      </c>
      <c r="C833" t="s">
        <v>9</v>
      </c>
      <c r="E833" t="s">
        <v>5</v>
      </c>
      <c r="F833" t="s">
        <v>17</v>
      </c>
      <c r="G833" t="s">
        <v>206</v>
      </c>
    </row>
    <row r="834" spans="1:7" x14ac:dyDescent="0.2">
      <c r="A834" t="s">
        <v>242</v>
      </c>
      <c r="B834" s="11">
        <v>0.95</v>
      </c>
      <c r="C834" t="s">
        <v>9</v>
      </c>
      <c r="E834" t="s">
        <v>5</v>
      </c>
      <c r="F834" t="s">
        <v>17</v>
      </c>
      <c r="G834" t="s">
        <v>242</v>
      </c>
    </row>
    <row r="835" spans="1:7" x14ac:dyDescent="0.2">
      <c r="A835" t="s">
        <v>126</v>
      </c>
      <c r="B835" s="12">
        <v>7.4100000000000003E-10</v>
      </c>
      <c r="C835" t="s">
        <v>8</v>
      </c>
      <c r="E835" t="s">
        <v>5</v>
      </c>
      <c r="F835" t="s">
        <v>17</v>
      </c>
      <c r="G835" t="s">
        <v>127</v>
      </c>
    </row>
    <row r="836" spans="1:7" x14ac:dyDescent="0.2">
      <c r="A836" t="s">
        <v>145</v>
      </c>
      <c r="B836" s="11">
        <v>1.9562E-4</v>
      </c>
      <c r="C836" t="s">
        <v>146</v>
      </c>
      <c r="D836" t="s">
        <v>147</v>
      </c>
      <c r="F836" t="s">
        <v>144</v>
      </c>
    </row>
    <row r="837" spans="1:7" x14ac:dyDescent="0.2">
      <c r="G837" s="4"/>
    </row>
    <row r="838" spans="1:7" ht="16" x14ac:dyDescent="0.2">
      <c r="A838" s="1" t="s">
        <v>0</v>
      </c>
      <c r="B838" s="10" t="s">
        <v>242</v>
      </c>
    </row>
    <row r="839" spans="1:7" x14ac:dyDescent="0.2">
      <c r="A839" t="s">
        <v>2</v>
      </c>
      <c r="B839" s="2" t="s">
        <v>3</v>
      </c>
    </row>
    <row r="840" spans="1:7" x14ac:dyDescent="0.2">
      <c r="A840" t="s">
        <v>4</v>
      </c>
      <c r="B840" s="2" t="s">
        <v>5</v>
      </c>
    </row>
    <row r="841" spans="1:7" x14ac:dyDescent="0.2">
      <c r="A841" t="s">
        <v>6</v>
      </c>
      <c r="B841" s="2">
        <v>1</v>
      </c>
    </row>
    <row r="842" spans="1:7" x14ac:dyDescent="0.2">
      <c r="A842" t="s">
        <v>7</v>
      </c>
      <c r="B842" s="2" t="s">
        <v>242</v>
      </c>
    </row>
    <row r="843" spans="1:7" x14ac:dyDescent="0.2">
      <c r="A843" t="s">
        <v>8</v>
      </c>
      <c r="B843" s="2" t="s">
        <v>9</v>
      </c>
    </row>
    <row r="844" spans="1:7" x14ac:dyDescent="0.2">
      <c r="A844" t="s">
        <v>10</v>
      </c>
      <c r="B844" s="2" t="s">
        <v>401</v>
      </c>
    </row>
    <row r="845" spans="1:7" x14ac:dyDescent="0.2">
      <c r="A845" s="3" t="s">
        <v>11</v>
      </c>
    </row>
    <row r="846" spans="1:7" x14ac:dyDescent="0.2">
      <c r="A846" t="s">
        <v>12</v>
      </c>
      <c r="B846" s="2" t="s">
        <v>13</v>
      </c>
      <c r="C846" t="s">
        <v>8</v>
      </c>
      <c r="D846" t="s">
        <v>136</v>
      </c>
      <c r="E846" t="s">
        <v>4</v>
      </c>
      <c r="F846" t="s">
        <v>14</v>
      </c>
      <c r="G846" t="s">
        <v>7</v>
      </c>
    </row>
    <row r="847" spans="1:7" x14ac:dyDescent="0.2">
      <c r="A847" t="s">
        <v>242</v>
      </c>
      <c r="B847" s="2">
        <v>1</v>
      </c>
      <c r="C847" t="s">
        <v>9</v>
      </c>
      <c r="E847" t="s">
        <v>5</v>
      </c>
      <c r="F847" t="s">
        <v>15</v>
      </c>
      <c r="G847" t="s">
        <v>242</v>
      </c>
    </row>
    <row r="848" spans="1:7" x14ac:dyDescent="0.2">
      <c r="A848" t="s">
        <v>137</v>
      </c>
      <c r="B848" s="11">
        <v>2.6585139999999998E-3</v>
      </c>
      <c r="C848" t="s">
        <v>54</v>
      </c>
      <c r="E848" t="s">
        <v>28</v>
      </c>
      <c r="F848" t="s">
        <v>17</v>
      </c>
      <c r="G848" t="s">
        <v>138</v>
      </c>
    </row>
    <row r="849" spans="1:7" x14ac:dyDescent="0.2">
      <c r="A849" t="s">
        <v>56</v>
      </c>
      <c r="B849" s="11">
        <v>2.2225175999999999E-2</v>
      </c>
      <c r="C849" t="s">
        <v>54</v>
      </c>
      <c r="E849" t="s">
        <v>28</v>
      </c>
      <c r="F849" t="s">
        <v>17</v>
      </c>
      <c r="G849" t="s">
        <v>57</v>
      </c>
    </row>
    <row r="850" spans="1:7" x14ac:dyDescent="0.2">
      <c r="A850" t="s">
        <v>128</v>
      </c>
      <c r="B850" s="11">
        <v>3.2859232000000002E-2</v>
      </c>
      <c r="C850" t="s">
        <v>54</v>
      </c>
      <c r="E850" t="s">
        <v>28</v>
      </c>
      <c r="F850" t="s">
        <v>17</v>
      </c>
      <c r="G850" t="s">
        <v>61</v>
      </c>
    </row>
    <row r="851" spans="1:7" x14ac:dyDescent="0.2">
      <c r="A851" t="s">
        <v>62</v>
      </c>
      <c r="B851" s="11">
        <v>6.3697992999999994E-2</v>
      </c>
      <c r="C851" t="s">
        <v>54</v>
      </c>
      <c r="E851" t="s">
        <v>5</v>
      </c>
      <c r="F851" t="s">
        <v>17</v>
      </c>
      <c r="G851" t="s">
        <v>63</v>
      </c>
    </row>
    <row r="852" spans="1:7" x14ac:dyDescent="0.2">
      <c r="A852" t="s">
        <v>115</v>
      </c>
      <c r="B852" s="11">
        <v>39.299999999999997</v>
      </c>
      <c r="C852" t="s">
        <v>116</v>
      </c>
      <c r="E852" t="s">
        <v>28</v>
      </c>
      <c r="F852" t="s">
        <v>17</v>
      </c>
      <c r="G852" t="s">
        <v>117</v>
      </c>
    </row>
    <row r="853" spans="1:7" x14ac:dyDescent="0.2">
      <c r="A853" t="s">
        <v>149</v>
      </c>
      <c r="B853" s="11">
        <v>0.85814000000000001</v>
      </c>
      <c r="C853" t="s">
        <v>9</v>
      </c>
      <c r="E853" t="s">
        <v>5</v>
      </c>
      <c r="F853" t="s">
        <v>17</v>
      </c>
      <c r="G853" t="s">
        <v>150</v>
      </c>
    </row>
    <row r="854" spans="1:7" x14ac:dyDescent="0.2">
      <c r="A854" t="s">
        <v>506</v>
      </c>
      <c r="B854" s="11">
        <v>0.25081999999999999</v>
      </c>
      <c r="C854" t="s">
        <v>9</v>
      </c>
      <c r="E854" t="s">
        <v>148</v>
      </c>
      <c r="F854" t="s">
        <v>17</v>
      </c>
      <c r="G854" t="s">
        <v>151</v>
      </c>
    </row>
    <row r="855" spans="1:7" x14ac:dyDescent="0.2">
      <c r="A855" t="s">
        <v>152</v>
      </c>
      <c r="B855" s="11">
        <v>1.3120000000000001</v>
      </c>
      <c r="C855" t="s">
        <v>9</v>
      </c>
      <c r="E855" t="s">
        <v>5</v>
      </c>
      <c r="F855" t="s">
        <v>17</v>
      </c>
      <c r="G855" t="s">
        <v>153</v>
      </c>
    </row>
    <row r="856" spans="1:7" x14ac:dyDescent="0.2">
      <c r="A856" t="s">
        <v>243</v>
      </c>
      <c r="B856" s="11">
        <v>8.6822999999999997E-2</v>
      </c>
      <c r="C856" t="s">
        <v>9</v>
      </c>
      <c r="E856" t="s">
        <v>28</v>
      </c>
      <c r="F856" t="s">
        <v>17</v>
      </c>
      <c r="G856" t="s">
        <v>244</v>
      </c>
    </row>
    <row r="857" spans="1:7" x14ac:dyDescent="0.2">
      <c r="A857" t="s">
        <v>156</v>
      </c>
      <c r="B857" s="11">
        <v>5.8393000000000004E-3</v>
      </c>
      <c r="C857" t="s">
        <v>9</v>
      </c>
      <c r="E857" t="s">
        <v>148</v>
      </c>
      <c r="F857" t="s">
        <v>17</v>
      </c>
      <c r="G857" t="s">
        <v>157</v>
      </c>
    </row>
    <row r="858" spans="1:7" x14ac:dyDescent="0.2">
      <c r="A858" t="s">
        <v>126</v>
      </c>
      <c r="B858" s="11">
        <v>7.1940002862808998E-10</v>
      </c>
      <c r="C858" t="s">
        <v>8</v>
      </c>
      <c r="E858" t="s">
        <v>5</v>
      </c>
      <c r="F858" t="s">
        <v>17</v>
      </c>
      <c r="G858" t="s">
        <v>127</v>
      </c>
    </row>
    <row r="859" spans="1:7" x14ac:dyDescent="0.2">
      <c r="A859" t="s">
        <v>158</v>
      </c>
      <c r="B859" s="11">
        <v>-6.1963397318955398E-4</v>
      </c>
      <c r="C859" t="s">
        <v>146</v>
      </c>
      <c r="E859" t="s">
        <v>28</v>
      </c>
      <c r="F859" t="s">
        <v>17</v>
      </c>
      <c r="G859" t="s">
        <v>159</v>
      </c>
    </row>
    <row r="860" spans="1:7" x14ac:dyDescent="0.2">
      <c r="A860" t="s">
        <v>160</v>
      </c>
      <c r="B860" s="11">
        <v>5.7999999999999996E-3</v>
      </c>
      <c r="C860" t="s">
        <v>9</v>
      </c>
      <c r="D860" t="s">
        <v>143</v>
      </c>
      <c r="F860" t="s">
        <v>144</v>
      </c>
    </row>
    <row r="861" spans="1:7" x14ac:dyDescent="0.2">
      <c r="A861" t="s">
        <v>161</v>
      </c>
      <c r="B861" s="11">
        <v>6.1963397318955398E-4</v>
      </c>
      <c r="C861" t="s">
        <v>146</v>
      </c>
      <c r="D861" t="s">
        <v>162</v>
      </c>
      <c r="F861" t="s">
        <v>144</v>
      </c>
    </row>
    <row r="863" spans="1:7" ht="16" x14ac:dyDescent="0.2">
      <c r="A863" s="1" t="s">
        <v>0</v>
      </c>
      <c r="B863" s="10" t="s">
        <v>245</v>
      </c>
    </row>
    <row r="864" spans="1:7" x14ac:dyDescent="0.2">
      <c r="A864" t="s">
        <v>2</v>
      </c>
      <c r="B864" s="2" t="s">
        <v>3</v>
      </c>
    </row>
    <row r="865" spans="1:10" x14ac:dyDescent="0.2">
      <c r="A865" t="s">
        <v>4</v>
      </c>
      <c r="B865" s="2" t="s">
        <v>5</v>
      </c>
    </row>
    <row r="866" spans="1:10" x14ac:dyDescent="0.2">
      <c r="A866" t="s">
        <v>6</v>
      </c>
      <c r="B866" s="2">
        <v>1</v>
      </c>
    </row>
    <row r="867" spans="1:10" x14ac:dyDescent="0.2">
      <c r="A867" t="s">
        <v>7</v>
      </c>
      <c r="B867" s="2" t="s">
        <v>114</v>
      </c>
    </row>
    <row r="868" spans="1:10" x14ac:dyDescent="0.2">
      <c r="A868" t="s">
        <v>8</v>
      </c>
      <c r="B868" s="2" t="s">
        <v>9</v>
      </c>
    </row>
    <row r="869" spans="1:10" ht="16" x14ac:dyDescent="0.2">
      <c r="A869" s="1" t="s">
        <v>11</v>
      </c>
    </row>
    <row r="870" spans="1:10" x14ac:dyDescent="0.2">
      <c r="A870" t="s">
        <v>12</v>
      </c>
      <c r="B870" s="2" t="s">
        <v>7</v>
      </c>
      <c r="C870" t="s">
        <v>13</v>
      </c>
      <c r="D870" t="s">
        <v>8</v>
      </c>
      <c r="E870" t="s">
        <v>246</v>
      </c>
      <c r="F870" t="s">
        <v>136</v>
      </c>
      <c r="G870" t="s">
        <v>4</v>
      </c>
      <c r="H870" t="s">
        <v>14</v>
      </c>
      <c r="I870" t="s">
        <v>247</v>
      </c>
      <c r="J870" t="s">
        <v>2</v>
      </c>
    </row>
    <row r="871" spans="1:10" ht="16" x14ac:dyDescent="0.2">
      <c r="A871" s="7" t="s">
        <v>245</v>
      </c>
      <c r="B871" s="2" t="s">
        <v>114</v>
      </c>
      <c r="C871">
        <v>1</v>
      </c>
      <c r="D871" t="s">
        <v>9</v>
      </c>
      <c r="E871" t="s">
        <v>248</v>
      </c>
      <c r="G871" t="s">
        <v>5</v>
      </c>
      <c r="H871" t="s">
        <v>15</v>
      </c>
    </row>
    <row r="872" spans="1:10" x14ac:dyDescent="0.2">
      <c r="A872" t="s">
        <v>249</v>
      </c>
      <c r="C872">
        <v>0.38915579958819491</v>
      </c>
      <c r="D872" t="s">
        <v>9</v>
      </c>
      <c r="E872" t="s">
        <v>248</v>
      </c>
      <c r="G872" t="s">
        <v>250</v>
      </c>
      <c r="H872" t="s">
        <v>17</v>
      </c>
    </row>
    <row r="873" spans="1:10" x14ac:dyDescent="0.2">
      <c r="A873" t="s">
        <v>251</v>
      </c>
      <c r="C873">
        <v>0.13150308853809195</v>
      </c>
      <c r="D873" t="s">
        <v>9</v>
      </c>
      <c r="E873" t="s">
        <v>248</v>
      </c>
      <c r="G873" t="s">
        <v>250</v>
      </c>
      <c r="H873" t="s">
        <v>17</v>
      </c>
    </row>
    <row r="874" spans="1:10" x14ac:dyDescent="0.2">
      <c r="A874" t="s">
        <v>252</v>
      </c>
      <c r="C874">
        <v>5.6005490734385717E-2</v>
      </c>
      <c r="D874" t="s">
        <v>9</v>
      </c>
      <c r="E874" t="s">
        <v>248</v>
      </c>
      <c r="G874" t="s">
        <v>250</v>
      </c>
      <c r="H874" t="s">
        <v>17</v>
      </c>
    </row>
    <row r="875" spans="1:10" x14ac:dyDescent="0.2">
      <c r="A875" t="s">
        <v>253</v>
      </c>
      <c r="C875">
        <v>0.12916952642415921</v>
      </c>
      <c r="D875" t="s">
        <v>9</v>
      </c>
      <c r="E875" t="s">
        <v>248</v>
      </c>
      <c r="G875" t="s">
        <v>250</v>
      </c>
      <c r="H875" t="s">
        <v>17</v>
      </c>
    </row>
    <row r="876" spans="1:10" x14ac:dyDescent="0.2">
      <c r="A876" t="s">
        <v>254</v>
      </c>
      <c r="C876">
        <v>0.21153054221002057</v>
      </c>
      <c r="D876" t="s">
        <v>9</v>
      </c>
      <c r="E876" t="s">
        <v>248</v>
      </c>
      <c r="G876" t="s">
        <v>250</v>
      </c>
      <c r="H876" t="s">
        <v>17</v>
      </c>
    </row>
    <row r="877" spans="1:10" x14ac:dyDescent="0.2">
      <c r="A877" t="s">
        <v>123</v>
      </c>
      <c r="B877" s="2" t="s">
        <v>123</v>
      </c>
      <c r="C877">
        <v>5.1338366506520246E-2</v>
      </c>
      <c r="D877" t="s">
        <v>9</v>
      </c>
      <c r="E877" t="s">
        <v>248</v>
      </c>
      <c r="G877" t="s">
        <v>5</v>
      </c>
      <c r="H877" t="s">
        <v>17</v>
      </c>
    </row>
    <row r="878" spans="1:10" x14ac:dyDescent="0.2">
      <c r="A878" t="s">
        <v>255</v>
      </c>
      <c r="C878">
        <v>3.1297185998627318E-2</v>
      </c>
      <c r="D878" t="s">
        <v>9</v>
      </c>
      <c r="E878" t="s">
        <v>248</v>
      </c>
      <c r="G878" t="s">
        <v>5</v>
      </c>
      <c r="H878" t="s">
        <v>17</v>
      </c>
      <c r="J878" t="s">
        <v>256</v>
      </c>
    </row>
    <row r="879" spans="1:10" x14ac:dyDescent="0.2">
      <c r="A879" t="s">
        <v>257</v>
      </c>
      <c r="B879" s="2" t="s">
        <v>258</v>
      </c>
      <c r="C879" s="5">
        <v>4.4680851063829783</v>
      </c>
      <c r="D879" t="s">
        <v>9</v>
      </c>
      <c r="E879" t="s">
        <v>259</v>
      </c>
      <c r="G879" t="s">
        <v>28</v>
      </c>
      <c r="H879" t="s">
        <v>17</v>
      </c>
    </row>
    <row r="880" spans="1:10" x14ac:dyDescent="0.2">
      <c r="A880" t="s">
        <v>46</v>
      </c>
      <c r="B880" s="2" t="s">
        <v>48</v>
      </c>
      <c r="C880">
        <v>4</v>
      </c>
      <c r="D880" t="s">
        <v>47</v>
      </c>
      <c r="E880" t="s">
        <v>259</v>
      </c>
      <c r="G880" t="s">
        <v>5</v>
      </c>
      <c r="H880" t="s">
        <v>17</v>
      </c>
      <c r="J880" t="s">
        <v>260</v>
      </c>
    </row>
    <row r="881" spans="1:8" x14ac:dyDescent="0.2">
      <c r="A881" t="s">
        <v>115</v>
      </c>
      <c r="B881" s="2" t="s">
        <v>117</v>
      </c>
      <c r="C881" s="8">
        <v>14.4</v>
      </c>
      <c r="D881" t="s">
        <v>116</v>
      </c>
      <c r="E881" t="s">
        <v>259</v>
      </c>
      <c r="G881" t="s">
        <v>28</v>
      </c>
      <c r="H881" t="s">
        <v>17</v>
      </c>
    </row>
    <row r="884" spans="1:8" ht="16" x14ac:dyDescent="0.2">
      <c r="A884" s="1" t="s">
        <v>0</v>
      </c>
      <c r="B884" s="10" t="s">
        <v>251</v>
      </c>
    </row>
    <row r="885" spans="1:8" x14ac:dyDescent="0.2">
      <c r="A885" t="s">
        <v>2</v>
      </c>
      <c r="B885" s="2" t="s">
        <v>3</v>
      </c>
    </row>
    <row r="886" spans="1:8" x14ac:dyDescent="0.2">
      <c r="A886" t="s">
        <v>4</v>
      </c>
      <c r="B886" s="2" t="s">
        <v>250</v>
      </c>
    </row>
    <row r="887" spans="1:8" x14ac:dyDescent="0.2">
      <c r="A887" t="s">
        <v>6</v>
      </c>
      <c r="B887" s="2">
        <v>1</v>
      </c>
    </row>
    <row r="888" spans="1:8" x14ac:dyDescent="0.2">
      <c r="A888" t="s">
        <v>7</v>
      </c>
      <c r="B888" s="2" t="s">
        <v>251</v>
      </c>
    </row>
    <row r="889" spans="1:8" x14ac:dyDescent="0.2">
      <c r="A889" t="s">
        <v>8</v>
      </c>
      <c r="B889" s="2" t="s">
        <v>9</v>
      </c>
    </row>
    <row r="890" spans="1:8" x14ac:dyDescent="0.2">
      <c r="A890" t="s">
        <v>261</v>
      </c>
      <c r="B890" s="2" t="s">
        <v>262</v>
      </c>
    </row>
    <row r="891" spans="1:8" ht="16" x14ac:dyDescent="0.2">
      <c r="A891" s="1" t="s">
        <v>11</v>
      </c>
    </row>
    <row r="892" spans="1:8" x14ac:dyDescent="0.2">
      <c r="A892" t="s">
        <v>12</v>
      </c>
      <c r="B892" s="2" t="s">
        <v>13</v>
      </c>
      <c r="C892" t="s">
        <v>246</v>
      </c>
      <c r="D892" t="s">
        <v>4</v>
      </c>
      <c r="E892" t="s">
        <v>8</v>
      </c>
      <c r="F892" t="s">
        <v>14</v>
      </c>
      <c r="G892" t="s">
        <v>7</v>
      </c>
      <c r="H892" t="s">
        <v>247</v>
      </c>
    </row>
    <row r="893" spans="1:8" x14ac:dyDescent="0.2">
      <c r="A893" t="s">
        <v>251</v>
      </c>
      <c r="B893" s="2">
        <v>1</v>
      </c>
      <c r="C893" t="s">
        <v>263</v>
      </c>
      <c r="D893" t="s">
        <v>250</v>
      </c>
      <c r="E893" t="s">
        <v>9</v>
      </c>
      <c r="F893" t="s">
        <v>15</v>
      </c>
    </row>
    <row r="894" spans="1:8" x14ac:dyDescent="0.2">
      <c r="A894" t="s">
        <v>264</v>
      </c>
      <c r="B894" s="2">
        <v>0.9</v>
      </c>
      <c r="C894" t="s">
        <v>265</v>
      </c>
      <c r="D894" t="s">
        <v>5</v>
      </c>
      <c r="E894" t="s">
        <v>9</v>
      </c>
      <c r="F894" t="s">
        <v>17</v>
      </c>
      <c r="G894" t="s">
        <v>266</v>
      </c>
      <c r="H894">
        <v>0.86185933408155613</v>
      </c>
    </row>
    <row r="895" spans="1:8" x14ac:dyDescent="0.2">
      <c r="A895" t="s">
        <v>129</v>
      </c>
      <c r="B895" s="2">
        <v>0.05</v>
      </c>
      <c r="C895" t="s">
        <v>265</v>
      </c>
      <c r="D895" t="s">
        <v>5</v>
      </c>
      <c r="E895" t="s">
        <v>9</v>
      </c>
      <c r="F895" t="s">
        <v>17</v>
      </c>
      <c r="G895" t="s">
        <v>130</v>
      </c>
    </row>
    <row r="896" spans="1:8" x14ac:dyDescent="0.2">
      <c r="A896" t="s">
        <v>164</v>
      </c>
      <c r="B896" s="2">
        <v>3.5000000000000003E-2</v>
      </c>
      <c r="C896" t="s">
        <v>265</v>
      </c>
      <c r="D896" t="s">
        <v>5</v>
      </c>
      <c r="E896" t="s">
        <v>9</v>
      </c>
      <c r="F896" t="s">
        <v>17</v>
      </c>
      <c r="G896" t="s">
        <v>165</v>
      </c>
      <c r="H896">
        <v>3.3516751880949401E-2</v>
      </c>
    </row>
    <row r="897" spans="1:7" x14ac:dyDescent="0.2">
      <c r="A897" t="s">
        <v>267</v>
      </c>
      <c r="B897" s="2">
        <v>1.4999999999999999E-2</v>
      </c>
      <c r="C897" t="s">
        <v>268</v>
      </c>
      <c r="D897" t="s">
        <v>97</v>
      </c>
      <c r="E897" t="s">
        <v>9</v>
      </c>
      <c r="F897" t="s">
        <v>17</v>
      </c>
      <c r="G897" t="s">
        <v>269</v>
      </c>
    </row>
    <row r="899" spans="1:7" ht="16" x14ac:dyDescent="0.2">
      <c r="A899" s="1" t="s">
        <v>0</v>
      </c>
      <c r="B899" s="10" t="s">
        <v>252</v>
      </c>
    </row>
    <row r="900" spans="1:7" x14ac:dyDescent="0.2">
      <c r="A900" t="s">
        <v>2</v>
      </c>
      <c r="B900" s="2" t="s">
        <v>3</v>
      </c>
    </row>
    <row r="901" spans="1:7" x14ac:dyDescent="0.2">
      <c r="A901" t="s">
        <v>4</v>
      </c>
      <c r="B901" s="2" t="s">
        <v>250</v>
      </c>
    </row>
    <row r="902" spans="1:7" x14ac:dyDescent="0.2">
      <c r="A902" t="s">
        <v>6</v>
      </c>
      <c r="B902" s="2">
        <v>1</v>
      </c>
    </row>
    <row r="903" spans="1:7" x14ac:dyDescent="0.2">
      <c r="A903" t="s">
        <v>7</v>
      </c>
      <c r="B903" s="2" t="s">
        <v>252</v>
      </c>
    </row>
    <row r="904" spans="1:7" x14ac:dyDescent="0.2">
      <c r="A904" t="s">
        <v>8</v>
      </c>
      <c r="B904" s="2" t="s">
        <v>9</v>
      </c>
    </row>
    <row r="905" spans="1:7" x14ac:dyDescent="0.2">
      <c r="A905" t="s">
        <v>261</v>
      </c>
      <c r="B905" s="2" t="s">
        <v>262</v>
      </c>
    </row>
    <row r="906" spans="1:7" ht="16" x14ac:dyDescent="0.2">
      <c r="A906" s="1" t="s">
        <v>11</v>
      </c>
    </row>
    <row r="907" spans="1:7" x14ac:dyDescent="0.2">
      <c r="A907" t="s">
        <v>12</v>
      </c>
      <c r="B907" s="2" t="s">
        <v>13</v>
      </c>
      <c r="C907" t="s">
        <v>246</v>
      </c>
      <c r="D907" t="s">
        <v>4</v>
      </c>
      <c r="E907" t="s">
        <v>8</v>
      </c>
      <c r="F907" t="s">
        <v>14</v>
      </c>
      <c r="G907" t="s">
        <v>7</v>
      </c>
    </row>
    <row r="908" spans="1:7" x14ac:dyDescent="0.2">
      <c r="A908" t="s">
        <v>252</v>
      </c>
      <c r="B908" s="2">
        <v>1</v>
      </c>
      <c r="C908" t="s">
        <v>263</v>
      </c>
      <c r="D908" t="s">
        <v>250</v>
      </c>
      <c r="E908" t="s">
        <v>9</v>
      </c>
      <c r="F908" t="s">
        <v>15</v>
      </c>
    </row>
    <row r="909" spans="1:7" x14ac:dyDescent="0.2">
      <c r="A909" t="s">
        <v>270</v>
      </c>
      <c r="B909" s="2">
        <v>1</v>
      </c>
      <c r="C909" t="s">
        <v>265</v>
      </c>
      <c r="D909" t="s">
        <v>271</v>
      </c>
      <c r="E909" t="s">
        <v>9</v>
      </c>
      <c r="F909" t="s">
        <v>17</v>
      </c>
      <c r="G909" t="s">
        <v>272</v>
      </c>
    </row>
    <row r="910" spans="1:7" x14ac:dyDescent="0.2">
      <c r="A910" t="s">
        <v>40</v>
      </c>
      <c r="B910" s="2">
        <v>1</v>
      </c>
      <c r="C910" t="s">
        <v>265</v>
      </c>
      <c r="D910" t="s">
        <v>5</v>
      </c>
      <c r="E910" t="s">
        <v>9</v>
      </c>
      <c r="F910" t="s">
        <v>17</v>
      </c>
      <c r="G910" t="s">
        <v>41</v>
      </c>
    </row>
    <row r="912" spans="1:7" ht="16" x14ac:dyDescent="0.2">
      <c r="A912" s="1" t="s">
        <v>0</v>
      </c>
      <c r="B912" s="10" t="s">
        <v>249</v>
      </c>
    </row>
    <row r="913" spans="1:7" x14ac:dyDescent="0.2">
      <c r="A913" t="s">
        <v>2</v>
      </c>
      <c r="B913" s="2" t="s">
        <v>3</v>
      </c>
    </row>
    <row r="914" spans="1:7" x14ac:dyDescent="0.2">
      <c r="A914" t="s">
        <v>4</v>
      </c>
      <c r="B914" s="2" t="s">
        <v>250</v>
      </c>
    </row>
    <row r="915" spans="1:7" x14ac:dyDescent="0.2">
      <c r="A915" t="s">
        <v>6</v>
      </c>
      <c r="B915" s="2">
        <v>1</v>
      </c>
    </row>
    <row r="916" spans="1:7" x14ac:dyDescent="0.2">
      <c r="A916" t="s">
        <v>7</v>
      </c>
      <c r="B916" s="2" t="s">
        <v>249</v>
      </c>
    </row>
    <row r="917" spans="1:7" x14ac:dyDescent="0.2">
      <c r="A917" t="s">
        <v>8</v>
      </c>
      <c r="B917" s="2" t="s">
        <v>9</v>
      </c>
    </row>
    <row r="918" spans="1:7" x14ac:dyDescent="0.2">
      <c r="A918" t="s">
        <v>261</v>
      </c>
      <c r="B918" s="2" t="s">
        <v>262</v>
      </c>
    </row>
    <row r="919" spans="1:7" ht="16" x14ac:dyDescent="0.2">
      <c r="A919" s="1" t="s">
        <v>11</v>
      </c>
    </row>
    <row r="920" spans="1:7" x14ac:dyDescent="0.2">
      <c r="A920" t="s">
        <v>12</v>
      </c>
      <c r="B920" s="2" t="s">
        <v>13</v>
      </c>
      <c r="C920" t="s">
        <v>246</v>
      </c>
      <c r="D920" t="s">
        <v>4</v>
      </c>
      <c r="E920" t="s">
        <v>8</v>
      </c>
      <c r="F920" t="s">
        <v>14</v>
      </c>
      <c r="G920" t="s">
        <v>7</v>
      </c>
    </row>
    <row r="921" spans="1:7" x14ac:dyDescent="0.2">
      <c r="A921" t="s">
        <v>249</v>
      </c>
      <c r="B921" s="2">
        <v>1</v>
      </c>
      <c r="C921" t="s">
        <v>263</v>
      </c>
      <c r="D921" t="s">
        <v>250</v>
      </c>
      <c r="E921" t="s">
        <v>9</v>
      </c>
      <c r="F921" t="s">
        <v>15</v>
      </c>
    </row>
    <row r="922" spans="1:7" x14ac:dyDescent="0.2">
      <c r="A922" t="s">
        <v>273</v>
      </c>
      <c r="B922" s="2">
        <v>0.87</v>
      </c>
      <c r="C922" t="s">
        <v>263</v>
      </c>
      <c r="D922" t="s">
        <v>250</v>
      </c>
      <c r="E922" t="s">
        <v>9</v>
      </c>
      <c r="F922" t="s">
        <v>17</v>
      </c>
    </row>
    <row r="923" spans="1:7" x14ac:dyDescent="0.2">
      <c r="A923" t="s">
        <v>133</v>
      </c>
      <c r="B923" s="2">
        <v>0.28000000000000003</v>
      </c>
      <c r="C923" t="s">
        <v>265</v>
      </c>
      <c r="D923" t="s">
        <v>5</v>
      </c>
      <c r="E923" t="s">
        <v>9</v>
      </c>
      <c r="F923" t="s">
        <v>17</v>
      </c>
      <c r="G923" t="s">
        <v>134</v>
      </c>
    </row>
    <row r="924" spans="1:7" x14ac:dyDescent="0.2">
      <c r="A924" t="s">
        <v>129</v>
      </c>
      <c r="B924" s="2">
        <v>0.05</v>
      </c>
      <c r="C924" t="s">
        <v>265</v>
      </c>
      <c r="D924" t="s">
        <v>5</v>
      </c>
      <c r="E924" t="s">
        <v>9</v>
      </c>
      <c r="F924" t="s">
        <v>17</v>
      </c>
      <c r="G924" t="s">
        <v>130</v>
      </c>
    </row>
    <row r="925" spans="1:7" x14ac:dyDescent="0.2">
      <c r="A925" t="s">
        <v>131</v>
      </c>
      <c r="B925" s="2">
        <v>0.08</v>
      </c>
      <c r="C925" t="s">
        <v>265</v>
      </c>
      <c r="D925" t="s">
        <v>5</v>
      </c>
      <c r="E925" t="s">
        <v>9</v>
      </c>
      <c r="F925" t="s">
        <v>17</v>
      </c>
      <c r="G925" t="s">
        <v>132</v>
      </c>
    </row>
    <row r="927" spans="1:7" ht="16" x14ac:dyDescent="0.2">
      <c r="A927" s="1" t="s">
        <v>0</v>
      </c>
      <c r="B927" s="10" t="s">
        <v>254</v>
      </c>
    </row>
    <row r="928" spans="1:7" x14ac:dyDescent="0.2">
      <c r="A928" t="s">
        <v>2</v>
      </c>
      <c r="B928" s="2" t="s">
        <v>3</v>
      </c>
    </row>
    <row r="929" spans="1:7" x14ac:dyDescent="0.2">
      <c r="A929" t="s">
        <v>4</v>
      </c>
      <c r="B929" s="2" t="s">
        <v>250</v>
      </c>
    </row>
    <row r="930" spans="1:7" x14ac:dyDescent="0.2">
      <c r="A930" t="s">
        <v>6</v>
      </c>
      <c r="B930" s="2">
        <v>1</v>
      </c>
    </row>
    <row r="931" spans="1:7" x14ac:dyDescent="0.2">
      <c r="A931" t="s">
        <v>7</v>
      </c>
      <c r="B931" s="2" t="s">
        <v>254</v>
      </c>
    </row>
    <row r="932" spans="1:7" x14ac:dyDescent="0.2">
      <c r="A932" t="s">
        <v>8</v>
      </c>
      <c r="B932" s="2" t="s">
        <v>9</v>
      </c>
    </row>
    <row r="933" spans="1:7" x14ac:dyDescent="0.2">
      <c r="A933" t="s">
        <v>261</v>
      </c>
      <c r="B933" s="2" t="s">
        <v>262</v>
      </c>
    </row>
    <row r="934" spans="1:7" ht="16" x14ac:dyDescent="0.2">
      <c r="A934" s="1" t="s">
        <v>11</v>
      </c>
    </row>
    <row r="935" spans="1:7" x14ac:dyDescent="0.2">
      <c r="A935" t="s">
        <v>12</v>
      </c>
      <c r="B935" s="2" t="s">
        <v>13</v>
      </c>
      <c r="C935" t="s">
        <v>246</v>
      </c>
      <c r="D935" t="s">
        <v>4</v>
      </c>
      <c r="E935" t="s">
        <v>8</v>
      </c>
      <c r="F935" t="s">
        <v>14</v>
      </c>
      <c r="G935" t="s">
        <v>7</v>
      </c>
    </row>
    <row r="936" spans="1:7" x14ac:dyDescent="0.2">
      <c r="A936" t="s">
        <v>254</v>
      </c>
      <c r="B936" s="2">
        <v>1</v>
      </c>
      <c r="C936" t="s">
        <v>263</v>
      </c>
      <c r="D936" t="s">
        <v>250</v>
      </c>
      <c r="E936" t="s">
        <v>9</v>
      </c>
      <c r="F936" t="s">
        <v>15</v>
      </c>
    </row>
    <row r="937" spans="1:7" x14ac:dyDescent="0.2">
      <c r="A937" t="s">
        <v>177</v>
      </c>
      <c r="B937" s="2">
        <v>0.89400000000000002</v>
      </c>
      <c r="C937" t="s">
        <v>265</v>
      </c>
      <c r="D937" t="s">
        <v>5</v>
      </c>
      <c r="E937" t="s">
        <v>9</v>
      </c>
      <c r="F937" t="s">
        <v>17</v>
      </c>
      <c r="G937" t="s">
        <v>178</v>
      </c>
    </row>
    <row r="938" spans="1:7" x14ac:dyDescent="0.2">
      <c r="A938" t="s">
        <v>179</v>
      </c>
      <c r="B938" s="2">
        <v>0.106</v>
      </c>
      <c r="C938" t="s">
        <v>265</v>
      </c>
      <c r="D938" t="s">
        <v>5</v>
      </c>
      <c r="E938" t="s">
        <v>9</v>
      </c>
      <c r="F938" t="s">
        <v>17</v>
      </c>
      <c r="G938" t="s">
        <v>180</v>
      </c>
    </row>
    <row r="940" spans="1:7" ht="16" x14ac:dyDescent="0.2">
      <c r="A940" s="1" t="s">
        <v>0</v>
      </c>
      <c r="B940" s="10" t="s">
        <v>274</v>
      </c>
    </row>
    <row r="941" spans="1:7" x14ac:dyDescent="0.2">
      <c r="A941" t="s">
        <v>2</v>
      </c>
      <c r="B941" s="2" t="s">
        <v>3</v>
      </c>
    </row>
    <row r="942" spans="1:7" x14ac:dyDescent="0.2">
      <c r="A942" t="s">
        <v>4</v>
      </c>
      <c r="B942" s="2" t="s">
        <v>250</v>
      </c>
    </row>
    <row r="943" spans="1:7" x14ac:dyDescent="0.2">
      <c r="A943" t="s">
        <v>6</v>
      </c>
      <c r="B943" s="2">
        <v>1</v>
      </c>
    </row>
    <row r="944" spans="1:7" x14ac:dyDescent="0.2">
      <c r="A944" t="s">
        <v>7</v>
      </c>
      <c r="B944" s="2" t="s">
        <v>274</v>
      </c>
    </row>
    <row r="945" spans="1:7" x14ac:dyDescent="0.2">
      <c r="A945" t="s">
        <v>8</v>
      </c>
      <c r="B945" s="2" t="s">
        <v>9</v>
      </c>
    </row>
    <row r="946" spans="1:7" x14ac:dyDescent="0.2">
      <c r="A946" t="s">
        <v>261</v>
      </c>
      <c r="B946" s="2" t="s">
        <v>262</v>
      </c>
    </row>
    <row r="947" spans="1:7" ht="16" x14ac:dyDescent="0.2">
      <c r="A947" s="1" t="s">
        <v>11</v>
      </c>
    </row>
    <row r="948" spans="1:7" x14ac:dyDescent="0.2">
      <c r="A948" t="s">
        <v>12</v>
      </c>
      <c r="B948" s="2" t="s">
        <v>13</v>
      </c>
      <c r="C948" t="s">
        <v>246</v>
      </c>
      <c r="D948" t="s">
        <v>4</v>
      </c>
      <c r="E948" t="s">
        <v>8</v>
      </c>
      <c r="F948" t="s">
        <v>14</v>
      </c>
      <c r="G948" t="s">
        <v>7</v>
      </c>
    </row>
    <row r="949" spans="1:7" x14ac:dyDescent="0.2">
      <c r="A949" t="s">
        <v>274</v>
      </c>
      <c r="B949" s="2">
        <v>1</v>
      </c>
      <c r="C949" t="s">
        <v>263</v>
      </c>
      <c r="D949" t="s">
        <v>250</v>
      </c>
      <c r="E949" t="s">
        <v>9</v>
      </c>
      <c r="F949" t="s">
        <v>15</v>
      </c>
    </row>
    <row r="950" spans="1:7" x14ac:dyDescent="0.2">
      <c r="A950" t="s">
        <v>64</v>
      </c>
      <c r="B950" s="2">
        <v>1</v>
      </c>
      <c r="C950" t="s">
        <v>265</v>
      </c>
      <c r="D950" t="s">
        <v>5</v>
      </c>
      <c r="E950" t="s">
        <v>9</v>
      </c>
      <c r="F950" t="s">
        <v>17</v>
      </c>
      <c r="G950" t="s">
        <v>65</v>
      </c>
    </row>
    <row r="951" spans="1:7" x14ac:dyDescent="0.2">
      <c r="A951" t="s">
        <v>275</v>
      </c>
      <c r="B951" s="2">
        <v>0.5</v>
      </c>
      <c r="C951" t="s">
        <v>265</v>
      </c>
      <c r="D951" t="s">
        <v>5</v>
      </c>
      <c r="E951" t="s">
        <v>9</v>
      </c>
      <c r="F951" t="s">
        <v>17</v>
      </c>
      <c r="G951" t="s">
        <v>276</v>
      </c>
    </row>
    <row r="952" spans="1:7" x14ac:dyDescent="0.2">
      <c r="A952" t="s">
        <v>124</v>
      </c>
      <c r="B952" s="2">
        <v>0.5</v>
      </c>
      <c r="C952" t="s">
        <v>265</v>
      </c>
      <c r="D952" t="s">
        <v>5</v>
      </c>
      <c r="E952" t="s">
        <v>9</v>
      </c>
      <c r="F952" t="s">
        <v>17</v>
      </c>
      <c r="G952" t="s">
        <v>125</v>
      </c>
    </row>
    <row r="954" spans="1:7" ht="16" x14ac:dyDescent="0.2">
      <c r="A954" s="1" t="s">
        <v>0</v>
      </c>
      <c r="B954" s="10" t="s">
        <v>253</v>
      </c>
    </row>
    <row r="955" spans="1:7" x14ac:dyDescent="0.2">
      <c r="A955" t="s">
        <v>2</v>
      </c>
      <c r="B955" s="2" t="s">
        <v>3</v>
      </c>
    </row>
    <row r="956" spans="1:7" x14ac:dyDescent="0.2">
      <c r="A956" t="s">
        <v>4</v>
      </c>
      <c r="B956" s="2" t="s">
        <v>250</v>
      </c>
    </row>
    <row r="957" spans="1:7" x14ac:dyDescent="0.2">
      <c r="A957" t="s">
        <v>6</v>
      </c>
      <c r="B957" s="2">
        <v>1</v>
      </c>
    </row>
    <row r="958" spans="1:7" x14ac:dyDescent="0.2">
      <c r="A958" t="s">
        <v>7</v>
      </c>
      <c r="B958" s="2" t="s">
        <v>253</v>
      </c>
    </row>
    <row r="959" spans="1:7" x14ac:dyDescent="0.2">
      <c r="A959" t="s">
        <v>8</v>
      </c>
      <c r="B959" s="2" t="s">
        <v>9</v>
      </c>
    </row>
    <row r="960" spans="1:7" x14ac:dyDescent="0.2">
      <c r="A960" t="s">
        <v>261</v>
      </c>
      <c r="B960" s="2" t="s">
        <v>262</v>
      </c>
    </row>
    <row r="961" spans="1:8" ht="16" x14ac:dyDescent="0.2">
      <c r="A961" s="1" t="s">
        <v>11</v>
      </c>
    </row>
    <row r="962" spans="1:8" x14ac:dyDescent="0.2">
      <c r="A962" t="s">
        <v>12</v>
      </c>
      <c r="B962" s="2" t="s">
        <v>13</v>
      </c>
      <c r="C962" t="s">
        <v>246</v>
      </c>
      <c r="D962" t="s">
        <v>4</v>
      </c>
      <c r="E962" t="s">
        <v>8</v>
      </c>
      <c r="F962" t="s">
        <v>14</v>
      </c>
      <c r="G962" t="s">
        <v>7</v>
      </c>
    </row>
    <row r="963" spans="1:8" x14ac:dyDescent="0.2">
      <c r="A963" t="s">
        <v>253</v>
      </c>
      <c r="B963" s="2">
        <v>1</v>
      </c>
      <c r="C963" t="s">
        <v>263</v>
      </c>
      <c r="D963" t="s">
        <v>250</v>
      </c>
      <c r="E963" t="s">
        <v>9</v>
      </c>
      <c r="F963" t="s">
        <v>15</v>
      </c>
    </row>
    <row r="964" spans="1:8" x14ac:dyDescent="0.2">
      <c r="A964" t="s">
        <v>42</v>
      </c>
      <c r="B964" s="2">
        <v>1</v>
      </c>
      <c r="C964" t="s">
        <v>265</v>
      </c>
      <c r="D964" t="s">
        <v>5</v>
      </c>
      <c r="E964" t="s">
        <v>9</v>
      </c>
      <c r="F964" t="s">
        <v>17</v>
      </c>
      <c r="G964" t="s">
        <v>43</v>
      </c>
    </row>
    <row r="965" spans="1:8" x14ac:dyDescent="0.2">
      <c r="A965" t="s">
        <v>44</v>
      </c>
      <c r="B965" s="2">
        <v>1</v>
      </c>
      <c r="C965" t="s">
        <v>265</v>
      </c>
      <c r="D965" t="s">
        <v>5</v>
      </c>
      <c r="E965" t="s">
        <v>9</v>
      </c>
      <c r="F965" t="s">
        <v>17</v>
      </c>
      <c r="G965" t="s">
        <v>45</v>
      </c>
    </row>
    <row r="967" spans="1:8" ht="16" x14ac:dyDescent="0.2">
      <c r="A967" s="1" t="s">
        <v>0</v>
      </c>
      <c r="B967" s="10" t="s">
        <v>273</v>
      </c>
    </row>
    <row r="968" spans="1:8" x14ac:dyDescent="0.2">
      <c r="A968" t="s">
        <v>2</v>
      </c>
      <c r="B968" s="2" t="s">
        <v>3</v>
      </c>
    </row>
    <row r="969" spans="1:8" x14ac:dyDescent="0.2">
      <c r="A969" t="s">
        <v>4</v>
      </c>
      <c r="B969" s="2" t="s">
        <v>250</v>
      </c>
    </row>
    <row r="970" spans="1:8" x14ac:dyDescent="0.2">
      <c r="A970" t="s">
        <v>6</v>
      </c>
      <c r="B970" s="2">
        <v>1</v>
      </c>
    </row>
    <row r="971" spans="1:8" x14ac:dyDescent="0.2">
      <c r="A971" t="s">
        <v>7</v>
      </c>
      <c r="B971" s="2" t="s">
        <v>273</v>
      </c>
    </row>
    <row r="972" spans="1:8" x14ac:dyDescent="0.2">
      <c r="A972" t="s">
        <v>8</v>
      </c>
      <c r="B972" s="2" t="s">
        <v>9</v>
      </c>
    </row>
    <row r="973" spans="1:8" x14ac:dyDescent="0.2">
      <c r="A973" t="s">
        <v>261</v>
      </c>
      <c r="B973" s="2" t="s">
        <v>262</v>
      </c>
    </row>
    <row r="974" spans="1:8" ht="16" x14ac:dyDescent="0.2">
      <c r="A974" s="1" t="s">
        <v>11</v>
      </c>
    </row>
    <row r="975" spans="1:8" x14ac:dyDescent="0.2">
      <c r="A975" t="s">
        <v>12</v>
      </c>
      <c r="B975" s="2" t="s">
        <v>13</v>
      </c>
      <c r="C975" t="s">
        <v>246</v>
      </c>
      <c r="D975" t="s">
        <v>4</v>
      </c>
      <c r="E975" t="s">
        <v>8</v>
      </c>
      <c r="F975" t="s">
        <v>136</v>
      </c>
      <c r="G975" t="s">
        <v>14</v>
      </c>
      <c r="H975" t="s">
        <v>7</v>
      </c>
    </row>
    <row r="976" spans="1:8" x14ac:dyDescent="0.2">
      <c r="A976" t="s">
        <v>277</v>
      </c>
      <c r="B976" s="2">
        <v>1.5</v>
      </c>
      <c r="C976" t="s">
        <v>278</v>
      </c>
      <c r="E976" t="s">
        <v>116</v>
      </c>
      <c r="F976" t="s">
        <v>143</v>
      </c>
      <c r="G976" t="s">
        <v>144</v>
      </c>
    </row>
    <row r="977" spans="1:8" x14ac:dyDescent="0.2">
      <c r="A977" t="s">
        <v>279</v>
      </c>
      <c r="B977" s="2">
        <v>1.9E-2</v>
      </c>
      <c r="C977" t="s">
        <v>278</v>
      </c>
      <c r="E977" t="s">
        <v>9</v>
      </c>
      <c r="F977" t="s">
        <v>218</v>
      </c>
      <c r="G977" t="s">
        <v>144</v>
      </c>
    </row>
    <row r="978" spans="1:8" x14ac:dyDescent="0.2">
      <c r="A978" t="s">
        <v>280</v>
      </c>
      <c r="B978" s="2">
        <v>0.1</v>
      </c>
      <c r="C978" t="s">
        <v>278</v>
      </c>
      <c r="E978" t="s">
        <v>9</v>
      </c>
      <c r="F978" t="s">
        <v>218</v>
      </c>
      <c r="G978" t="s">
        <v>144</v>
      </c>
    </row>
    <row r="979" spans="1:8" x14ac:dyDescent="0.2">
      <c r="A979" t="s">
        <v>281</v>
      </c>
      <c r="B979" s="2">
        <v>3.2000000000000001E-2</v>
      </c>
      <c r="C979" t="s">
        <v>278</v>
      </c>
      <c r="E979" t="s">
        <v>9</v>
      </c>
      <c r="F979" t="s">
        <v>218</v>
      </c>
      <c r="G979" t="s">
        <v>144</v>
      </c>
    </row>
    <row r="980" spans="1:8" x14ac:dyDescent="0.2">
      <c r="A980" t="s">
        <v>273</v>
      </c>
      <c r="B980" s="2">
        <v>1</v>
      </c>
      <c r="C980" t="s">
        <v>263</v>
      </c>
      <c r="D980" t="s">
        <v>250</v>
      </c>
      <c r="E980" t="s">
        <v>9</v>
      </c>
      <c r="G980" t="s">
        <v>15</v>
      </c>
    </row>
    <row r="981" spans="1:8" x14ac:dyDescent="0.2">
      <c r="A981" t="s">
        <v>126</v>
      </c>
      <c r="B981" s="2">
        <v>4.0000000000000001E-10</v>
      </c>
      <c r="C981" t="s">
        <v>265</v>
      </c>
      <c r="D981" t="s">
        <v>5</v>
      </c>
      <c r="E981" t="s">
        <v>8</v>
      </c>
      <c r="G981" t="s">
        <v>17</v>
      </c>
      <c r="H981" t="s">
        <v>127</v>
      </c>
    </row>
    <row r="982" spans="1:8" x14ac:dyDescent="0.2">
      <c r="A982" t="s">
        <v>282</v>
      </c>
      <c r="B982" s="2">
        <v>15</v>
      </c>
      <c r="C982" t="s">
        <v>265</v>
      </c>
      <c r="D982" t="s">
        <v>28</v>
      </c>
      <c r="E982" t="s">
        <v>116</v>
      </c>
      <c r="G982" t="s">
        <v>17</v>
      </c>
      <c r="H982" t="s">
        <v>283</v>
      </c>
    </row>
    <row r="983" spans="1:8" x14ac:dyDescent="0.2">
      <c r="A983" t="s">
        <v>284</v>
      </c>
      <c r="B983" s="2">
        <v>1</v>
      </c>
      <c r="C983" t="s">
        <v>265</v>
      </c>
      <c r="D983" t="s">
        <v>28</v>
      </c>
      <c r="E983" t="s">
        <v>9</v>
      </c>
      <c r="G983" t="s">
        <v>17</v>
      </c>
      <c r="H983" t="s">
        <v>285</v>
      </c>
    </row>
    <row r="984" spans="1:8" x14ac:dyDescent="0.2">
      <c r="A984" t="s">
        <v>205</v>
      </c>
      <c r="B984" s="2">
        <v>0.46</v>
      </c>
      <c r="C984" t="s">
        <v>265</v>
      </c>
      <c r="D984" t="s">
        <v>5</v>
      </c>
      <c r="E984" t="s">
        <v>9</v>
      </c>
      <c r="G984" t="s">
        <v>17</v>
      </c>
      <c r="H984" t="s">
        <v>206</v>
      </c>
    </row>
    <row r="985" spans="1:8" x14ac:dyDescent="0.2">
      <c r="A985" t="s">
        <v>286</v>
      </c>
      <c r="B985" s="2">
        <v>0.65</v>
      </c>
      <c r="C985" t="s">
        <v>265</v>
      </c>
      <c r="D985" t="s">
        <v>5</v>
      </c>
      <c r="E985" t="s">
        <v>9</v>
      </c>
      <c r="G985" t="s">
        <v>17</v>
      </c>
      <c r="H985" t="s">
        <v>287</v>
      </c>
    </row>
    <row r="986" spans="1:8" x14ac:dyDescent="0.2">
      <c r="A986" t="s">
        <v>166</v>
      </c>
      <c r="B986" s="2">
        <v>46</v>
      </c>
      <c r="C986" t="s">
        <v>265</v>
      </c>
      <c r="D986" t="s">
        <v>28</v>
      </c>
      <c r="E986" t="s">
        <v>9</v>
      </c>
      <c r="G986" t="s">
        <v>17</v>
      </c>
      <c r="H986" t="s">
        <v>167</v>
      </c>
    </row>
    <row r="988" spans="1:8" ht="16" x14ac:dyDescent="0.2">
      <c r="A988" s="1" t="s">
        <v>0</v>
      </c>
      <c r="B988" s="10" t="s">
        <v>255</v>
      </c>
    </row>
    <row r="989" spans="1:8" x14ac:dyDescent="0.2">
      <c r="A989" t="s">
        <v>2</v>
      </c>
      <c r="B989" s="2" t="s">
        <v>3</v>
      </c>
    </row>
    <row r="990" spans="1:8" x14ac:dyDescent="0.2">
      <c r="A990" t="s">
        <v>4</v>
      </c>
      <c r="B990" s="2" t="s">
        <v>5</v>
      </c>
    </row>
    <row r="991" spans="1:8" x14ac:dyDescent="0.2">
      <c r="A991" t="s">
        <v>6</v>
      </c>
      <c r="B991" s="2">
        <v>1</v>
      </c>
    </row>
    <row r="992" spans="1:8" x14ac:dyDescent="0.2">
      <c r="A992" t="s">
        <v>7</v>
      </c>
      <c r="B992" s="2" t="s">
        <v>255</v>
      </c>
    </row>
    <row r="993" spans="1:6" x14ac:dyDescent="0.2">
      <c r="A993" t="s">
        <v>8</v>
      </c>
      <c r="B993" s="2" t="s">
        <v>9</v>
      </c>
    </row>
    <row r="994" spans="1:6" x14ac:dyDescent="0.2">
      <c r="A994" t="s">
        <v>261</v>
      </c>
      <c r="B994" s="2" t="s">
        <v>248</v>
      </c>
    </row>
    <row r="995" spans="1:6" ht="16" x14ac:dyDescent="0.2">
      <c r="A995" s="1" t="s">
        <v>11</v>
      </c>
    </row>
    <row r="996" spans="1:6" x14ac:dyDescent="0.2">
      <c r="A996" t="s">
        <v>12</v>
      </c>
      <c r="B996" s="2" t="s">
        <v>13</v>
      </c>
      <c r="C996" t="s">
        <v>246</v>
      </c>
      <c r="D996" t="s">
        <v>4</v>
      </c>
      <c r="E996" t="s">
        <v>8</v>
      </c>
      <c r="F996" t="s">
        <v>14</v>
      </c>
    </row>
    <row r="997" spans="1:6" x14ac:dyDescent="0.2">
      <c r="A997" t="s">
        <v>255</v>
      </c>
      <c r="B997" s="2">
        <v>1</v>
      </c>
      <c r="C997" t="s">
        <v>248</v>
      </c>
      <c r="D997" t="s">
        <v>5</v>
      </c>
      <c r="E997" t="s">
        <v>9</v>
      </c>
      <c r="F997" t="s">
        <v>15</v>
      </c>
    </row>
    <row r="998" spans="1:6" x14ac:dyDescent="0.2">
      <c r="A998" t="s">
        <v>288</v>
      </c>
      <c r="B998" s="2">
        <v>0.4</v>
      </c>
      <c r="C998" t="s">
        <v>248</v>
      </c>
      <c r="D998" t="s">
        <v>5</v>
      </c>
      <c r="E998" t="s">
        <v>9</v>
      </c>
      <c r="F998" t="s">
        <v>17</v>
      </c>
    </row>
    <row r="999" spans="1:6" x14ac:dyDescent="0.2">
      <c r="A999" t="s">
        <v>289</v>
      </c>
      <c r="B999" s="2">
        <v>0.22</v>
      </c>
      <c r="C999" t="s">
        <v>248</v>
      </c>
      <c r="D999" t="s">
        <v>5</v>
      </c>
      <c r="E999" t="s">
        <v>9</v>
      </c>
      <c r="F999" t="s">
        <v>17</v>
      </c>
    </row>
    <row r="1000" spans="1:6" x14ac:dyDescent="0.2">
      <c r="A1000" t="s">
        <v>290</v>
      </c>
      <c r="B1000" s="2">
        <v>0.38</v>
      </c>
      <c r="C1000" t="s">
        <v>248</v>
      </c>
      <c r="D1000" t="s">
        <v>5</v>
      </c>
      <c r="E1000" t="s">
        <v>9</v>
      </c>
      <c r="F1000" t="s">
        <v>17</v>
      </c>
    </row>
    <row r="1002" spans="1:6" ht="16" x14ac:dyDescent="0.2">
      <c r="A1002" s="1" t="s">
        <v>0</v>
      </c>
      <c r="B1002" s="10" t="s">
        <v>288</v>
      </c>
    </row>
    <row r="1003" spans="1:6" x14ac:dyDescent="0.2">
      <c r="A1003" t="s">
        <v>2</v>
      </c>
      <c r="B1003" s="2" t="s">
        <v>3</v>
      </c>
    </row>
    <row r="1004" spans="1:6" x14ac:dyDescent="0.2">
      <c r="A1004" t="s">
        <v>4</v>
      </c>
      <c r="B1004" s="2" t="s">
        <v>5</v>
      </c>
    </row>
    <row r="1005" spans="1:6" x14ac:dyDescent="0.2">
      <c r="A1005" t="s">
        <v>6</v>
      </c>
      <c r="B1005" s="2">
        <v>1</v>
      </c>
    </row>
    <row r="1006" spans="1:6" x14ac:dyDescent="0.2">
      <c r="A1006" t="s">
        <v>7</v>
      </c>
      <c r="B1006" s="2" t="s">
        <v>288</v>
      </c>
    </row>
    <row r="1007" spans="1:6" x14ac:dyDescent="0.2">
      <c r="A1007" t="s">
        <v>8</v>
      </c>
      <c r="B1007" s="2" t="s">
        <v>9</v>
      </c>
    </row>
    <row r="1008" spans="1:6" x14ac:dyDescent="0.2">
      <c r="A1008" t="s">
        <v>261</v>
      </c>
      <c r="B1008" s="2" t="s">
        <v>248</v>
      </c>
    </row>
    <row r="1009" spans="1:8" ht="16" x14ac:dyDescent="0.2">
      <c r="A1009" s="1" t="s">
        <v>11</v>
      </c>
    </row>
    <row r="1010" spans="1:8" x14ac:dyDescent="0.2">
      <c r="A1010" t="s">
        <v>12</v>
      </c>
      <c r="B1010" s="2" t="s">
        <v>13</v>
      </c>
      <c r="C1010" t="s">
        <v>246</v>
      </c>
      <c r="D1010" t="s">
        <v>4</v>
      </c>
      <c r="E1010" t="s">
        <v>8</v>
      </c>
      <c r="F1010" t="s">
        <v>14</v>
      </c>
      <c r="G1010" t="s">
        <v>291</v>
      </c>
      <c r="H1010" t="s">
        <v>7</v>
      </c>
    </row>
    <row r="1011" spans="1:8" x14ac:dyDescent="0.2">
      <c r="A1011" t="s">
        <v>288</v>
      </c>
      <c r="B1011" s="2">
        <v>1</v>
      </c>
      <c r="C1011" t="s">
        <v>248</v>
      </c>
      <c r="D1011" t="s">
        <v>5</v>
      </c>
      <c r="E1011" t="s">
        <v>9</v>
      </c>
      <c r="F1011" t="s">
        <v>15</v>
      </c>
    </row>
    <row r="1012" spans="1:8" x14ac:dyDescent="0.2">
      <c r="A1012" t="s">
        <v>292</v>
      </c>
      <c r="B1012" s="2">
        <v>1</v>
      </c>
      <c r="C1012" t="s">
        <v>293</v>
      </c>
      <c r="D1012" t="s">
        <v>5</v>
      </c>
      <c r="E1012" t="s">
        <v>9</v>
      </c>
      <c r="F1012" t="s">
        <v>17</v>
      </c>
      <c r="H1012" t="s">
        <v>18</v>
      </c>
    </row>
    <row r="1013" spans="1:8" x14ac:dyDescent="0.2">
      <c r="A1013" t="s">
        <v>186</v>
      </c>
      <c r="B1013" s="2">
        <v>7.7000000000000006E-11</v>
      </c>
      <c r="C1013" t="s">
        <v>293</v>
      </c>
      <c r="D1013" t="s">
        <v>5</v>
      </c>
      <c r="E1013" t="s">
        <v>8</v>
      </c>
      <c r="F1013" t="s">
        <v>17</v>
      </c>
      <c r="H1013" t="s">
        <v>187</v>
      </c>
    </row>
    <row r="1014" spans="1:8" x14ac:dyDescent="0.2">
      <c r="A1014" t="s">
        <v>36</v>
      </c>
      <c r="B1014" s="2">
        <v>0.47</v>
      </c>
      <c r="C1014" t="s">
        <v>293</v>
      </c>
      <c r="D1014" t="s">
        <v>5</v>
      </c>
      <c r="E1014" t="s">
        <v>9</v>
      </c>
      <c r="F1014" t="s">
        <v>17</v>
      </c>
      <c r="H1014" t="s">
        <v>37</v>
      </c>
    </row>
    <row r="1015" spans="1:8" x14ac:dyDescent="0.2">
      <c r="A1015" t="s">
        <v>99</v>
      </c>
      <c r="B1015" s="2">
        <v>0.08</v>
      </c>
      <c r="C1015" t="s">
        <v>293</v>
      </c>
      <c r="D1015" t="s">
        <v>28</v>
      </c>
      <c r="E1015" t="s">
        <v>9</v>
      </c>
      <c r="F1015" t="s">
        <v>17</v>
      </c>
      <c r="H1015" t="s">
        <v>100</v>
      </c>
    </row>
    <row r="1016" spans="1:8" x14ac:dyDescent="0.2">
      <c r="A1016" t="s">
        <v>294</v>
      </c>
      <c r="B1016" s="2">
        <v>2.5000000000000001E-2</v>
      </c>
      <c r="C1016" t="s">
        <v>293</v>
      </c>
      <c r="D1016" t="s">
        <v>5</v>
      </c>
      <c r="E1016" t="s">
        <v>9</v>
      </c>
      <c r="F1016" t="s">
        <v>17</v>
      </c>
      <c r="H1016" t="s">
        <v>295</v>
      </c>
    </row>
    <row r="1017" spans="1:8" x14ac:dyDescent="0.2">
      <c r="A1017" t="s">
        <v>296</v>
      </c>
      <c r="B1017" s="2">
        <v>3.4999999999999998E-10</v>
      </c>
      <c r="C1017" t="s">
        <v>293</v>
      </c>
      <c r="D1017" t="s">
        <v>5</v>
      </c>
      <c r="E1017" t="s">
        <v>8</v>
      </c>
      <c r="F1017" t="s">
        <v>17</v>
      </c>
      <c r="H1017" t="s">
        <v>297</v>
      </c>
    </row>
    <row r="1018" spans="1:8" x14ac:dyDescent="0.2">
      <c r="A1018" t="s">
        <v>86</v>
      </c>
      <c r="B1018" s="2">
        <v>7.8E-2</v>
      </c>
      <c r="C1018" t="s">
        <v>293</v>
      </c>
      <c r="D1018" t="s">
        <v>5</v>
      </c>
      <c r="E1018" t="s">
        <v>9</v>
      </c>
      <c r="F1018" t="s">
        <v>17</v>
      </c>
      <c r="G1018" t="s">
        <v>298</v>
      </c>
      <c r="H1018" t="s">
        <v>87</v>
      </c>
    </row>
    <row r="1019" spans="1:8" x14ac:dyDescent="0.2">
      <c r="A1019" t="s">
        <v>124</v>
      </c>
      <c r="B1019" s="2">
        <v>0.32</v>
      </c>
      <c r="C1019" t="s">
        <v>293</v>
      </c>
      <c r="D1019" t="s">
        <v>5</v>
      </c>
      <c r="E1019" t="s">
        <v>9</v>
      </c>
      <c r="F1019" t="s">
        <v>17</v>
      </c>
      <c r="H1019" t="s">
        <v>125</v>
      </c>
    </row>
    <row r="1020" spans="1:8" x14ac:dyDescent="0.2">
      <c r="A1020" t="s">
        <v>40</v>
      </c>
      <c r="B1020" s="2">
        <v>0.5</v>
      </c>
      <c r="C1020" t="s">
        <v>293</v>
      </c>
      <c r="D1020" t="s">
        <v>5</v>
      </c>
      <c r="E1020" t="s">
        <v>9</v>
      </c>
      <c r="F1020" t="s">
        <v>17</v>
      </c>
      <c r="H1020" t="s">
        <v>41</v>
      </c>
    </row>
    <row r="1022" spans="1:8" ht="16" x14ac:dyDescent="0.2">
      <c r="A1022" s="1" t="s">
        <v>0</v>
      </c>
      <c r="B1022" s="10" t="s">
        <v>289</v>
      </c>
    </row>
    <row r="1023" spans="1:8" x14ac:dyDescent="0.2">
      <c r="A1023" t="s">
        <v>2</v>
      </c>
      <c r="B1023" s="2" t="s">
        <v>3</v>
      </c>
    </row>
    <row r="1024" spans="1:8" x14ac:dyDescent="0.2">
      <c r="A1024" t="s">
        <v>4</v>
      </c>
      <c r="B1024" s="2" t="s">
        <v>5</v>
      </c>
    </row>
    <row r="1025" spans="1:7" x14ac:dyDescent="0.2">
      <c r="A1025" t="s">
        <v>6</v>
      </c>
      <c r="B1025" s="2">
        <v>1</v>
      </c>
    </row>
    <row r="1026" spans="1:7" x14ac:dyDescent="0.2">
      <c r="A1026" t="s">
        <v>7</v>
      </c>
      <c r="B1026" s="2" t="s">
        <v>289</v>
      </c>
    </row>
    <row r="1027" spans="1:7" x14ac:dyDescent="0.2">
      <c r="A1027" t="s">
        <v>8</v>
      </c>
      <c r="B1027" s="2" t="s">
        <v>9</v>
      </c>
    </row>
    <row r="1028" spans="1:7" x14ac:dyDescent="0.2">
      <c r="A1028" t="s">
        <v>261</v>
      </c>
      <c r="B1028" s="2" t="s">
        <v>248</v>
      </c>
    </row>
    <row r="1029" spans="1:7" ht="16" x14ac:dyDescent="0.2">
      <c r="A1029" s="1" t="s">
        <v>11</v>
      </c>
    </row>
    <row r="1030" spans="1:7" x14ac:dyDescent="0.2">
      <c r="A1030" t="s">
        <v>12</v>
      </c>
      <c r="B1030" s="2" t="s">
        <v>13</v>
      </c>
      <c r="C1030" t="s">
        <v>246</v>
      </c>
      <c r="D1030" t="s">
        <v>4</v>
      </c>
      <c r="E1030" t="s">
        <v>8</v>
      </c>
      <c r="F1030" t="s">
        <v>14</v>
      </c>
      <c r="G1030" t="s">
        <v>7</v>
      </c>
    </row>
    <row r="1031" spans="1:7" x14ac:dyDescent="0.2">
      <c r="A1031" t="s">
        <v>289</v>
      </c>
      <c r="B1031" s="2">
        <v>1</v>
      </c>
      <c r="C1031" t="s">
        <v>248</v>
      </c>
      <c r="D1031" t="s">
        <v>5</v>
      </c>
      <c r="E1031" t="s">
        <v>9</v>
      </c>
      <c r="F1031" t="s">
        <v>15</v>
      </c>
    </row>
    <row r="1032" spans="1:7" x14ac:dyDescent="0.2">
      <c r="A1032" t="s">
        <v>292</v>
      </c>
      <c r="B1032" s="2">
        <v>1</v>
      </c>
      <c r="C1032" t="s">
        <v>293</v>
      </c>
      <c r="D1032" t="s">
        <v>5</v>
      </c>
      <c r="E1032" t="s">
        <v>9</v>
      </c>
      <c r="F1032" t="s">
        <v>17</v>
      </c>
      <c r="G1032" t="s">
        <v>18</v>
      </c>
    </row>
    <row r="1033" spans="1:7" x14ac:dyDescent="0.2">
      <c r="A1033" t="s">
        <v>186</v>
      </c>
      <c r="B1033" s="2">
        <v>1.5E-10</v>
      </c>
      <c r="C1033" t="s">
        <v>293</v>
      </c>
      <c r="D1033" t="s">
        <v>5</v>
      </c>
      <c r="E1033" t="s">
        <v>8</v>
      </c>
      <c r="F1033" t="s">
        <v>17</v>
      </c>
      <c r="G1033" t="s">
        <v>187</v>
      </c>
    </row>
    <row r="1034" spans="1:7" x14ac:dyDescent="0.2">
      <c r="A1034" t="s">
        <v>40</v>
      </c>
      <c r="B1034" s="2">
        <v>1</v>
      </c>
      <c r="C1034" t="s">
        <v>293</v>
      </c>
      <c r="D1034" t="s">
        <v>5</v>
      </c>
      <c r="E1034" t="s">
        <v>9</v>
      </c>
      <c r="F1034" t="s">
        <v>17</v>
      </c>
      <c r="G1034" t="s">
        <v>41</v>
      </c>
    </row>
    <row r="1036" spans="1:7" ht="16" x14ac:dyDescent="0.2">
      <c r="A1036" s="1" t="s">
        <v>0</v>
      </c>
      <c r="B1036" s="10" t="s">
        <v>290</v>
      </c>
    </row>
    <row r="1037" spans="1:7" x14ac:dyDescent="0.2">
      <c r="A1037" t="s">
        <v>2</v>
      </c>
      <c r="B1037" s="2" t="s">
        <v>3</v>
      </c>
    </row>
    <row r="1038" spans="1:7" x14ac:dyDescent="0.2">
      <c r="A1038" t="s">
        <v>4</v>
      </c>
      <c r="B1038" s="2" t="s">
        <v>5</v>
      </c>
    </row>
    <row r="1039" spans="1:7" x14ac:dyDescent="0.2">
      <c r="A1039" t="s">
        <v>6</v>
      </c>
      <c r="B1039" s="2">
        <v>1</v>
      </c>
    </row>
    <row r="1040" spans="1:7" x14ac:dyDescent="0.2">
      <c r="A1040" t="s">
        <v>7</v>
      </c>
      <c r="B1040" s="2" t="s">
        <v>290</v>
      </c>
    </row>
    <row r="1041" spans="1:7" x14ac:dyDescent="0.2">
      <c r="A1041" t="s">
        <v>8</v>
      </c>
      <c r="B1041" s="2" t="s">
        <v>9</v>
      </c>
    </row>
    <row r="1042" spans="1:7" x14ac:dyDescent="0.2">
      <c r="A1042" t="s">
        <v>261</v>
      </c>
      <c r="B1042" s="2" t="s">
        <v>248</v>
      </c>
    </row>
    <row r="1043" spans="1:7" ht="16" x14ac:dyDescent="0.2">
      <c r="A1043" s="1" t="s">
        <v>11</v>
      </c>
    </row>
    <row r="1044" spans="1:7" x14ac:dyDescent="0.2">
      <c r="A1044" t="s">
        <v>12</v>
      </c>
      <c r="B1044" s="2" t="s">
        <v>13</v>
      </c>
      <c r="C1044" t="s">
        <v>246</v>
      </c>
      <c r="D1044" t="s">
        <v>4</v>
      </c>
      <c r="E1044" t="s">
        <v>8</v>
      </c>
      <c r="F1044" t="s">
        <v>14</v>
      </c>
      <c r="G1044" t="s">
        <v>7</v>
      </c>
    </row>
    <row r="1045" spans="1:7" x14ac:dyDescent="0.2">
      <c r="A1045" t="s">
        <v>290</v>
      </c>
      <c r="B1045" s="2">
        <v>1</v>
      </c>
      <c r="C1045" t="s">
        <v>248</v>
      </c>
      <c r="D1045" t="s">
        <v>5</v>
      </c>
      <c r="E1045" t="s">
        <v>9</v>
      </c>
      <c r="F1045" t="s">
        <v>15</v>
      </c>
    </row>
    <row r="1046" spans="1:7" x14ac:dyDescent="0.2">
      <c r="A1046" t="s">
        <v>42</v>
      </c>
      <c r="B1046" s="2">
        <v>1</v>
      </c>
      <c r="C1046" t="s">
        <v>293</v>
      </c>
      <c r="D1046" t="s">
        <v>5</v>
      </c>
      <c r="E1046" t="s">
        <v>9</v>
      </c>
      <c r="F1046" t="s">
        <v>17</v>
      </c>
      <c r="G1046" t="s">
        <v>43</v>
      </c>
    </row>
    <row r="1047" spans="1:7" x14ac:dyDescent="0.2">
      <c r="A1047" t="s">
        <v>51</v>
      </c>
      <c r="B1047" s="2">
        <v>4.6000000000000001E-10</v>
      </c>
      <c r="C1047" t="s">
        <v>293</v>
      </c>
      <c r="D1047" t="s">
        <v>5</v>
      </c>
      <c r="E1047" t="s">
        <v>8</v>
      </c>
      <c r="F1047" t="s">
        <v>17</v>
      </c>
      <c r="G1047" t="s">
        <v>52</v>
      </c>
    </row>
    <row r="1048" spans="1:7" x14ac:dyDescent="0.2">
      <c r="A1048" t="s">
        <v>44</v>
      </c>
      <c r="B1048" s="2">
        <v>1</v>
      </c>
      <c r="C1048" t="s">
        <v>293</v>
      </c>
      <c r="D1048" t="s">
        <v>5</v>
      </c>
      <c r="E1048" t="s">
        <v>9</v>
      </c>
      <c r="F1048" t="s">
        <v>17</v>
      </c>
      <c r="G1048" t="s">
        <v>45</v>
      </c>
    </row>
    <row r="1050" spans="1:7" ht="16" x14ac:dyDescent="0.2">
      <c r="A1050" s="1" t="s">
        <v>0</v>
      </c>
      <c r="B1050" s="10" t="s">
        <v>267</v>
      </c>
    </row>
    <row r="1051" spans="1:7" x14ac:dyDescent="0.2">
      <c r="A1051" t="s">
        <v>4</v>
      </c>
      <c r="B1051" s="2" t="s">
        <v>97</v>
      </c>
    </row>
    <row r="1052" spans="1:7" x14ac:dyDescent="0.2">
      <c r="A1052" t="s">
        <v>6</v>
      </c>
      <c r="B1052" s="2">
        <v>1</v>
      </c>
    </row>
    <row r="1053" spans="1:7" x14ac:dyDescent="0.2">
      <c r="A1053" t="s">
        <v>7</v>
      </c>
      <c r="B1053" s="2" t="s">
        <v>269</v>
      </c>
    </row>
    <row r="1054" spans="1:7" x14ac:dyDescent="0.2">
      <c r="A1054" t="s">
        <v>14</v>
      </c>
      <c r="B1054" s="2" t="s">
        <v>299</v>
      </c>
    </row>
    <row r="1055" spans="1:7" x14ac:dyDescent="0.2">
      <c r="A1055" t="s">
        <v>8</v>
      </c>
      <c r="B1055" s="2" t="s">
        <v>9</v>
      </c>
    </row>
    <row r="1056" spans="1:7" ht="16" x14ac:dyDescent="0.2">
      <c r="A1056" s="1" t="s">
        <v>11</v>
      </c>
    </row>
    <row r="1057" spans="1:8" x14ac:dyDescent="0.2">
      <c r="A1057" t="s">
        <v>12</v>
      </c>
      <c r="B1057" s="2" t="s">
        <v>13</v>
      </c>
      <c r="C1057" t="s">
        <v>246</v>
      </c>
      <c r="D1057" t="s">
        <v>4</v>
      </c>
      <c r="E1057" t="s">
        <v>8</v>
      </c>
      <c r="F1057" t="s">
        <v>136</v>
      </c>
      <c r="G1057" t="s">
        <v>14</v>
      </c>
      <c r="H1057" t="s">
        <v>7</v>
      </c>
    </row>
    <row r="1058" spans="1:8" x14ac:dyDescent="0.2">
      <c r="A1058" t="s">
        <v>277</v>
      </c>
      <c r="B1058" s="2">
        <v>15.73</v>
      </c>
      <c r="C1058" t="s">
        <v>278</v>
      </c>
      <c r="E1058" t="s">
        <v>116</v>
      </c>
      <c r="F1058" t="s">
        <v>143</v>
      </c>
      <c r="G1058" t="s">
        <v>144</v>
      </c>
    </row>
    <row r="1059" spans="1:8" x14ac:dyDescent="0.2">
      <c r="A1059" t="s">
        <v>300</v>
      </c>
      <c r="B1059" s="2">
        <v>1.44E-2</v>
      </c>
      <c r="C1059" t="s">
        <v>278</v>
      </c>
      <c r="E1059" t="s">
        <v>9</v>
      </c>
      <c r="F1059" t="s">
        <v>143</v>
      </c>
      <c r="G1059" t="s">
        <v>144</v>
      </c>
    </row>
    <row r="1060" spans="1:8" x14ac:dyDescent="0.2">
      <c r="A1060" t="s">
        <v>161</v>
      </c>
      <c r="B1060" s="2">
        <v>0.25</v>
      </c>
      <c r="C1060" t="s">
        <v>278</v>
      </c>
      <c r="E1060" t="s">
        <v>146</v>
      </c>
      <c r="F1060" t="s">
        <v>162</v>
      </c>
      <c r="G1060" t="s">
        <v>144</v>
      </c>
    </row>
    <row r="1061" spans="1:8" x14ac:dyDescent="0.2">
      <c r="A1061" t="s">
        <v>267</v>
      </c>
      <c r="B1061" s="2">
        <v>1</v>
      </c>
      <c r="C1061" t="s">
        <v>268</v>
      </c>
      <c r="D1061" t="s">
        <v>97</v>
      </c>
      <c r="E1061" t="s">
        <v>9</v>
      </c>
      <c r="G1061" t="s">
        <v>15</v>
      </c>
      <c r="H1061" t="s">
        <v>267</v>
      </c>
    </row>
    <row r="1062" spans="1:8" x14ac:dyDescent="0.2">
      <c r="A1062" t="s">
        <v>301</v>
      </c>
      <c r="B1062" s="2">
        <v>0.752</v>
      </c>
      <c r="C1062" t="s">
        <v>265</v>
      </c>
      <c r="D1062" t="s">
        <v>97</v>
      </c>
      <c r="E1062" t="s">
        <v>9</v>
      </c>
      <c r="G1062" t="s">
        <v>17</v>
      </c>
      <c r="H1062" t="s">
        <v>302</v>
      </c>
    </row>
    <row r="1063" spans="1:8" x14ac:dyDescent="0.2">
      <c r="A1063" t="s">
        <v>303</v>
      </c>
      <c r="B1063" s="2">
        <v>0.01</v>
      </c>
      <c r="C1063" t="s">
        <v>265</v>
      </c>
      <c r="D1063" t="s">
        <v>5</v>
      </c>
      <c r="E1063" t="s">
        <v>9</v>
      </c>
      <c r="G1063" t="s">
        <v>17</v>
      </c>
      <c r="H1063" t="s">
        <v>304</v>
      </c>
    </row>
    <row r="1064" spans="1:8" x14ac:dyDescent="0.2">
      <c r="A1064" t="s">
        <v>305</v>
      </c>
      <c r="B1064" s="2">
        <v>2.7300000000000001E-2</v>
      </c>
      <c r="C1064" t="s">
        <v>265</v>
      </c>
      <c r="D1064" t="s">
        <v>5</v>
      </c>
      <c r="E1064" t="s">
        <v>9</v>
      </c>
      <c r="G1064" t="s">
        <v>17</v>
      </c>
      <c r="H1064" t="s">
        <v>306</v>
      </c>
    </row>
    <row r="1065" spans="1:8" x14ac:dyDescent="0.2">
      <c r="A1065" t="s">
        <v>307</v>
      </c>
      <c r="B1065" s="2">
        <v>5.0400000000000002E-3</v>
      </c>
      <c r="C1065" t="s">
        <v>265</v>
      </c>
      <c r="D1065" t="s">
        <v>5</v>
      </c>
      <c r="E1065" t="s">
        <v>9</v>
      </c>
      <c r="G1065" t="s">
        <v>17</v>
      </c>
      <c r="H1065" t="s">
        <v>308</v>
      </c>
    </row>
    <row r="1066" spans="1:8" x14ac:dyDescent="0.2">
      <c r="A1066" t="s">
        <v>309</v>
      </c>
      <c r="B1066" s="2">
        <v>0.251</v>
      </c>
      <c r="C1066" t="s">
        <v>265</v>
      </c>
      <c r="D1066" t="s">
        <v>5</v>
      </c>
      <c r="E1066" t="s">
        <v>9</v>
      </c>
      <c r="G1066" t="s">
        <v>17</v>
      </c>
      <c r="H1066" t="s">
        <v>310</v>
      </c>
    </row>
    <row r="1067" spans="1:8" x14ac:dyDescent="0.2">
      <c r="A1067" t="s">
        <v>166</v>
      </c>
      <c r="B1067" s="2">
        <v>1.8</v>
      </c>
      <c r="C1067" t="s">
        <v>265</v>
      </c>
      <c r="D1067" t="s">
        <v>28</v>
      </c>
      <c r="E1067" t="s">
        <v>9</v>
      </c>
      <c r="G1067" t="s">
        <v>17</v>
      </c>
      <c r="H1067" t="s">
        <v>167</v>
      </c>
    </row>
    <row r="1068" spans="1:8" x14ac:dyDescent="0.2">
      <c r="A1068" t="s">
        <v>46</v>
      </c>
      <c r="B1068" s="2">
        <v>0.55000000000000004</v>
      </c>
      <c r="C1068" t="s">
        <v>265</v>
      </c>
      <c r="D1068" t="s">
        <v>97</v>
      </c>
      <c r="E1068" t="s">
        <v>47</v>
      </c>
      <c r="G1068" t="s">
        <v>17</v>
      </c>
      <c r="H1068" t="s">
        <v>48</v>
      </c>
    </row>
    <row r="1069" spans="1:8" x14ac:dyDescent="0.2">
      <c r="A1069" t="s">
        <v>311</v>
      </c>
      <c r="B1069" s="2">
        <v>13.75</v>
      </c>
      <c r="C1069" t="s">
        <v>265</v>
      </c>
      <c r="D1069" t="s">
        <v>97</v>
      </c>
      <c r="E1069" t="s">
        <v>116</v>
      </c>
      <c r="G1069" t="s">
        <v>17</v>
      </c>
      <c r="H1069" t="s">
        <v>312</v>
      </c>
    </row>
    <row r="1070" spans="1:8" x14ac:dyDescent="0.2">
      <c r="A1070" t="s">
        <v>313</v>
      </c>
      <c r="B1070" s="2">
        <v>-1.8</v>
      </c>
      <c r="C1070" t="s">
        <v>265</v>
      </c>
      <c r="D1070" t="s">
        <v>28</v>
      </c>
      <c r="E1070" t="s">
        <v>146</v>
      </c>
      <c r="G1070" t="s">
        <v>17</v>
      </c>
      <c r="H1070" t="s">
        <v>314</v>
      </c>
    </row>
    <row r="1072" spans="1:8" ht="16" x14ac:dyDescent="0.2">
      <c r="A1072" s="1" t="s">
        <v>0</v>
      </c>
      <c r="B1072" s="10" t="s">
        <v>315</v>
      </c>
    </row>
    <row r="1073" spans="1:9" x14ac:dyDescent="0.2">
      <c r="A1073" t="s">
        <v>2</v>
      </c>
      <c r="B1073" s="2" t="s">
        <v>316</v>
      </c>
    </row>
    <row r="1074" spans="1:9" x14ac:dyDescent="0.2">
      <c r="A1074" t="s">
        <v>4</v>
      </c>
      <c r="B1074" s="2" t="s">
        <v>5</v>
      </c>
    </row>
    <row r="1075" spans="1:9" x14ac:dyDescent="0.2">
      <c r="A1075" t="s">
        <v>6</v>
      </c>
      <c r="B1075" s="2">
        <v>1</v>
      </c>
    </row>
    <row r="1076" spans="1:9" x14ac:dyDescent="0.2">
      <c r="A1076" t="s">
        <v>7</v>
      </c>
      <c r="B1076" s="2" t="s">
        <v>114</v>
      </c>
    </row>
    <row r="1077" spans="1:9" x14ac:dyDescent="0.2">
      <c r="A1077" t="s">
        <v>8</v>
      </c>
      <c r="B1077" s="2" t="s">
        <v>9</v>
      </c>
    </row>
    <row r="1078" spans="1:9" x14ac:dyDescent="0.2">
      <c r="A1078" t="s">
        <v>10</v>
      </c>
      <c r="B1078" s="2" t="s">
        <v>317</v>
      </c>
    </row>
    <row r="1079" spans="1:9" ht="16" x14ac:dyDescent="0.2">
      <c r="A1079" s="1" t="s">
        <v>11</v>
      </c>
    </row>
    <row r="1080" spans="1:9" x14ac:dyDescent="0.2">
      <c r="A1080" t="s">
        <v>12</v>
      </c>
      <c r="B1080" s="2" t="s">
        <v>13</v>
      </c>
      <c r="C1080" t="s">
        <v>8</v>
      </c>
      <c r="D1080" t="s">
        <v>246</v>
      </c>
      <c r="E1080" t="s">
        <v>136</v>
      </c>
      <c r="F1080" t="s">
        <v>4</v>
      </c>
      <c r="G1080" t="s">
        <v>14</v>
      </c>
      <c r="H1080" t="s">
        <v>247</v>
      </c>
      <c r="I1080" t="s">
        <v>7</v>
      </c>
    </row>
    <row r="1081" spans="1:9" ht="16" x14ac:dyDescent="0.2">
      <c r="A1081" s="7" t="s">
        <v>315</v>
      </c>
      <c r="B1081" s="2">
        <v>1</v>
      </c>
      <c r="C1081" t="s">
        <v>9</v>
      </c>
      <c r="D1081" t="s">
        <v>248</v>
      </c>
      <c r="F1081" t="s">
        <v>5</v>
      </c>
      <c r="G1081" t="s">
        <v>15</v>
      </c>
      <c r="I1081" t="s">
        <v>114</v>
      </c>
    </row>
    <row r="1082" spans="1:9" x14ac:dyDescent="0.2">
      <c r="A1082" t="s">
        <v>240</v>
      </c>
      <c r="B1082" s="13">
        <v>0.2518019267668084</v>
      </c>
      <c r="C1082" t="s">
        <v>9</v>
      </c>
      <c r="D1082" t="s">
        <v>248</v>
      </c>
      <c r="F1082" t="s">
        <v>5</v>
      </c>
      <c r="G1082" t="s">
        <v>17</v>
      </c>
      <c r="I1082" t="s">
        <v>240</v>
      </c>
    </row>
    <row r="1083" spans="1:9" x14ac:dyDescent="0.2">
      <c r="A1083" t="s">
        <v>318</v>
      </c>
      <c r="B1083" s="13">
        <v>0.35001598795342187</v>
      </c>
      <c r="C1083" t="s">
        <v>9</v>
      </c>
      <c r="D1083" t="s">
        <v>248</v>
      </c>
      <c r="F1083" t="s">
        <v>250</v>
      </c>
      <c r="G1083" t="s">
        <v>17</v>
      </c>
    </row>
    <row r="1084" spans="1:9" x14ac:dyDescent="0.2">
      <c r="A1084" t="s">
        <v>319</v>
      </c>
      <c r="B1084" s="13">
        <v>8.3314285714285674E-2</v>
      </c>
      <c r="C1084" t="s">
        <v>9</v>
      </c>
      <c r="D1084" t="s">
        <v>248</v>
      </c>
      <c r="F1084" t="s">
        <v>250</v>
      </c>
      <c r="G1084" t="s">
        <v>17</v>
      </c>
    </row>
    <row r="1085" spans="1:9" x14ac:dyDescent="0.2">
      <c r="A1085" t="s">
        <v>320</v>
      </c>
      <c r="B1085" s="13">
        <v>9.6767999999999937E-2</v>
      </c>
      <c r="C1085" t="s">
        <v>9</v>
      </c>
      <c r="D1085" t="s">
        <v>248</v>
      </c>
      <c r="F1085" t="s">
        <v>250</v>
      </c>
      <c r="G1085" t="s">
        <v>17</v>
      </c>
    </row>
    <row r="1086" spans="1:9" x14ac:dyDescent="0.2">
      <c r="A1086" t="s">
        <v>321</v>
      </c>
      <c r="B1086" s="13">
        <v>8.5714285714285743E-2</v>
      </c>
      <c r="C1086" t="s">
        <v>9</v>
      </c>
      <c r="D1086" t="s">
        <v>248</v>
      </c>
      <c r="F1086" t="s">
        <v>250</v>
      </c>
      <c r="G1086" t="s">
        <v>17</v>
      </c>
    </row>
    <row r="1087" spans="1:9" x14ac:dyDescent="0.2">
      <c r="A1087" t="s">
        <v>123</v>
      </c>
      <c r="B1087" s="13">
        <v>9.4811249781359991E-2</v>
      </c>
      <c r="C1087" t="s">
        <v>9</v>
      </c>
      <c r="D1087" t="s">
        <v>248</v>
      </c>
      <c r="F1087" t="s">
        <v>5</v>
      </c>
      <c r="G1087" t="s">
        <v>17</v>
      </c>
      <c r="I1087" t="s">
        <v>123</v>
      </c>
    </row>
    <row r="1088" spans="1:9" x14ac:dyDescent="0.2">
      <c r="A1088" t="s">
        <v>255</v>
      </c>
      <c r="B1088" s="13">
        <v>3.7574264069838326E-2</v>
      </c>
      <c r="C1088" t="s">
        <v>9</v>
      </c>
      <c r="D1088" t="s">
        <v>268</v>
      </c>
      <c r="F1088" t="s">
        <v>5</v>
      </c>
      <c r="G1088" t="s">
        <v>17</v>
      </c>
    </row>
    <row r="1089" spans="1:9" x14ac:dyDescent="0.2">
      <c r="A1089" t="s">
        <v>257</v>
      </c>
      <c r="B1089" s="13">
        <v>5.0076923076923077</v>
      </c>
      <c r="C1089" t="s">
        <v>9</v>
      </c>
      <c r="D1089" t="s">
        <v>259</v>
      </c>
      <c r="F1089" t="s">
        <v>28</v>
      </c>
      <c r="G1089" t="s">
        <v>17</v>
      </c>
      <c r="I1089" t="s">
        <v>258</v>
      </c>
    </row>
    <row r="1090" spans="1:9" x14ac:dyDescent="0.2">
      <c r="A1090" s="9" t="s">
        <v>46</v>
      </c>
      <c r="B1090" s="14">
        <v>3</v>
      </c>
      <c r="C1090" t="s">
        <v>47</v>
      </c>
      <c r="D1090" t="s">
        <v>259</v>
      </c>
      <c r="F1090" t="s">
        <v>5</v>
      </c>
      <c r="G1090" t="s">
        <v>17</v>
      </c>
      <c r="I1090" t="s">
        <v>48</v>
      </c>
    </row>
    <row r="1091" spans="1:9" x14ac:dyDescent="0.2">
      <c r="A1091" t="s">
        <v>115</v>
      </c>
      <c r="B1091" s="2">
        <v>10.8</v>
      </c>
      <c r="C1091" t="s">
        <v>116</v>
      </c>
      <c r="D1091" t="s">
        <v>259</v>
      </c>
      <c r="F1091" t="s">
        <v>28</v>
      </c>
      <c r="G1091" t="s">
        <v>17</v>
      </c>
      <c r="I1091" t="s">
        <v>117</v>
      </c>
    </row>
    <row r="1093" spans="1:9" ht="16" x14ac:dyDescent="0.2">
      <c r="A1093" s="1" t="s">
        <v>0</v>
      </c>
      <c r="B1093" s="10" t="s">
        <v>320</v>
      </c>
    </row>
    <row r="1094" spans="1:9" x14ac:dyDescent="0.2">
      <c r="A1094" t="s">
        <v>2</v>
      </c>
      <c r="B1094" s="2" t="s">
        <v>3</v>
      </c>
    </row>
    <row r="1095" spans="1:9" x14ac:dyDescent="0.2">
      <c r="A1095" t="s">
        <v>4</v>
      </c>
      <c r="B1095" s="2" t="s">
        <v>250</v>
      </c>
    </row>
    <row r="1096" spans="1:9" x14ac:dyDescent="0.2">
      <c r="A1096" t="s">
        <v>6</v>
      </c>
      <c r="B1096" s="2">
        <v>1</v>
      </c>
    </row>
    <row r="1097" spans="1:9" x14ac:dyDescent="0.2">
      <c r="A1097" t="s">
        <v>7</v>
      </c>
      <c r="B1097" s="2" t="s">
        <v>320</v>
      </c>
    </row>
    <row r="1098" spans="1:9" x14ac:dyDescent="0.2">
      <c r="A1098" t="s">
        <v>8</v>
      </c>
      <c r="B1098" s="2" t="s">
        <v>9</v>
      </c>
    </row>
    <row r="1099" spans="1:9" x14ac:dyDescent="0.2">
      <c r="A1099" t="s">
        <v>261</v>
      </c>
      <c r="B1099" s="2" t="s">
        <v>262</v>
      </c>
    </row>
    <row r="1100" spans="1:9" ht="16" x14ac:dyDescent="0.2">
      <c r="A1100" s="1" t="s">
        <v>11</v>
      </c>
    </row>
    <row r="1101" spans="1:9" x14ac:dyDescent="0.2">
      <c r="A1101" t="s">
        <v>12</v>
      </c>
      <c r="B1101" s="2" t="s">
        <v>13</v>
      </c>
      <c r="C1101" t="s">
        <v>246</v>
      </c>
      <c r="D1101" t="s">
        <v>4</v>
      </c>
      <c r="E1101" t="s">
        <v>8</v>
      </c>
      <c r="F1101" t="s">
        <v>14</v>
      </c>
      <c r="G1101" t="s">
        <v>7</v>
      </c>
    </row>
    <row r="1102" spans="1:9" x14ac:dyDescent="0.2">
      <c r="A1102" t="s">
        <v>320</v>
      </c>
      <c r="B1102" s="2">
        <v>1</v>
      </c>
      <c r="C1102" t="s">
        <v>248</v>
      </c>
      <c r="D1102" t="s">
        <v>250</v>
      </c>
      <c r="E1102" t="s">
        <v>9</v>
      </c>
      <c r="F1102" t="s">
        <v>15</v>
      </c>
    </row>
    <row r="1103" spans="1:9" x14ac:dyDescent="0.2">
      <c r="A1103" t="s">
        <v>42</v>
      </c>
      <c r="B1103" s="2">
        <v>1</v>
      </c>
      <c r="C1103" t="s">
        <v>265</v>
      </c>
      <c r="D1103" t="s">
        <v>5</v>
      </c>
      <c r="E1103" t="s">
        <v>9</v>
      </c>
      <c r="F1103" t="s">
        <v>17</v>
      </c>
      <c r="G1103" t="s">
        <v>43</v>
      </c>
    </row>
    <row r="1104" spans="1:9" x14ac:dyDescent="0.2">
      <c r="A1104" t="s">
        <v>44</v>
      </c>
      <c r="B1104" s="2">
        <v>1</v>
      </c>
      <c r="C1104" t="s">
        <v>265</v>
      </c>
      <c r="D1104" t="s">
        <v>5</v>
      </c>
      <c r="E1104" t="s">
        <v>9</v>
      </c>
      <c r="F1104" t="s">
        <v>17</v>
      </c>
      <c r="G1104" t="s">
        <v>45</v>
      </c>
    </row>
    <row r="1106" spans="1:7" ht="16" x14ac:dyDescent="0.2">
      <c r="A1106" s="1" t="s">
        <v>0</v>
      </c>
      <c r="B1106" s="10" t="s">
        <v>318</v>
      </c>
    </row>
    <row r="1107" spans="1:7" x14ac:dyDescent="0.2">
      <c r="A1107" t="s">
        <v>2</v>
      </c>
      <c r="B1107" s="2" t="s">
        <v>3</v>
      </c>
    </row>
    <row r="1108" spans="1:7" x14ac:dyDescent="0.2">
      <c r="A1108" t="s">
        <v>4</v>
      </c>
      <c r="B1108" s="2" t="s">
        <v>250</v>
      </c>
    </row>
    <row r="1109" spans="1:7" x14ac:dyDescent="0.2">
      <c r="A1109" t="s">
        <v>6</v>
      </c>
      <c r="B1109" s="2">
        <v>1</v>
      </c>
    </row>
    <row r="1110" spans="1:7" x14ac:dyDescent="0.2">
      <c r="A1110" t="s">
        <v>7</v>
      </c>
      <c r="B1110" s="2" t="s">
        <v>318</v>
      </c>
    </row>
    <row r="1111" spans="1:7" x14ac:dyDescent="0.2">
      <c r="A1111" t="s">
        <v>8</v>
      </c>
      <c r="B1111" s="2" t="s">
        <v>9</v>
      </c>
    </row>
    <row r="1112" spans="1:7" x14ac:dyDescent="0.2">
      <c r="A1112" t="s">
        <v>261</v>
      </c>
      <c r="B1112" s="2" t="s">
        <v>262</v>
      </c>
    </row>
    <row r="1113" spans="1:7" ht="16" x14ac:dyDescent="0.2">
      <c r="A1113" s="1" t="s">
        <v>11</v>
      </c>
    </row>
    <row r="1114" spans="1:7" x14ac:dyDescent="0.2">
      <c r="A1114" t="s">
        <v>12</v>
      </c>
      <c r="B1114" s="2" t="s">
        <v>13</v>
      </c>
      <c r="C1114" t="s">
        <v>246</v>
      </c>
      <c r="D1114" t="s">
        <v>4</v>
      </c>
      <c r="E1114" t="s">
        <v>8</v>
      </c>
      <c r="F1114" t="s">
        <v>14</v>
      </c>
      <c r="G1114" t="s">
        <v>7</v>
      </c>
    </row>
    <row r="1115" spans="1:7" x14ac:dyDescent="0.2">
      <c r="A1115" t="s">
        <v>318</v>
      </c>
      <c r="B1115" s="2">
        <v>1</v>
      </c>
      <c r="C1115" t="s">
        <v>248</v>
      </c>
      <c r="D1115" t="s">
        <v>250</v>
      </c>
      <c r="E1115" t="s">
        <v>9</v>
      </c>
      <c r="F1115" t="s">
        <v>15</v>
      </c>
    </row>
    <row r="1116" spans="1:7" x14ac:dyDescent="0.2">
      <c r="A1116" t="s">
        <v>322</v>
      </c>
      <c r="B1116" s="2">
        <v>0.80804607581879118</v>
      </c>
      <c r="C1116" t="s">
        <v>265</v>
      </c>
      <c r="D1116" t="s">
        <v>5</v>
      </c>
      <c r="E1116" t="s">
        <v>9</v>
      </c>
      <c r="F1116" t="s">
        <v>17</v>
      </c>
      <c r="G1116" t="s">
        <v>322</v>
      </c>
    </row>
    <row r="1117" spans="1:7" x14ac:dyDescent="0.2">
      <c r="A1117" t="s">
        <v>129</v>
      </c>
      <c r="B1117" s="2">
        <v>1.7192469698272154E-2</v>
      </c>
      <c r="C1117" t="s">
        <v>265</v>
      </c>
      <c r="D1117" t="s">
        <v>5</v>
      </c>
      <c r="E1117" t="s">
        <v>9</v>
      </c>
      <c r="F1117" t="s">
        <v>17</v>
      </c>
      <c r="G1117" t="s">
        <v>130</v>
      </c>
    </row>
    <row r="1118" spans="1:7" x14ac:dyDescent="0.2">
      <c r="A1118" t="s">
        <v>164</v>
      </c>
      <c r="B1118" s="2">
        <v>1.167177665071587E-2</v>
      </c>
      <c r="C1118" t="s">
        <v>265</v>
      </c>
      <c r="D1118" t="s">
        <v>5</v>
      </c>
      <c r="E1118" t="s">
        <v>9</v>
      </c>
      <c r="F1118" t="s">
        <v>17</v>
      </c>
      <c r="G1118" t="s">
        <v>165</v>
      </c>
    </row>
    <row r="1119" spans="1:7" x14ac:dyDescent="0.2">
      <c r="A1119" t="s">
        <v>264</v>
      </c>
      <c r="B1119" s="2">
        <v>1.7192469698272154E-2</v>
      </c>
      <c r="C1119" t="s">
        <v>265</v>
      </c>
      <c r="D1119" t="s">
        <v>5</v>
      </c>
      <c r="E1119" t="s">
        <v>9</v>
      </c>
      <c r="F1119" t="s">
        <v>17</v>
      </c>
      <c r="G1119" t="s">
        <v>266</v>
      </c>
    </row>
    <row r="1120" spans="1:7" x14ac:dyDescent="0.2">
      <c r="A1120" t="s">
        <v>131</v>
      </c>
      <c r="B1120" s="2">
        <v>8.9782897313199023E-2</v>
      </c>
      <c r="C1120" t="s">
        <v>265</v>
      </c>
      <c r="D1120" t="s">
        <v>5</v>
      </c>
      <c r="E1120" t="s">
        <v>9</v>
      </c>
      <c r="F1120" t="s">
        <v>17</v>
      </c>
      <c r="G1120" t="s">
        <v>132</v>
      </c>
    </row>
    <row r="1121" spans="1:7" x14ac:dyDescent="0.2">
      <c r="A1121" t="s">
        <v>267</v>
      </c>
      <c r="B1121" s="2">
        <v>5.6114310820749393E-2</v>
      </c>
      <c r="C1121" t="s">
        <v>265</v>
      </c>
      <c r="D1121" t="s">
        <v>97</v>
      </c>
      <c r="E1121" t="s">
        <v>9</v>
      </c>
      <c r="F1121" t="s">
        <v>17</v>
      </c>
      <c r="G1121" t="s">
        <v>269</v>
      </c>
    </row>
    <row r="1123" spans="1:7" ht="16" x14ac:dyDescent="0.2">
      <c r="A1123" s="1" t="s">
        <v>0</v>
      </c>
      <c r="B1123" s="10" t="s">
        <v>319</v>
      </c>
    </row>
    <row r="1124" spans="1:7" x14ac:dyDescent="0.2">
      <c r="A1124" t="s">
        <v>2</v>
      </c>
      <c r="B1124" s="2" t="s">
        <v>3</v>
      </c>
    </row>
    <row r="1125" spans="1:7" x14ac:dyDescent="0.2">
      <c r="A1125" t="s">
        <v>4</v>
      </c>
      <c r="B1125" s="2" t="s">
        <v>250</v>
      </c>
    </row>
    <row r="1126" spans="1:7" x14ac:dyDescent="0.2">
      <c r="A1126" t="s">
        <v>6</v>
      </c>
      <c r="B1126" s="2">
        <v>1</v>
      </c>
    </row>
    <row r="1127" spans="1:7" x14ac:dyDescent="0.2">
      <c r="A1127" t="s">
        <v>7</v>
      </c>
      <c r="B1127" s="2" t="s">
        <v>319</v>
      </c>
    </row>
    <row r="1128" spans="1:7" x14ac:dyDescent="0.2">
      <c r="A1128" t="s">
        <v>8</v>
      </c>
      <c r="B1128" s="2" t="s">
        <v>9</v>
      </c>
    </row>
    <row r="1129" spans="1:7" x14ac:dyDescent="0.2">
      <c r="A1129" t="s">
        <v>261</v>
      </c>
      <c r="B1129" s="2" t="s">
        <v>262</v>
      </c>
    </row>
    <row r="1130" spans="1:7" ht="16" x14ac:dyDescent="0.2">
      <c r="A1130" s="1" t="s">
        <v>11</v>
      </c>
    </row>
    <row r="1131" spans="1:7" x14ac:dyDescent="0.2">
      <c r="A1131" t="s">
        <v>12</v>
      </c>
      <c r="B1131" s="2" t="s">
        <v>13</v>
      </c>
      <c r="C1131" t="s">
        <v>246</v>
      </c>
      <c r="D1131" t="s">
        <v>4</v>
      </c>
      <c r="E1131" t="s">
        <v>8</v>
      </c>
      <c r="F1131" t="s">
        <v>14</v>
      </c>
      <c r="G1131" t="s">
        <v>7</v>
      </c>
    </row>
    <row r="1132" spans="1:7" x14ac:dyDescent="0.2">
      <c r="A1132" t="s">
        <v>319</v>
      </c>
      <c r="B1132" s="2">
        <v>1</v>
      </c>
      <c r="C1132" t="s">
        <v>248</v>
      </c>
      <c r="D1132" t="s">
        <v>250</v>
      </c>
      <c r="E1132" t="s">
        <v>9</v>
      </c>
      <c r="F1132" t="s">
        <v>15</v>
      </c>
    </row>
    <row r="1133" spans="1:7" x14ac:dyDescent="0.2">
      <c r="A1133" t="s">
        <v>270</v>
      </c>
      <c r="B1133" s="2">
        <v>1</v>
      </c>
      <c r="C1133" t="s">
        <v>265</v>
      </c>
      <c r="D1133" t="s">
        <v>271</v>
      </c>
      <c r="E1133" t="s">
        <v>9</v>
      </c>
      <c r="F1133" t="s">
        <v>17</v>
      </c>
      <c r="G1133" t="s">
        <v>272</v>
      </c>
    </row>
    <row r="1134" spans="1:7" x14ac:dyDescent="0.2">
      <c r="A1134" t="s">
        <v>40</v>
      </c>
      <c r="B1134" s="2">
        <v>1</v>
      </c>
      <c r="C1134" t="s">
        <v>265</v>
      </c>
      <c r="D1134" t="s">
        <v>5</v>
      </c>
      <c r="E1134" t="s">
        <v>9</v>
      </c>
      <c r="F1134" t="s">
        <v>17</v>
      </c>
      <c r="G1134" t="s">
        <v>41</v>
      </c>
    </row>
    <row r="1136" spans="1:7" ht="16" x14ac:dyDescent="0.2">
      <c r="A1136" s="1" t="s">
        <v>0</v>
      </c>
      <c r="B1136" s="10" t="s">
        <v>321</v>
      </c>
    </row>
    <row r="1137" spans="1:7" x14ac:dyDescent="0.2">
      <c r="A1137" t="s">
        <v>2</v>
      </c>
      <c r="B1137" s="2" t="s">
        <v>3</v>
      </c>
    </row>
    <row r="1138" spans="1:7" x14ac:dyDescent="0.2">
      <c r="A1138" t="s">
        <v>4</v>
      </c>
      <c r="B1138" s="2" t="s">
        <v>250</v>
      </c>
    </row>
    <row r="1139" spans="1:7" x14ac:dyDescent="0.2">
      <c r="A1139" t="s">
        <v>6</v>
      </c>
      <c r="B1139" s="2">
        <v>1</v>
      </c>
    </row>
    <row r="1140" spans="1:7" x14ac:dyDescent="0.2">
      <c r="A1140" t="s">
        <v>7</v>
      </c>
      <c r="B1140" s="2" t="s">
        <v>321</v>
      </c>
    </row>
    <row r="1141" spans="1:7" x14ac:dyDescent="0.2">
      <c r="A1141" t="s">
        <v>8</v>
      </c>
      <c r="B1141" s="2" t="s">
        <v>9</v>
      </c>
    </row>
    <row r="1142" spans="1:7" x14ac:dyDescent="0.2">
      <c r="A1142" t="s">
        <v>261</v>
      </c>
      <c r="B1142" s="2" t="s">
        <v>262</v>
      </c>
    </row>
    <row r="1143" spans="1:7" ht="16" x14ac:dyDescent="0.2">
      <c r="A1143" s="1" t="s">
        <v>11</v>
      </c>
    </row>
    <row r="1144" spans="1:7" x14ac:dyDescent="0.2">
      <c r="A1144" t="s">
        <v>12</v>
      </c>
      <c r="B1144" s="2" t="s">
        <v>13</v>
      </c>
      <c r="C1144" t="s">
        <v>246</v>
      </c>
      <c r="D1144" t="s">
        <v>4</v>
      </c>
      <c r="E1144" t="s">
        <v>8</v>
      </c>
      <c r="F1144" t="s">
        <v>14</v>
      </c>
      <c r="G1144" t="s">
        <v>7</v>
      </c>
    </row>
    <row r="1145" spans="1:7" x14ac:dyDescent="0.2">
      <c r="A1145" t="s">
        <v>321</v>
      </c>
      <c r="B1145" s="2">
        <v>1</v>
      </c>
      <c r="C1145" t="s">
        <v>248</v>
      </c>
      <c r="D1145" t="s">
        <v>250</v>
      </c>
      <c r="E1145" t="s">
        <v>9</v>
      </c>
      <c r="F1145" t="s">
        <v>15</v>
      </c>
    </row>
    <row r="1146" spans="1:7" x14ac:dyDescent="0.2">
      <c r="A1146" t="s">
        <v>177</v>
      </c>
      <c r="B1146" s="2">
        <v>0.89400000000000002</v>
      </c>
      <c r="C1146" t="s">
        <v>265</v>
      </c>
      <c r="D1146" t="s">
        <v>5</v>
      </c>
      <c r="E1146" t="s">
        <v>9</v>
      </c>
      <c r="F1146" t="s">
        <v>17</v>
      </c>
      <c r="G1146" t="s">
        <v>178</v>
      </c>
    </row>
    <row r="1147" spans="1:7" x14ac:dyDescent="0.2">
      <c r="A1147" t="s">
        <v>179</v>
      </c>
      <c r="B1147" s="2">
        <v>0.106</v>
      </c>
      <c r="C1147" t="s">
        <v>265</v>
      </c>
      <c r="D1147" t="s">
        <v>5</v>
      </c>
      <c r="E1147" t="s">
        <v>9</v>
      </c>
      <c r="F1147" t="s">
        <v>17</v>
      </c>
      <c r="G1147" t="s">
        <v>180</v>
      </c>
    </row>
    <row r="1149" spans="1:7" ht="16" x14ac:dyDescent="0.2">
      <c r="A1149" s="1" t="s">
        <v>0</v>
      </c>
      <c r="B1149" s="10" t="s">
        <v>322</v>
      </c>
    </row>
    <row r="1150" spans="1:7" x14ac:dyDescent="0.2">
      <c r="A1150" t="s">
        <v>6</v>
      </c>
      <c r="B1150" s="2">
        <v>1</v>
      </c>
    </row>
    <row r="1151" spans="1:7" x14ac:dyDescent="0.2">
      <c r="A1151" t="s">
        <v>7</v>
      </c>
      <c r="B1151" s="2" t="s">
        <v>322</v>
      </c>
    </row>
    <row r="1152" spans="1:7" x14ac:dyDescent="0.2">
      <c r="A1152" t="s">
        <v>14</v>
      </c>
      <c r="B1152" s="2" t="s">
        <v>299</v>
      </c>
    </row>
    <row r="1153" spans="1:8" x14ac:dyDescent="0.2">
      <c r="A1153" t="s">
        <v>8</v>
      </c>
      <c r="B1153" s="2" t="s">
        <v>9</v>
      </c>
    </row>
    <row r="1154" spans="1:8" x14ac:dyDescent="0.2">
      <c r="A1154" t="s">
        <v>4</v>
      </c>
      <c r="B1154" s="2" t="s">
        <v>5</v>
      </c>
    </row>
    <row r="1155" spans="1:8" ht="16" x14ac:dyDescent="0.2">
      <c r="A1155" s="1" t="s">
        <v>11</v>
      </c>
    </row>
    <row r="1156" spans="1:8" ht="16" x14ac:dyDescent="0.2">
      <c r="A1156" s="1" t="s">
        <v>12</v>
      </c>
      <c r="B1156" s="10" t="s">
        <v>13</v>
      </c>
      <c r="C1156" s="1" t="s">
        <v>8</v>
      </c>
      <c r="D1156" s="1" t="s">
        <v>246</v>
      </c>
      <c r="E1156" s="1" t="s">
        <v>136</v>
      </c>
      <c r="F1156" s="1" t="s">
        <v>4</v>
      </c>
      <c r="G1156" s="1" t="s">
        <v>14</v>
      </c>
      <c r="H1156" s="1" t="s">
        <v>7</v>
      </c>
    </row>
    <row r="1157" spans="1:8" x14ac:dyDescent="0.2">
      <c r="A1157" t="s">
        <v>322</v>
      </c>
      <c r="B1157" s="2">
        <v>1</v>
      </c>
      <c r="C1157" t="s">
        <v>9</v>
      </c>
      <c r="D1157" t="s">
        <v>248</v>
      </c>
      <c r="F1157" t="s">
        <v>5</v>
      </c>
      <c r="G1157" t="s">
        <v>15</v>
      </c>
      <c r="H1157" t="s">
        <v>322</v>
      </c>
    </row>
    <row r="1158" spans="1:8" x14ac:dyDescent="0.2">
      <c r="A1158" t="s">
        <v>142</v>
      </c>
      <c r="B1158" s="2">
        <v>0.192</v>
      </c>
      <c r="C1158" t="s">
        <v>9</v>
      </c>
      <c r="D1158" t="s">
        <v>278</v>
      </c>
      <c r="E1158" t="s">
        <v>147</v>
      </c>
      <c r="G1158" t="s">
        <v>144</v>
      </c>
    </row>
    <row r="1159" spans="1:8" x14ac:dyDescent="0.2">
      <c r="A1159" t="s">
        <v>46</v>
      </c>
      <c r="B1159" s="2">
        <v>2.88</v>
      </c>
      <c r="C1159" t="s">
        <v>47</v>
      </c>
      <c r="D1159" t="s">
        <v>265</v>
      </c>
      <c r="F1159" t="s">
        <v>5</v>
      </c>
      <c r="G1159" t="s">
        <v>17</v>
      </c>
      <c r="H1159" t="s">
        <v>48</v>
      </c>
    </row>
    <row r="1160" spans="1:8" x14ac:dyDescent="0.2">
      <c r="A1160" t="s">
        <v>139</v>
      </c>
      <c r="B1160" s="2">
        <v>0.33800000000000002</v>
      </c>
      <c r="C1160" t="s">
        <v>9</v>
      </c>
      <c r="D1160" t="s">
        <v>265</v>
      </c>
      <c r="F1160" t="s">
        <v>5</v>
      </c>
      <c r="G1160" t="s">
        <v>17</v>
      </c>
      <c r="H1160" t="s">
        <v>140</v>
      </c>
    </row>
    <row r="1161" spans="1:8" x14ac:dyDescent="0.2">
      <c r="A1161" t="s">
        <v>323</v>
      </c>
      <c r="B1161" s="2">
        <v>0.87</v>
      </c>
      <c r="C1161" t="s">
        <v>9</v>
      </c>
      <c r="D1161" t="s">
        <v>265</v>
      </c>
      <c r="F1161" t="s">
        <v>97</v>
      </c>
      <c r="G1161" t="s">
        <v>17</v>
      </c>
      <c r="H1161" t="s">
        <v>324</v>
      </c>
    </row>
    <row r="1163" spans="1:8" ht="16" x14ac:dyDescent="0.2">
      <c r="A1163" s="1" t="s">
        <v>0</v>
      </c>
      <c r="B1163" s="10" t="s">
        <v>326</v>
      </c>
    </row>
    <row r="1164" spans="1:8" x14ac:dyDescent="0.2">
      <c r="A1164" t="s">
        <v>2</v>
      </c>
      <c r="B1164" s="2" t="s">
        <v>327</v>
      </c>
    </row>
    <row r="1165" spans="1:8" x14ac:dyDescent="0.2">
      <c r="A1165" t="s">
        <v>4</v>
      </c>
      <c r="B1165" s="2" t="s">
        <v>148</v>
      </c>
    </row>
    <row r="1166" spans="1:8" x14ac:dyDescent="0.2">
      <c r="A1166" t="s">
        <v>6</v>
      </c>
      <c r="B1166" s="2">
        <v>1</v>
      </c>
    </row>
    <row r="1167" spans="1:8" x14ac:dyDescent="0.2">
      <c r="A1167" t="s">
        <v>7</v>
      </c>
      <c r="B1167" s="2" t="s">
        <v>328</v>
      </c>
    </row>
    <row r="1168" spans="1:8" x14ac:dyDescent="0.2">
      <c r="A1168" t="s">
        <v>8</v>
      </c>
      <c r="B1168" s="2" t="s">
        <v>9</v>
      </c>
    </row>
    <row r="1169" spans="1:8" x14ac:dyDescent="0.2">
      <c r="A1169" t="s">
        <v>10</v>
      </c>
      <c r="B1169" s="2" t="s">
        <v>329</v>
      </c>
    </row>
    <row r="1170" spans="1:8" x14ac:dyDescent="0.2">
      <c r="A1170" s="3" t="s">
        <v>11</v>
      </c>
    </row>
    <row r="1171" spans="1:8" x14ac:dyDescent="0.2">
      <c r="A1171" t="s">
        <v>12</v>
      </c>
      <c r="B1171" s="2" t="s">
        <v>13</v>
      </c>
      <c r="C1171" t="s">
        <v>8</v>
      </c>
      <c r="D1171" t="s">
        <v>136</v>
      </c>
      <c r="E1171" t="s">
        <v>4</v>
      </c>
      <c r="F1171" t="s">
        <v>14</v>
      </c>
      <c r="G1171" t="s">
        <v>7</v>
      </c>
      <c r="H1171" t="s">
        <v>2</v>
      </c>
    </row>
    <row r="1172" spans="1:8" x14ac:dyDescent="0.2">
      <c r="A1172" t="s">
        <v>326</v>
      </c>
      <c r="B1172" s="2">
        <v>1</v>
      </c>
      <c r="C1172" t="s">
        <v>9</v>
      </c>
      <c r="E1172" t="s">
        <v>148</v>
      </c>
      <c r="F1172" t="s">
        <v>15</v>
      </c>
      <c r="G1172" t="s">
        <v>328</v>
      </c>
    </row>
    <row r="1173" spans="1:8" x14ac:dyDescent="0.2">
      <c r="A1173" t="s">
        <v>56</v>
      </c>
      <c r="B1173" s="2">
        <f>750/1000</f>
        <v>0.75</v>
      </c>
      <c r="C1173" t="s">
        <v>54</v>
      </c>
      <c r="E1173" t="s">
        <v>28</v>
      </c>
      <c r="F1173" t="s">
        <v>17</v>
      </c>
      <c r="G1173" t="s">
        <v>57</v>
      </c>
      <c r="H1173" t="s">
        <v>330</v>
      </c>
    </row>
    <row r="1174" spans="1:8" x14ac:dyDescent="0.2">
      <c r="A1174" t="s">
        <v>56</v>
      </c>
      <c r="B1174" s="2">
        <f>1780/1000</f>
        <v>1.78</v>
      </c>
      <c r="C1174" t="s">
        <v>54</v>
      </c>
      <c r="E1174" t="s">
        <v>28</v>
      </c>
      <c r="F1174" t="s">
        <v>17</v>
      </c>
      <c r="G1174" t="s">
        <v>57</v>
      </c>
      <c r="H1174" t="s">
        <v>331</v>
      </c>
    </row>
    <row r="1175" spans="1:8" x14ac:dyDescent="0.2">
      <c r="A1175" t="s">
        <v>46</v>
      </c>
      <c r="B1175" s="2">
        <f>4550/1000</f>
        <v>4.55</v>
      </c>
      <c r="C1175" t="s">
        <v>47</v>
      </c>
      <c r="E1175" t="s">
        <v>148</v>
      </c>
      <c r="F1175" t="s">
        <v>17</v>
      </c>
      <c r="G1175" t="s">
        <v>48</v>
      </c>
      <c r="H1175" t="s">
        <v>332</v>
      </c>
    </row>
    <row r="1176" spans="1:8" x14ac:dyDescent="0.2">
      <c r="A1176" t="s">
        <v>333</v>
      </c>
      <c r="B1176" s="2">
        <f>0.249/1000*43.4</f>
        <v>1.08066E-2</v>
      </c>
      <c r="C1176" t="s">
        <v>116</v>
      </c>
      <c r="E1176" t="s">
        <v>5</v>
      </c>
      <c r="F1176" t="s">
        <v>17</v>
      </c>
      <c r="G1176" t="s">
        <v>334</v>
      </c>
      <c r="H1176" t="s">
        <v>335</v>
      </c>
    </row>
    <row r="1177" spans="1:8" x14ac:dyDescent="0.2">
      <c r="A1177" t="s">
        <v>225</v>
      </c>
      <c r="B1177" s="2">
        <f>1.5/1000</f>
        <v>1.5E-3</v>
      </c>
      <c r="C1177" t="s">
        <v>9</v>
      </c>
      <c r="E1177" t="s">
        <v>28</v>
      </c>
      <c r="F1177" t="s">
        <v>17</v>
      </c>
      <c r="G1177" t="s">
        <v>226</v>
      </c>
      <c r="H1177" t="s">
        <v>336</v>
      </c>
    </row>
    <row r="1178" spans="1:8" x14ac:dyDescent="0.2">
      <c r="A1178" t="s">
        <v>337</v>
      </c>
      <c r="B1178" s="12">
        <f>1010/1000</f>
        <v>1.01</v>
      </c>
      <c r="C1178" t="s">
        <v>9</v>
      </c>
      <c r="E1178" t="s">
        <v>148</v>
      </c>
      <c r="F1178" t="s">
        <v>17</v>
      </c>
      <c r="G1178" t="s">
        <v>338</v>
      </c>
      <c r="H1178" t="s">
        <v>339</v>
      </c>
    </row>
    <row r="1179" spans="1:8" x14ac:dyDescent="0.2">
      <c r="A1179" t="s">
        <v>340</v>
      </c>
      <c r="B1179" s="2">
        <f>50/1000</f>
        <v>0.05</v>
      </c>
      <c r="C1179" t="s">
        <v>9</v>
      </c>
      <c r="E1179" t="s">
        <v>182</v>
      </c>
      <c r="F1179" t="s">
        <v>17</v>
      </c>
      <c r="G1179" t="s">
        <v>341</v>
      </c>
      <c r="H1179" t="s">
        <v>342</v>
      </c>
    </row>
    <row r="1180" spans="1:8" x14ac:dyDescent="0.2">
      <c r="A1180" t="s">
        <v>142</v>
      </c>
      <c r="B1180" s="2">
        <f>62.407/1000</f>
        <v>6.2406999999999997E-2</v>
      </c>
      <c r="C1180" t="s">
        <v>9</v>
      </c>
      <c r="D1180" t="s">
        <v>143</v>
      </c>
      <c r="F1180" t="s">
        <v>144</v>
      </c>
      <c r="H1180" t="s">
        <v>343</v>
      </c>
    </row>
    <row r="1181" spans="1:8" x14ac:dyDescent="0.2">
      <c r="A1181" t="s">
        <v>230</v>
      </c>
      <c r="B1181" s="2">
        <f>1.5/1000</f>
        <v>1.5E-3</v>
      </c>
      <c r="C1181" t="s">
        <v>9</v>
      </c>
      <c r="D1181" t="s">
        <v>143</v>
      </c>
      <c r="F1181" t="s">
        <v>144</v>
      </c>
      <c r="H1181" t="s">
        <v>344</v>
      </c>
    </row>
    <row r="1183" spans="1:8" ht="16" x14ac:dyDescent="0.2">
      <c r="A1183" s="1" t="s">
        <v>0</v>
      </c>
      <c r="B1183" s="10" t="s">
        <v>337</v>
      </c>
    </row>
    <row r="1184" spans="1:8" x14ac:dyDescent="0.2">
      <c r="A1184" t="s">
        <v>2</v>
      </c>
      <c r="B1184" s="2" t="s">
        <v>345</v>
      </c>
    </row>
    <row r="1185" spans="1:8" x14ac:dyDescent="0.2">
      <c r="A1185" t="s">
        <v>4</v>
      </c>
      <c r="B1185" s="2" t="s">
        <v>148</v>
      </c>
    </row>
    <row r="1186" spans="1:8" x14ac:dyDescent="0.2">
      <c r="A1186" t="s">
        <v>6</v>
      </c>
      <c r="B1186" s="2">
        <v>1</v>
      </c>
    </row>
    <row r="1187" spans="1:8" x14ac:dyDescent="0.2">
      <c r="A1187" t="s">
        <v>7</v>
      </c>
      <c r="B1187" s="2" t="s">
        <v>338</v>
      </c>
    </row>
    <row r="1188" spans="1:8" x14ac:dyDescent="0.2">
      <c r="A1188" t="s">
        <v>8</v>
      </c>
      <c r="B1188" s="2" t="s">
        <v>9</v>
      </c>
    </row>
    <row r="1189" spans="1:8" x14ac:dyDescent="0.2">
      <c r="A1189" t="s">
        <v>10</v>
      </c>
      <c r="B1189" s="2" t="s">
        <v>329</v>
      </c>
    </row>
    <row r="1190" spans="1:8" x14ac:dyDescent="0.2">
      <c r="A1190" s="3" t="s">
        <v>11</v>
      </c>
    </row>
    <row r="1191" spans="1:8" x14ac:dyDescent="0.2">
      <c r="A1191" t="s">
        <v>12</v>
      </c>
      <c r="B1191" s="2" t="s">
        <v>13</v>
      </c>
      <c r="C1191" t="s">
        <v>8</v>
      </c>
      <c r="D1191" t="s">
        <v>136</v>
      </c>
      <c r="E1191" t="s">
        <v>4</v>
      </c>
      <c r="F1191" t="s">
        <v>14</v>
      </c>
      <c r="G1191" t="s">
        <v>7</v>
      </c>
      <c r="H1191" t="s">
        <v>2</v>
      </c>
    </row>
    <row r="1192" spans="1:8" x14ac:dyDescent="0.2">
      <c r="A1192" t="s">
        <v>337</v>
      </c>
      <c r="B1192" s="2">
        <v>1</v>
      </c>
      <c r="C1192" t="s">
        <v>9</v>
      </c>
      <c r="E1192" t="s">
        <v>148</v>
      </c>
      <c r="F1192" t="s">
        <v>15</v>
      </c>
      <c r="G1192" t="s">
        <v>338</v>
      </c>
    </row>
    <row r="1193" spans="1:8" x14ac:dyDescent="0.2">
      <c r="A1193" t="s">
        <v>46</v>
      </c>
      <c r="B1193" s="2">
        <f>305/1000</f>
        <v>0.30499999999999999</v>
      </c>
      <c r="C1193" t="s">
        <v>47</v>
      </c>
      <c r="E1193" t="s">
        <v>148</v>
      </c>
      <c r="F1193" t="s">
        <v>17</v>
      </c>
      <c r="G1193" t="s">
        <v>48</v>
      </c>
      <c r="H1193" t="s">
        <v>346</v>
      </c>
    </row>
    <row r="1194" spans="1:8" x14ac:dyDescent="0.2">
      <c r="A1194" t="s">
        <v>333</v>
      </c>
      <c r="B1194" s="2">
        <f>0.249/1000*43.4</f>
        <v>1.08066E-2</v>
      </c>
      <c r="C1194" t="s">
        <v>116</v>
      </c>
      <c r="E1194" t="s">
        <v>5</v>
      </c>
      <c r="F1194" t="s">
        <v>17</v>
      </c>
      <c r="G1194" t="s">
        <v>334</v>
      </c>
      <c r="H1194" t="s">
        <v>335</v>
      </c>
    </row>
    <row r="1195" spans="1:8" x14ac:dyDescent="0.2">
      <c r="A1195" t="s">
        <v>347</v>
      </c>
      <c r="B1195" s="2">
        <f>1050/1000/38.3</f>
        <v>2.7415143603133161E-2</v>
      </c>
      <c r="C1195" t="s">
        <v>146</v>
      </c>
      <c r="E1195" t="s">
        <v>28</v>
      </c>
      <c r="F1195" t="s">
        <v>17</v>
      </c>
      <c r="G1195" t="s">
        <v>348</v>
      </c>
      <c r="H1195" t="s">
        <v>349</v>
      </c>
    </row>
    <row r="1196" spans="1:8" x14ac:dyDescent="0.2">
      <c r="A1196" t="s">
        <v>350</v>
      </c>
      <c r="B1196" s="2">
        <f>180/1000</f>
        <v>0.18</v>
      </c>
      <c r="C1196" t="s">
        <v>9</v>
      </c>
      <c r="E1196" t="s">
        <v>28</v>
      </c>
      <c r="F1196" t="s">
        <v>17</v>
      </c>
      <c r="G1196" t="s">
        <v>351</v>
      </c>
      <c r="H1196" t="s">
        <v>352</v>
      </c>
    </row>
    <row r="1197" spans="1:8" x14ac:dyDescent="0.2">
      <c r="A1197" t="s">
        <v>212</v>
      </c>
      <c r="B1197" s="2">
        <f>200/1000</f>
        <v>0.2</v>
      </c>
      <c r="C1197" t="s">
        <v>9</v>
      </c>
      <c r="E1197" t="s">
        <v>28</v>
      </c>
      <c r="F1197" t="s">
        <v>17</v>
      </c>
      <c r="G1197" t="s">
        <v>213</v>
      </c>
      <c r="H1197" t="s">
        <v>353</v>
      </c>
    </row>
    <row r="1198" spans="1:8" x14ac:dyDescent="0.2">
      <c r="A1198" t="s">
        <v>354</v>
      </c>
      <c r="B1198" s="2">
        <f>100/1000</f>
        <v>0.1</v>
      </c>
      <c r="C1198" t="s">
        <v>9</v>
      </c>
      <c r="E1198" t="s">
        <v>148</v>
      </c>
      <c r="F1198" t="s">
        <v>17</v>
      </c>
      <c r="G1198" t="s">
        <v>355</v>
      </c>
      <c r="H1198" t="s">
        <v>356</v>
      </c>
    </row>
    <row r="1199" spans="1:8" x14ac:dyDescent="0.2">
      <c r="A1199" t="s">
        <v>27</v>
      </c>
      <c r="B1199" s="2">
        <f>25*1000/1000</f>
        <v>25</v>
      </c>
      <c r="C1199" t="s">
        <v>9</v>
      </c>
      <c r="E1199" t="s">
        <v>28</v>
      </c>
      <c r="F1199" t="s">
        <v>17</v>
      </c>
      <c r="G1199" t="s">
        <v>29</v>
      </c>
      <c r="H1199" t="s">
        <v>357</v>
      </c>
    </row>
    <row r="1200" spans="1:8" x14ac:dyDescent="0.2">
      <c r="A1200" t="s">
        <v>358</v>
      </c>
      <c r="B1200" s="2">
        <f>400/1000</f>
        <v>0.4</v>
      </c>
      <c r="C1200" t="s">
        <v>9</v>
      </c>
      <c r="E1200" t="s">
        <v>28</v>
      </c>
      <c r="F1200" t="s">
        <v>17</v>
      </c>
      <c r="G1200" t="s">
        <v>359</v>
      </c>
      <c r="H1200" t="s">
        <v>360</v>
      </c>
    </row>
    <row r="1201" spans="1:8" x14ac:dyDescent="0.2">
      <c r="A1201" t="s">
        <v>56</v>
      </c>
      <c r="B1201" s="2">
        <f>350/1000</f>
        <v>0.35</v>
      </c>
      <c r="C1201" t="s">
        <v>54</v>
      </c>
      <c r="E1201" t="s">
        <v>28</v>
      </c>
      <c r="F1201" t="s">
        <v>17</v>
      </c>
      <c r="G1201" t="s">
        <v>57</v>
      </c>
      <c r="H1201" t="s">
        <v>361</v>
      </c>
    </row>
    <row r="1202" spans="1:8" x14ac:dyDescent="0.2">
      <c r="A1202" t="s">
        <v>362</v>
      </c>
      <c r="B1202" s="2">
        <f>1130/1000</f>
        <v>1.1299999999999999</v>
      </c>
      <c r="C1202" t="s">
        <v>9</v>
      </c>
      <c r="E1202" t="s">
        <v>148</v>
      </c>
      <c r="F1202" t="s">
        <v>17</v>
      </c>
      <c r="G1202" t="s">
        <v>363</v>
      </c>
    </row>
    <row r="1203" spans="1:8" x14ac:dyDescent="0.2">
      <c r="A1203" t="s">
        <v>142</v>
      </c>
      <c r="B1203" s="2">
        <f>57.75/1000</f>
        <v>5.7750000000000003E-2</v>
      </c>
      <c r="C1203" t="s">
        <v>9</v>
      </c>
      <c r="D1203" t="s">
        <v>143</v>
      </c>
      <c r="F1203" t="s">
        <v>144</v>
      </c>
      <c r="H1203" t="s">
        <v>343</v>
      </c>
    </row>
    <row r="1204" spans="1:8" x14ac:dyDescent="0.2">
      <c r="A1204" t="s">
        <v>145</v>
      </c>
      <c r="B1204" s="2">
        <f>320.145/1000/1000</f>
        <v>3.2014499999999998E-4</v>
      </c>
      <c r="C1204" t="s">
        <v>146</v>
      </c>
      <c r="D1204" t="s">
        <v>143</v>
      </c>
      <c r="F1204" t="s">
        <v>144</v>
      </c>
      <c r="H1204" t="s">
        <v>364</v>
      </c>
    </row>
    <row r="1205" spans="1:8" x14ac:dyDescent="0.2">
      <c r="A1205" t="s">
        <v>158</v>
      </c>
      <c r="B1205" s="2">
        <f>-24.773/1000</f>
        <v>-2.4773E-2</v>
      </c>
      <c r="C1205" t="s">
        <v>146</v>
      </c>
      <c r="E1205" t="s">
        <v>28</v>
      </c>
      <c r="F1205" t="s">
        <v>17</v>
      </c>
      <c r="G1205" t="s">
        <v>159</v>
      </c>
    </row>
    <row r="1207" spans="1:8" ht="16" x14ac:dyDescent="0.2">
      <c r="A1207" s="1" t="s">
        <v>0</v>
      </c>
      <c r="B1207" s="10" t="s">
        <v>362</v>
      </c>
    </row>
    <row r="1208" spans="1:8" x14ac:dyDescent="0.2">
      <c r="A1208" t="s">
        <v>2</v>
      </c>
      <c r="B1208" s="2" t="s">
        <v>345</v>
      </c>
    </row>
    <row r="1209" spans="1:8" x14ac:dyDescent="0.2">
      <c r="A1209" t="s">
        <v>4</v>
      </c>
      <c r="B1209" s="2" t="s">
        <v>148</v>
      </c>
    </row>
    <row r="1210" spans="1:8" x14ac:dyDescent="0.2">
      <c r="A1210" t="s">
        <v>6</v>
      </c>
      <c r="B1210" s="2">
        <v>1</v>
      </c>
    </row>
    <row r="1211" spans="1:8" x14ac:dyDescent="0.2">
      <c r="A1211" t="s">
        <v>7</v>
      </c>
      <c r="B1211" s="2" t="s">
        <v>363</v>
      </c>
    </row>
    <row r="1212" spans="1:8" x14ac:dyDescent="0.2">
      <c r="A1212" t="s">
        <v>8</v>
      </c>
      <c r="B1212" s="2" t="s">
        <v>9</v>
      </c>
    </row>
    <row r="1213" spans="1:8" x14ac:dyDescent="0.2">
      <c r="A1213" t="s">
        <v>10</v>
      </c>
      <c r="B1213" s="2" t="s">
        <v>329</v>
      </c>
    </row>
    <row r="1214" spans="1:8" x14ac:dyDescent="0.2">
      <c r="A1214" s="3" t="s">
        <v>11</v>
      </c>
    </row>
    <row r="1215" spans="1:8" x14ac:dyDescent="0.2">
      <c r="A1215" t="s">
        <v>12</v>
      </c>
      <c r="B1215" s="2" t="s">
        <v>13</v>
      </c>
      <c r="C1215" t="s">
        <v>8</v>
      </c>
      <c r="D1215" t="s">
        <v>136</v>
      </c>
      <c r="E1215" t="s">
        <v>4</v>
      </c>
      <c r="F1215" t="s">
        <v>14</v>
      </c>
      <c r="G1215" t="s">
        <v>7</v>
      </c>
      <c r="H1215" t="s">
        <v>2</v>
      </c>
    </row>
    <row r="1216" spans="1:8" x14ac:dyDescent="0.2">
      <c r="A1216" t="s">
        <v>362</v>
      </c>
      <c r="B1216" s="2">
        <v>1</v>
      </c>
      <c r="C1216" t="s">
        <v>9</v>
      </c>
      <c r="E1216" t="s">
        <v>148</v>
      </c>
      <c r="F1216" t="s">
        <v>15</v>
      </c>
      <c r="G1216" t="s">
        <v>363</v>
      </c>
    </row>
    <row r="1217" spans="1:8" x14ac:dyDescent="0.2">
      <c r="A1217" t="s">
        <v>46</v>
      </c>
      <c r="B1217" s="2">
        <f>2100/1000</f>
        <v>2.1</v>
      </c>
      <c r="C1217" t="s">
        <v>47</v>
      </c>
      <c r="E1217" t="s">
        <v>148</v>
      </c>
      <c r="F1217" t="s">
        <v>17</v>
      </c>
      <c r="G1217" t="s">
        <v>48</v>
      </c>
      <c r="H1217" t="s">
        <v>365</v>
      </c>
    </row>
    <row r="1218" spans="1:8" x14ac:dyDescent="0.2">
      <c r="A1218" t="s">
        <v>333</v>
      </c>
      <c r="B1218" s="2">
        <f>0.415/1000*43.4</f>
        <v>1.8010999999999999E-2</v>
      </c>
      <c r="C1218" t="s">
        <v>116</v>
      </c>
      <c r="E1218" t="s">
        <v>5</v>
      </c>
      <c r="F1218" t="s">
        <v>17</v>
      </c>
      <c r="G1218" t="s">
        <v>334</v>
      </c>
      <c r="H1218" t="s">
        <v>366</v>
      </c>
    </row>
    <row r="1219" spans="1:8" x14ac:dyDescent="0.2">
      <c r="A1219" t="s">
        <v>367</v>
      </c>
      <c r="B1219" s="2">
        <f>2220/1000</f>
        <v>2.2200000000000002</v>
      </c>
      <c r="C1219" t="s">
        <v>9</v>
      </c>
      <c r="E1219" t="s">
        <v>148</v>
      </c>
      <c r="F1219" t="s">
        <v>17</v>
      </c>
      <c r="G1219" t="s">
        <v>368</v>
      </c>
      <c r="H1219" t="s">
        <v>369</v>
      </c>
    </row>
    <row r="1221" spans="1:8" ht="16" x14ac:dyDescent="0.2">
      <c r="A1221" s="1" t="s">
        <v>0</v>
      </c>
      <c r="B1221" s="10" t="s">
        <v>367</v>
      </c>
    </row>
    <row r="1222" spans="1:8" x14ac:dyDescent="0.2">
      <c r="A1222" t="s">
        <v>2</v>
      </c>
      <c r="B1222" s="2" t="s">
        <v>370</v>
      </c>
    </row>
    <row r="1223" spans="1:8" x14ac:dyDescent="0.2">
      <c r="A1223" t="s">
        <v>4</v>
      </c>
      <c r="B1223" s="2" t="s">
        <v>148</v>
      </c>
    </row>
    <row r="1224" spans="1:8" x14ac:dyDescent="0.2">
      <c r="A1224" t="s">
        <v>6</v>
      </c>
      <c r="B1224" s="2">
        <v>1</v>
      </c>
    </row>
    <row r="1225" spans="1:8" x14ac:dyDescent="0.2">
      <c r="A1225" t="s">
        <v>7</v>
      </c>
      <c r="B1225" s="2" t="s">
        <v>368</v>
      </c>
    </row>
    <row r="1226" spans="1:8" x14ac:dyDescent="0.2">
      <c r="A1226" t="s">
        <v>8</v>
      </c>
      <c r="B1226" s="2" t="s">
        <v>9</v>
      </c>
    </row>
    <row r="1227" spans="1:8" x14ac:dyDescent="0.2">
      <c r="A1227" t="s">
        <v>10</v>
      </c>
      <c r="B1227" s="2" t="s">
        <v>329</v>
      </c>
    </row>
    <row r="1228" spans="1:8" x14ac:dyDescent="0.2">
      <c r="A1228" s="3" t="s">
        <v>11</v>
      </c>
    </row>
    <row r="1229" spans="1:8" x14ac:dyDescent="0.2">
      <c r="A1229" t="s">
        <v>12</v>
      </c>
      <c r="B1229" s="2" t="s">
        <v>13</v>
      </c>
      <c r="C1229" t="s">
        <v>8</v>
      </c>
      <c r="D1229" t="s">
        <v>136</v>
      </c>
      <c r="E1229" t="s">
        <v>4</v>
      </c>
      <c r="F1229" t="s">
        <v>14</v>
      </c>
      <c r="G1229" t="s">
        <v>7</v>
      </c>
      <c r="H1229" t="s">
        <v>2</v>
      </c>
    </row>
    <row r="1230" spans="1:8" x14ac:dyDescent="0.2">
      <c r="A1230" t="s">
        <v>367</v>
      </c>
      <c r="B1230" s="2">
        <v>1</v>
      </c>
      <c r="C1230" t="s">
        <v>9</v>
      </c>
      <c r="E1230" t="s">
        <v>148</v>
      </c>
      <c r="F1230" t="s">
        <v>15</v>
      </c>
      <c r="G1230" t="s">
        <v>368</v>
      </c>
    </row>
    <row r="1231" spans="1:8" x14ac:dyDescent="0.2">
      <c r="A1231" t="s">
        <v>46</v>
      </c>
      <c r="B1231" s="2">
        <f>506/1000</f>
        <v>0.50600000000000001</v>
      </c>
      <c r="C1231" t="s">
        <v>47</v>
      </c>
      <c r="E1231" t="s">
        <v>148</v>
      </c>
      <c r="F1231" t="s">
        <v>17</v>
      </c>
      <c r="G1231" t="s">
        <v>48</v>
      </c>
      <c r="H1231" t="s">
        <v>371</v>
      </c>
    </row>
    <row r="1232" spans="1:8" x14ac:dyDescent="0.2">
      <c r="A1232" t="s">
        <v>333</v>
      </c>
      <c r="B1232" s="2">
        <f>0.996*43.4/1000</f>
        <v>4.3226399999999998E-2</v>
      </c>
      <c r="C1232" t="s">
        <v>116</v>
      </c>
      <c r="E1232" t="s">
        <v>5</v>
      </c>
      <c r="F1232" t="s">
        <v>17</v>
      </c>
      <c r="G1232" t="s">
        <v>334</v>
      </c>
      <c r="H1232" t="s">
        <v>372</v>
      </c>
    </row>
    <row r="1233" spans="1:8" x14ac:dyDescent="0.2">
      <c r="A1233" t="s">
        <v>373</v>
      </c>
      <c r="B1233" s="2">
        <f>50/1000</f>
        <v>0.05</v>
      </c>
      <c r="C1233" t="s">
        <v>9</v>
      </c>
      <c r="E1233" t="s">
        <v>148</v>
      </c>
      <c r="F1233" t="s">
        <v>17</v>
      </c>
      <c r="G1233" t="s">
        <v>374</v>
      </c>
      <c r="H1233" t="s">
        <v>375</v>
      </c>
    </row>
    <row r="1234" spans="1:8" x14ac:dyDescent="0.2">
      <c r="A1234" t="s">
        <v>376</v>
      </c>
      <c r="B1234" s="2">
        <f>9590/1000</f>
        <v>9.59</v>
      </c>
      <c r="C1234" t="s">
        <v>9</v>
      </c>
      <c r="E1234" t="s">
        <v>148</v>
      </c>
      <c r="F1234" t="s">
        <v>17</v>
      </c>
      <c r="G1234" t="s">
        <v>377</v>
      </c>
      <c r="H1234" t="s">
        <v>378</v>
      </c>
    </row>
    <row r="1235" spans="1:8" x14ac:dyDescent="0.2">
      <c r="A1235" t="s">
        <v>379</v>
      </c>
      <c r="B1235" s="2">
        <f>1.551/1000</f>
        <v>1.5509999999999999E-3</v>
      </c>
      <c r="C1235" t="s">
        <v>9</v>
      </c>
      <c r="E1235" t="s">
        <v>28</v>
      </c>
      <c r="F1235" t="s">
        <v>17</v>
      </c>
      <c r="G1235" t="s">
        <v>380</v>
      </c>
      <c r="H1235" t="s">
        <v>381</v>
      </c>
    </row>
    <row r="1236" spans="1:8" x14ac:dyDescent="0.2">
      <c r="A1236" t="s">
        <v>27</v>
      </c>
      <c r="B1236" s="2">
        <f>22.027*1000/1000</f>
        <v>22.027000000000001</v>
      </c>
      <c r="C1236" t="s">
        <v>9</v>
      </c>
      <c r="E1236" t="s">
        <v>28</v>
      </c>
      <c r="F1236" t="s">
        <v>17</v>
      </c>
      <c r="G1236" t="s">
        <v>29</v>
      </c>
      <c r="H1236" t="s">
        <v>382</v>
      </c>
    </row>
    <row r="1237" spans="1:8" x14ac:dyDescent="0.2">
      <c r="A1237" t="s">
        <v>142</v>
      </c>
      <c r="B1237" s="2">
        <f>183.33/1000</f>
        <v>0.18333000000000002</v>
      </c>
      <c r="C1237" t="s">
        <v>9</v>
      </c>
      <c r="D1237" t="s">
        <v>143</v>
      </c>
      <c r="F1237" t="s">
        <v>144</v>
      </c>
      <c r="H1237" t="s">
        <v>343</v>
      </c>
    </row>
    <row r="1238" spans="1:8" x14ac:dyDescent="0.2">
      <c r="A1238" t="s">
        <v>145</v>
      </c>
      <c r="B1238" s="2">
        <f>320.145/1000</f>
        <v>0.32014499999999996</v>
      </c>
      <c r="C1238" t="s">
        <v>146</v>
      </c>
      <c r="D1238" t="s">
        <v>143</v>
      </c>
      <c r="F1238" t="s">
        <v>144</v>
      </c>
      <c r="H1238" t="s">
        <v>364</v>
      </c>
    </row>
    <row r="1239" spans="1:8" x14ac:dyDescent="0.2">
      <c r="A1239" t="s">
        <v>158</v>
      </c>
      <c r="B1239" s="2">
        <f>21.707/1000</f>
        <v>2.1707000000000001E-2</v>
      </c>
      <c r="C1239" t="s">
        <v>146</v>
      </c>
      <c r="E1239" t="s">
        <v>28</v>
      </c>
      <c r="F1239" t="s">
        <v>17</v>
      </c>
      <c r="G1239" t="s">
        <v>159</v>
      </c>
      <c r="H1239" t="s">
        <v>383</v>
      </c>
    </row>
    <row r="1240" spans="1:8" x14ac:dyDescent="0.2">
      <c r="A1240" t="s">
        <v>384</v>
      </c>
      <c r="B1240" s="2">
        <f>-8596/1000</f>
        <v>-8.5960000000000001</v>
      </c>
      <c r="C1240" t="s">
        <v>9</v>
      </c>
      <c r="E1240" t="s">
        <v>5</v>
      </c>
      <c r="F1240" t="s">
        <v>17</v>
      </c>
      <c r="G1240" t="s">
        <v>385</v>
      </c>
    </row>
    <row r="1241" spans="1:8" x14ac:dyDescent="0.2">
      <c r="A1241" t="s">
        <v>56</v>
      </c>
      <c r="B1241" s="2">
        <f>(2*B1234)/1000</f>
        <v>1.9179999999999999E-2</v>
      </c>
      <c r="C1241" t="s">
        <v>54</v>
      </c>
      <c r="E1241" t="s">
        <v>28</v>
      </c>
      <c r="F1241" t="s">
        <v>17</v>
      </c>
      <c r="G1241" t="s">
        <v>57</v>
      </c>
      <c r="H1241" t="s">
        <v>386</v>
      </c>
    </row>
    <row r="1243" spans="1:8" ht="16" x14ac:dyDescent="0.2">
      <c r="A1243" s="1" t="s">
        <v>0</v>
      </c>
      <c r="B1243" s="10" t="s">
        <v>376</v>
      </c>
    </row>
    <row r="1244" spans="1:8" x14ac:dyDescent="0.2">
      <c r="A1244" t="s">
        <v>2</v>
      </c>
      <c r="B1244" s="2" t="s">
        <v>387</v>
      </c>
    </row>
    <row r="1245" spans="1:8" x14ac:dyDescent="0.2">
      <c r="A1245" t="s">
        <v>4</v>
      </c>
      <c r="B1245" s="2" t="s">
        <v>148</v>
      </c>
    </row>
    <row r="1246" spans="1:8" x14ac:dyDescent="0.2">
      <c r="A1246" t="s">
        <v>6</v>
      </c>
      <c r="B1246" s="2">
        <v>1</v>
      </c>
    </row>
    <row r="1247" spans="1:8" x14ac:dyDescent="0.2">
      <c r="A1247" t="s">
        <v>7</v>
      </c>
      <c r="B1247" s="2" t="s">
        <v>377</v>
      </c>
    </row>
    <row r="1248" spans="1:8" x14ac:dyDescent="0.2">
      <c r="A1248" t="s">
        <v>8</v>
      </c>
      <c r="B1248" s="2" t="s">
        <v>9</v>
      </c>
    </row>
    <row r="1249" spans="1:8" x14ac:dyDescent="0.2">
      <c r="A1249" t="s">
        <v>10</v>
      </c>
      <c r="B1249" s="2" t="s">
        <v>329</v>
      </c>
    </row>
    <row r="1250" spans="1:8" x14ac:dyDescent="0.2">
      <c r="A1250" s="3" t="s">
        <v>11</v>
      </c>
    </row>
    <row r="1251" spans="1:8" x14ac:dyDescent="0.2">
      <c r="A1251" t="s">
        <v>12</v>
      </c>
      <c r="B1251" s="2" t="s">
        <v>13</v>
      </c>
      <c r="C1251" t="s">
        <v>8</v>
      </c>
      <c r="D1251" t="s">
        <v>136</v>
      </c>
      <c r="E1251" t="s">
        <v>4</v>
      </c>
      <c r="F1251" t="s">
        <v>14</v>
      </c>
      <c r="G1251" t="s">
        <v>7</v>
      </c>
      <c r="H1251" t="s">
        <v>2</v>
      </c>
    </row>
    <row r="1252" spans="1:8" x14ac:dyDescent="0.2">
      <c r="A1252" t="s">
        <v>376</v>
      </c>
      <c r="B1252" s="2">
        <v>1</v>
      </c>
      <c r="C1252" t="s">
        <v>9</v>
      </c>
      <c r="E1252" t="s">
        <v>148</v>
      </c>
      <c r="F1252" t="s">
        <v>15</v>
      </c>
      <c r="G1252" t="s">
        <v>377</v>
      </c>
    </row>
    <row r="1253" spans="1:8" x14ac:dyDescent="0.2">
      <c r="A1253" t="s">
        <v>46</v>
      </c>
      <c r="B1253" s="2">
        <f>8.7/1000</f>
        <v>8.6999999999999994E-3</v>
      </c>
      <c r="C1253" t="s">
        <v>47</v>
      </c>
      <c r="E1253" t="s">
        <v>148</v>
      </c>
      <c r="F1253" t="s">
        <v>17</v>
      </c>
      <c r="G1253" t="s">
        <v>48</v>
      </c>
      <c r="H1253" t="s">
        <v>388</v>
      </c>
    </row>
    <row r="1254" spans="1:8" x14ac:dyDescent="0.2">
      <c r="A1254" t="s">
        <v>333</v>
      </c>
      <c r="B1254" s="2">
        <f>2.241*43.4/1000</f>
        <v>9.7259399999999996E-2</v>
      </c>
      <c r="C1254" t="s">
        <v>116</v>
      </c>
      <c r="E1254" t="s">
        <v>5</v>
      </c>
      <c r="F1254" t="s">
        <v>17</v>
      </c>
      <c r="G1254" t="s">
        <v>334</v>
      </c>
      <c r="H1254" t="s">
        <v>389</v>
      </c>
    </row>
    <row r="1255" spans="1:8" x14ac:dyDescent="0.2">
      <c r="A1255" t="s">
        <v>390</v>
      </c>
      <c r="B1255" s="2">
        <f>0.248/1000</f>
        <v>2.4800000000000001E-4</v>
      </c>
      <c r="C1255" t="s">
        <v>9</v>
      </c>
      <c r="E1255" t="s">
        <v>5</v>
      </c>
      <c r="F1255" t="s">
        <v>17</v>
      </c>
      <c r="G1255" t="s">
        <v>391</v>
      </c>
      <c r="H1255" t="s">
        <v>392</v>
      </c>
    </row>
    <row r="1256" spans="1:8" x14ac:dyDescent="0.2">
      <c r="A1256" t="s">
        <v>142</v>
      </c>
      <c r="B1256" s="2">
        <f>0.04/1000</f>
        <v>4.0000000000000003E-5</v>
      </c>
      <c r="C1256" t="s">
        <v>9</v>
      </c>
      <c r="D1256" t="s">
        <v>143</v>
      </c>
      <c r="F1256" t="s">
        <v>144</v>
      </c>
      <c r="H1256" t="s">
        <v>393</v>
      </c>
    </row>
    <row r="1257" spans="1:8" x14ac:dyDescent="0.2">
      <c r="A1257" t="s">
        <v>145</v>
      </c>
      <c r="B1257" s="2">
        <f>0.113/1000/1000</f>
        <v>1.1300000000000001E-7</v>
      </c>
      <c r="C1257" t="s">
        <v>146</v>
      </c>
      <c r="D1257" t="s">
        <v>143</v>
      </c>
      <c r="F1257" t="s">
        <v>144</v>
      </c>
      <c r="H1257" t="s">
        <v>394</v>
      </c>
    </row>
    <row r="1258" spans="1:8" x14ac:dyDescent="0.2">
      <c r="A1258" t="s">
        <v>395</v>
      </c>
      <c r="B1258" s="2">
        <f>0.138/1000</f>
        <v>1.3800000000000002E-4</v>
      </c>
      <c r="C1258" t="s">
        <v>9</v>
      </c>
      <c r="D1258" t="s">
        <v>143</v>
      </c>
      <c r="F1258" t="s">
        <v>144</v>
      </c>
      <c r="H1258" t="s">
        <v>394</v>
      </c>
    </row>
    <row r="1259" spans="1:8" x14ac:dyDescent="0.2">
      <c r="A1259" t="s">
        <v>396</v>
      </c>
      <c r="B1259" s="2">
        <f>5/1000</f>
        <v>5.0000000000000001E-3</v>
      </c>
      <c r="C1259" t="s">
        <v>9</v>
      </c>
      <c r="D1259" t="s">
        <v>143</v>
      </c>
      <c r="F1259" t="s">
        <v>144</v>
      </c>
      <c r="H1259" t="s">
        <v>397</v>
      </c>
    </row>
  </sheetData>
  <autoFilter ref="A1:O1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F435-5E2B-E644-83D2-BBB8FE808D59}">
  <dimension ref="A1:K188"/>
  <sheetViews>
    <sheetView topLeftCell="A82" workbookViewId="0">
      <selection activeCell="A69" sqref="A69:XFD70"/>
    </sheetView>
  </sheetViews>
  <sheetFormatPr baseColWidth="10" defaultRowHeight="15" x14ac:dyDescent="0.2"/>
  <cols>
    <col min="1" max="1" width="54.5" customWidth="1"/>
  </cols>
  <sheetData>
    <row r="1" spans="1:11" x14ac:dyDescent="0.2">
      <c r="A1" t="s">
        <v>448</v>
      </c>
    </row>
    <row r="3" spans="1:11" ht="16" x14ac:dyDescent="0.2">
      <c r="A3" s="15" t="s">
        <v>0</v>
      </c>
      <c r="B3" s="15" t="s">
        <v>402</v>
      </c>
      <c r="C3" s="15"/>
      <c r="D3" s="16"/>
      <c r="E3" s="16"/>
      <c r="F3" s="16"/>
      <c r="G3" s="16"/>
      <c r="H3" s="16"/>
      <c r="I3" s="16"/>
      <c r="J3" s="16"/>
      <c r="K3" s="16"/>
    </row>
    <row r="4" spans="1:11" x14ac:dyDescent="0.2">
      <c r="A4" s="16" t="s">
        <v>4</v>
      </c>
      <c r="B4" s="16" t="s">
        <v>403</v>
      </c>
      <c r="C4" s="16"/>
      <c r="D4" s="16"/>
      <c r="E4" s="16"/>
      <c r="F4" s="16"/>
      <c r="G4" s="16"/>
      <c r="H4" s="16"/>
      <c r="I4" s="16"/>
      <c r="J4" s="16"/>
      <c r="K4" s="16"/>
    </row>
    <row r="5" spans="1:11" x14ac:dyDescent="0.2">
      <c r="A5" s="16" t="s">
        <v>6</v>
      </c>
      <c r="B5" s="16">
        <v>1</v>
      </c>
      <c r="C5" s="16"/>
      <c r="D5" s="16"/>
      <c r="E5" s="16"/>
      <c r="F5" s="16"/>
      <c r="G5" s="16"/>
      <c r="H5" s="16"/>
      <c r="I5" s="16"/>
      <c r="J5" s="16"/>
      <c r="K5" s="16"/>
    </row>
    <row r="6" spans="1:11" x14ac:dyDescent="0.2">
      <c r="A6" s="16" t="s">
        <v>7</v>
      </c>
      <c r="B6" s="16" t="s">
        <v>404</v>
      </c>
      <c r="C6" s="16"/>
      <c r="D6" s="16"/>
      <c r="E6" s="16"/>
      <c r="F6" s="16"/>
      <c r="G6" s="16"/>
      <c r="H6" s="16"/>
      <c r="I6" s="16"/>
      <c r="J6" s="16"/>
      <c r="K6" s="16"/>
    </row>
    <row r="7" spans="1:11" x14ac:dyDescent="0.2">
      <c r="A7" s="16" t="s">
        <v>8</v>
      </c>
      <c r="B7" s="16" t="s">
        <v>9</v>
      </c>
      <c r="C7" s="16"/>
      <c r="D7" s="16"/>
      <c r="E7" s="16"/>
      <c r="F7" s="16"/>
      <c r="G7" s="16"/>
      <c r="H7" s="16"/>
      <c r="I7" s="16"/>
      <c r="J7" s="16"/>
      <c r="K7" s="16"/>
    </row>
    <row r="8" spans="1:11" x14ac:dyDescent="0.2">
      <c r="A8" s="16" t="s">
        <v>2</v>
      </c>
      <c r="B8" s="16" t="s">
        <v>405</v>
      </c>
      <c r="C8" s="16"/>
      <c r="D8" s="16"/>
      <c r="E8" s="16"/>
      <c r="F8" s="16"/>
      <c r="G8" s="16"/>
      <c r="H8" s="16"/>
      <c r="I8" s="16"/>
      <c r="J8" s="16"/>
      <c r="K8" s="16"/>
    </row>
    <row r="9" spans="1:11" x14ac:dyDescent="0.2">
      <c r="A9" s="17" t="s">
        <v>11</v>
      </c>
      <c r="B9" s="16"/>
      <c r="C9" s="16"/>
      <c r="D9" s="16"/>
      <c r="E9" s="16"/>
      <c r="F9" s="16"/>
      <c r="G9" s="16"/>
      <c r="H9" s="16"/>
      <c r="I9" s="16"/>
      <c r="J9" s="16"/>
      <c r="K9" s="16"/>
    </row>
    <row r="10" spans="1:11" x14ac:dyDescent="0.2">
      <c r="A10" s="16" t="s">
        <v>12</v>
      </c>
      <c r="B10" s="16" t="s">
        <v>13</v>
      </c>
      <c r="C10" s="16" t="s">
        <v>8</v>
      </c>
      <c r="D10" s="16" t="s">
        <v>136</v>
      </c>
      <c r="E10" s="16" t="s">
        <v>4</v>
      </c>
      <c r="F10" s="16" t="s">
        <v>14</v>
      </c>
      <c r="G10" s="16" t="s">
        <v>7</v>
      </c>
      <c r="H10" s="16"/>
      <c r="I10" s="16"/>
      <c r="J10" s="16"/>
      <c r="K10" s="16"/>
    </row>
    <row r="11" spans="1:11" x14ac:dyDescent="0.2">
      <c r="A11" s="16" t="s">
        <v>402</v>
      </c>
      <c r="B11" s="16">
        <v>1</v>
      </c>
      <c r="C11" s="16" t="s">
        <v>9</v>
      </c>
      <c r="D11" s="16"/>
      <c r="E11" s="16" t="s">
        <v>403</v>
      </c>
      <c r="F11" s="16" t="s">
        <v>15</v>
      </c>
      <c r="G11" s="16" t="s">
        <v>404</v>
      </c>
      <c r="H11" s="16"/>
      <c r="I11" s="16"/>
      <c r="J11" s="16"/>
      <c r="K11" s="16"/>
    </row>
    <row r="12" spans="1:11" x14ac:dyDescent="0.2">
      <c r="A12" s="16" t="s">
        <v>406</v>
      </c>
      <c r="B12" s="18">
        <v>4.7000000000000002E-3</v>
      </c>
      <c r="C12" s="16" t="s">
        <v>9</v>
      </c>
      <c r="D12" s="16" t="s">
        <v>407</v>
      </c>
      <c r="E12" s="16"/>
      <c r="F12" s="16" t="s">
        <v>144</v>
      </c>
      <c r="G12" s="16"/>
      <c r="H12" s="16"/>
      <c r="I12" s="16"/>
      <c r="J12" s="16"/>
      <c r="K12" s="16"/>
    </row>
    <row r="13" spans="1:11" x14ac:dyDescent="0.2">
      <c r="A13" s="16" t="s">
        <v>408</v>
      </c>
      <c r="B13" s="19">
        <v>2.4E-2</v>
      </c>
      <c r="C13" s="16" t="s">
        <v>9</v>
      </c>
      <c r="D13" s="16" t="s">
        <v>407</v>
      </c>
      <c r="E13" s="16"/>
      <c r="F13" s="16" t="s">
        <v>144</v>
      </c>
    </row>
    <row r="15" spans="1:11" ht="16" x14ac:dyDescent="0.2">
      <c r="A15" s="15" t="s">
        <v>0</v>
      </c>
      <c r="B15" s="15" t="s">
        <v>409</v>
      </c>
      <c r="C15" s="15"/>
      <c r="D15" s="16"/>
      <c r="E15" s="16"/>
      <c r="F15" s="16"/>
      <c r="G15" s="16"/>
      <c r="H15" s="16"/>
      <c r="I15" s="16"/>
      <c r="J15" s="16"/>
      <c r="K15" s="16"/>
    </row>
    <row r="16" spans="1:11" x14ac:dyDescent="0.2">
      <c r="A16" s="16" t="s">
        <v>4</v>
      </c>
      <c r="B16" s="16" t="s">
        <v>403</v>
      </c>
      <c r="C16" s="16"/>
      <c r="D16" s="16"/>
      <c r="E16" s="16"/>
      <c r="F16" s="16"/>
      <c r="G16" s="16"/>
      <c r="H16" s="16"/>
      <c r="I16" s="16"/>
      <c r="J16" s="16"/>
      <c r="K16" s="16"/>
    </row>
    <row r="17" spans="1:11" x14ac:dyDescent="0.2">
      <c r="A17" s="16" t="s">
        <v>6</v>
      </c>
      <c r="B17" s="16">
        <v>1</v>
      </c>
      <c r="C17" s="16"/>
      <c r="D17" s="16"/>
      <c r="E17" s="16"/>
      <c r="F17" s="16"/>
      <c r="G17" s="16"/>
      <c r="H17" s="16"/>
      <c r="I17" s="16"/>
      <c r="J17" s="16"/>
      <c r="K17" s="16"/>
    </row>
    <row r="18" spans="1:11" x14ac:dyDescent="0.2">
      <c r="A18" s="16" t="s">
        <v>7</v>
      </c>
      <c r="B18" s="16" t="s">
        <v>404</v>
      </c>
      <c r="C18" s="16"/>
      <c r="D18" s="16"/>
      <c r="E18" s="16"/>
      <c r="F18" s="16"/>
      <c r="G18" s="16"/>
      <c r="H18" s="16"/>
      <c r="I18" s="16"/>
      <c r="J18" s="16"/>
      <c r="K18" s="16"/>
    </row>
    <row r="19" spans="1:11" x14ac:dyDescent="0.2">
      <c r="A19" s="16" t="s">
        <v>8</v>
      </c>
      <c r="B19" s="16" t="s">
        <v>9</v>
      </c>
      <c r="C19" s="16"/>
      <c r="D19" s="16"/>
      <c r="E19" s="16"/>
      <c r="F19" s="16"/>
      <c r="G19" s="16"/>
      <c r="H19" s="16"/>
      <c r="I19" s="16"/>
      <c r="J19" s="16"/>
      <c r="K19" s="16"/>
    </row>
    <row r="20" spans="1:11" x14ac:dyDescent="0.2">
      <c r="A20" s="16" t="s">
        <v>2</v>
      </c>
      <c r="B20" s="16" t="s">
        <v>410</v>
      </c>
      <c r="C20" s="16"/>
      <c r="D20" s="16"/>
      <c r="E20" s="16"/>
      <c r="F20" s="16"/>
      <c r="G20" s="16"/>
      <c r="H20" s="16"/>
      <c r="I20" s="16"/>
      <c r="J20" s="16"/>
      <c r="K20" s="16"/>
    </row>
    <row r="21" spans="1:11" x14ac:dyDescent="0.2">
      <c r="A21" s="17" t="s">
        <v>11</v>
      </c>
      <c r="B21" s="16"/>
      <c r="C21" s="16"/>
      <c r="D21" s="16"/>
      <c r="E21" s="16"/>
      <c r="F21" s="16"/>
      <c r="G21" s="16"/>
      <c r="H21" s="16"/>
      <c r="I21" s="16"/>
      <c r="J21" s="16"/>
      <c r="K21" s="16"/>
    </row>
    <row r="22" spans="1:11" x14ac:dyDescent="0.2">
      <c r="A22" s="16" t="s">
        <v>12</v>
      </c>
      <c r="B22" s="16" t="s">
        <v>13</v>
      </c>
      <c r="C22" s="16" t="s">
        <v>8</v>
      </c>
      <c r="D22" s="16" t="s">
        <v>136</v>
      </c>
      <c r="E22" s="16" t="s">
        <v>4</v>
      </c>
      <c r="F22" s="16" t="s">
        <v>14</v>
      </c>
      <c r="G22" s="16" t="s">
        <v>7</v>
      </c>
      <c r="H22" s="16"/>
      <c r="I22" s="16"/>
      <c r="J22" s="16"/>
      <c r="K22" s="16"/>
    </row>
    <row r="23" spans="1:11" x14ac:dyDescent="0.2">
      <c r="A23" s="16" t="s">
        <v>409</v>
      </c>
      <c r="B23" s="16">
        <v>1</v>
      </c>
      <c r="C23" s="16" t="s">
        <v>9</v>
      </c>
      <c r="D23" s="16"/>
      <c r="E23" s="16" t="s">
        <v>403</v>
      </c>
      <c r="F23" s="16" t="s">
        <v>15</v>
      </c>
      <c r="G23" s="16" t="s">
        <v>404</v>
      </c>
      <c r="H23" s="16"/>
      <c r="I23" s="16"/>
      <c r="J23" s="16"/>
      <c r="K23" s="16"/>
    </row>
    <row r="24" spans="1:11" x14ac:dyDescent="0.2">
      <c r="A24" s="16" t="s">
        <v>406</v>
      </c>
      <c r="B24" s="20">
        <v>4.7000000000000002E-3</v>
      </c>
      <c r="C24" s="16" t="s">
        <v>9</v>
      </c>
      <c r="D24" s="16" t="s">
        <v>407</v>
      </c>
      <c r="E24" s="16"/>
      <c r="F24" s="16" t="s">
        <v>144</v>
      </c>
      <c r="G24" s="16"/>
      <c r="H24" s="16"/>
      <c r="I24" s="16"/>
      <c r="J24" s="16"/>
      <c r="K24" s="16"/>
    </row>
    <row r="25" spans="1:11" x14ac:dyDescent="0.2">
      <c r="A25" s="16" t="s">
        <v>408</v>
      </c>
      <c r="B25" s="21">
        <v>2.4E-2</v>
      </c>
      <c r="C25" s="16" t="s">
        <v>9</v>
      </c>
      <c r="D25" s="16" t="s">
        <v>407</v>
      </c>
      <c r="E25" s="16"/>
      <c r="F25" s="16" t="s">
        <v>144</v>
      </c>
    </row>
    <row r="26" spans="1:11" x14ac:dyDescent="0.2">
      <c r="A26" t="s">
        <v>411</v>
      </c>
      <c r="B26" s="35">
        <f>params!F12/1000</f>
        <v>1.029231333E-4</v>
      </c>
      <c r="C26" s="16" t="s">
        <v>146</v>
      </c>
      <c r="D26" s="16" t="s">
        <v>407</v>
      </c>
      <c r="F26" s="16" t="s">
        <v>144</v>
      </c>
    </row>
    <row r="27" spans="1:11" x14ac:dyDescent="0.2">
      <c r="A27" t="s">
        <v>333</v>
      </c>
      <c r="B27" s="4">
        <f>params!F8</f>
        <v>0.35160227650000009</v>
      </c>
      <c r="C27" s="16" t="s">
        <v>116</v>
      </c>
      <c r="E27" t="s">
        <v>5</v>
      </c>
      <c r="F27" s="16" t="s">
        <v>17</v>
      </c>
      <c r="G27" t="s">
        <v>334</v>
      </c>
    </row>
    <row r="28" spans="1:11" x14ac:dyDescent="0.2">
      <c r="A28" t="s">
        <v>412</v>
      </c>
      <c r="B28" s="35">
        <f>params!F26</f>
        <v>8.6288240000000006E-4</v>
      </c>
      <c r="C28" s="16" t="s">
        <v>9</v>
      </c>
      <c r="D28" s="16" t="s">
        <v>143</v>
      </c>
      <c r="F28" s="16" t="s">
        <v>144</v>
      </c>
    </row>
    <row r="29" spans="1:11" x14ac:dyDescent="0.2">
      <c r="A29" t="s">
        <v>413</v>
      </c>
      <c r="B29" s="4">
        <f>params!F27</f>
        <v>8.9060300000000012E-5</v>
      </c>
      <c r="C29" s="16" t="s">
        <v>9</v>
      </c>
      <c r="D29" s="16" t="s">
        <v>143</v>
      </c>
      <c r="F29" s="16" t="s">
        <v>144</v>
      </c>
    </row>
    <row r="31" spans="1:11" ht="16" x14ac:dyDescent="0.2">
      <c r="A31" s="15" t="s">
        <v>0</v>
      </c>
      <c r="B31" s="15" t="s">
        <v>414</v>
      </c>
      <c r="C31" s="15"/>
      <c r="D31" s="16"/>
      <c r="E31" s="16"/>
      <c r="F31" s="16"/>
      <c r="G31" s="16"/>
      <c r="H31" s="16"/>
      <c r="I31" s="16"/>
      <c r="J31" s="16"/>
      <c r="K31" s="16"/>
    </row>
    <row r="32" spans="1:11" x14ac:dyDescent="0.2">
      <c r="A32" s="16" t="s">
        <v>4</v>
      </c>
      <c r="B32" s="16" t="s">
        <v>403</v>
      </c>
      <c r="C32" s="16"/>
      <c r="D32" s="16"/>
      <c r="E32" s="16"/>
      <c r="F32" s="16"/>
      <c r="G32" s="16"/>
      <c r="H32" s="16"/>
      <c r="I32" s="16"/>
      <c r="J32" s="16"/>
      <c r="K32" s="16"/>
    </row>
    <row r="33" spans="1:11" x14ac:dyDescent="0.2">
      <c r="A33" s="16" t="s">
        <v>6</v>
      </c>
      <c r="B33" s="16">
        <v>1</v>
      </c>
      <c r="C33" s="16"/>
      <c r="D33" s="16"/>
      <c r="E33" s="16"/>
      <c r="F33" s="16"/>
      <c r="G33" s="16"/>
      <c r="H33" s="16"/>
      <c r="I33" s="16"/>
      <c r="J33" s="16"/>
      <c r="K33" s="16"/>
    </row>
    <row r="34" spans="1:11" x14ac:dyDescent="0.2">
      <c r="A34" s="16" t="s">
        <v>7</v>
      </c>
      <c r="B34" s="16" t="s">
        <v>404</v>
      </c>
      <c r="C34" s="16"/>
      <c r="D34" s="16"/>
      <c r="E34" s="16"/>
      <c r="F34" s="16"/>
      <c r="G34" s="16"/>
      <c r="H34" s="16"/>
      <c r="I34" s="16"/>
      <c r="J34" s="16"/>
      <c r="K34" s="16"/>
    </row>
    <row r="35" spans="1:11" x14ac:dyDescent="0.2">
      <c r="A35" s="16" t="s">
        <v>8</v>
      </c>
      <c r="B35" s="16" t="s">
        <v>9</v>
      </c>
      <c r="C35" s="16"/>
      <c r="D35" s="16"/>
      <c r="E35" s="16"/>
      <c r="F35" s="16"/>
      <c r="G35" s="16"/>
      <c r="H35" s="16"/>
      <c r="I35" s="16"/>
      <c r="J35" s="16"/>
      <c r="K35" s="16"/>
    </row>
    <row r="36" spans="1:11" x14ac:dyDescent="0.2">
      <c r="A36" s="16" t="s">
        <v>2</v>
      </c>
      <c r="B36" s="16" t="s">
        <v>410</v>
      </c>
      <c r="C36" s="16"/>
      <c r="D36" s="16"/>
      <c r="E36" s="16"/>
      <c r="F36" s="16"/>
      <c r="G36" s="16"/>
      <c r="H36" s="16"/>
      <c r="I36" s="16"/>
      <c r="J36" s="16"/>
      <c r="K36" s="16"/>
    </row>
    <row r="37" spans="1:11" x14ac:dyDescent="0.2">
      <c r="A37" s="17" t="s">
        <v>11</v>
      </c>
      <c r="B37" s="16"/>
      <c r="C37" s="16"/>
      <c r="D37" s="16"/>
      <c r="E37" s="16"/>
      <c r="F37" s="16"/>
      <c r="G37" s="16"/>
      <c r="H37" s="16"/>
      <c r="I37" s="16"/>
      <c r="J37" s="16"/>
      <c r="K37" s="16"/>
    </row>
    <row r="38" spans="1:11" x14ac:dyDescent="0.2">
      <c r="A38" s="16" t="s">
        <v>12</v>
      </c>
      <c r="B38" s="16" t="s">
        <v>13</v>
      </c>
      <c r="C38" s="16" t="s">
        <v>8</v>
      </c>
      <c r="D38" s="16" t="s">
        <v>136</v>
      </c>
      <c r="E38" s="16" t="s">
        <v>4</v>
      </c>
      <c r="F38" s="16" t="s">
        <v>14</v>
      </c>
      <c r="G38" s="16" t="s">
        <v>7</v>
      </c>
      <c r="H38" s="16"/>
      <c r="I38" s="16"/>
      <c r="J38" s="16"/>
      <c r="K38" s="16"/>
    </row>
    <row r="39" spans="1:11" x14ac:dyDescent="0.2">
      <c r="A39" s="16" t="s">
        <v>414</v>
      </c>
      <c r="B39" s="16">
        <v>1</v>
      </c>
      <c r="C39" s="16" t="s">
        <v>9</v>
      </c>
      <c r="D39" s="16"/>
      <c r="E39" s="16" t="s">
        <v>403</v>
      </c>
      <c r="F39" s="16" t="s">
        <v>15</v>
      </c>
      <c r="G39" s="16" t="s">
        <v>404</v>
      </c>
      <c r="H39" s="16"/>
      <c r="I39" s="16"/>
      <c r="J39" s="16"/>
      <c r="K39" s="16"/>
    </row>
    <row r="40" spans="1:11" x14ac:dyDescent="0.2">
      <c r="A40" s="16" t="s">
        <v>406</v>
      </c>
      <c r="B40" s="18">
        <v>4.7000000000000002E-3</v>
      </c>
      <c r="C40" s="16" t="s">
        <v>9</v>
      </c>
      <c r="D40" s="16" t="s">
        <v>407</v>
      </c>
      <c r="E40" s="16"/>
      <c r="F40" s="16" t="s">
        <v>144</v>
      </c>
      <c r="G40" s="16"/>
      <c r="H40" s="16"/>
      <c r="I40" s="16"/>
      <c r="J40" s="16"/>
      <c r="K40" s="16"/>
    </row>
    <row r="41" spans="1:11" x14ac:dyDescent="0.2">
      <c r="A41" s="16" t="s">
        <v>408</v>
      </c>
      <c r="B41" s="19">
        <v>2.4E-2</v>
      </c>
      <c r="C41" s="16" t="s">
        <v>9</v>
      </c>
      <c r="D41" s="16" t="s">
        <v>407</v>
      </c>
      <c r="E41" s="16"/>
      <c r="F41" s="16" t="s">
        <v>144</v>
      </c>
    </row>
    <row r="42" spans="1:11" x14ac:dyDescent="0.2">
      <c r="A42" t="s">
        <v>411</v>
      </c>
      <c r="B42" s="18">
        <f>params!D12/1000</f>
        <v>3.1312828799999999E-5</v>
      </c>
      <c r="C42" s="16" t="s">
        <v>146</v>
      </c>
      <c r="D42" s="16" t="s">
        <v>407</v>
      </c>
      <c r="F42" s="16" t="s">
        <v>144</v>
      </c>
    </row>
    <row r="43" spans="1:11" x14ac:dyDescent="0.2">
      <c r="A43" t="s">
        <v>333</v>
      </c>
      <c r="B43" s="19">
        <f>params!D8</f>
        <v>0.10695980350000002</v>
      </c>
      <c r="C43" s="16" t="s">
        <v>116</v>
      </c>
      <c r="E43" t="s">
        <v>5</v>
      </c>
      <c r="F43" s="16" t="s">
        <v>17</v>
      </c>
      <c r="G43" t="s">
        <v>334</v>
      </c>
    </row>
    <row r="44" spans="1:11" x14ac:dyDescent="0.2">
      <c r="A44" t="s">
        <v>412</v>
      </c>
      <c r="B44" s="18">
        <f>params!D26</f>
        <v>2.6249029999999998E-4</v>
      </c>
      <c r="C44" s="16" t="s">
        <v>9</v>
      </c>
      <c r="D44" s="16" t="s">
        <v>143</v>
      </c>
      <c r="F44" s="16" t="s">
        <v>144</v>
      </c>
    </row>
    <row r="45" spans="1:11" x14ac:dyDescent="0.2">
      <c r="A45" t="s">
        <v>413</v>
      </c>
      <c r="B45" s="19">
        <f>params!D27</f>
        <v>2.7090800000000002E-5</v>
      </c>
      <c r="C45" s="16" t="s">
        <v>9</v>
      </c>
      <c r="D45" s="16" t="s">
        <v>143</v>
      </c>
      <c r="F45" s="16" t="s">
        <v>144</v>
      </c>
    </row>
    <row r="47" spans="1:11" ht="16" x14ac:dyDescent="0.2">
      <c r="A47" s="15" t="s">
        <v>0</v>
      </c>
      <c r="B47" s="15" t="s">
        <v>415</v>
      </c>
      <c r="C47" s="15"/>
      <c r="D47" s="16"/>
      <c r="E47" s="16"/>
      <c r="F47" s="16"/>
      <c r="G47" s="16"/>
      <c r="H47" s="16"/>
      <c r="I47" s="16"/>
      <c r="J47" s="16"/>
      <c r="K47" s="16"/>
    </row>
    <row r="48" spans="1:11" x14ac:dyDescent="0.2">
      <c r="A48" s="16" t="s">
        <v>4</v>
      </c>
      <c r="B48" s="16" t="s">
        <v>403</v>
      </c>
      <c r="C48" s="16"/>
      <c r="D48" s="16"/>
      <c r="E48" s="16"/>
      <c r="F48" s="16"/>
      <c r="G48" s="16"/>
      <c r="H48" s="16"/>
      <c r="I48" s="16"/>
      <c r="J48" s="16"/>
      <c r="K48" s="16"/>
    </row>
    <row r="49" spans="1:11" x14ac:dyDescent="0.2">
      <c r="A49" s="16" t="s">
        <v>6</v>
      </c>
      <c r="B49" s="16">
        <v>1</v>
      </c>
      <c r="C49" s="16"/>
      <c r="D49" s="16"/>
      <c r="E49" s="16"/>
      <c r="F49" s="16"/>
      <c r="G49" s="16"/>
      <c r="H49" s="16"/>
      <c r="I49" s="16"/>
      <c r="J49" s="16"/>
      <c r="K49" s="16"/>
    </row>
    <row r="50" spans="1:11" x14ac:dyDescent="0.2">
      <c r="A50" s="16" t="s">
        <v>7</v>
      </c>
      <c r="B50" s="16" t="s">
        <v>217</v>
      </c>
      <c r="C50" s="16"/>
      <c r="D50" s="16"/>
      <c r="E50" s="16"/>
      <c r="F50" s="16"/>
      <c r="G50" s="16"/>
      <c r="H50" s="16"/>
      <c r="I50" s="16"/>
      <c r="J50" s="16"/>
      <c r="K50" s="16"/>
    </row>
    <row r="51" spans="1:11" x14ac:dyDescent="0.2">
      <c r="A51" s="16" t="s">
        <v>8</v>
      </c>
      <c r="B51" s="16" t="s">
        <v>9</v>
      </c>
      <c r="C51" s="16"/>
      <c r="D51" s="16"/>
      <c r="E51" s="16"/>
      <c r="F51" s="16"/>
      <c r="G51" s="16"/>
      <c r="H51" s="16"/>
      <c r="I51" s="16"/>
      <c r="J51" s="16"/>
      <c r="K51" s="16"/>
    </row>
    <row r="52" spans="1:11" x14ac:dyDescent="0.2">
      <c r="A52" s="16" t="s">
        <v>2</v>
      </c>
      <c r="B52" s="16" t="s">
        <v>416</v>
      </c>
      <c r="C52" s="16"/>
      <c r="D52" s="16"/>
      <c r="E52" s="16"/>
      <c r="F52" s="16"/>
      <c r="G52" s="16"/>
      <c r="H52" s="16"/>
      <c r="I52" s="16"/>
      <c r="J52" s="16"/>
      <c r="K52" s="16"/>
    </row>
    <row r="53" spans="1:11" x14ac:dyDescent="0.2">
      <c r="A53" s="16" t="s">
        <v>493</v>
      </c>
      <c r="B53" s="36">
        <v>7.0999999999999994E-2</v>
      </c>
      <c r="C53" s="16"/>
      <c r="D53" s="16"/>
      <c r="E53" s="16"/>
      <c r="F53" s="16"/>
      <c r="G53" s="16"/>
      <c r="H53" s="16"/>
      <c r="I53" s="16"/>
      <c r="J53" s="16"/>
      <c r="K53" s="16"/>
    </row>
    <row r="54" spans="1:11" x14ac:dyDescent="0.2">
      <c r="A54" s="17" t="s">
        <v>11</v>
      </c>
      <c r="B54" s="16"/>
      <c r="C54" s="16"/>
      <c r="D54" s="16"/>
      <c r="E54" s="16"/>
      <c r="F54" s="16"/>
      <c r="G54" s="16"/>
      <c r="H54" s="16"/>
      <c r="I54" s="16"/>
      <c r="J54" s="16"/>
      <c r="K54" s="16"/>
    </row>
    <row r="55" spans="1:11" x14ac:dyDescent="0.2">
      <c r="A55" s="16" t="s">
        <v>12</v>
      </c>
      <c r="B55" s="16" t="s">
        <v>13</v>
      </c>
      <c r="C55" s="16" t="s">
        <v>8</v>
      </c>
      <c r="D55" s="16" t="s">
        <v>136</v>
      </c>
      <c r="E55" s="16" t="s">
        <v>4</v>
      </c>
      <c r="F55" s="16" t="s">
        <v>14</v>
      </c>
      <c r="G55" s="16" t="s">
        <v>7</v>
      </c>
      <c r="H55" s="16"/>
      <c r="I55" s="16"/>
      <c r="J55" s="16"/>
      <c r="K55" s="16"/>
    </row>
    <row r="56" spans="1:11" x14ac:dyDescent="0.2">
      <c r="A56" s="16" t="s">
        <v>415</v>
      </c>
      <c r="B56" s="16">
        <v>1</v>
      </c>
      <c r="C56" s="16" t="s">
        <v>9</v>
      </c>
      <c r="D56" s="16"/>
      <c r="E56" s="16" t="s">
        <v>403</v>
      </c>
      <c r="F56" s="16" t="s">
        <v>15</v>
      </c>
      <c r="G56" s="16" t="s">
        <v>217</v>
      </c>
      <c r="H56" s="16"/>
      <c r="I56" s="16"/>
      <c r="J56" s="16"/>
      <c r="K56" s="16"/>
    </row>
    <row r="57" spans="1:11" x14ac:dyDescent="0.2">
      <c r="A57" s="16" t="s">
        <v>402</v>
      </c>
      <c r="B57" s="22">
        <f>0.2*params!M30/params!M34</f>
        <v>13.391179078014183</v>
      </c>
      <c r="C57" s="16" t="s">
        <v>9</v>
      </c>
      <c r="D57" s="16"/>
      <c r="E57" s="16" t="s">
        <v>403</v>
      </c>
      <c r="F57" s="16" t="s">
        <v>17</v>
      </c>
      <c r="G57" s="16" t="s">
        <v>404</v>
      </c>
    </row>
    <row r="58" spans="1:11" x14ac:dyDescent="0.2">
      <c r="A58" s="16" t="s">
        <v>414</v>
      </c>
      <c r="B58" s="22">
        <f>0.8*params!M30/params!M34</f>
        <v>53.564716312056731</v>
      </c>
      <c r="C58" s="16" t="s">
        <v>9</v>
      </c>
      <c r="D58" s="16"/>
      <c r="E58" s="16" t="s">
        <v>403</v>
      </c>
      <c r="F58" s="16" t="s">
        <v>17</v>
      </c>
      <c r="G58" s="16" t="s">
        <v>404</v>
      </c>
    </row>
    <row r="59" spans="1:11" x14ac:dyDescent="0.2">
      <c r="A59" s="16" t="s">
        <v>417</v>
      </c>
      <c r="B59" s="23">
        <f>params!E9</f>
        <v>0.68783069444444445</v>
      </c>
      <c r="C59" s="16" t="s">
        <v>47</v>
      </c>
      <c r="E59" s="16" t="s">
        <v>403</v>
      </c>
      <c r="F59" s="16" t="s">
        <v>17</v>
      </c>
      <c r="G59" s="16" t="s">
        <v>48</v>
      </c>
    </row>
    <row r="60" spans="1:11" x14ac:dyDescent="0.2">
      <c r="A60" t="s">
        <v>418</v>
      </c>
      <c r="B60" s="23">
        <f>params!E16</f>
        <v>0.1197</v>
      </c>
      <c r="C60" s="16" t="s">
        <v>9</v>
      </c>
      <c r="E60" s="16" t="s">
        <v>28</v>
      </c>
      <c r="F60" s="16" t="s">
        <v>17</v>
      </c>
      <c r="G60" t="s">
        <v>419</v>
      </c>
    </row>
    <row r="61" spans="1:11" x14ac:dyDescent="0.2">
      <c r="A61" t="s">
        <v>420</v>
      </c>
      <c r="B61" s="22">
        <f>params!E15</f>
        <v>0.32829999999999998</v>
      </c>
      <c r="C61" s="16" t="s">
        <v>9</v>
      </c>
      <c r="E61" s="16" t="s">
        <v>28</v>
      </c>
      <c r="F61" s="16" t="s">
        <v>17</v>
      </c>
      <c r="G61" t="s">
        <v>421</v>
      </c>
    </row>
    <row r="62" spans="1:11" x14ac:dyDescent="0.2">
      <c r="A62" t="s">
        <v>422</v>
      </c>
      <c r="B62" s="22">
        <f>params!E18</f>
        <v>1.435E-2</v>
      </c>
      <c r="C62" s="16" t="s">
        <v>9</v>
      </c>
      <c r="E62" s="16" t="s">
        <v>5</v>
      </c>
      <c r="F62" s="16" t="s">
        <v>17</v>
      </c>
      <c r="G62" t="s">
        <v>423</v>
      </c>
    </row>
    <row r="63" spans="1:11" x14ac:dyDescent="0.2">
      <c r="A63" t="s">
        <v>149</v>
      </c>
      <c r="B63" s="22">
        <f>params!E17</f>
        <v>1.435E-2</v>
      </c>
      <c r="C63" s="16" t="s">
        <v>9</v>
      </c>
      <c r="E63" s="16" t="s">
        <v>5</v>
      </c>
      <c r="F63" s="16" t="s">
        <v>17</v>
      </c>
      <c r="G63" t="s">
        <v>150</v>
      </c>
    </row>
    <row r="64" spans="1:11" x14ac:dyDescent="0.2">
      <c r="A64" t="s">
        <v>424</v>
      </c>
      <c r="B64" s="22">
        <f>params!E14</f>
        <v>0.25234999999999996</v>
      </c>
      <c r="C64" s="16" t="s">
        <v>9</v>
      </c>
      <c r="E64" s="16" t="s">
        <v>5</v>
      </c>
      <c r="F64" s="16" t="s">
        <v>17</v>
      </c>
      <c r="G64" t="s">
        <v>425</v>
      </c>
    </row>
    <row r="65" spans="1:11" x14ac:dyDescent="0.2">
      <c r="A65" t="s">
        <v>426</v>
      </c>
      <c r="B65" s="23">
        <v>2.7</v>
      </c>
      <c r="C65" s="16" t="s">
        <v>54</v>
      </c>
      <c r="E65" s="16" t="s">
        <v>5</v>
      </c>
      <c r="F65" s="16" t="s">
        <v>17</v>
      </c>
      <c r="G65" t="s">
        <v>57</v>
      </c>
    </row>
    <row r="66" spans="1:11" x14ac:dyDescent="0.2">
      <c r="A66" t="s">
        <v>427</v>
      </c>
      <c r="B66" s="22">
        <v>13</v>
      </c>
      <c r="C66" s="16" t="s">
        <v>54</v>
      </c>
      <c r="E66" s="16" t="s">
        <v>5</v>
      </c>
      <c r="F66" s="16" t="s">
        <v>17</v>
      </c>
      <c r="G66" t="s">
        <v>428</v>
      </c>
    </row>
    <row r="67" spans="1:11" x14ac:dyDescent="0.2">
      <c r="A67" t="s">
        <v>411</v>
      </c>
      <c r="B67" s="22">
        <f>params!E12/1000</f>
        <v>1.1920035329999999E-2</v>
      </c>
      <c r="C67" s="16" t="s">
        <v>146</v>
      </c>
      <c r="D67" s="16" t="s">
        <v>407</v>
      </c>
      <c r="F67" s="16" t="s">
        <v>144</v>
      </c>
    </row>
    <row r="68" spans="1:11" x14ac:dyDescent="0.2">
      <c r="A68" t="s">
        <v>227</v>
      </c>
      <c r="B68" s="22">
        <f>params!E28</f>
        <v>2.3012499999999999E-3</v>
      </c>
      <c r="C68" s="16" t="s">
        <v>9</v>
      </c>
      <c r="D68" t="s">
        <v>143</v>
      </c>
      <c r="F68" s="16" t="s">
        <v>144</v>
      </c>
    </row>
    <row r="69" spans="1:11" x14ac:dyDescent="0.2">
      <c r="A69" t="s">
        <v>429</v>
      </c>
      <c r="B69" s="22">
        <v>-22</v>
      </c>
      <c r="C69" s="16" t="s">
        <v>9</v>
      </c>
      <c r="E69" s="16" t="s">
        <v>5</v>
      </c>
      <c r="F69" s="16" t="s">
        <v>17</v>
      </c>
      <c r="G69" t="s">
        <v>385</v>
      </c>
    </row>
    <row r="70" spans="1:11" x14ac:dyDescent="0.2">
      <c r="A70" t="s">
        <v>430</v>
      </c>
      <c r="B70" s="22">
        <v>-22</v>
      </c>
      <c r="C70" s="16" t="s">
        <v>9</v>
      </c>
      <c r="E70" s="16" t="s">
        <v>431</v>
      </c>
      <c r="F70" s="16" t="s">
        <v>17</v>
      </c>
      <c r="G70" t="s">
        <v>432</v>
      </c>
    </row>
    <row r="71" spans="1:11" x14ac:dyDescent="0.2">
      <c r="B71" s="16"/>
      <c r="C71" s="16"/>
      <c r="E71" s="16"/>
      <c r="F71" s="16"/>
    </row>
    <row r="72" spans="1:11" ht="16" x14ac:dyDescent="0.2">
      <c r="A72" s="15" t="s">
        <v>0</v>
      </c>
      <c r="B72" s="15" t="s">
        <v>433</v>
      </c>
      <c r="C72" s="15"/>
      <c r="D72" s="16"/>
      <c r="E72" s="16"/>
      <c r="F72" s="16"/>
      <c r="G72" s="16"/>
      <c r="H72" s="16"/>
      <c r="I72" s="16"/>
      <c r="J72" s="16"/>
      <c r="K72" s="16"/>
    </row>
    <row r="73" spans="1:11" x14ac:dyDescent="0.2">
      <c r="A73" s="16" t="s">
        <v>4</v>
      </c>
      <c r="B73" s="16" t="s">
        <v>403</v>
      </c>
      <c r="C73" s="16"/>
      <c r="D73" s="16"/>
      <c r="E73" s="16"/>
      <c r="F73" s="16"/>
      <c r="G73" s="16"/>
      <c r="H73" s="16"/>
      <c r="I73" s="16"/>
      <c r="J73" s="16"/>
      <c r="K73" s="16"/>
    </row>
    <row r="74" spans="1:11" x14ac:dyDescent="0.2">
      <c r="A74" s="16" t="s">
        <v>6</v>
      </c>
      <c r="B74" s="16">
        <v>1</v>
      </c>
      <c r="C74" s="16"/>
      <c r="D74" s="16"/>
      <c r="E74" s="16"/>
      <c r="F74" s="16"/>
      <c r="G74" s="16"/>
      <c r="H74" s="16"/>
      <c r="I74" s="16"/>
      <c r="J74" s="16"/>
      <c r="K74" s="16"/>
    </row>
    <row r="75" spans="1:11" x14ac:dyDescent="0.2">
      <c r="A75" s="16" t="s">
        <v>7</v>
      </c>
      <c r="B75" s="16" t="s">
        <v>217</v>
      </c>
      <c r="C75" s="16"/>
      <c r="D75" s="16"/>
      <c r="E75" s="16"/>
      <c r="F75" s="16"/>
      <c r="G75" s="16"/>
      <c r="H75" s="16"/>
      <c r="I75" s="16"/>
      <c r="J75" s="16"/>
      <c r="K75" s="16"/>
    </row>
    <row r="76" spans="1:11" x14ac:dyDescent="0.2">
      <c r="A76" s="16" t="s">
        <v>8</v>
      </c>
      <c r="B76" s="16" t="s">
        <v>9</v>
      </c>
      <c r="C76" s="16"/>
      <c r="D76" s="16"/>
      <c r="E76" s="16"/>
      <c r="F76" s="16"/>
      <c r="G76" s="16"/>
      <c r="H76" s="16"/>
      <c r="I76" s="16"/>
      <c r="J76" s="16"/>
      <c r="K76" s="16"/>
    </row>
    <row r="77" spans="1:11" x14ac:dyDescent="0.2">
      <c r="A77" s="16" t="s">
        <v>2</v>
      </c>
      <c r="B77" s="16" t="s">
        <v>434</v>
      </c>
      <c r="C77" s="16"/>
      <c r="D77" s="16"/>
      <c r="E77" s="16"/>
      <c r="F77" s="16"/>
      <c r="G77" s="16"/>
      <c r="H77" s="16"/>
      <c r="I77" s="16"/>
      <c r="J77" s="16"/>
      <c r="K77" s="16"/>
    </row>
    <row r="78" spans="1:11" x14ac:dyDescent="0.2">
      <c r="A78" s="16" t="s">
        <v>494</v>
      </c>
      <c r="B78" s="37">
        <v>0.31</v>
      </c>
      <c r="C78" s="16"/>
      <c r="D78" s="16"/>
      <c r="E78" s="16"/>
      <c r="F78" s="16"/>
      <c r="G78" s="16"/>
      <c r="H78" s="16"/>
      <c r="I78" s="16"/>
      <c r="J78" s="16"/>
      <c r="K78" s="16"/>
    </row>
    <row r="79" spans="1:11" x14ac:dyDescent="0.2">
      <c r="A79" s="17" t="s">
        <v>11</v>
      </c>
      <c r="B79" s="16"/>
      <c r="C79" s="16"/>
      <c r="D79" s="16"/>
      <c r="E79" s="16"/>
      <c r="F79" s="16"/>
      <c r="G79" s="16"/>
      <c r="H79" s="16"/>
      <c r="I79" s="16"/>
      <c r="J79" s="16"/>
      <c r="K79" s="16"/>
    </row>
    <row r="80" spans="1:11" x14ac:dyDescent="0.2">
      <c r="A80" s="16" t="s">
        <v>12</v>
      </c>
      <c r="B80" s="16" t="s">
        <v>13</v>
      </c>
      <c r="C80" s="16" t="s">
        <v>8</v>
      </c>
      <c r="D80" s="16" t="s">
        <v>136</v>
      </c>
      <c r="E80" s="16" t="s">
        <v>4</v>
      </c>
      <c r="F80" s="16" t="s">
        <v>14</v>
      </c>
      <c r="G80" s="16" t="s">
        <v>7</v>
      </c>
      <c r="H80" s="16"/>
      <c r="I80" s="16"/>
      <c r="J80" s="16"/>
      <c r="K80" s="16"/>
    </row>
    <row r="81" spans="1:11" x14ac:dyDescent="0.2">
      <c r="A81" s="16" t="s">
        <v>433</v>
      </c>
      <c r="B81" s="16">
        <v>1</v>
      </c>
      <c r="C81" s="16" t="s">
        <v>9</v>
      </c>
      <c r="D81" s="16"/>
      <c r="E81" s="16" t="s">
        <v>403</v>
      </c>
      <c r="F81" s="16" t="s">
        <v>15</v>
      </c>
      <c r="G81" s="16" t="s">
        <v>217</v>
      </c>
      <c r="H81" s="16"/>
      <c r="I81" s="16"/>
      <c r="J81" s="16"/>
      <c r="K81" s="16"/>
    </row>
    <row r="82" spans="1:11" x14ac:dyDescent="0.2">
      <c r="A82" s="16" t="s">
        <v>402</v>
      </c>
      <c r="B82" s="22">
        <f>0.2*params!M31/params!M34</f>
        <v>58.468528368794331</v>
      </c>
      <c r="C82" s="16" t="s">
        <v>9</v>
      </c>
      <c r="D82" s="16"/>
      <c r="E82" s="16" t="s">
        <v>403</v>
      </c>
      <c r="F82" s="16" t="s">
        <v>17</v>
      </c>
      <c r="G82" s="16" t="s">
        <v>404</v>
      </c>
    </row>
    <row r="83" spans="1:11" x14ac:dyDescent="0.2">
      <c r="A83" s="16" t="s">
        <v>409</v>
      </c>
      <c r="B83" s="22">
        <f>0.8*params!M31/params!M34</f>
        <v>233.87411347517732</v>
      </c>
      <c r="C83" s="16" t="s">
        <v>9</v>
      </c>
      <c r="D83" s="16"/>
      <c r="E83" s="16" t="s">
        <v>403</v>
      </c>
      <c r="F83" s="16" t="s">
        <v>17</v>
      </c>
      <c r="G83" s="16" t="s">
        <v>404</v>
      </c>
    </row>
    <row r="84" spans="1:11" x14ac:dyDescent="0.2">
      <c r="A84" s="16" t="s">
        <v>417</v>
      </c>
      <c r="B84" s="22">
        <f>params!G9</f>
        <v>3.0086695138888886</v>
      </c>
      <c r="C84" s="16" t="s">
        <v>47</v>
      </c>
      <c r="E84" s="16" t="s">
        <v>403</v>
      </c>
      <c r="F84" s="16" t="s">
        <v>17</v>
      </c>
      <c r="G84" s="16" t="s">
        <v>48</v>
      </c>
    </row>
    <row r="85" spans="1:11" x14ac:dyDescent="0.2">
      <c r="A85" t="s">
        <v>418</v>
      </c>
      <c r="B85" s="23">
        <f>params!G16</f>
        <v>0.52289999999999992</v>
      </c>
      <c r="C85" s="16" t="s">
        <v>9</v>
      </c>
      <c r="E85" s="16" t="s">
        <v>28</v>
      </c>
      <c r="F85" s="16" t="s">
        <v>17</v>
      </c>
      <c r="G85" t="s">
        <v>419</v>
      </c>
    </row>
    <row r="86" spans="1:11" x14ac:dyDescent="0.2">
      <c r="A86" t="s">
        <v>420</v>
      </c>
      <c r="B86" s="22">
        <f>params!G15</f>
        <v>1.4357</v>
      </c>
      <c r="C86" s="16" t="s">
        <v>9</v>
      </c>
      <c r="E86" s="16" t="s">
        <v>28</v>
      </c>
      <c r="F86" s="16" t="s">
        <v>17</v>
      </c>
      <c r="G86" t="s">
        <v>421</v>
      </c>
    </row>
    <row r="87" spans="1:11" x14ac:dyDescent="0.2">
      <c r="A87" t="s">
        <v>422</v>
      </c>
      <c r="B87" s="22">
        <f>params!G18</f>
        <v>0.41125</v>
      </c>
      <c r="C87" s="16" t="s">
        <v>9</v>
      </c>
      <c r="E87" s="16" t="s">
        <v>5</v>
      </c>
      <c r="F87" s="16" t="s">
        <v>17</v>
      </c>
      <c r="G87" t="s">
        <v>423</v>
      </c>
    </row>
    <row r="88" spans="1:11" x14ac:dyDescent="0.2">
      <c r="A88" t="s">
        <v>149</v>
      </c>
      <c r="B88" s="22">
        <f>params!G17</f>
        <v>6.3E-2</v>
      </c>
      <c r="C88" s="16" t="s">
        <v>9</v>
      </c>
      <c r="E88" s="16" t="s">
        <v>5</v>
      </c>
      <c r="F88" s="16" t="s">
        <v>17</v>
      </c>
      <c r="G88" t="s">
        <v>150</v>
      </c>
    </row>
    <row r="89" spans="1:11" x14ac:dyDescent="0.2">
      <c r="A89" t="s">
        <v>424</v>
      </c>
      <c r="B89" s="22">
        <f>params!G14</f>
        <v>1.10355</v>
      </c>
      <c r="C89" s="16" t="s">
        <v>9</v>
      </c>
      <c r="E89" s="16" t="s">
        <v>5</v>
      </c>
      <c r="F89" s="16" t="s">
        <v>17</v>
      </c>
      <c r="G89" t="s">
        <v>425</v>
      </c>
    </row>
    <row r="90" spans="1:11" x14ac:dyDescent="0.2">
      <c r="A90" t="s">
        <v>426</v>
      </c>
      <c r="B90" s="23">
        <v>2.7</v>
      </c>
      <c r="C90" s="16" t="s">
        <v>54</v>
      </c>
      <c r="E90" s="16" t="s">
        <v>5</v>
      </c>
      <c r="F90" s="16" t="s">
        <v>17</v>
      </c>
      <c r="G90" t="s">
        <v>57</v>
      </c>
    </row>
    <row r="91" spans="1:11" x14ac:dyDescent="0.2">
      <c r="A91" t="s">
        <v>427</v>
      </c>
      <c r="B91" s="22">
        <v>13</v>
      </c>
      <c r="C91" s="16" t="s">
        <v>54</v>
      </c>
      <c r="E91" s="16" t="s">
        <v>5</v>
      </c>
      <c r="F91" s="16" t="s">
        <v>17</v>
      </c>
      <c r="G91" t="s">
        <v>428</v>
      </c>
    </row>
    <row r="92" spans="1:11" x14ac:dyDescent="0.2">
      <c r="A92" t="s">
        <v>411</v>
      </c>
      <c r="B92" s="22">
        <f>params!G12/1000</f>
        <v>5.2141045950000006E-2</v>
      </c>
      <c r="C92" s="16" t="s">
        <v>146</v>
      </c>
      <c r="D92" s="16" t="s">
        <v>407</v>
      </c>
      <c r="F92" s="16" t="s">
        <v>144</v>
      </c>
    </row>
    <row r="93" spans="1:11" x14ac:dyDescent="0.2">
      <c r="A93" t="s">
        <v>227</v>
      </c>
      <c r="B93" s="22">
        <f>params!G28</f>
        <v>1.0066E-2</v>
      </c>
      <c r="C93" s="16" t="s">
        <v>9</v>
      </c>
      <c r="D93" t="s">
        <v>143</v>
      </c>
      <c r="F93" s="16" t="s">
        <v>144</v>
      </c>
    </row>
    <row r="94" spans="1:11" x14ac:dyDescent="0.2">
      <c r="A94" t="s">
        <v>429</v>
      </c>
      <c r="B94" s="22">
        <v>-22</v>
      </c>
      <c r="C94" s="16" t="s">
        <v>9</v>
      </c>
      <c r="E94" s="16" t="s">
        <v>5</v>
      </c>
      <c r="F94" s="16" t="s">
        <v>17</v>
      </c>
      <c r="G94" t="s">
        <v>385</v>
      </c>
    </row>
    <row r="95" spans="1:11" x14ac:dyDescent="0.2">
      <c r="A95" t="s">
        <v>430</v>
      </c>
      <c r="B95" s="22">
        <v>-22</v>
      </c>
      <c r="C95" s="16" t="s">
        <v>9</v>
      </c>
      <c r="E95" s="16" t="s">
        <v>431</v>
      </c>
      <c r="F95" s="16" t="s">
        <v>17</v>
      </c>
      <c r="G95" t="s">
        <v>432</v>
      </c>
    </row>
    <row r="96" spans="1:11" x14ac:dyDescent="0.2">
      <c r="B96" s="16"/>
      <c r="C96" s="16"/>
      <c r="E96" s="16"/>
      <c r="F96" s="16"/>
    </row>
    <row r="97" spans="1:7" ht="16" x14ac:dyDescent="0.2">
      <c r="A97" s="1" t="s">
        <v>0</v>
      </c>
      <c r="B97" s="1" t="s">
        <v>435</v>
      </c>
    </row>
    <row r="98" spans="1:7" x14ac:dyDescent="0.2">
      <c r="A98" t="s">
        <v>2</v>
      </c>
      <c r="B98" t="s">
        <v>3</v>
      </c>
    </row>
    <row r="99" spans="1:7" x14ac:dyDescent="0.2">
      <c r="A99" t="s">
        <v>4</v>
      </c>
      <c r="B99" t="s">
        <v>148</v>
      </c>
    </row>
    <row r="100" spans="1:7" x14ac:dyDescent="0.2">
      <c r="A100" t="s">
        <v>6</v>
      </c>
      <c r="B100">
        <v>1</v>
      </c>
    </row>
    <row r="101" spans="1:7" x14ac:dyDescent="0.2">
      <c r="A101" t="s">
        <v>7</v>
      </c>
      <c r="B101" t="s">
        <v>151</v>
      </c>
    </row>
    <row r="102" spans="1:7" x14ac:dyDescent="0.2">
      <c r="A102" t="s">
        <v>8</v>
      </c>
      <c r="B102" t="s">
        <v>9</v>
      </c>
    </row>
    <row r="103" spans="1:7" x14ac:dyDescent="0.2">
      <c r="A103" t="s">
        <v>10</v>
      </c>
      <c r="B103" t="s">
        <v>436</v>
      </c>
    </row>
    <row r="104" spans="1:7" x14ac:dyDescent="0.2">
      <c r="A104" t="s">
        <v>437</v>
      </c>
      <c r="B104">
        <v>0.38</v>
      </c>
    </row>
    <row r="105" spans="1:7" x14ac:dyDescent="0.2">
      <c r="A105" s="3" t="s">
        <v>11</v>
      </c>
    </row>
    <row r="106" spans="1:7" x14ac:dyDescent="0.2">
      <c r="A106" t="s">
        <v>12</v>
      </c>
      <c r="B106" t="s">
        <v>13</v>
      </c>
      <c r="C106" t="s">
        <v>8</v>
      </c>
      <c r="D106" t="s">
        <v>136</v>
      </c>
      <c r="E106" t="s">
        <v>4</v>
      </c>
      <c r="F106" t="s">
        <v>14</v>
      </c>
      <c r="G106" t="s">
        <v>7</v>
      </c>
    </row>
    <row r="107" spans="1:7" x14ac:dyDescent="0.2">
      <c r="A107" t="s">
        <v>435</v>
      </c>
      <c r="B107">
        <v>1</v>
      </c>
      <c r="C107" t="s">
        <v>9</v>
      </c>
      <c r="E107" t="s">
        <v>148</v>
      </c>
      <c r="F107" t="s">
        <v>15</v>
      </c>
      <c r="G107" t="s">
        <v>151</v>
      </c>
    </row>
    <row r="108" spans="1:7" x14ac:dyDescent="0.2">
      <c r="A108" t="s">
        <v>415</v>
      </c>
      <c r="B108" s="23">
        <f>2.86*B104</f>
        <v>1.0868</v>
      </c>
      <c r="C108" t="s">
        <v>9</v>
      </c>
      <c r="E108" t="s">
        <v>403</v>
      </c>
      <c r="F108" t="s">
        <v>17</v>
      </c>
      <c r="G108" t="s">
        <v>217</v>
      </c>
    </row>
    <row r="109" spans="1:7" x14ac:dyDescent="0.2">
      <c r="A109" t="s">
        <v>438</v>
      </c>
      <c r="B109" s="23">
        <f>params!$H$10</f>
        <v>10.759354200000001</v>
      </c>
      <c r="C109" t="s">
        <v>116</v>
      </c>
      <c r="E109" t="s">
        <v>28</v>
      </c>
      <c r="F109" t="s">
        <v>17</v>
      </c>
      <c r="G109" t="s">
        <v>283</v>
      </c>
    </row>
    <row r="110" spans="1:7" x14ac:dyDescent="0.2">
      <c r="A110" t="s">
        <v>46</v>
      </c>
      <c r="B110" s="23">
        <f>params!$H$9</f>
        <v>1.1514738888888889</v>
      </c>
      <c r="C110" t="s">
        <v>47</v>
      </c>
      <c r="E110" t="s">
        <v>148</v>
      </c>
      <c r="F110" t="s">
        <v>17</v>
      </c>
      <c r="G110" t="s">
        <v>48</v>
      </c>
    </row>
    <row r="111" spans="1:7" x14ac:dyDescent="0.2">
      <c r="A111" t="s">
        <v>27</v>
      </c>
      <c r="B111" s="23">
        <f>params!$H$12</f>
        <v>18.832213584000002</v>
      </c>
      <c r="C111" t="s">
        <v>9</v>
      </c>
      <c r="E111" t="s">
        <v>28</v>
      </c>
      <c r="F111" t="s">
        <v>17</v>
      </c>
      <c r="G111" t="s">
        <v>29</v>
      </c>
    </row>
    <row r="112" spans="1:7" x14ac:dyDescent="0.2">
      <c r="A112" t="s">
        <v>149</v>
      </c>
      <c r="B112" s="23">
        <f>params!$H$17</f>
        <v>1.0392999999999999</v>
      </c>
      <c r="C112" t="s">
        <v>9</v>
      </c>
      <c r="E112" t="s">
        <v>5</v>
      </c>
      <c r="F112" t="s">
        <v>17</v>
      </c>
      <c r="G112" t="s">
        <v>150</v>
      </c>
    </row>
    <row r="113" spans="1:7" x14ac:dyDescent="0.2">
      <c r="A113" t="s">
        <v>184</v>
      </c>
      <c r="B113" s="23">
        <f>params!$H$19</f>
        <v>0.97659999999999991</v>
      </c>
      <c r="C113" t="s">
        <v>9</v>
      </c>
      <c r="E113" t="s">
        <v>28</v>
      </c>
      <c r="F113" t="s">
        <v>17</v>
      </c>
      <c r="G113" t="s">
        <v>185</v>
      </c>
    </row>
    <row r="114" spans="1:7" x14ac:dyDescent="0.2">
      <c r="A114" t="s">
        <v>212</v>
      </c>
      <c r="B114" s="23">
        <f>params!$H$20</f>
        <v>0.53542000000000001</v>
      </c>
      <c r="C114" t="s">
        <v>9</v>
      </c>
      <c r="E114" t="s">
        <v>28</v>
      </c>
      <c r="F114" t="s">
        <v>17</v>
      </c>
      <c r="G114" t="s">
        <v>213</v>
      </c>
    </row>
    <row r="115" spans="1:7" x14ac:dyDescent="0.2">
      <c r="A115" t="s">
        <v>210</v>
      </c>
      <c r="B115" s="23">
        <f>params!$H$15</f>
        <v>2.128E-2</v>
      </c>
      <c r="C115" t="s">
        <v>9</v>
      </c>
      <c r="E115" t="s">
        <v>28</v>
      </c>
      <c r="F115" t="s">
        <v>17</v>
      </c>
      <c r="G115" t="s">
        <v>211</v>
      </c>
    </row>
    <row r="116" spans="1:7" x14ac:dyDescent="0.2">
      <c r="A116" t="s">
        <v>358</v>
      </c>
      <c r="B116" s="23">
        <f>params!$H$16</f>
        <v>8.3599999999999994E-3</v>
      </c>
      <c r="C116" t="s">
        <v>9</v>
      </c>
      <c r="E116" t="s">
        <v>28</v>
      </c>
      <c r="F116" t="s">
        <v>17</v>
      </c>
      <c r="G116" t="s">
        <v>359</v>
      </c>
    </row>
    <row r="117" spans="1:7" x14ac:dyDescent="0.2">
      <c r="A117" t="s">
        <v>214</v>
      </c>
      <c r="B117" s="23">
        <f>params!$H$21</f>
        <v>1.7860000000000001E-2</v>
      </c>
      <c r="C117" t="s">
        <v>9</v>
      </c>
      <c r="E117" t="s">
        <v>28</v>
      </c>
      <c r="F117" t="s">
        <v>17</v>
      </c>
      <c r="G117" t="s">
        <v>215</v>
      </c>
    </row>
    <row r="118" spans="1:7" x14ac:dyDescent="0.2">
      <c r="A118" t="s">
        <v>216</v>
      </c>
      <c r="B118" s="23">
        <f>params!$H$22</f>
        <v>3.04E-2</v>
      </c>
      <c r="C118" t="s">
        <v>9</v>
      </c>
      <c r="E118" t="s">
        <v>5</v>
      </c>
      <c r="F118" t="s">
        <v>17</v>
      </c>
      <c r="G118" t="s">
        <v>216</v>
      </c>
    </row>
    <row r="119" spans="1:7" x14ac:dyDescent="0.2">
      <c r="A119" t="s">
        <v>439</v>
      </c>
      <c r="B119" s="23">
        <f>params!$H$23</f>
        <v>0.21811999999999998</v>
      </c>
      <c r="C119" t="s">
        <v>9</v>
      </c>
      <c r="E119" t="s">
        <v>28</v>
      </c>
      <c r="F119" t="s">
        <v>17</v>
      </c>
      <c r="G119" t="s">
        <v>440</v>
      </c>
    </row>
    <row r="120" spans="1:7" x14ac:dyDescent="0.2">
      <c r="A120" t="s">
        <v>441</v>
      </c>
      <c r="B120" s="23">
        <f>params!$H$24</f>
        <v>3.3439999999999998E-2</v>
      </c>
      <c r="C120" t="s">
        <v>9</v>
      </c>
      <c r="E120" t="s">
        <v>5</v>
      </c>
      <c r="F120" t="s">
        <v>17</v>
      </c>
      <c r="G120" t="s">
        <v>442</v>
      </c>
    </row>
    <row r="121" spans="1:7" x14ac:dyDescent="0.2">
      <c r="A121" t="s">
        <v>128</v>
      </c>
      <c r="B121" s="23">
        <v>3.2859232000000002E-2</v>
      </c>
      <c r="C121" t="s">
        <v>54</v>
      </c>
      <c r="E121" t="s">
        <v>28</v>
      </c>
      <c r="F121" t="s">
        <v>17</v>
      </c>
      <c r="G121" t="s">
        <v>61</v>
      </c>
    </row>
    <row r="122" spans="1:7" x14ac:dyDescent="0.2">
      <c r="A122" t="s">
        <v>137</v>
      </c>
      <c r="B122" s="23">
        <v>2.6585139999999998E-3</v>
      </c>
      <c r="C122" t="s">
        <v>54</v>
      </c>
      <c r="E122" t="s">
        <v>28</v>
      </c>
      <c r="F122" t="s">
        <v>17</v>
      </c>
      <c r="G122" t="s">
        <v>138</v>
      </c>
    </row>
    <row r="123" spans="1:7" x14ac:dyDescent="0.2">
      <c r="A123" t="s">
        <v>56</v>
      </c>
      <c r="B123" s="23">
        <v>2.2225175999999999E-2</v>
      </c>
      <c r="C123" t="s">
        <v>54</v>
      </c>
      <c r="E123" t="s">
        <v>28</v>
      </c>
      <c r="F123" t="s">
        <v>17</v>
      </c>
      <c r="G123" t="s">
        <v>57</v>
      </c>
    </row>
    <row r="124" spans="1:7" x14ac:dyDescent="0.2">
      <c r="A124" t="s">
        <v>62</v>
      </c>
      <c r="B124" s="23">
        <v>6.3697992999999994E-2</v>
      </c>
      <c r="C124" t="s">
        <v>54</v>
      </c>
      <c r="E124" t="s">
        <v>5</v>
      </c>
      <c r="F124" t="s">
        <v>17</v>
      </c>
      <c r="G124" t="s">
        <v>63</v>
      </c>
    </row>
    <row r="125" spans="1:7" x14ac:dyDescent="0.2">
      <c r="A125" t="s">
        <v>208</v>
      </c>
      <c r="B125" s="23">
        <v>-1.0035100616353101</v>
      </c>
      <c r="C125" t="s">
        <v>9</v>
      </c>
      <c r="E125" t="s">
        <v>28</v>
      </c>
      <c r="F125" t="s">
        <v>17</v>
      </c>
      <c r="G125" t="s">
        <v>209</v>
      </c>
    </row>
    <row r="126" spans="1:7" x14ac:dyDescent="0.2">
      <c r="A126" t="s">
        <v>158</v>
      </c>
      <c r="B126" s="23">
        <v>-1.88412598664482E-2</v>
      </c>
      <c r="C126" t="s">
        <v>146</v>
      </c>
      <c r="E126" t="s">
        <v>28</v>
      </c>
      <c r="F126" t="s">
        <v>17</v>
      </c>
      <c r="G126" t="s">
        <v>159</v>
      </c>
    </row>
    <row r="127" spans="1:7" x14ac:dyDescent="0.2">
      <c r="A127" t="s">
        <v>126</v>
      </c>
      <c r="B127" s="23">
        <v>4.0000000000000001E-10</v>
      </c>
      <c r="C127" t="s">
        <v>8</v>
      </c>
      <c r="E127" t="s">
        <v>5</v>
      </c>
      <c r="F127" t="s">
        <v>17</v>
      </c>
      <c r="G127" t="s">
        <v>127</v>
      </c>
    </row>
    <row r="128" spans="1:7" x14ac:dyDescent="0.2">
      <c r="A128" t="s">
        <v>161</v>
      </c>
      <c r="B128" s="23">
        <v>1.88412598664482E-2</v>
      </c>
      <c r="C128" t="s">
        <v>146</v>
      </c>
      <c r="D128" t="s">
        <v>162</v>
      </c>
      <c r="F128" t="s">
        <v>144</v>
      </c>
    </row>
    <row r="129" spans="1:7" x14ac:dyDescent="0.2">
      <c r="A129" t="s">
        <v>145</v>
      </c>
      <c r="B129" s="23">
        <v>2.3245761180933701E-4</v>
      </c>
      <c r="C129" t="s">
        <v>146</v>
      </c>
      <c r="D129" t="s">
        <v>218</v>
      </c>
      <c r="F129" t="s">
        <v>144</v>
      </c>
    </row>
    <row r="131" spans="1:7" ht="16" x14ac:dyDescent="0.2">
      <c r="A131" s="1" t="s">
        <v>0</v>
      </c>
      <c r="B131" s="1" t="s">
        <v>443</v>
      </c>
    </row>
    <row r="132" spans="1:7" x14ac:dyDescent="0.2">
      <c r="A132" t="s">
        <v>2</v>
      </c>
      <c r="B132" t="s">
        <v>3</v>
      </c>
    </row>
    <row r="133" spans="1:7" x14ac:dyDescent="0.2">
      <c r="A133" t="s">
        <v>4</v>
      </c>
      <c r="B133" t="s">
        <v>148</v>
      </c>
    </row>
    <row r="134" spans="1:7" x14ac:dyDescent="0.2">
      <c r="A134" t="s">
        <v>6</v>
      </c>
      <c r="B134">
        <v>1</v>
      </c>
    </row>
    <row r="135" spans="1:7" x14ac:dyDescent="0.2">
      <c r="A135" t="s">
        <v>7</v>
      </c>
      <c r="B135" t="s">
        <v>151</v>
      </c>
    </row>
    <row r="136" spans="1:7" x14ac:dyDescent="0.2">
      <c r="A136" t="s">
        <v>8</v>
      </c>
      <c r="B136" t="s">
        <v>9</v>
      </c>
    </row>
    <row r="137" spans="1:7" x14ac:dyDescent="0.2">
      <c r="A137" t="s">
        <v>10</v>
      </c>
      <c r="B137" t="s">
        <v>436</v>
      </c>
    </row>
    <row r="138" spans="1:7" x14ac:dyDescent="0.2">
      <c r="A138" t="s">
        <v>437</v>
      </c>
      <c r="B138">
        <v>0.38</v>
      </c>
    </row>
    <row r="139" spans="1:7" x14ac:dyDescent="0.2">
      <c r="A139" s="3" t="s">
        <v>11</v>
      </c>
    </row>
    <row r="140" spans="1:7" x14ac:dyDescent="0.2">
      <c r="A140" t="s">
        <v>12</v>
      </c>
      <c r="B140" t="s">
        <v>13</v>
      </c>
      <c r="C140" t="s">
        <v>8</v>
      </c>
      <c r="D140" t="s">
        <v>136</v>
      </c>
      <c r="E140" t="s">
        <v>4</v>
      </c>
      <c r="F140" t="s">
        <v>14</v>
      </c>
      <c r="G140" t="s">
        <v>7</v>
      </c>
    </row>
    <row r="141" spans="1:7" x14ac:dyDescent="0.2">
      <c r="A141" t="s">
        <v>443</v>
      </c>
      <c r="B141">
        <v>1</v>
      </c>
      <c r="C141" t="s">
        <v>9</v>
      </c>
      <c r="E141" t="s">
        <v>148</v>
      </c>
      <c r="F141" t="s">
        <v>15</v>
      </c>
      <c r="G141" t="s">
        <v>151</v>
      </c>
    </row>
    <row r="142" spans="1:7" x14ac:dyDescent="0.2">
      <c r="A142" t="s">
        <v>433</v>
      </c>
      <c r="B142" s="23">
        <f>2.86*B138</f>
        <v>1.0868</v>
      </c>
      <c r="C142" t="s">
        <v>9</v>
      </c>
      <c r="E142" t="s">
        <v>403</v>
      </c>
      <c r="F142" t="s">
        <v>17</v>
      </c>
      <c r="G142" t="s">
        <v>217</v>
      </c>
    </row>
    <row r="143" spans="1:7" x14ac:dyDescent="0.2">
      <c r="A143" t="s">
        <v>438</v>
      </c>
      <c r="B143" s="23">
        <f>params!$H$10</f>
        <v>10.759354200000001</v>
      </c>
      <c r="C143" t="s">
        <v>116</v>
      </c>
      <c r="E143" t="s">
        <v>28</v>
      </c>
      <c r="F143" t="s">
        <v>17</v>
      </c>
      <c r="G143" t="s">
        <v>283</v>
      </c>
    </row>
    <row r="144" spans="1:7" x14ac:dyDescent="0.2">
      <c r="A144" t="s">
        <v>46</v>
      </c>
      <c r="B144" s="23">
        <f>params!$H$9</f>
        <v>1.1514738888888889</v>
      </c>
      <c r="C144" t="s">
        <v>47</v>
      </c>
      <c r="E144" t="s">
        <v>148</v>
      </c>
      <c r="F144" t="s">
        <v>17</v>
      </c>
      <c r="G144" t="s">
        <v>48</v>
      </c>
    </row>
    <row r="145" spans="1:7" x14ac:dyDescent="0.2">
      <c r="A145" t="s">
        <v>27</v>
      </c>
      <c r="B145" s="23">
        <f>params!$H$12</f>
        <v>18.832213584000002</v>
      </c>
      <c r="C145" t="s">
        <v>9</v>
      </c>
      <c r="E145" t="s">
        <v>28</v>
      </c>
      <c r="F145" t="s">
        <v>17</v>
      </c>
      <c r="G145" t="s">
        <v>29</v>
      </c>
    </row>
    <row r="146" spans="1:7" x14ac:dyDescent="0.2">
      <c r="A146" t="s">
        <v>149</v>
      </c>
      <c r="B146" s="23">
        <f>params!$H$17</f>
        <v>1.0392999999999999</v>
      </c>
      <c r="C146" t="s">
        <v>9</v>
      </c>
      <c r="E146" t="s">
        <v>5</v>
      </c>
      <c r="F146" t="s">
        <v>17</v>
      </c>
      <c r="G146" t="s">
        <v>150</v>
      </c>
    </row>
    <row r="147" spans="1:7" x14ac:dyDescent="0.2">
      <c r="A147" t="s">
        <v>184</v>
      </c>
      <c r="B147" s="23">
        <f>params!$H$19</f>
        <v>0.97659999999999991</v>
      </c>
      <c r="C147" t="s">
        <v>9</v>
      </c>
      <c r="E147" t="s">
        <v>28</v>
      </c>
      <c r="F147" t="s">
        <v>17</v>
      </c>
      <c r="G147" t="s">
        <v>185</v>
      </c>
    </row>
    <row r="148" spans="1:7" x14ac:dyDescent="0.2">
      <c r="A148" t="s">
        <v>212</v>
      </c>
      <c r="B148" s="23">
        <f>params!$H$20</f>
        <v>0.53542000000000001</v>
      </c>
      <c r="C148" t="s">
        <v>9</v>
      </c>
      <c r="E148" t="s">
        <v>28</v>
      </c>
      <c r="F148" t="s">
        <v>17</v>
      </c>
      <c r="G148" t="s">
        <v>213</v>
      </c>
    </row>
    <row r="149" spans="1:7" x14ac:dyDescent="0.2">
      <c r="A149" t="s">
        <v>210</v>
      </c>
      <c r="B149" s="23">
        <f>params!$H$15</f>
        <v>2.128E-2</v>
      </c>
      <c r="C149" t="s">
        <v>9</v>
      </c>
      <c r="E149" t="s">
        <v>28</v>
      </c>
      <c r="F149" t="s">
        <v>17</v>
      </c>
      <c r="G149" t="s">
        <v>211</v>
      </c>
    </row>
    <row r="150" spans="1:7" x14ac:dyDescent="0.2">
      <c r="A150" t="s">
        <v>358</v>
      </c>
      <c r="B150" s="23">
        <f>params!$H$16</f>
        <v>8.3599999999999994E-3</v>
      </c>
      <c r="C150" t="s">
        <v>9</v>
      </c>
      <c r="E150" t="s">
        <v>28</v>
      </c>
      <c r="F150" t="s">
        <v>17</v>
      </c>
      <c r="G150" t="s">
        <v>359</v>
      </c>
    </row>
    <row r="151" spans="1:7" x14ac:dyDescent="0.2">
      <c r="A151" t="s">
        <v>214</v>
      </c>
      <c r="B151" s="23">
        <f>params!$H$21</f>
        <v>1.7860000000000001E-2</v>
      </c>
      <c r="C151" t="s">
        <v>9</v>
      </c>
      <c r="E151" t="s">
        <v>28</v>
      </c>
      <c r="F151" t="s">
        <v>17</v>
      </c>
      <c r="G151" t="s">
        <v>215</v>
      </c>
    </row>
    <row r="152" spans="1:7" x14ac:dyDescent="0.2">
      <c r="A152" t="s">
        <v>216</v>
      </c>
      <c r="B152" s="23">
        <f>params!$H$22</f>
        <v>3.04E-2</v>
      </c>
      <c r="C152" t="s">
        <v>9</v>
      </c>
      <c r="E152" t="s">
        <v>5</v>
      </c>
      <c r="F152" t="s">
        <v>17</v>
      </c>
      <c r="G152" t="s">
        <v>216</v>
      </c>
    </row>
    <row r="153" spans="1:7" x14ac:dyDescent="0.2">
      <c r="A153" t="s">
        <v>439</v>
      </c>
      <c r="B153" s="23">
        <f>params!$H$23</f>
        <v>0.21811999999999998</v>
      </c>
      <c r="C153" t="s">
        <v>9</v>
      </c>
      <c r="E153" t="s">
        <v>28</v>
      </c>
      <c r="F153" t="s">
        <v>17</v>
      </c>
      <c r="G153" t="s">
        <v>440</v>
      </c>
    </row>
    <row r="154" spans="1:7" x14ac:dyDescent="0.2">
      <c r="A154" t="s">
        <v>441</v>
      </c>
      <c r="B154" s="23">
        <f>params!$H$24</f>
        <v>3.3439999999999998E-2</v>
      </c>
      <c r="C154" t="s">
        <v>9</v>
      </c>
      <c r="E154" t="s">
        <v>5</v>
      </c>
      <c r="F154" t="s">
        <v>17</v>
      </c>
      <c r="G154" t="s">
        <v>442</v>
      </c>
    </row>
    <row r="155" spans="1:7" x14ac:dyDescent="0.2">
      <c r="A155" t="s">
        <v>128</v>
      </c>
      <c r="B155" s="23">
        <v>3.2859232000000002E-2</v>
      </c>
      <c r="C155" t="s">
        <v>54</v>
      </c>
      <c r="E155" t="s">
        <v>28</v>
      </c>
      <c r="F155" t="s">
        <v>17</v>
      </c>
      <c r="G155" t="s">
        <v>61</v>
      </c>
    </row>
    <row r="156" spans="1:7" x14ac:dyDescent="0.2">
      <c r="A156" t="s">
        <v>137</v>
      </c>
      <c r="B156" s="23">
        <v>2.6585139999999998E-3</v>
      </c>
      <c r="C156" t="s">
        <v>54</v>
      </c>
      <c r="E156" t="s">
        <v>28</v>
      </c>
      <c r="F156" t="s">
        <v>17</v>
      </c>
      <c r="G156" t="s">
        <v>138</v>
      </c>
    </row>
    <row r="157" spans="1:7" x14ac:dyDescent="0.2">
      <c r="A157" t="s">
        <v>56</v>
      </c>
      <c r="B157" s="23">
        <v>2.2225175999999999E-2</v>
      </c>
      <c r="C157" t="s">
        <v>54</v>
      </c>
      <c r="E157" t="s">
        <v>28</v>
      </c>
      <c r="F157" t="s">
        <v>17</v>
      </c>
      <c r="G157" t="s">
        <v>57</v>
      </c>
    </row>
    <row r="158" spans="1:7" x14ac:dyDescent="0.2">
      <c r="A158" t="s">
        <v>62</v>
      </c>
      <c r="B158" s="23">
        <v>6.3697992999999994E-2</v>
      </c>
      <c r="C158" t="s">
        <v>54</v>
      </c>
      <c r="E158" t="s">
        <v>5</v>
      </c>
      <c r="F158" t="s">
        <v>17</v>
      </c>
      <c r="G158" t="s">
        <v>63</v>
      </c>
    </row>
    <row r="159" spans="1:7" x14ac:dyDescent="0.2">
      <c r="A159" t="s">
        <v>208</v>
      </c>
      <c r="B159" s="23">
        <v>-1.0035100616353101</v>
      </c>
      <c r="C159" t="s">
        <v>9</v>
      </c>
      <c r="E159" t="s">
        <v>28</v>
      </c>
      <c r="F159" t="s">
        <v>17</v>
      </c>
      <c r="G159" t="s">
        <v>209</v>
      </c>
    </row>
    <row r="160" spans="1:7" x14ac:dyDescent="0.2">
      <c r="A160" t="s">
        <v>158</v>
      </c>
      <c r="B160" s="23">
        <v>-1.88412598664482E-2</v>
      </c>
      <c r="C160" t="s">
        <v>146</v>
      </c>
      <c r="E160" t="s">
        <v>28</v>
      </c>
      <c r="F160" t="s">
        <v>17</v>
      </c>
      <c r="G160" t="s">
        <v>159</v>
      </c>
    </row>
    <row r="161" spans="1:11" x14ac:dyDescent="0.2">
      <c r="A161" t="s">
        <v>126</v>
      </c>
      <c r="B161" s="23">
        <v>4.0000000000000001E-10</v>
      </c>
      <c r="C161" t="s">
        <v>8</v>
      </c>
      <c r="E161" t="s">
        <v>5</v>
      </c>
      <c r="F161" t="s">
        <v>17</v>
      </c>
      <c r="G161" t="s">
        <v>127</v>
      </c>
    </row>
    <row r="162" spans="1:11" x14ac:dyDescent="0.2">
      <c r="A162" t="s">
        <v>161</v>
      </c>
      <c r="B162" s="23">
        <v>1.88412598664482E-2</v>
      </c>
      <c r="C162" t="s">
        <v>146</v>
      </c>
      <c r="D162" t="s">
        <v>162</v>
      </c>
      <c r="F162" t="s">
        <v>144</v>
      </c>
    </row>
    <row r="163" spans="1:11" x14ac:dyDescent="0.2">
      <c r="A163" t="s">
        <v>145</v>
      </c>
      <c r="B163" s="23">
        <v>2.3245761180933701E-4</v>
      </c>
      <c r="C163" t="s">
        <v>146</v>
      </c>
      <c r="D163" t="s">
        <v>218</v>
      </c>
      <c r="F163" t="s">
        <v>144</v>
      </c>
    </row>
    <row r="164" spans="1:11" x14ac:dyDescent="0.2">
      <c r="B164" s="23"/>
    </row>
    <row r="165" spans="1:11" ht="16" x14ac:dyDescent="0.2">
      <c r="A165" s="15" t="s">
        <v>0</v>
      </c>
      <c r="B165" s="15" t="s">
        <v>446</v>
      </c>
      <c r="C165" s="15"/>
      <c r="D165" s="16"/>
      <c r="E165" s="16"/>
      <c r="F165" s="16"/>
      <c r="G165" s="16"/>
      <c r="H165" s="16"/>
      <c r="I165" s="16"/>
      <c r="J165" s="16"/>
      <c r="K165" s="16"/>
    </row>
    <row r="166" spans="1:11" x14ac:dyDescent="0.2">
      <c r="A166" s="16" t="s">
        <v>4</v>
      </c>
      <c r="B166" s="16" t="s">
        <v>148</v>
      </c>
      <c r="C166" s="16"/>
      <c r="D166" s="16"/>
      <c r="E166" s="16"/>
      <c r="F166" s="16"/>
      <c r="G166" s="16"/>
      <c r="H166" s="16"/>
      <c r="I166" s="16"/>
      <c r="J166" s="16"/>
      <c r="K166" s="16"/>
    </row>
    <row r="167" spans="1:11" x14ac:dyDescent="0.2">
      <c r="A167" s="16" t="s">
        <v>6</v>
      </c>
      <c r="B167" s="16">
        <v>1</v>
      </c>
      <c r="C167" s="16"/>
      <c r="D167" s="16"/>
      <c r="E167" s="16"/>
      <c r="F167" s="16"/>
      <c r="G167" s="16"/>
      <c r="H167" s="16"/>
      <c r="I167" s="16"/>
      <c r="J167" s="16"/>
      <c r="K167" s="16"/>
    </row>
    <row r="168" spans="1:11" x14ac:dyDescent="0.2">
      <c r="A168" s="16" t="s">
        <v>7</v>
      </c>
      <c r="B168" s="16" t="s">
        <v>444</v>
      </c>
      <c r="C168" s="16"/>
      <c r="D168" s="16"/>
      <c r="E168" s="16"/>
      <c r="F168" s="16"/>
      <c r="G168" s="16"/>
      <c r="H168" s="16"/>
      <c r="I168" s="16"/>
      <c r="J168" s="16"/>
      <c r="K168" s="16"/>
    </row>
    <row r="169" spans="1:11" x14ac:dyDescent="0.2">
      <c r="A169" s="16" t="s">
        <v>8</v>
      </c>
      <c r="B169" s="16" t="s">
        <v>9</v>
      </c>
      <c r="C169" s="16"/>
      <c r="D169" s="16"/>
      <c r="E169" s="16"/>
      <c r="F169" s="16"/>
      <c r="G169" s="16"/>
      <c r="H169" s="16"/>
      <c r="I169" s="16"/>
      <c r="J169" s="16"/>
      <c r="K169" s="16"/>
    </row>
    <row r="170" spans="1:11" x14ac:dyDescent="0.2">
      <c r="A170" s="16" t="s">
        <v>2</v>
      </c>
      <c r="B170" s="16" t="s">
        <v>445</v>
      </c>
      <c r="C170" s="16"/>
      <c r="D170" s="16"/>
      <c r="E170" s="16"/>
      <c r="F170" s="16"/>
      <c r="G170" s="16"/>
      <c r="H170" s="16"/>
      <c r="I170" s="16"/>
      <c r="J170" s="16"/>
      <c r="K170" s="16"/>
    </row>
    <row r="171" spans="1:11" x14ac:dyDescent="0.2">
      <c r="A171" s="17" t="s">
        <v>11</v>
      </c>
      <c r="B171" s="16"/>
      <c r="C171" s="16"/>
      <c r="D171" s="16"/>
      <c r="E171" s="16"/>
      <c r="F171" s="16"/>
      <c r="G171" s="16"/>
      <c r="H171" s="16"/>
      <c r="I171" s="16"/>
      <c r="J171" s="16"/>
      <c r="K171" s="16"/>
    </row>
    <row r="172" spans="1:11" x14ac:dyDescent="0.2">
      <c r="A172" s="16" t="s">
        <v>12</v>
      </c>
      <c r="B172" s="16" t="s">
        <v>13</v>
      </c>
      <c r="C172" s="16" t="s">
        <v>8</v>
      </c>
      <c r="D172" s="16" t="s">
        <v>136</v>
      </c>
      <c r="E172" s="16" t="s">
        <v>4</v>
      </c>
      <c r="F172" s="16" t="s">
        <v>14</v>
      </c>
      <c r="G172" s="16" t="s">
        <v>7</v>
      </c>
      <c r="H172" s="16"/>
      <c r="I172" s="16"/>
      <c r="J172" s="16"/>
      <c r="K172" s="16"/>
    </row>
    <row r="173" spans="1:11" x14ac:dyDescent="0.2">
      <c r="A173" s="16" t="s">
        <v>446</v>
      </c>
      <c r="B173" s="16">
        <v>1</v>
      </c>
      <c r="C173" s="16" t="s">
        <v>9</v>
      </c>
      <c r="D173" s="16"/>
      <c r="E173" s="16" t="s">
        <v>148</v>
      </c>
      <c r="F173" s="16" t="s">
        <v>15</v>
      </c>
      <c r="G173" s="16" t="s">
        <v>444</v>
      </c>
      <c r="H173" s="16"/>
      <c r="I173" s="16"/>
      <c r="J173" s="16"/>
      <c r="K173" s="16"/>
    </row>
    <row r="174" spans="1:11" x14ac:dyDescent="0.2">
      <c r="A174" s="16" t="s">
        <v>435</v>
      </c>
      <c r="B174" s="16">
        <v>2.63</v>
      </c>
      <c r="C174" s="16" t="s">
        <v>9</v>
      </c>
      <c r="D174" s="16"/>
      <c r="E174" s="16" t="s">
        <v>148</v>
      </c>
      <c r="F174" s="16" t="s">
        <v>17</v>
      </c>
      <c r="G174" s="16" t="s">
        <v>151</v>
      </c>
      <c r="H174" s="16"/>
      <c r="I174" s="16"/>
      <c r="J174" s="16"/>
      <c r="K174" s="16"/>
    </row>
    <row r="175" spans="1:11" x14ac:dyDescent="0.2">
      <c r="A175" t="s">
        <v>46</v>
      </c>
      <c r="B175">
        <f>params!I9</f>
        <v>3.4</v>
      </c>
      <c r="C175" t="s">
        <v>47</v>
      </c>
      <c r="E175" t="s">
        <v>148</v>
      </c>
      <c r="F175" t="s">
        <v>17</v>
      </c>
      <c r="G175" t="s">
        <v>48</v>
      </c>
      <c r="H175" s="16"/>
      <c r="I175" s="16"/>
      <c r="J175" s="16"/>
      <c r="K175" s="16"/>
    </row>
    <row r="176" spans="1:11" x14ac:dyDescent="0.2">
      <c r="A176" s="16"/>
      <c r="B176" s="16"/>
      <c r="C176" s="16"/>
      <c r="D176" s="16"/>
      <c r="E176" s="16"/>
      <c r="F176" s="16"/>
      <c r="G176" s="16"/>
      <c r="H176" s="16"/>
      <c r="I176" s="16"/>
      <c r="J176" s="16"/>
      <c r="K176" s="16"/>
    </row>
    <row r="177" spans="1:11" ht="16" x14ac:dyDescent="0.2">
      <c r="A177" s="15" t="s">
        <v>0</v>
      </c>
      <c r="B177" s="15" t="s">
        <v>447</v>
      </c>
      <c r="C177" s="15"/>
      <c r="D177" s="16"/>
      <c r="E177" s="16"/>
      <c r="F177" s="16"/>
      <c r="G177" s="16"/>
      <c r="H177" s="16"/>
      <c r="I177" s="16"/>
      <c r="J177" s="16"/>
      <c r="K177" s="16"/>
    </row>
    <row r="178" spans="1:11" x14ac:dyDescent="0.2">
      <c r="A178" s="16" t="s">
        <v>4</v>
      </c>
      <c r="B178" s="16" t="s">
        <v>148</v>
      </c>
      <c r="C178" s="16"/>
      <c r="D178" s="16"/>
      <c r="E178" s="16"/>
      <c r="F178" s="16"/>
      <c r="G178" s="16"/>
      <c r="H178" s="16"/>
      <c r="I178" s="16"/>
      <c r="J178" s="16"/>
      <c r="K178" s="16"/>
    </row>
    <row r="179" spans="1:11" x14ac:dyDescent="0.2">
      <c r="A179" s="16" t="s">
        <v>6</v>
      </c>
      <c r="B179" s="16">
        <v>1</v>
      </c>
      <c r="C179" s="16"/>
      <c r="D179" s="16"/>
      <c r="E179" s="16"/>
      <c r="F179" s="16"/>
      <c r="G179" s="16"/>
      <c r="H179" s="16"/>
      <c r="I179" s="16"/>
      <c r="J179" s="16"/>
      <c r="K179" s="16"/>
    </row>
    <row r="180" spans="1:11" x14ac:dyDescent="0.2">
      <c r="A180" s="16" t="s">
        <v>7</v>
      </c>
      <c r="B180" s="16" t="s">
        <v>444</v>
      </c>
      <c r="C180" s="16"/>
      <c r="D180" s="16"/>
      <c r="E180" s="16"/>
      <c r="F180" s="16"/>
      <c r="G180" s="16"/>
      <c r="H180" s="16"/>
      <c r="I180" s="16"/>
      <c r="J180" s="16"/>
      <c r="K180" s="16"/>
    </row>
    <row r="181" spans="1:11" x14ac:dyDescent="0.2">
      <c r="A181" s="16" t="s">
        <v>8</v>
      </c>
      <c r="B181" s="16" t="s">
        <v>9</v>
      </c>
      <c r="C181" s="16"/>
      <c r="D181" s="16"/>
      <c r="E181" s="16"/>
      <c r="F181" s="16"/>
      <c r="G181" s="16"/>
      <c r="H181" s="16"/>
      <c r="I181" s="16"/>
      <c r="J181" s="16"/>
      <c r="K181" s="16"/>
    </row>
    <row r="182" spans="1:11" x14ac:dyDescent="0.2">
      <c r="A182" s="16" t="s">
        <v>2</v>
      </c>
      <c r="B182" s="16" t="s">
        <v>445</v>
      </c>
      <c r="C182" s="16"/>
      <c r="D182" s="16"/>
      <c r="E182" s="16"/>
      <c r="F182" s="16"/>
      <c r="G182" s="16"/>
      <c r="H182" s="16"/>
      <c r="I182" s="16"/>
      <c r="J182" s="16"/>
      <c r="K182" s="16"/>
    </row>
    <row r="183" spans="1:11" x14ac:dyDescent="0.2">
      <c r="A183" s="17" t="s">
        <v>11</v>
      </c>
      <c r="B183" s="16"/>
      <c r="C183" s="16"/>
      <c r="D183" s="16"/>
      <c r="E183" s="16"/>
      <c r="F183" s="16"/>
      <c r="G183" s="16"/>
      <c r="H183" s="16"/>
      <c r="I183" s="16"/>
      <c r="J183" s="16"/>
      <c r="K183" s="16"/>
    </row>
    <row r="184" spans="1:11" x14ac:dyDescent="0.2">
      <c r="A184" s="16" t="s">
        <v>12</v>
      </c>
      <c r="B184" s="16" t="s">
        <v>13</v>
      </c>
      <c r="C184" s="16" t="s">
        <v>8</v>
      </c>
      <c r="D184" s="16" t="s">
        <v>136</v>
      </c>
      <c r="E184" s="16" t="s">
        <v>4</v>
      </c>
      <c r="F184" s="16" t="s">
        <v>14</v>
      </c>
      <c r="G184" s="16" t="s">
        <v>7</v>
      </c>
      <c r="H184" s="16"/>
      <c r="I184" s="16"/>
      <c r="J184" s="16"/>
      <c r="K184" s="16"/>
    </row>
    <row r="185" spans="1:11" x14ac:dyDescent="0.2">
      <c r="A185" s="16" t="s">
        <v>447</v>
      </c>
      <c r="B185" s="16">
        <v>1</v>
      </c>
      <c r="C185" s="16" t="s">
        <v>9</v>
      </c>
      <c r="D185" s="16"/>
      <c r="E185" s="16" t="s">
        <v>148</v>
      </c>
      <c r="F185" s="16" t="s">
        <v>15</v>
      </c>
      <c r="G185" s="16" t="s">
        <v>444</v>
      </c>
      <c r="H185" s="16"/>
      <c r="I185" s="16"/>
      <c r="J185" s="16"/>
      <c r="K185" s="16"/>
    </row>
    <row r="186" spans="1:11" x14ac:dyDescent="0.2">
      <c r="A186" s="16" t="s">
        <v>443</v>
      </c>
      <c r="B186" s="16">
        <v>2.63</v>
      </c>
      <c r="C186" s="16" t="s">
        <v>9</v>
      </c>
      <c r="D186" s="16"/>
      <c r="E186" s="16" t="s">
        <v>148</v>
      </c>
      <c r="F186" s="16" t="s">
        <v>17</v>
      </c>
      <c r="G186" s="16" t="s">
        <v>151</v>
      </c>
      <c r="H186" s="16"/>
      <c r="I186" s="16"/>
      <c r="J186" s="16"/>
      <c r="K186" s="16"/>
    </row>
    <row r="187" spans="1:11" x14ac:dyDescent="0.2">
      <c r="A187" t="s">
        <v>46</v>
      </c>
      <c r="B187">
        <f>params!I9</f>
        <v>3.4</v>
      </c>
      <c r="C187" t="s">
        <v>47</v>
      </c>
      <c r="E187" t="s">
        <v>148</v>
      </c>
      <c r="F187" t="s">
        <v>17</v>
      </c>
      <c r="G187" t="s">
        <v>48</v>
      </c>
      <c r="H187" s="16"/>
      <c r="I187" s="16"/>
      <c r="J187" s="16"/>
      <c r="K187" s="16"/>
    </row>
    <row r="188" spans="1:11" x14ac:dyDescent="0.2">
      <c r="A188" s="16"/>
      <c r="B188" s="16"/>
      <c r="C188" s="16"/>
      <c r="D188" s="16"/>
      <c r="E188" s="16"/>
      <c r="F188" s="16"/>
      <c r="G188" s="16"/>
      <c r="H188" s="16"/>
      <c r="I188" s="16"/>
      <c r="J188" s="16"/>
      <c r="K18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A220-3611-BD48-A18F-4C8EEDD0A9A0}">
  <dimension ref="A1:O34"/>
  <sheetViews>
    <sheetView workbookViewId="0">
      <selection activeCell="M34" sqref="M34"/>
    </sheetView>
  </sheetViews>
  <sheetFormatPr baseColWidth="10" defaultRowHeight="16" x14ac:dyDescent="0.2"/>
  <cols>
    <col min="1" max="1" width="10.83203125" style="24"/>
    <col min="2" max="2" width="20.1640625" style="24" bestFit="1" customWidth="1"/>
    <col min="3" max="3" width="16.5" style="24" customWidth="1"/>
    <col min="4" max="4" width="15" style="24" bestFit="1" customWidth="1"/>
    <col min="5" max="5" width="20.1640625" style="24" bestFit="1" customWidth="1"/>
    <col min="6" max="6" width="15" style="24" bestFit="1" customWidth="1"/>
    <col min="7" max="7" width="20.1640625" style="24" bestFit="1" customWidth="1"/>
    <col min="8" max="8" width="18" style="24" bestFit="1" customWidth="1"/>
    <col min="9" max="9" width="17.1640625" style="24" bestFit="1" customWidth="1"/>
    <col min="10" max="11" width="10.83203125" style="24"/>
    <col min="12" max="12" width="27.5" style="24" bestFit="1" customWidth="1"/>
    <col min="13" max="13" width="13.6640625" style="24" bestFit="1" customWidth="1"/>
    <col min="14" max="14" width="10.83203125" style="24"/>
    <col min="15" max="15" width="19.33203125" style="24" bestFit="1" customWidth="1"/>
    <col min="16" max="16384" width="10.83203125" style="24"/>
  </cols>
  <sheetData>
    <row r="1" spans="1:15" x14ac:dyDescent="0.2">
      <c r="A1" s="24" t="s">
        <v>448</v>
      </c>
    </row>
    <row r="2" spans="1:15" x14ac:dyDescent="0.2">
      <c r="B2" s="24" t="s">
        <v>10</v>
      </c>
      <c r="C2" s="24" t="s">
        <v>449</v>
      </c>
    </row>
    <row r="4" spans="1:15" x14ac:dyDescent="0.2">
      <c r="B4" s="25"/>
      <c r="C4" s="38"/>
      <c r="D4" s="58" t="s">
        <v>450</v>
      </c>
      <c r="E4" s="58"/>
      <c r="F4" s="58" t="s">
        <v>451</v>
      </c>
      <c r="G4" s="58"/>
      <c r="H4" s="38"/>
      <c r="I4" s="26"/>
    </row>
    <row r="5" spans="1:15" x14ac:dyDescent="0.2">
      <c r="B5" s="39"/>
      <c r="C5" s="40"/>
      <c r="D5" s="40" t="s">
        <v>452</v>
      </c>
      <c r="E5" s="40" t="s">
        <v>453</v>
      </c>
      <c r="F5" s="40" t="s">
        <v>452</v>
      </c>
      <c r="G5" s="40" t="s">
        <v>453</v>
      </c>
      <c r="H5" s="40" t="s">
        <v>454</v>
      </c>
      <c r="I5" s="41" t="s">
        <v>455</v>
      </c>
      <c r="L5" s="25" t="s">
        <v>456</v>
      </c>
      <c r="M5" s="26"/>
    </row>
    <row r="6" spans="1:15" x14ac:dyDescent="0.2">
      <c r="B6" s="39"/>
      <c r="C6" s="40" t="s">
        <v>8</v>
      </c>
      <c r="D6" s="42" t="s">
        <v>457</v>
      </c>
      <c r="E6" s="42" t="s">
        <v>458</v>
      </c>
      <c r="F6" s="42" t="s">
        <v>457</v>
      </c>
      <c r="G6" s="42" t="s">
        <v>458</v>
      </c>
      <c r="H6" s="42" t="s">
        <v>459</v>
      </c>
      <c r="I6" s="43" t="s">
        <v>460</v>
      </c>
      <c r="L6" s="27" t="s">
        <v>461</v>
      </c>
      <c r="M6" s="28">
        <v>4.7000000000000002E-3</v>
      </c>
    </row>
    <row r="7" spans="1:15" x14ac:dyDescent="0.2">
      <c r="B7" s="44" t="s">
        <v>462</v>
      </c>
      <c r="C7" s="40"/>
      <c r="D7" s="40"/>
      <c r="E7" s="40"/>
      <c r="F7" s="40"/>
      <c r="G7" s="40"/>
      <c r="H7" s="40"/>
      <c r="I7" s="41"/>
      <c r="L7" s="27" t="s">
        <v>463</v>
      </c>
      <c r="M7" s="29">
        <v>0.35</v>
      </c>
      <c r="O7" s="30"/>
    </row>
    <row r="8" spans="1:15" x14ac:dyDescent="0.2">
      <c r="B8" s="27" t="s">
        <v>464</v>
      </c>
      <c r="C8" s="45" t="s">
        <v>116</v>
      </c>
      <c r="D8" s="46">
        <f>21.571*L13/1000*M6</f>
        <v>0.10695980350000002</v>
      </c>
      <c r="E8" s="40"/>
      <c r="F8" s="46">
        <f>70.909*L13/1000*M6</f>
        <v>0.35160227650000009</v>
      </c>
      <c r="G8" s="46"/>
      <c r="H8" s="40"/>
      <c r="I8" s="41"/>
      <c r="L8" s="27" t="s">
        <v>454</v>
      </c>
      <c r="M8" s="29">
        <v>0.38</v>
      </c>
    </row>
    <row r="9" spans="1:15" x14ac:dyDescent="0.2">
      <c r="B9" s="27" t="s">
        <v>465</v>
      </c>
      <c r="C9" s="45" t="s">
        <v>47</v>
      </c>
      <c r="D9" s="40"/>
      <c r="E9" s="47">
        <f>6.706*L13/3.6/1000*M7</f>
        <v>0.68783069444444445</v>
      </c>
      <c r="F9" s="46"/>
      <c r="G9" s="46">
        <f>29.333*L13/3.6/1000*M7</f>
        <v>3.0086695138888886</v>
      </c>
      <c r="H9" s="47">
        <f>10.34*L13/3.6/1000*M8</f>
        <v>1.1514738888888889</v>
      </c>
      <c r="I9" s="41">
        <v>3.4</v>
      </c>
      <c r="L9" s="31" t="s">
        <v>455</v>
      </c>
      <c r="M9" s="32">
        <v>1</v>
      </c>
    </row>
    <row r="10" spans="1:15" x14ac:dyDescent="0.2">
      <c r="B10" s="27" t="s">
        <v>466</v>
      </c>
      <c r="C10" s="45" t="s">
        <v>116</v>
      </c>
      <c r="D10" s="40"/>
      <c r="E10" s="40"/>
      <c r="F10" s="46"/>
      <c r="G10" s="46"/>
      <c r="H10" s="47">
        <f>26.838*L13/1000*M8</f>
        <v>10.759354200000001</v>
      </c>
      <c r="I10" s="41"/>
    </row>
    <row r="11" spans="1:15" x14ac:dyDescent="0.2">
      <c r="B11" s="44" t="s">
        <v>467</v>
      </c>
      <c r="C11" s="45"/>
      <c r="D11" s="40"/>
      <c r="E11" s="40"/>
      <c r="F11" s="46"/>
      <c r="G11" s="46"/>
      <c r="H11" s="40"/>
      <c r="I11" s="41"/>
    </row>
    <row r="12" spans="1:15" x14ac:dyDescent="0.2">
      <c r="B12" s="27" t="s">
        <v>468</v>
      </c>
      <c r="C12" s="45" t="s">
        <v>469</v>
      </c>
      <c r="D12" s="46">
        <f>1760*L15/1000*M6</f>
        <v>3.1312828799999998E-2</v>
      </c>
      <c r="E12" s="47">
        <f>8997*L15/1000*M7</f>
        <v>11.920035329999999</v>
      </c>
      <c r="F12" s="46">
        <f>5785*L15/1000*M6</f>
        <v>0.1029231333</v>
      </c>
      <c r="G12" s="46">
        <f>39355*L15/1000*M7</f>
        <v>52.141045950000006</v>
      </c>
      <c r="H12" s="46">
        <f>13092*L15/1000*M8</f>
        <v>18.832213584000002</v>
      </c>
      <c r="I12" s="41"/>
      <c r="L12" s="33" t="s">
        <v>470</v>
      </c>
    </row>
    <row r="13" spans="1:15" x14ac:dyDescent="0.2">
      <c r="B13" s="44" t="s">
        <v>471</v>
      </c>
      <c r="C13" s="45"/>
      <c r="D13" s="40"/>
      <c r="E13" s="40"/>
      <c r="F13" s="46"/>
      <c r="G13" s="46"/>
      <c r="H13" s="40"/>
      <c r="I13" s="41"/>
      <c r="L13" s="34">
        <v>1055</v>
      </c>
      <c r="M13" s="24" t="s">
        <v>472</v>
      </c>
    </row>
    <row r="14" spans="1:15" x14ac:dyDescent="0.2">
      <c r="B14" s="27" t="s">
        <v>473</v>
      </c>
      <c r="C14" s="45" t="s">
        <v>9</v>
      </c>
      <c r="D14" s="40"/>
      <c r="E14" s="46">
        <f>0.721*M7</f>
        <v>0.25234999999999996</v>
      </c>
      <c r="F14" s="40"/>
      <c r="G14" s="46">
        <f>3.153*M7</f>
        <v>1.10355</v>
      </c>
      <c r="H14" s="40"/>
      <c r="I14" s="41"/>
      <c r="L14" s="24" t="s">
        <v>474</v>
      </c>
    </row>
    <row r="15" spans="1:15" x14ac:dyDescent="0.2">
      <c r="B15" s="27" t="s">
        <v>475</v>
      </c>
      <c r="C15" s="45" t="s">
        <v>9</v>
      </c>
      <c r="D15" s="40"/>
      <c r="E15" s="46">
        <f>0.938*M7</f>
        <v>0.32829999999999998</v>
      </c>
      <c r="F15" s="40"/>
      <c r="G15" s="46">
        <f>4.102*M7</f>
        <v>1.4357</v>
      </c>
      <c r="H15" s="40">
        <f>0.056*M8</f>
        <v>2.128E-2</v>
      </c>
      <c r="I15" s="41"/>
      <c r="L15" s="24">
        <v>3.7854000000000001</v>
      </c>
      <c r="M15" s="24" t="s">
        <v>476</v>
      </c>
    </row>
    <row r="16" spans="1:15" x14ac:dyDescent="0.2">
      <c r="B16" s="27" t="s">
        <v>477</v>
      </c>
      <c r="C16" s="45" t="s">
        <v>9</v>
      </c>
      <c r="D16" s="40"/>
      <c r="E16" s="46">
        <f>0.342*M7</f>
        <v>0.1197</v>
      </c>
      <c r="F16" s="40"/>
      <c r="G16" s="46">
        <f>1.494*M7</f>
        <v>0.52289999999999992</v>
      </c>
      <c r="H16" s="40">
        <f>0.022*M8</f>
        <v>8.3599999999999994E-3</v>
      </c>
      <c r="I16" s="41"/>
    </row>
    <row r="17" spans="2:13" x14ac:dyDescent="0.2">
      <c r="B17" s="27" t="s">
        <v>478</v>
      </c>
      <c r="C17" s="45" t="s">
        <v>9</v>
      </c>
      <c r="D17" s="40"/>
      <c r="E17" s="46">
        <f>0.041*M7</f>
        <v>1.435E-2</v>
      </c>
      <c r="F17" s="40"/>
      <c r="G17" s="46">
        <f>0.18*M7</f>
        <v>6.3E-2</v>
      </c>
      <c r="H17" s="40">
        <f>2.735*M8</f>
        <v>1.0392999999999999</v>
      </c>
      <c r="I17" s="41"/>
      <c r="L17" s="52" t="s">
        <v>495</v>
      </c>
      <c r="M17" s="24">
        <v>15000</v>
      </c>
    </row>
    <row r="18" spans="2:13" x14ac:dyDescent="0.2">
      <c r="B18" s="27" t="s">
        <v>480</v>
      </c>
      <c r="C18" s="45" t="s">
        <v>9</v>
      </c>
      <c r="D18" s="40"/>
      <c r="E18" s="46">
        <f>0.041*M7</f>
        <v>1.435E-2</v>
      </c>
      <c r="F18" s="40"/>
      <c r="G18" s="46">
        <f>1.175*M7</f>
        <v>0.41125</v>
      </c>
      <c r="H18" s="40"/>
      <c r="I18" s="41"/>
      <c r="L18" s="52" t="s">
        <v>496</v>
      </c>
      <c r="M18" s="54">
        <v>4.7000000000000002E-3</v>
      </c>
    </row>
    <row r="19" spans="2:13" x14ac:dyDescent="0.2">
      <c r="B19" s="27" t="s">
        <v>482</v>
      </c>
      <c r="C19" s="45" t="s">
        <v>9</v>
      </c>
      <c r="D19" s="40"/>
      <c r="E19" s="46"/>
      <c r="F19" s="40"/>
      <c r="G19" s="46"/>
      <c r="H19" s="40">
        <f>2.57*M8</f>
        <v>0.97659999999999991</v>
      </c>
      <c r="I19" s="41"/>
    </row>
    <row r="20" spans="2:13" x14ac:dyDescent="0.2">
      <c r="B20" s="27" t="s">
        <v>483</v>
      </c>
      <c r="C20" s="45" t="s">
        <v>9</v>
      </c>
      <c r="D20" s="40"/>
      <c r="E20" s="46"/>
      <c r="F20" s="40"/>
      <c r="G20" s="46"/>
      <c r="H20" s="40">
        <f>1.409*M8</f>
        <v>0.53542000000000001</v>
      </c>
      <c r="I20" s="41"/>
      <c r="L20" s="52" t="s">
        <v>497</v>
      </c>
      <c r="M20" s="24">
        <v>195000</v>
      </c>
    </row>
    <row r="21" spans="2:13" x14ac:dyDescent="0.2">
      <c r="B21" s="27" t="s">
        <v>484</v>
      </c>
      <c r="C21" s="45" t="s">
        <v>9</v>
      </c>
      <c r="D21" s="40"/>
      <c r="E21" s="46"/>
      <c r="F21" s="40"/>
      <c r="G21" s="40"/>
      <c r="H21" s="40">
        <f>0.047*M8</f>
        <v>1.7860000000000001E-2</v>
      </c>
      <c r="I21" s="41"/>
      <c r="L21" s="52" t="s">
        <v>496</v>
      </c>
      <c r="M21" s="54">
        <v>2.4E-2</v>
      </c>
    </row>
    <row r="22" spans="2:13" x14ac:dyDescent="0.2">
      <c r="B22" s="27" t="s">
        <v>485</v>
      </c>
      <c r="C22" s="45" t="s">
        <v>9</v>
      </c>
      <c r="D22" s="40"/>
      <c r="E22" s="46"/>
      <c r="F22" s="40"/>
      <c r="G22" s="40"/>
      <c r="H22" s="40">
        <f>0.08*M8</f>
        <v>3.04E-2</v>
      </c>
      <c r="I22" s="41"/>
    </row>
    <row r="23" spans="2:13" x14ac:dyDescent="0.2">
      <c r="B23" s="27" t="s">
        <v>486</v>
      </c>
      <c r="C23" s="45" t="s">
        <v>9</v>
      </c>
      <c r="D23" s="40"/>
      <c r="E23" s="46"/>
      <c r="F23" s="40"/>
      <c r="G23" s="40"/>
      <c r="H23" s="40">
        <f>0.574*M8</f>
        <v>0.21811999999999998</v>
      </c>
      <c r="I23" s="41"/>
      <c r="L23" s="52" t="s">
        <v>498</v>
      </c>
      <c r="M23" s="55">
        <f>(M17/M18)+(M20/M21)</f>
        <v>11316489.361702127</v>
      </c>
    </row>
    <row r="24" spans="2:13" x14ac:dyDescent="0.2">
      <c r="B24" s="27" t="s">
        <v>487</v>
      </c>
      <c r="C24" s="45" t="s">
        <v>9</v>
      </c>
      <c r="D24" s="40"/>
      <c r="E24" s="46"/>
      <c r="F24" s="40"/>
      <c r="G24" s="40"/>
      <c r="H24" s="40">
        <f>0.088*M8</f>
        <v>3.3439999999999998E-2</v>
      </c>
      <c r="I24" s="41"/>
    </row>
    <row r="25" spans="2:13" x14ac:dyDescent="0.2">
      <c r="B25" s="44" t="s">
        <v>488</v>
      </c>
      <c r="C25" s="45"/>
      <c r="D25" s="40"/>
      <c r="E25" s="46"/>
      <c r="F25" s="40"/>
      <c r="G25" s="40"/>
      <c r="H25" s="40"/>
      <c r="I25" s="41"/>
      <c r="L25" s="52" t="s">
        <v>499</v>
      </c>
      <c r="M25" s="53">
        <v>7.0999999999999994E-2</v>
      </c>
    </row>
    <row r="26" spans="2:13" x14ac:dyDescent="0.2">
      <c r="B26" s="27" t="s">
        <v>489</v>
      </c>
      <c r="C26" s="45" t="s">
        <v>9</v>
      </c>
      <c r="D26" s="48">
        <f>55849/1000/1000*M6</f>
        <v>2.6249029999999998E-4</v>
      </c>
      <c r="E26" s="46"/>
      <c r="F26" s="48">
        <f>183592/1000/1000*M6</f>
        <v>8.6288240000000006E-4</v>
      </c>
      <c r="G26" s="40"/>
      <c r="H26" s="40"/>
      <c r="I26" s="41"/>
      <c r="L26" s="52" t="s">
        <v>500</v>
      </c>
      <c r="M26" s="53">
        <v>0.31</v>
      </c>
    </row>
    <row r="27" spans="2:13" x14ac:dyDescent="0.2">
      <c r="B27" s="27" t="s">
        <v>490</v>
      </c>
      <c r="C27" s="45" t="s">
        <v>9</v>
      </c>
      <c r="D27" s="48">
        <f>5764/1000/1000*M6</f>
        <v>2.7090800000000002E-5</v>
      </c>
      <c r="E27" s="46"/>
      <c r="F27" s="48">
        <f>18949/1000/1000*M6</f>
        <v>8.9060300000000012E-5</v>
      </c>
      <c r="G27" s="40"/>
      <c r="H27" s="40"/>
      <c r="I27" s="41"/>
    </row>
    <row r="28" spans="2:13" x14ac:dyDescent="0.2">
      <c r="B28" s="27" t="s">
        <v>491</v>
      </c>
      <c r="C28" s="45"/>
      <c r="D28" s="40"/>
      <c r="E28" s="48">
        <f>6575/1000000*M7</f>
        <v>2.3012499999999999E-3</v>
      </c>
      <c r="F28" s="40"/>
      <c r="G28" s="48">
        <f>28760/1000000*M7</f>
        <v>1.0066E-2</v>
      </c>
      <c r="H28" s="40"/>
      <c r="I28" s="41"/>
      <c r="L28" s="24" t="s">
        <v>479</v>
      </c>
    </row>
    <row r="29" spans="2:13" x14ac:dyDescent="0.2">
      <c r="B29" s="31" t="s">
        <v>492</v>
      </c>
      <c r="C29" s="49"/>
      <c r="D29" s="50"/>
      <c r="E29" s="50"/>
      <c r="F29" s="50"/>
      <c r="G29" s="50"/>
      <c r="H29" s="50"/>
      <c r="I29" s="51"/>
      <c r="L29" s="24" t="s">
        <v>481</v>
      </c>
    </row>
    <row r="30" spans="2:13" x14ac:dyDescent="0.2">
      <c r="L30" s="52" t="s">
        <v>501</v>
      </c>
      <c r="M30" s="56">
        <f>M23*M25/M17</f>
        <v>53.564716312056731</v>
      </c>
    </row>
    <row r="31" spans="2:13" x14ac:dyDescent="0.2">
      <c r="L31" s="52" t="s">
        <v>502</v>
      </c>
      <c r="M31" s="56">
        <f>M23*M26/M17</f>
        <v>233.87411347517732</v>
      </c>
    </row>
    <row r="34" spans="12:13" x14ac:dyDescent="0.2">
      <c r="L34" s="52" t="s">
        <v>503</v>
      </c>
      <c r="M34" s="53">
        <v>0.8</v>
      </c>
    </row>
  </sheetData>
  <mergeCells count="2">
    <mergeCell ref="D4:E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Battery - NMC</vt:lpstr>
      <vt:lpstr>disaggregated cobalt</vt:lpstr>
      <vt:lpstr>params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2022-08-19T16:22:34Z</dcterms:modified>
</cp:coreProperties>
</file>